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SchoolManagement-\Exel files\"/>
    </mc:Choice>
  </mc:AlternateContent>
  <bookViews>
    <workbookView xWindow="-120" yWindow="-120" windowWidth="20730" windowHeight="11280" firstSheet="51" activeTab="56"/>
  </bookViews>
  <sheets>
    <sheet name="B TECH" sheetId="55" r:id="rId1"/>
    <sheet name="NO SUBJECT" sheetId="10" r:id="rId2"/>
    <sheet name="ALL SUBJECTS" sheetId="67" r:id="rId3"/>
    <sheet name="TPG201T" sheetId="3" r:id="rId4"/>
    <sheet name="TPG111T" sheetId="24" r:id="rId5"/>
    <sheet name="DSO17BT" sheetId="35" r:id="rId6"/>
    <sheet name="TPG12BT" sheetId="29" r:id="rId7"/>
    <sheet name="PGG311T" sheetId="1" r:id="rId8"/>
    <sheet name="TPG12AT" sheetId="6" r:id="rId9"/>
    <sheet name="FPPGG01" sheetId="44" r:id="rId10"/>
    <sheet name="PGG111T" sheetId="45" r:id="rId11"/>
    <sheet name="PGG211T" sheetId="42" r:id="rId12"/>
    <sheet name="ITT10BT" sheetId="28" r:id="rId13"/>
    <sheet name="SYA201T" sheetId="43" r:id="rId14"/>
    <sheet name="DPC201T" sheetId="46" r:id="rId15"/>
    <sheet name="DPC301T" sheetId="47" r:id="rId16"/>
    <sheet name="OSY301T" sheetId="2" r:id="rId17"/>
    <sheet name="ISY34BT" sheetId="4" r:id="rId18"/>
    <sheet name="ISY34AB" sheetId="52" r:id="rId19"/>
    <sheet name="IDC30BE" sheetId="54" r:id="rId20"/>
    <sheet name="ITT10AT" sheetId="5" r:id="rId21"/>
    <sheet name=" IIE20AT" sheetId="7" r:id="rId22"/>
    <sheet name="COB20BT" sheetId="8" r:id="rId23"/>
    <sheet name="DSA20BT" sheetId="9" r:id="rId24"/>
    <sheet name="DSO23AT" sheetId="11" r:id="rId25"/>
    <sheet name="DSO23BT" sheetId="12" r:id="rId26"/>
    <sheet name="ISY23AT" sheetId="14" r:id="rId27"/>
    <sheet name="SSF24AT" sheetId="41" r:id="rId28"/>
    <sheet name="SSF24BT" sheetId="13" r:id="rId29"/>
    <sheet name="ISY23BT" sheetId="15" r:id="rId30"/>
    <sheet name="ISY34AT" sheetId="16" r:id="rId31"/>
    <sheet name="DSO34BT" sheetId="17" r:id="rId32"/>
    <sheet name="DSO34AT" sheetId="25" r:id="rId33"/>
    <sheet name="IIE30BT" sheetId="18" r:id="rId34"/>
    <sheet name="IIE20BT" sheetId="20" r:id="rId35"/>
    <sheet name="IIS20BT" sheetId="19" r:id="rId36"/>
    <sheet name="COB20AT" sheetId="26" r:id="rId37"/>
    <sheet name="DSA20AT" sheetId="27" r:id="rId38"/>
    <sheet name="COB30AT" sheetId="34" r:id="rId39"/>
    <sheet name="COB30BT" sheetId="30" r:id="rId40"/>
    <sheet name="DSA30AT" sheetId="31" r:id="rId41"/>
    <sheet name="DSA30BT" sheetId="32" r:id="rId42"/>
    <sheet name="IDC30BT" sheetId="33" r:id="rId43"/>
    <sheet name="DIC101T" sheetId="21" r:id="rId44"/>
    <sheet name="ITS20BT " sheetId="22" r:id="rId45"/>
    <sheet name="IIS20AT" sheetId="23" r:id="rId46"/>
    <sheet name="ITN10AT" sheetId="37" r:id="rId47"/>
    <sheet name="GUI10AT" sheetId="38" r:id="rId48"/>
    <sheet name="IDC30AT" sheetId="39" r:id="rId49"/>
    <sheet name="GPM20AT" sheetId="40" r:id="rId50"/>
    <sheet name="BUA20BT" sheetId="48" r:id="rId51"/>
    <sheet name="BUA30AT" sheetId="50" r:id="rId52"/>
    <sheet name="BUA30BT" sheetId="51" r:id="rId53"/>
    <sheet name="MIS22AT" sheetId="49" r:id="rId54"/>
    <sheet name="ELC211B" sheetId="56" r:id="rId55"/>
    <sheet name="DBR311T" sheetId="57" r:id="rId56"/>
    <sheet name="LOD311B" sheetId="58" r:id="rId57"/>
    <sheet name="MMA30AT" sheetId="59" r:id="rId58"/>
    <sheet name="MMA301T" sheetId="60" r:id="rId59"/>
    <sheet name="SFC311T" sheetId="61" r:id="rId60"/>
    <sheet name="SSE311T" sheetId="62" r:id="rId61"/>
    <sheet name="SFE311T" sheetId="63" r:id="rId62"/>
    <sheet name="DSY341C" sheetId="64" r:id="rId63"/>
    <sheet name="PPB115D" sheetId="65" r:id="rId64"/>
    <sheet name="WEB115D" sheetId="66" r:id="rId65"/>
    <sheet name="PPAF05D" sheetId="68" r:id="rId66"/>
    <sheet name=" INFF25D" sheetId="69" r:id="rId67"/>
    <sheet name=" CFBF15D" sheetId="70" r:id="rId68"/>
    <sheet name=" COHFO5D" sheetId="71" r:id="rId69"/>
    <sheet name="ITN20AT" sheetId="72" r:id="rId70"/>
    <sheet name="MMN20AT" sheetId="73" r:id="rId71"/>
    <sheet name="MMX30AT" sheetId="74" r:id="rId72"/>
    <sheet name="MMX30BT" sheetId="75" r:id="rId73"/>
    <sheet name="Sheet1" sheetId="92" r:id="rId74"/>
    <sheet name="HSPF15D" sheetId="76" r:id="rId75"/>
    <sheet name="DSMF06D" sheetId="77" r:id="rId76"/>
    <sheet name=" DSO35BT " sheetId="78" r:id="rId77"/>
    <sheet name="CMK10BT" sheetId="79" r:id="rId78"/>
    <sheet name="MIS22BT" sheetId="80" r:id="rId79"/>
    <sheet name="ACS11BT" sheetId="81" r:id="rId80"/>
    <sheet name="ASC11AT" sheetId="82" r:id="rId81"/>
    <sheet name="ITN20BT" sheetId="83" r:id="rId82"/>
    <sheet name="GUI10BT" sheetId="84" r:id="rId83"/>
    <sheet name="MMZ30AT" sheetId="85" r:id="rId84"/>
    <sheet name="IIS301T " sheetId="86" r:id="rId85"/>
    <sheet name="GPM20BT " sheetId="87" r:id="rId86"/>
    <sheet name="DSY231C" sheetId="88" r:id="rId87"/>
    <sheet name="PJT101B" sheetId="89" r:id="rId88"/>
    <sheet name="CFS10BT " sheetId="90" r:id="rId89"/>
    <sheet name="MAT251 " sheetId="91" r:id="rId90"/>
  </sheets>
  <definedNames>
    <definedName name="_xlnm._FilterDatabase" localSheetId="3" hidden="1">TPG201T!$H$1:$N$1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4" l="1"/>
  <c r="E20" i="14"/>
  <c r="A25" i="12"/>
  <c r="F8" i="28"/>
  <c r="E33" i="14"/>
  <c r="G4" i="84"/>
  <c r="B4" i="31"/>
  <c r="G9" i="14"/>
  <c r="E3" i="21"/>
  <c r="F2" i="45"/>
  <c r="A13" i="58"/>
  <c r="E10" i="6"/>
  <c r="E16" i="55"/>
  <c r="C13" i="55"/>
  <c r="A56" i="10"/>
  <c r="A12" i="58"/>
  <c r="G9" i="58"/>
  <c r="B3" i="56"/>
  <c r="B4" i="58"/>
  <c r="F7" i="10"/>
  <c r="F15" i="17"/>
  <c r="E19" i="9"/>
  <c r="G16" i="42"/>
  <c r="B3" i="42"/>
  <c r="C17" i="30"/>
  <c r="F60" i="10"/>
  <c r="G57" i="10"/>
  <c r="A51" i="10"/>
  <c r="C10" i="58"/>
  <c r="F5" i="55"/>
  <c r="A20" i="10"/>
  <c r="F9" i="10"/>
  <c r="F2" i="50"/>
  <c r="B19" i="15"/>
  <c r="E3" i="46"/>
  <c r="E2" i="43"/>
  <c r="A15" i="30"/>
  <c r="E13" i="30"/>
  <c r="G11" i="30"/>
  <c r="B17" i="30"/>
  <c r="G60" i="10"/>
  <c r="F57" i="10"/>
  <c r="G50" i="10"/>
  <c r="G2" i="63"/>
  <c r="G32" i="10"/>
  <c r="G23" i="10"/>
  <c r="G2" i="57"/>
  <c r="G2" i="51"/>
  <c r="F21" i="15"/>
  <c r="C5" i="46"/>
  <c r="F9" i="42"/>
  <c r="A10" i="31"/>
  <c r="F7" i="32"/>
  <c r="C17" i="20"/>
  <c r="E9" i="30"/>
  <c r="B11" i="31"/>
  <c r="A5" i="56"/>
  <c r="F2" i="66"/>
  <c r="G7" i="55"/>
  <c r="C41" i="10"/>
  <c r="C29" i="10"/>
  <c r="A17" i="10"/>
  <c r="A2" i="56"/>
  <c r="A2" i="49"/>
  <c r="G13" i="28"/>
  <c r="G2" i="46"/>
  <c r="B6" i="42"/>
  <c r="E23" i="29"/>
  <c r="A19" i="29"/>
  <c r="G13" i="34"/>
  <c r="A5" i="25"/>
  <c r="B64" i="10"/>
  <c r="A59" i="10"/>
  <c r="F56" i="10"/>
  <c r="C4" i="57"/>
  <c r="E8" i="58"/>
  <c r="E5" i="58"/>
  <c r="E3" i="58"/>
  <c r="A7" i="10"/>
  <c r="A15" i="17"/>
  <c r="C19" i="9"/>
  <c r="C15" i="42"/>
  <c r="F3" i="42"/>
  <c r="C14" i="30"/>
  <c r="G14" i="34"/>
  <c r="C14" i="29"/>
  <c r="F12" i="32"/>
  <c r="C61" i="10"/>
  <c r="B57" i="10"/>
  <c r="C50" i="10"/>
  <c r="A43" i="10"/>
  <c r="A31" i="10"/>
  <c r="A22" i="10"/>
  <c r="C2" i="57"/>
  <c r="C2" i="51"/>
  <c r="G30" i="24"/>
  <c r="G5" i="46"/>
  <c r="G2" i="43"/>
  <c r="E15" i="34"/>
  <c r="G13" i="30"/>
  <c r="B11" i="30"/>
  <c r="C13" i="17"/>
  <c r="A65" i="10"/>
  <c r="A14" i="55"/>
  <c r="F9" i="55"/>
  <c r="G13" i="58"/>
  <c r="A38" i="10"/>
  <c r="F2" i="60"/>
  <c r="C15" i="10"/>
  <c r="A2" i="54"/>
  <c r="A4" i="33"/>
  <c r="G16" i="34"/>
  <c r="G2" i="44"/>
  <c r="G5" i="42"/>
  <c r="E8" i="32"/>
  <c r="A7" i="31"/>
  <c r="A4" i="32"/>
  <c r="C25" i="14"/>
  <c r="G25" i="10"/>
  <c r="F13" i="30"/>
  <c r="G3" i="41"/>
  <c r="G24" i="35"/>
  <c r="E18" i="35"/>
  <c r="A10" i="35"/>
  <c r="C22" i="24"/>
  <c r="G4" i="30"/>
  <c r="E17" i="14"/>
  <c r="F34" i="14"/>
  <c r="E19" i="14"/>
  <c r="B25" i="12"/>
  <c r="G8" i="28"/>
  <c r="F33" i="14"/>
  <c r="A4" i="84"/>
  <c r="C4" i="31"/>
  <c r="F9" i="14"/>
  <c r="C3" i="21"/>
  <c r="G2" i="45"/>
  <c r="A5" i="31"/>
  <c r="E6" i="6"/>
  <c r="B63" i="10"/>
  <c r="A12" i="55"/>
  <c r="C54" i="10"/>
  <c r="A46" i="10"/>
  <c r="G7" i="58"/>
  <c r="G28" i="10"/>
  <c r="A2" i="58"/>
  <c r="C8" i="39"/>
  <c r="A14" i="17"/>
  <c r="C14" i="4"/>
  <c r="E13" i="42"/>
  <c r="E25" i="29"/>
  <c r="A12" i="32"/>
  <c r="F16" i="58"/>
  <c r="E10" i="55"/>
  <c r="F8" i="55"/>
  <c r="F41" i="10"/>
  <c r="F29" i="10"/>
  <c r="C17" i="10"/>
  <c r="C2" i="56"/>
  <c r="C2" i="49"/>
  <c r="A13" i="28"/>
  <c r="B2" i="46"/>
  <c r="C6" i="42"/>
  <c r="G15" i="34"/>
  <c r="C19" i="29"/>
  <c r="B13" i="34"/>
  <c r="G11" i="32"/>
  <c r="E16" i="58"/>
  <c r="B10" i="55"/>
  <c r="E8" i="55"/>
  <c r="B10" i="58"/>
  <c r="E5" i="55"/>
  <c r="G19" i="10"/>
  <c r="E9" i="10"/>
  <c r="E2" i="50"/>
  <c r="F19" i="15"/>
  <c r="C3" i="46"/>
  <c r="A2" i="43"/>
  <c r="C15" i="30"/>
  <c r="A13" i="30"/>
  <c r="A5" i="32"/>
  <c r="G12" i="29"/>
  <c r="F65" i="10"/>
  <c r="F14" i="55"/>
  <c r="C2" i="65"/>
  <c r="G15" i="58"/>
  <c r="F38" i="10"/>
  <c r="C2" i="61"/>
  <c r="A16" i="10"/>
  <c r="F2" i="54"/>
  <c r="F4" i="33"/>
  <c r="E16" i="34"/>
  <c r="F2" i="44"/>
  <c r="E5" i="42"/>
  <c r="B22" i="29"/>
  <c r="F7" i="31"/>
  <c r="F4" i="32"/>
  <c r="G4" i="25"/>
  <c r="G63" i="10"/>
  <c r="F12" i="55"/>
  <c r="B55" i="10"/>
  <c r="B45" i="10"/>
  <c r="B7" i="58"/>
  <c r="E27" i="10"/>
  <c r="A3" i="55"/>
  <c r="E6" i="10"/>
  <c r="F21" i="16"/>
  <c r="C13" i="4"/>
  <c r="B13" i="42"/>
  <c r="F25" i="29"/>
  <c r="A21" i="29"/>
  <c r="C16" i="29"/>
  <c r="E13" i="29"/>
  <c r="C11" i="32"/>
  <c r="A16" i="58"/>
  <c r="F10" i="32"/>
  <c r="A8" i="55"/>
  <c r="A2" i="62"/>
  <c r="A5" i="55"/>
  <c r="A18" i="10"/>
  <c r="A9" i="10"/>
  <c r="A2" i="50"/>
  <c r="G19" i="15"/>
  <c r="G3" i="46"/>
  <c r="A6" i="42"/>
  <c r="B23" i="29"/>
  <c r="E6" i="32"/>
  <c r="E15" i="29"/>
  <c r="F5" i="25"/>
  <c r="F16" i="55"/>
  <c r="E13" i="55"/>
  <c r="B56" i="10"/>
  <c r="G12" i="58"/>
  <c r="A3" i="57"/>
  <c r="C3" i="56"/>
  <c r="C4" i="58"/>
  <c r="A8" i="10"/>
  <c r="G15" i="17"/>
  <c r="B19" i="9"/>
  <c r="A16" i="42"/>
  <c r="C3" i="42"/>
  <c r="C9" i="31"/>
  <c r="F14" i="34"/>
  <c r="F10" i="30"/>
  <c r="G24" i="14"/>
  <c r="E10" i="10"/>
  <c r="C18" i="29"/>
  <c r="B18" i="15"/>
  <c r="F23" i="35"/>
  <c r="G23" i="24"/>
  <c r="F21" i="6"/>
  <c r="B16" i="24"/>
  <c r="G4" i="7"/>
  <c r="C11" i="11"/>
  <c r="E34" i="14"/>
  <c r="E18" i="14"/>
  <c r="C25" i="12"/>
  <c r="A11" i="20"/>
  <c r="G33" i="14"/>
  <c r="B4" i="84"/>
  <c r="E7" i="30"/>
  <c r="E9" i="14"/>
  <c r="B3" i="21"/>
  <c r="B23" i="24"/>
  <c r="B14" i="34"/>
  <c r="G13" i="32"/>
  <c r="F15" i="55"/>
  <c r="E11" i="55"/>
  <c r="F52" i="10"/>
  <c r="E44" i="10"/>
  <c r="E6" i="58"/>
  <c r="G26" i="10"/>
  <c r="C12" i="10"/>
  <c r="A5" i="10"/>
  <c r="A21" i="16"/>
  <c r="F13" i="4"/>
  <c r="G13" i="42"/>
  <c r="A24" i="29"/>
  <c r="E11" i="31"/>
  <c r="C5" i="56"/>
  <c r="A10" i="32"/>
  <c r="B49" i="10"/>
  <c r="A39" i="10"/>
  <c r="F2" i="61"/>
  <c r="C16" i="10"/>
  <c r="A2" i="55"/>
  <c r="A2" i="48"/>
  <c r="G16" i="30"/>
  <c r="A18" i="42"/>
  <c r="F6" i="42"/>
  <c r="F22" i="29"/>
  <c r="G6" i="32"/>
  <c r="G15" i="29"/>
  <c r="C11" i="31"/>
  <c r="B5" i="56"/>
  <c r="G2" i="66"/>
  <c r="A49" i="10"/>
  <c r="E41" i="10"/>
  <c r="E29" i="10"/>
  <c r="B17" i="10"/>
  <c r="B2" i="56"/>
  <c r="B2" i="49"/>
  <c r="E13" i="28"/>
  <c r="A2" i="46"/>
  <c r="E7" i="42"/>
  <c r="F15" i="34"/>
  <c r="B19" i="29"/>
  <c r="F11" i="30"/>
  <c r="E5" i="25"/>
  <c r="C64" i="10"/>
  <c r="B59" i="10"/>
  <c r="A9" i="55"/>
  <c r="B13" i="58"/>
  <c r="B37" i="10"/>
  <c r="A2" i="60"/>
  <c r="A14" i="10"/>
  <c r="C2" i="52"/>
  <c r="B16" i="17"/>
  <c r="E20" i="9"/>
  <c r="E17" i="42"/>
  <c r="B4" i="42"/>
  <c r="G8" i="32"/>
  <c r="A12" i="30"/>
  <c r="B5" i="31"/>
  <c r="C24" i="14"/>
  <c r="C62" i="10"/>
  <c r="B58" i="10"/>
  <c r="E53" i="10"/>
  <c r="G11" i="58"/>
  <c r="G35" i="10"/>
  <c r="B26" i="10"/>
  <c r="G10" i="10"/>
  <c r="A7" i="39"/>
  <c r="B20" i="16"/>
  <c r="A3" i="47"/>
  <c r="A10" i="42"/>
  <c r="C9" i="32"/>
  <c r="A20" i="29"/>
  <c r="A17" i="20"/>
  <c r="F9" i="30"/>
  <c r="F66" i="10"/>
  <c r="F4" i="56"/>
  <c r="C2" i="66"/>
  <c r="G48" i="10"/>
  <c r="A41" i="10"/>
  <c r="A29" i="10"/>
  <c r="A2" i="59"/>
  <c r="F2" i="55"/>
  <c r="F2" i="48"/>
  <c r="E16" i="30"/>
  <c r="A2" i="44"/>
  <c r="A5" i="42"/>
  <c r="A22" i="29"/>
  <c r="C7" i="31"/>
  <c r="C4" i="32"/>
  <c r="E25" i="14"/>
  <c r="C63" i="10"/>
  <c r="B12" i="55"/>
  <c r="E54" i="10"/>
  <c r="G46" i="10"/>
  <c r="A8" i="58"/>
  <c r="A5" i="58"/>
  <c r="G2" i="58"/>
  <c r="E8" i="39"/>
  <c r="C14" i="17"/>
  <c r="A14" i="4"/>
  <c r="F13" i="42"/>
  <c r="C25" i="29"/>
  <c r="G14" i="30"/>
  <c r="A18" i="29"/>
  <c r="A12" i="34"/>
  <c r="G17" i="30"/>
  <c r="F3" i="51"/>
  <c r="C6" i="31"/>
  <c r="B16" i="12"/>
  <c r="B18" i="9"/>
  <c r="F17" i="24"/>
  <c r="A19" i="6"/>
  <c r="E11" i="24"/>
  <c r="B17" i="6"/>
  <c r="F14" i="14"/>
  <c r="C34" i="14"/>
  <c r="E15" i="14"/>
  <c r="G20" i="14"/>
  <c r="B11" i="20"/>
  <c r="A33" i="14"/>
  <c r="C4" i="84"/>
  <c r="F7" i="30"/>
  <c r="C9" i="14"/>
  <c r="A3" i="21"/>
  <c r="E16" i="11"/>
  <c r="A13" i="34"/>
  <c r="E17" i="30"/>
  <c r="E60" i="10"/>
  <c r="A5" i="33"/>
  <c r="B51" i="10"/>
  <c r="B11" i="58"/>
  <c r="G33" i="10"/>
  <c r="G24" i="10"/>
  <c r="B10" i="10"/>
  <c r="B3" i="51"/>
  <c r="C21" i="15"/>
  <c r="G2" i="47"/>
  <c r="A9" i="42"/>
  <c r="F9" i="32"/>
  <c r="A66" i="10"/>
  <c r="A4" i="56"/>
  <c r="F2" i="65"/>
  <c r="G47" i="10"/>
  <c r="E37" i="10"/>
  <c r="C2" i="60"/>
  <c r="A15" i="10"/>
  <c r="F2" i="52"/>
  <c r="E16" i="17"/>
  <c r="G20" i="9"/>
  <c r="F17" i="42"/>
  <c r="E4" i="42"/>
  <c r="C8" i="32"/>
  <c r="C12" i="30"/>
  <c r="E5" i="31"/>
  <c r="G65" i="10"/>
  <c r="G14" i="55"/>
  <c r="E2" i="65"/>
  <c r="A47" i="10"/>
  <c r="G38" i="10"/>
  <c r="E2" i="61"/>
  <c r="B16" i="10"/>
  <c r="G2" i="54"/>
  <c r="G4" i="33"/>
  <c r="F16" i="30"/>
  <c r="G18" i="42"/>
  <c r="E6" i="42"/>
  <c r="E22" i="29"/>
  <c r="F6" i="32"/>
  <c r="F15" i="29"/>
  <c r="C4" i="25"/>
  <c r="A16" i="55"/>
  <c r="G12" i="55"/>
  <c r="C55" i="10"/>
  <c r="E4" i="57"/>
  <c r="F8" i="58"/>
  <c r="F5" i="58"/>
  <c r="F3" i="58"/>
  <c r="B7" i="10"/>
  <c r="B15" i="17"/>
  <c r="F19" i="9"/>
  <c r="E15" i="42"/>
  <c r="G3" i="42"/>
  <c r="E14" i="30"/>
  <c r="E14" i="34"/>
  <c r="B10" i="30"/>
  <c r="B13" i="32"/>
  <c r="A15" i="55"/>
  <c r="G5" i="33"/>
  <c r="A52" i="10"/>
  <c r="G43" i="10"/>
  <c r="G31" i="10"/>
  <c r="G22" i="10"/>
  <c r="E2" i="57"/>
  <c r="E2" i="51"/>
  <c r="B21" i="15"/>
  <c r="A5" i="46"/>
  <c r="A8" i="42"/>
  <c r="B10" i="31"/>
  <c r="B8" i="31"/>
  <c r="A6" i="31"/>
  <c r="F13" i="17"/>
  <c r="C65" i="10"/>
  <c r="C14" i="55"/>
  <c r="A2" i="65"/>
  <c r="G14" i="58"/>
  <c r="C38" i="10"/>
  <c r="A2" i="61"/>
  <c r="F15" i="10"/>
  <c r="C2" i="54"/>
  <c r="C4" i="33"/>
  <c r="A16" i="34"/>
  <c r="A17" i="42"/>
  <c r="F4" i="42"/>
  <c r="E9" i="31"/>
  <c r="G12" i="30"/>
  <c r="F5" i="31"/>
  <c r="B24" i="14"/>
  <c r="G15" i="55"/>
  <c r="F11" i="55"/>
  <c r="A53" i="10"/>
  <c r="F44" i="10"/>
  <c r="F6" i="58"/>
  <c r="A27" i="10"/>
  <c r="E12" i="10"/>
  <c r="A6" i="10"/>
  <c r="B21" i="16"/>
  <c r="G13" i="4"/>
  <c r="G12" i="42"/>
  <c r="B24" i="29"/>
  <c r="E20" i="29"/>
  <c r="G17" i="20"/>
  <c r="G14" i="29"/>
  <c r="B60" i="10"/>
  <c r="F20" i="16"/>
  <c r="G5" i="31"/>
  <c r="F15" i="12"/>
  <c r="F8" i="27"/>
  <c r="A12" i="24"/>
  <c r="C7" i="9"/>
  <c r="B5" i="24"/>
  <c r="E15" i="6"/>
  <c r="C17" i="35"/>
  <c r="B34" i="14"/>
  <c r="E3" i="14"/>
  <c r="A8" i="28"/>
  <c r="C11" i="20"/>
  <c r="B33" i="14"/>
  <c r="E4" i="31"/>
  <c r="G7" i="30"/>
  <c r="B9" i="14"/>
  <c r="B2" i="45"/>
  <c r="A37" i="3"/>
  <c r="E7" i="6"/>
  <c r="B12" i="32"/>
  <c r="G16" i="58"/>
  <c r="F10" i="55"/>
  <c r="G8" i="55"/>
  <c r="E10" i="58"/>
  <c r="G5" i="55"/>
  <c r="G20" i="10"/>
  <c r="G9" i="10"/>
  <c r="G2" i="50"/>
  <c r="A20" i="15"/>
  <c r="A4" i="46"/>
  <c r="F8" i="42"/>
  <c r="B15" i="30"/>
  <c r="F64" i="10"/>
  <c r="E59" i="10"/>
  <c r="C9" i="55"/>
  <c r="E13" i="58"/>
  <c r="A9" i="58"/>
  <c r="A3" i="56"/>
  <c r="A4" i="58"/>
  <c r="E7" i="10"/>
  <c r="E15" i="17"/>
  <c r="A19" i="9"/>
  <c r="F15" i="42"/>
  <c r="E3" i="42"/>
  <c r="G9" i="31"/>
  <c r="G18" i="29"/>
  <c r="C10" i="30"/>
  <c r="E64" i="10"/>
  <c r="C59" i="10"/>
  <c r="B9" i="55"/>
  <c r="C13" i="58"/>
  <c r="C37" i="10"/>
  <c r="B2" i="60"/>
  <c r="G14" i="10"/>
  <c r="E2" i="52"/>
  <c r="C16" i="17"/>
  <c r="F20" i="9"/>
  <c r="C17" i="42"/>
  <c r="C4" i="42"/>
  <c r="A8" i="32"/>
  <c r="B12" i="30"/>
  <c r="C5" i="31"/>
  <c r="F25" i="14"/>
  <c r="E62" i="10"/>
  <c r="C58" i="10"/>
  <c r="F53" i="10"/>
  <c r="C45" i="10"/>
  <c r="C7" i="58"/>
  <c r="F27" i="10"/>
  <c r="G3" i="55"/>
  <c r="F6" i="10"/>
  <c r="G21" i="16"/>
  <c r="E13" i="4"/>
  <c r="A14" i="42"/>
  <c r="G25" i="29"/>
  <c r="B21" i="29"/>
  <c r="E16" i="29"/>
  <c r="E14" i="29"/>
  <c r="G12" i="32"/>
  <c r="B61" i="10"/>
  <c r="C57" i="10"/>
  <c r="E50" i="10"/>
  <c r="G2" i="62"/>
  <c r="B5" i="55"/>
  <c r="G18" i="10"/>
  <c r="B9" i="10"/>
  <c r="B2" i="50"/>
  <c r="C19" i="15"/>
  <c r="A3" i="46"/>
  <c r="B2" i="43"/>
  <c r="F15" i="30"/>
  <c r="B13" i="30"/>
  <c r="C11" i="30"/>
  <c r="G5" i="25"/>
  <c r="A64" i="10"/>
  <c r="G13" i="55"/>
  <c r="E56" i="10"/>
  <c r="G3" i="63"/>
  <c r="A36" i="10"/>
  <c r="F3" i="56"/>
  <c r="F4" i="58"/>
  <c r="A2" i="52"/>
  <c r="A9" i="27"/>
  <c r="B20" i="9"/>
  <c r="A15" i="42"/>
  <c r="G2" i="42"/>
  <c r="B14" i="30"/>
  <c r="E18" i="29"/>
  <c r="E12" i="34"/>
  <c r="F17" i="30"/>
  <c r="C60" i="10"/>
  <c r="B5" i="33"/>
  <c r="C51" i="10"/>
  <c r="C11" i="58"/>
  <c r="A34" i="10"/>
  <c r="A25" i="10"/>
  <c r="C10" i="10"/>
  <c r="E3" i="51"/>
  <c r="A21" i="15"/>
  <c r="A2" i="47"/>
  <c r="B9" i="42"/>
  <c r="G9" i="32"/>
  <c r="A7" i="32"/>
  <c r="E5" i="32"/>
  <c r="C9" i="30"/>
  <c r="E5" i="33"/>
  <c r="F3" i="47"/>
  <c r="A9" i="30"/>
  <c r="F18" i="11"/>
  <c r="F12" i="28"/>
  <c r="F4" i="23"/>
  <c r="F11" i="6"/>
  <c r="E17" i="9"/>
  <c r="G6" i="28"/>
  <c r="A8" i="34"/>
  <c r="A34" i="14"/>
  <c r="E25" i="12"/>
  <c r="B8" i="28"/>
  <c r="E11" i="20"/>
  <c r="C33" i="14"/>
  <c r="F4" i="31"/>
  <c r="A7" i="30"/>
  <c r="A9" i="14"/>
  <c r="C2" i="45"/>
  <c r="A77" i="3"/>
  <c r="E3" i="6"/>
  <c r="F11" i="31"/>
  <c r="E5" i="56"/>
  <c r="B10" i="32"/>
  <c r="C49" i="10"/>
  <c r="G41" i="10"/>
  <c r="G29" i="10"/>
  <c r="E17" i="10"/>
  <c r="E2" i="56"/>
  <c r="E2" i="49"/>
  <c r="C13" i="28"/>
  <c r="C2" i="46"/>
  <c r="F7" i="42"/>
  <c r="B15" i="34"/>
  <c r="C16" i="55"/>
  <c r="B13" i="55"/>
  <c r="F55" i="10"/>
  <c r="G4" i="57"/>
  <c r="F7" i="58"/>
  <c r="A28" i="10"/>
  <c r="G13" i="10"/>
  <c r="B8" i="39"/>
  <c r="B14" i="17"/>
  <c r="G14" i="4"/>
  <c r="A12" i="42"/>
  <c r="B25" i="29"/>
  <c r="E21" i="29"/>
  <c r="F16" i="29"/>
  <c r="G12" i="34"/>
  <c r="B16" i="55"/>
  <c r="A13" i="55"/>
  <c r="E55" i="10"/>
  <c r="F4" i="57"/>
  <c r="G8" i="58"/>
  <c r="G5" i="58"/>
  <c r="G3" i="58"/>
  <c r="C7" i="10"/>
  <c r="C15" i="17"/>
  <c r="G19" i="9"/>
  <c r="B15" i="42"/>
  <c r="A3" i="42"/>
  <c r="F9" i="31"/>
  <c r="A14" i="34"/>
  <c r="A10" i="30"/>
  <c r="C13" i="32"/>
  <c r="B15" i="55"/>
  <c r="A11" i="55"/>
  <c r="B52" i="10"/>
  <c r="A44" i="10"/>
  <c r="A6" i="58"/>
  <c r="C26" i="10"/>
  <c r="A11" i="10"/>
  <c r="B7" i="39"/>
  <c r="A20" i="16"/>
  <c r="B3" i="47"/>
  <c r="G10" i="42"/>
  <c r="E9" i="32"/>
  <c r="F20" i="29"/>
  <c r="B17" i="20"/>
  <c r="A13" i="29"/>
  <c r="E11" i="32"/>
  <c r="B16" i="58"/>
  <c r="G10" i="32"/>
  <c r="B8" i="55"/>
  <c r="B41" i="10"/>
  <c r="B29" i="10"/>
  <c r="G2" i="59"/>
  <c r="G2" i="55"/>
  <c r="G2" i="48"/>
  <c r="F13" i="28"/>
  <c r="F2" i="46"/>
  <c r="C7" i="42"/>
  <c r="C23" i="29"/>
  <c r="G19" i="29"/>
  <c r="F13" i="34"/>
  <c r="F4" i="25"/>
  <c r="F63" i="10"/>
  <c r="E12" i="55"/>
  <c r="A55" i="10"/>
  <c r="B4" i="57"/>
  <c r="C8" i="58"/>
  <c r="C5" i="58"/>
  <c r="B3" i="58"/>
  <c r="G8" i="39"/>
  <c r="F14" i="17"/>
  <c r="E14" i="4"/>
  <c r="A13" i="42"/>
  <c r="F24" i="29"/>
  <c r="G21" i="29"/>
  <c r="A16" i="29"/>
  <c r="B14" i="29"/>
  <c r="C12" i="32"/>
  <c r="F61" i="10"/>
  <c r="G10" i="55"/>
  <c r="A50" i="10"/>
  <c r="F10" i="58"/>
  <c r="A6" i="55"/>
  <c r="A21" i="10"/>
  <c r="A2" i="57"/>
  <c r="A2" i="51"/>
  <c r="G20" i="15"/>
  <c r="G4" i="46"/>
  <c r="G8" i="42"/>
  <c r="E15" i="30"/>
  <c r="G8" i="31"/>
  <c r="B6" i="31"/>
  <c r="C12" i="29"/>
  <c r="E51" i="10"/>
  <c r="C9" i="42"/>
  <c r="B4" i="25"/>
  <c r="G17" i="11"/>
  <c r="E11" i="8"/>
  <c r="A8" i="30"/>
  <c r="A7" i="20"/>
  <c r="G3" i="33"/>
  <c r="A2" i="33"/>
  <c r="C13" i="9"/>
  <c r="G14" i="14"/>
  <c r="E4" i="84"/>
  <c r="D2" i="45"/>
  <c r="B4" i="56"/>
  <c r="G2" i="61"/>
  <c r="A16" i="30"/>
  <c r="A63" i="10"/>
  <c r="C6" i="58"/>
  <c r="E20" i="16"/>
  <c r="B20" i="29"/>
  <c r="E58" i="10"/>
  <c r="G27" i="10"/>
  <c r="F14" i="4"/>
  <c r="F18" i="29"/>
  <c r="E57" i="10"/>
  <c r="A23" i="10"/>
  <c r="B5" i="46"/>
  <c r="F6" i="31"/>
  <c r="E2" i="66"/>
  <c r="G15" i="10"/>
  <c r="C2" i="44"/>
  <c r="E4" i="32"/>
  <c r="C53" i="10"/>
  <c r="G12" i="10"/>
  <c r="E9" i="42"/>
  <c r="G13" i="29"/>
  <c r="E49" i="10"/>
  <c r="F2" i="56"/>
  <c r="G7" i="42"/>
  <c r="A13" i="17"/>
  <c r="A26" i="35"/>
  <c r="B10" i="8"/>
  <c r="A2" i="38"/>
  <c r="G15" i="35"/>
  <c r="B3" i="30"/>
  <c r="F10" i="35"/>
  <c r="F3" i="25"/>
  <c r="B4" i="30"/>
  <c r="B2" i="57"/>
  <c r="B18" i="29"/>
  <c r="A18" i="15"/>
  <c r="G22" i="35"/>
  <c r="E17" i="15"/>
  <c r="F8" i="35"/>
  <c r="A3" i="25"/>
  <c r="E6" i="34"/>
  <c r="B16" i="15"/>
  <c r="A9" i="29"/>
  <c r="E14" i="24"/>
  <c r="G19" i="6"/>
  <c r="C11" i="34"/>
  <c r="A9" i="6"/>
  <c r="B10" i="28"/>
  <c r="G30" i="10"/>
  <c r="F21" i="29"/>
  <c r="C17" i="12"/>
  <c r="E24" i="35"/>
  <c r="C18" i="35"/>
  <c r="A5" i="39"/>
  <c r="E5" i="8"/>
  <c r="B3" i="35"/>
  <c r="F14" i="24"/>
  <c r="F12" i="14"/>
  <c r="B13" i="24"/>
  <c r="G4" i="27"/>
  <c r="A17" i="9"/>
  <c r="C6" i="28"/>
  <c r="E16" i="9"/>
  <c r="G40" i="10"/>
  <c r="G23" i="29"/>
  <c r="F3" i="41"/>
  <c r="G22" i="14"/>
  <c r="B19" i="35"/>
  <c r="C8" i="34"/>
  <c r="G2" i="30"/>
  <c r="B9" i="8"/>
  <c r="B16" i="11"/>
  <c r="C12" i="9"/>
  <c r="F2" i="41"/>
  <c r="B8" i="35"/>
  <c r="E21" i="24"/>
  <c r="A6" i="34"/>
  <c r="E14" i="11"/>
  <c r="B2" i="39"/>
  <c r="B2" i="54"/>
  <c r="G16" i="29"/>
  <c r="E18" i="15"/>
  <c r="E22" i="35"/>
  <c r="C14" i="12"/>
  <c r="A22" i="6"/>
  <c r="F20" i="24"/>
  <c r="B8" i="8"/>
  <c r="F13" i="11"/>
  <c r="G3" i="57"/>
  <c r="B8" i="32"/>
  <c r="F12" i="17"/>
  <c r="F25" i="35"/>
  <c r="B20" i="35"/>
  <c r="C10" i="34"/>
  <c r="A10" i="6"/>
  <c r="G6" i="30"/>
  <c r="B6" i="29"/>
  <c r="C14" i="9"/>
  <c r="A17" i="15"/>
  <c r="E5" i="35"/>
  <c r="F14" i="11"/>
  <c r="C12" i="14"/>
  <c r="G10" i="11"/>
  <c r="E63" i="10"/>
  <c r="E14" i="17"/>
  <c r="B4" i="32"/>
  <c r="B15" i="12"/>
  <c r="C8" i="27"/>
  <c r="F13" i="24"/>
  <c r="F3" i="38"/>
  <c r="G2" i="40"/>
  <c r="B7" i="9"/>
  <c r="A5" i="24"/>
  <c r="F7" i="29"/>
  <c r="E3" i="24"/>
  <c r="E14" i="6"/>
  <c r="F11" i="35"/>
  <c r="A3" i="30"/>
  <c r="G11" i="28"/>
  <c r="A8" i="27"/>
  <c r="C20" i="14"/>
  <c r="G8" i="8"/>
  <c r="F16" i="24"/>
  <c r="E21" i="14"/>
  <c r="F4" i="84"/>
  <c r="E2" i="45"/>
  <c r="F59" i="10"/>
  <c r="E2" i="60"/>
  <c r="F16" i="34"/>
  <c r="E15" i="55"/>
  <c r="A33" i="10"/>
  <c r="G21" i="15"/>
  <c r="G7" i="32"/>
  <c r="B11" i="55"/>
  <c r="E26" i="10"/>
  <c r="C3" i="47"/>
  <c r="B16" i="29"/>
  <c r="A10" i="55"/>
  <c r="A19" i="10"/>
  <c r="B3" i="46"/>
  <c r="E11" i="30"/>
  <c r="B2" i="65"/>
  <c r="G4" i="58"/>
  <c r="B17" i="42"/>
  <c r="G10" i="30"/>
  <c r="F51" i="10"/>
  <c r="F10" i="10"/>
  <c r="C8" i="42"/>
  <c r="E12" i="29"/>
  <c r="G2" i="64"/>
  <c r="C2" i="55"/>
  <c r="G6" i="42"/>
  <c r="E4" i="25"/>
  <c r="B22" i="14"/>
  <c r="E8" i="35"/>
  <c r="C6" i="9"/>
  <c r="E5" i="30"/>
  <c r="E2" i="41"/>
  <c r="A4" i="35"/>
  <c r="E16" i="14"/>
  <c r="E12" i="32"/>
  <c r="B2" i="51"/>
  <c r="G6" i="31"/>
  <c r="A16" i="12"/>
  <c r="C18" i="9"/>
  <c r="E22" i="24"/>
  <c r="C9" i="9"/>
  <c r="G12" i="11"/>
  <c r="E9" i="20"/>
  <c r="A15" i="24"/>
  <c r="C5" i="27"/>
  <c r="G13" i="14"/>
  <c r="B3" i="34"/>
  <c r="F15" i="20"/>
  <c r="B5" i="9"/>
  <c r="E6" i="35"/>
  <c r="G17" i="10"/>
  <c r="A6" i="32"/>
  <c r="G18" i="15"/>
  <c r="A22" i="35"/>
  <c r="B15" i="11"/>
  <c r="C7" i="35"/>
  <c r="F27" i="24"/>
  <c r="B9" i="29"/>
  <c r="A8" i="24"/>
  <c r="A8" i="9"/>
  <c r="E7" i="24"/>
  <c r="B11" i="6"/>
  <c r="C3" i="33"/>
  <c r="E2" i="32"/>
  <c r="G9" i="8"/>
  <c r="G4" i="55"/>
  <c r="C20" i="29"/>
  <c r="B17" i="12"/>
  <c r="E23" i="35"/>
  <c r="A18" i="35"/>
  <c r="F13" i="9"/>
  <c r="B6" i="6"/>
  <c r="E4" i="39"/>
  <c r="B24" i="24"/>
  <c r="F9" i="28"/>
  <c r="F18" i="14"/>
  <c r="E4" i="30"/>
  <c r="C12" i="11"/>
  <c r="A9" i="20"/>
  <c r="E19" i="16"/>
  <c r="B65" i="10"/>
  <c r="B4" i="33"/>
  <c r="B15" i="29"/>
  <c r="C15" i="12"/>
  <c r="F18" i="9"/>
  <c r="E16" i="15"/>
  <c r="C9" i="29"/>
  <c r="G14" i="24"/>
  <c r="E3" i="38"/>
  <c r="A10" i="11"/>
  <c r="E3" i="56"/>
  <c r="C7" i="32"/>
  <c r="C3" i="41"/>
  <c r="C24" i="35"/>
  <c r="G19" i="35"/>
  <c r="F7" i="27"/>
  <c r="B8" i="6"/>
  <c r="B15" i="9"/>
  <c r="C5" i="29"/>
  <c r="F9" i="35"/>
  <c r="A22" i="24"/>
  <c r="G3" i="39"/>
  <c r="F19" i="16"/>
  <c r="F16" i="6"/>
  <c r="B7" i="24"/>
  <c r="C12" i="55"/>
  <c r="B14" i="4"/>
  <c r="F13" i="29"/>
  <c r="G23" i="14"/>
  <c r="B12" i="28"/>
  <c r="A13" i="14"/>
  <c r="C13" i="6"/>
  <c r="B3" i="32"/>
  <c r="E11" i="6"/>
  <c r="C17" i="9"/>
  <c r="A2" i="35"/>
  <c r="G12" i="35"/>
  <c r="G10" i="6"/>
  <c r="A7" i="27"/>
  <c r="B5" i="28"/>
  <c r="B14" i="20"/>
  <c r="A18" i="24"/>
  <c r="B4" i="23"/>
  <c r="E19" i="6"/>
  <c r="F25" i="12"/>
  <c r="G4" i="31"/>
  <c r="A85" i="3"/>
  <c r="G2" i="65"/>
  <c r="E16" i="10"/>
  <c r="A3" i="44"/>
  <c r="F58" i="10"/>
  <c r="F26" i="10"/>
  <c r="E3" i="47"/>
  <c r="E17" i="20"/>
  <c r="A54" i="10"/>
  <c r="A13" i="10"/>
  <c r="C13" i="42"/>
  <c r="F12" i="34"/>
  <c r="F50" i="10"/>
  <c r="F2" i="57"/>
  <c r="E8" i="42"/>
  <c r="G9" i="30"/>
  <c r="A7" i="55"/>
  <c r="E2" i="54"/>
  <c r="C5" i="42"/>
  <c r="F24" i="14"/>
  <c r="A45" i="10"/>
  <c r="C6" i="10"/>
  <c r="A9" i="32"/>
  <c r="G11" i="31"/>
  <c r="A42" i="10"/>
  <c r="F2" i="49"/>
  <c r="C15" i="34"/>
  <c r="E11" i="58"/>
  <c r="A21" i="35"/>
  <c r="C5" i="8"/>
  <c r="E2" i="30"/>
  <c r="B12" i="9"/>
  <c r="C13" i="11"/>
  <c r="A21" i="6"/>
  <c r="G10" i="24"/>
  <c r="E61" i="10"/>
  <c r="A30" i="24"/>
  <c r="E10" i="30"/>
  <c r="F23" i="14"/>
  <c r="G8" i="27"/>
  <c r="C16" i="24"/>
  <c r="F18" i="6"/>
  <c r="B10" i="24"/>
  <c r="G4" i="34"/>
  <c r="C9" i="24"/>
  <c r="F14" i="6"/>
  <c r="E14" i="35"/>
  <c r="E2" i="37"/>
  <c r="A14" i="9"/>
  <c r="C28" i="24"/>
  <c r="G3" i="35"/>
  <c r="G2" i="56"/>
  <c r="A11" i="30"/>
  <c r="G16" i="12"/>
  <c r="A18" i="9"/>
  <c r="B3" i="25"/>
  <c r="F6" i="34"/>
  <c r="F17" i="14"/>
  <c r="E5" i="27"/>
  <c r="F14" i="35"/>
  <c r="C3" i="37"/>
  <c r="B11" i="29"/>
  <c r="E3" i="7"/>
  <c r="F5" i="39"/>
  <c r="G6" i="6"/>
  <c r="B5" i="35"/>
  <c r="G16" i="10"/>
  <c r="B6" i="32"/>
  <c r="F18" i="15"/>
  <c r="F22" i="35"/>
  <c r="G27" i="24"/>
  <c r="A6" i="35"/>
  <c r="B14" i="12"/>
  <c r="E10" i="9"/>
  <c r="B19" i="24"/>
  <c r="A8" i="8"/>
  <c r="E13" i="11"/>
  <c r="G5" i="34"/>
  <c r="F15" i="14"/>
  <c r="C4" i="34"/>
  <c r="G8" i="24"/>
  <c r="B14" i="55"/>
  <c r="B16" i="34"/>
  <c r="A14" i="29"/>
  <c r="B23" i="14"/>
  <c r="A12" i="28"/>
  <c r="C15" i="24"/>
  <c r="F5" i="27"/>
  <c r="B8" i="24"/>
  <c r="G7" i="28"/>
  <c r="F2" i="40"/>
  <c r="E4" i="58"/>
  <c r="G7" i="31"/>
  <c r="G17" i="12"/>
  <c r="C23" i="35"/>
  <c r="G21" i="14"/>
  <c r="A2" i="31"/>
  <c r="C16" i="11"/>
  <c r="E12" i="9"/>
  <c r="E23" i="24"/>
  <c r="C21" i="6"/>
  <c r="G16" i="14"/>
  <c r="B9" i="20"/>
  <c r="A9" i="24"/>
  <c r="A3" i="37"/>
  <c r="G3" i="32"/>
  <c r="F54" i="10"/>
  <c r="G15" i="42"/>
  <c r="B5" i="25"/>
  <c r="C17" i="11"/>
  <c r="G16" i="20"/>
  <c r="F11" i="29"/>
  <c r="F3" i="30"/>
  <c r="E9" i="34"/>
  <c r="G3" i="7"/>
  <c r="F3" i="33"/>
  <c r="C9" i="6"/>
  <c r="B3" i="31"/>
  <c r="B21" i="14"/>
  <c r="C7" i="34"/>
  <c r="C2" i="41"/>
  <c r="E10" i="35"/>
  <c r="A10" i="20"/>
  <c r="G6" i="35"/>
  <c r="G7" i="9"/>
  <c r="G25" i="12"/>
  <c r="A4" i="31"/>
  <c r="A102" i="3"/>
  <c r="E9" i="55"/>
  <c r="B15" i="10"/>
  <c r="E2" i="44"/>
  <c r="C11" i="55"/>
  <c r="A24" i="10"/>
  <c r="E5" i="46"/>
  <c r="B5" i="32"/>
  <c r="C52" i="10"/>
  <c r="A12" i="10"/>
  <c r="A11" i="42"/>
  <c r="B13" i="29"/>
  <c r="C8" i="55"/>
  <c r="C9" i="10"/>
  <c r="C2" i="43"/>
  <c r="E13" i="17"/>
  <c r="A15" i="58"/>
  <c r="B2" i="52"/>
  <c r="A4" i="42"/>
  <c r="A13" i="32"/>
  <c r="F11" i="58"/>
  <c r="G3" i="51"/>
  <c r="G10" i="31"/>
  <c r="C66" i="10"/>
  <c r="A40" i="10"/>
  <c r="C2" i="48"/>
  <c r="F23" i="29"/>
  <c r="G34" i="10"/>
  <c r="G20" i="35"/>
  <c r="E27" i="24"/>
  <c r="G4" i="29"/>
  <c r="E9" i="28"/>
  <c r="F12" i="24"/>
  <c r="C14" i="15"/>
  <c r="E4" i="24"/>
  <c r="A57" i="10"/>
  <c r="F5" i="46"/>
  <c r="B12" i="29"/>
  <c r="E18" i="11"/>
  <c r="F16" i="20"/>
  <c r="F11" i="24"/>
  <c r="A4" i="27"/>
  <c r="G3" i="24"/>
  <c r="B2" i="38"/>
  <c r="A16" i="35"/>
  <c r="A7" i="8"/>
  <c r="G11" i="35"/>
  <c r="G7" i="20"/>
  <c r="C9" i="35"/>
  <c r="C21" i="24"/>
  <c r="B11" i="32"/>
  <c r="G2" i="49"/>
  <c r="C12" i="34"/>
  <c r="E23" i="14"/>
  <c r="B8" i="27"/>
  <c r="A16" i="14"/>
  <c r="A5" i="34"/>
  <c r="E11" i="11"/>
  <c r="G14" i="6"/>
  <c r="A10" i="34"/>
  <c r="F2" i="34"/>
  <c r="E6" i="30"/>
  <c r="G15" i="11"/>
  <c r="A8" i="35"/>
  <c r="A27" i="24"/>
  <c r="G6" i="27"/>
  <c r="E2" i="55"/>
  <c r="C13" i="34"/>
  <c r="E15" i="12"/>
  <c r="G18" i="9"/>
  <c r="G17" i="14"/>
  <c r="C3" i="35"/>
  <c r="C16" i="15"/>
  <c r="G12" i="14"/>
  <c r="C13" i="24"/>
  <c r="C3" i="38"/>
  <c r="G12" i="24"/>
  <c r="B18" i="6"/>
  <c r="C3" i="24"/>
  <c r="F13" i="15"/>
  <c r="E15" i="35"/>
  <c r="G9" i="55"/>
  <c r="B2" i="44"/>
  <c r="B13" i="17"/>
  <c r="A18" i="11"/>
  <c r="B16" i="20"/>
  <c r="F9" i="24"/>
  <c r="A13" i="15"/>
  <c r="G14" i="35"/>
  <c r="B13" i="6"/>
  <c r="A3" i="32"/>
  <c r="G8" i="10"/>
  <c r="F17" i="20"/>
  <c r="F16" i="12"/>
  <c r="C22" i="35"/>
  <c r="G25" i="24"/>
  <c r="C11" i="9"/>
  <c r="C24" i="24"/>
  <c r="G9" i="28"/>
  <c r="C17" i="24"/>
  <c r="F14" i="15"/>
  <c r="B11" i="24"/>
  <c r="E4" i="34"/>
  <c r="F15" i="35"/>
  <c r="C2" i="34"/>
  <c r="B6" i="30"/>
  <c r="A4" i="57"/>
  <c r="A2" i="42"/>
  <c r="E24" i="14"/>
  <c r="A25" i="35"/>
  <c r="E21" i="35"/>
  <c r="A11" i="35"/>
  <c r="G5" i="28"/>
  <c r="G14" i="20"/>
  <c r="A6" i="8"/>
  <c r="A10" i="8"/>
  <c r="E5" i="9"/>
  <c r="G2" i="31"/>
  <c r="B25" i="24"/>
  <c r="F12" i="20"/>
  <c r="C18" i="14"/>
  <c r="B10" i="29"/>
  <c r="E17" i="24"/>
  <c r="B15" i="6"/>
  <c r="B2" i="37"/>
  <c r="C8" i="28"/>
  <c r="B7" i="30"/>
  <c r="A16" i="6"/>
  <c r="A2" i="64"/>
  <c r="B2" i="55"/>
  <c r="A7" i="42"/>
  <c r="B54" i="10"/>
  <c r="B12" i="10"/>
  <c r="G11" i="42"/>
  <c r="C13" i="29"/>
  <c r="E45" i="10"/>
  <c r="A8" i="39"/>
  <c r="A25" i="29"/>
  <c r="A17" i="30"/>
  <c r="A2" i="63"/>
  <c r="F2" i="51"/>
  <c r="C10" i="31"/>
  <c r="G66" i="10"/>
  <c r="E38" i="10"/>
  <c r="E4" i="33"/>
  <c r="C22" i="29"/>
  <c r="B62" i="10"/>
  <c r="A7" i="58"/>
  <c r="E21" i="16"/>
  <c r="E7" i="32"/>
  <c r="F5" i="56"/>
  <c r="A30" i="10"/>
  <c r="B13" i="28"/>
  <c r="E19" i="29"/>
  <c r="B9" i="32"/>
  <c r="C11" i="28"/>
  <c r="F5" i="35"/>
  <c r="G26" i="24"/>
  <c r="G10" i="20"/>
  <c r="C2" i="40"/>
  <c r="F4" i="27"/>
  <c r="G13" i="35"/>
  <c r="B50" i="10"/>
  <c r="B8" i="42"/>
  <c r="A4" i="25"/>
  <c r="F17" i="11"/>
  <c r="C11" i="8"/>
  <c r="C5" i="24"/>
  <c r="C2" i="35"/>
  <c r="B13" i="35"/>
  <c r="E6" i="9"/>
  <c r="F5" i="30"/>
  <c r="B6" i="20"/>
  <c r="B7" i="27"/>
  <c r="B20" i="14"/>
  <c r="F5" i="34"/>
  <c r="B12" i="11"/>
  <c r="G5" i="56"/>
  <c r="E19" i="15"/>
  <c r="A12" i="29"/>
  <c r="C18" i="11"/>
  <c r="E16" i="20"/>
  <c r="C10" i="24"/>
  <c r="C17" i="6"/>
  <c r="E17" i="35"/>
  <c r="B7" i="8"/>
  <c r="C7" i="27"/>
  <c r="G3" i="27"/>
  <c r="E14" i="20"/>
  <c r="G3" i="25"/>
  <c r="C4" i="30"/>
  <c r="A17" i="14"/>
  <c r="E66" i="10"/>
  <c r="E2" i="48"/>
  <c r="B12" i="34"/>
  <c r="C23" i="14"/>
  <c r="E12" i="28"/>
  <c r="F11" i="11"/>
  <c r="F9" i="20"/>
  <c r="B15" i="24"/>
  <c r="B8" i="9"/>
  <c r="F7" i="24"/>
  <c r="F7" i="28"/>
  <c r="E2" i="40"/>
  <c r="E7" i="29"/>
  <c r="F12" i="35"/>
  <c r="A6" i="9"/>
  <c r="G10" i="34"/>
  <c r="A14" i="58"/>
  <c r="B5" i="42"/>
  <c r="G25" i="14"/>
  <c r="B25" i="35"/>
  <c r="G11" i="8"/>
  <c r="C16" i="35"/>
  <c r="C7" i="8"/>
  <c r="B10" i="34"/>
  <c r="E3" i="30"/>
  <c r="G16" i="55"/>
  <c r="G9" i="27"/>
  <c r="C15" i="29"/>
  <c r="A15" i="12"/>
  <c r="E8" i="27"/>
  <c r="G20" i="24"/>
  <c r="F10" i="9"/>
  <c r="C19" i="24"/>
  <c r="G10" i="29"/>
  <c r="F15" i="15"/>
  <c r="A7" i="9"/>
  <c r="G4" i="24"/>
  <c r="G13" i="15"/>
  <c r="C5" i="30"/>
  <c r="E3" i="27"/>
  <c r="E6" i="39"/>
  <c r="B8" i="58"/>
  <c r="A9" i="31"/>
  <c r="C12" i="17"/>
  <c r="F26" i="35"/>
  <c r="A20" i="35"/>
  <c r="C15" i="9"/>
  <c r="A29" i="24"/>
  <c r="B13" i="20"/>
  <c r="B17" i="15"/>
  <c r="C8" i="35"/>
  <c r="F28" i="24"/>
  <c r="B4" i="39"/>
  <c r="B20" i="24"/>
  <c r="F10" i="20"/>
  <c r="B13" i="11"/>
  <c r="A62" i="10"/>
  <c r="B9" i="9"/>
  <c r="B17" i="14"/>
  <c r="E7" i="20"/>
  <c r="E8" i="28"/>
  <c r="C7" i="30"/>
  <c r="F10" i="6"/>
  <c r="F13" i="58"/>
  <c r="G2" i="52"/>
  <c r="F5" i="42"/>
  <c r="E52" i="10"/>
  <c r="A10" i="10"/>
  <c r="G9" i="42"/>
  <c r="E13" i="32"/>
  <c r="B44" i="10"/>
  <c r="E7" i="39"/>
  <c r="C24" i="29"/>
  <c r="F11" i="32"/>
  <c r="A10" i="58"/>
  <c r="C2" i="50"/>
  <c r="G15" i="30"/>
  <c r="E65" i="10"/>
  <c r="A37" i="10"/>
  <c r="A16" i="17"/>
  <c r="F8" i="32"/>
  <c r="A60" i="10"/>
  <c r="A35" i="10"/>
  <c r="G20" i="16"/>
  <c r="A8" i="31"/>
  <c r="C4" i="56"/>
  <c r="A4" i="55"/>
  <c r="B16" i="30"/>
  <c r="C6" i="32"/>
  <c r="A14" i="30"/>
  <c r="F14" i="9"/>
  <c r="A3" i="35"/>
  <c r="G14" i="11"/>
  <c r="B3" i="38"/>
  <c r="F8" i="30"/>
  <c r="A11" i="6"/>
  <c r="B3" i="33"/>
  <c r="G10" i="58"/>
  <c r="F10" i="31"/>
  <c r="E4" i="13"/>
  <c r="G25" i="35"/>
  <c r="B21" i="35"/>
  <c r="F17" i="9"/>
  <c r="F9" i="6"/>
  <c r="E3" i="31"/>
  <c r="F2" i="30"/>
  <c r="A9" i="8"/>
  <c r="C21" i="14"/>
  <c r="G10" i="35"/>
  <c r="A17" i="24"/>
  <c r="A18" i="6"/>
  <c r="B3" i="24"/>
  <c r="E10" i="32"/>
  <c r="F3" i="46"/>
  <c r="A25" i="14"/>
  <c r="A17" i="11"/>
  <c r="B11" i="8"/>
  <c r="A4" i="24"/>
  <c r="F15" i="6"/>
  <c r="B8" i="34"/>
  <c r="C6" i="20"/>
  <c r="F7" i="34"/>
  <c r="A16" i="11"/>
  <c r="E9" i="35"/>
  <c r="F16" i="14"/>
  <c r="C4" i="7"/>
  <c r="G15" i="24"/>
  <c r="E4" i="56"/>
  <c r="C16" i="30"/>
  <c r="F12" i="29"/>
  <c r="B18" i="11"/>
  <c r="C16" i="20"/>
  <c r="A15" i="14"/>
  <c r="A8" i="29"/>
  <c r="E9" i="24"/>
  <c r="E3" i="37"/>
  <c r="C11" i="29"/>
  <c r="A13" i="6"/>
  <c r="G8" i="30"/>
  <c r="G8" i="20"/>
  <c r="A3" i="31"/>
  <c r="B2" i="30"/>
  <c r="B5" i="30"/>
  <c r="B38" i="10"/>
  <c r="G22" i="29"/>
  <c r="G4" i="13"/>
  <c r="C25" i="35"/>
  <c r="C20" i="35"/>
  <c r="A16" i="9"/>
  <c r="E6" i="20"/>
  <c r="E7" i="27"/>
  <c r="F5" i="28"/>
  <c r="F13" i="55"/>
  <c r="A20" i="9"/>
  <c r="F14" i="29"/>
  <c r="A23" i="14"/>
  <c r="C12" i="28"/>
  <c r="A19" i="16"/>
  <c r="A20" i="6"/>
  <c r="E13" i="24"/>
  <c r="B4" i="37"/>
  <c r="C4" i="23"/>
  <c r="C11" i="6"/>
  <c r="B17" i="9"/>
  <c r="B6" i="9"/>
  <c r="F2" i="31"/>
  <c r="F29" i="24"/>
  <c r="G13" i="20"/>
  <c r="B5" i="58"/>
  <c r="C8" i="31"/>
  <c r="B3" i="41"/>
  <c r="B24" i="35"/>
  <c r="F19" i="35"/>
  <c r="F12" i="9"/>
  <c r="A19" i="14"/>
  <c r="E4" i="35"/>
  <c r="B22" i="24"/>
  <c r="F4" i="30"/>
  <c r="F21" i="24"/>
  <c r="E2" i="39"/>
  <c r="C14" i="24"/>
  <c r="A3" i="38"/>
  <c r="E12" i="24"/>
  <c r="C21" i="16"/>
  <c r="F12" i="11"/>
  <c r="A3" i="39"/>
  <c r="F6" i="8"/>
  <c r="G11" i="20"/>
  <c r="F3" i="21"/>
  <c r="G64" i="10"/>
  <c r="F37" i="10"/>
  <c r="F16" i="17"/>
  <c r="F13" i="32"/>
  <c r="C44" i="10"/>
  <c r="A3" i="51"/>
  <c r="E10" i="31"/>
  <c r="C15" i="55"/>
  <c r="B6" i="58"/>
  <c r="C20" i="16"/>
  <c r="G20" i="29"/>
  <c r="C16" i="58"/>
  <c r="C5" i="55"/>
  <c r="A19" i="15"/>
  <c r="C13" i="30"/>
  <c r="E14" i="55"/>
  <c r="G3" i="56"/>
  <c r="C20" i="9"/>
  <c r="E12" i="30"/>
  <c r="F5" i="33"/>
  <c r="A26" i="10"/>
  <c r="G3" i="47"/>
  <c r="E6" i="31"/>
  <c r="A2" i="66"/>
  <c r="F16" i="10"/>
  <c r="G3" i="44"/>
  <c r="A15" i="29"/>
  <c r="B12" i="17"/>
  <c r="C17" i="15"/>
  <c r="F4" i="34"/>
  <c r="B9" i="24"/>
  <c r="G12" i="6"/>
  <c r="C14" i="20"/>
  <c r="F15" i="11"/>
  <c r="G7" i="35"/>
  <c r="G21" i="10"/>
  <c r="F19" i="29"/>
  <c r="E17" i="12"/>
  <c r="F24" i="35"/>
  <c r="B18" i="35"/>
  <c r="C10" i="8"/>
  <c r="A15" i="11"/>
  <c r="B7" i="35"/>
  <c r="A14" i="12"/>
  <c r="F2" i="39"/>
  <c r="C20" i="24"/>
  <c r="E10" i="29"/>
  <c r="A4" i="23"/>
  <c r="F8" i="20"/>
  <c r="G8" i="34"/>
  <c r="G42" i="10"/>
  <c r="A15" i="34"/>
  <c r="G12" i="17"/>
  <c r="C22" i="14"/>
  <c r="A19" i="35"/>
  <c r="F3" i="31"/>
  <c r="B2" i="33"/>
  <c r="G5" i="35"/>
  <c r="E20" i="24"/>
  <c r="C10" i="9"/>
  <c r="G18" i="24"/>
  <c r="E14" i="15"/>
  <c r="F4" i="24"/>
  <c r="A15" i="6"/>
  <c r="G16" i="35"/>
  <c r="A48" i="10"/>
  <c r="B7" i="42"/>
  <c r="A4" i="13"/>
  <c r="E25" i="35"/>
  <c r="F20" i="35"/>
  <c r="A12" i="35"/>
  <c r="F6" i="9"/>
  <c r="G5" i="30"/>
  <c r="A8" i="6"/>
  <c r="A15" i="9"/>
  <c r="E5" i="28"/>
  <c r="B14" i="9"/>
  <c r="E28" i="24"/>
  <c r="F6" i="35"/>
  <c r="C26" i="24"/>
  <c r="G11" i="9"/>
  <c r="E15" i="10"/>
  <c r="B7" i="31"/>
  <c r="A17" i="12"/>
  <c r="A23" i="35"/>
  <c r="F18" i="35"/>
  <c r="F4" i="39"/>
  <c r="F25" i="24"/>
  <c r="B11" i="9"/>
  <c r="G18" i="14"/>
  <c r="A3" i="63"/>
  <c r="G4" i="42"/>
  <c r="A24" i="14"/>
  <c r="C26" i="35"/>
  <c r="F21" i="35"/>
  <c r="A15" i="35"/>
  <c r="F3" i="37"/>
  <c r="E11" i="29"/>
  <c r="G2" i="37"/>
  <c r="A11" i="28"/>
  <c r="G7" i="6"/>
  <c r="B13" i="9"/>
  <c r="E26" i="24"/>
  <c r="A10" i="9"/>
  <c r="E18" i="24"/>
  <c r="E10" i="20"/>
  <c r="F8" i="39"/>
  <c r="F5" i="32"/>
  <c r="E16" i="12"/>
  <c r="B22" i="35"/>
  <c r="E19" i="24"/>
  <c r="C8" i="8"/>
  <c r="B10" i="11"/>
  <c r="G14" i="15"/>
  <c r="C11" i="24"/>
  <c r="C18" i="6"/>
  <c r="G15" i="14"/>
  <c r="B5" i="27"/>
  <c r="C14" i="35"/>
  <c r="F12" i="6"/>
  <c r="E8" i="30"/>
  <c r="G15" i="12"/>
  <c r="C3" i="34"/>
  <c r="E11" i="35"/>
  <c r="G22" i="24"/>
  <c r="F11" i="20"/>
  <c r="G24" i="29"/>
  <c r="E8" i="31"/>
  <c r="G5" i="32"/>
  <c r="G19" i="16"/>
  <c r="A22" i="14"/>
  <c r="B4" i="35"/>
  <c r="G21" i="35"/>
  <c r="A11" i="24"/>
  <c r="F17" i="35"/>
  <c r="C10" i="28"/>
  <c r="C9" i="8"/>
  <c r="A16" i="20"/>
  <c r="C2" i="30"/>
  <c r="E24" i="24"/>
  <c r="F13" i="14"/>
  <c r="F5" i="24"/>
  <c r="F2" i="35"/>
  <c r="E12" i="4"/>
  <c r="G4" i="23"/>
  <c r="E2" i="35"/>
  <c r="A8" i="4"/>
  <c r="E12" i="15"/>
  <c r="F16" i="16"/>
  <c r="G96" i="3"/>
  <c r="F92" i="3"/>
  <c r="A4" i="19"/>
  <c r="F85" i="3"/>
  <c r="G18" i="11"/>
  <c r="C15" i="6"/>
  <c r="F7" i="20"/>
  <c r="C7" i="6"/>
  <c r="C5" i="39"/>
  <c r="G5" i="8"/>
  <c r="F3" i="27"/>
  <c r="A3" i="29"/>
  <c r="A3" i="28"/>
  <c r="B15" i="14"/>
  <c r="B98" i="3"/>
  <c r="B92" i="3"/>
  <c r="F4" i="19"/>
  <c r="G86" i="3"/>
  <c r="F10" i="14"/>
  <c r="G8" i="14"/>
  <c r="A6" i="24"/>
  <c r="E11" i="34"/>
  <c r="G15" i="9"/>
  <c r="B21" i="24"/>
  <c r="F3" i="35"/>
  <c r="A4" i="6"/>
  <c r="C8" i="4"/>
  <c r="C2" i="29"/>
  <c r="C6" i="6"/>
  <c r="E2" i="29"/>
  <c r="B4" i="19"/>
  <c r="E10" i="15"/>
  <c r="E9" i="11"/>
  <c r="G8" i="11"/>
  <c r="A81" i="3"/>
  <c r="G10" i="16"/>
  <c r="G11" i="34"/>
  <c r="A13" i="24"/>
  <c r="G2" i="38"/>
  <c r="F16" i="35"/>
  <c r="F7" i="8"/>
  <c r="C19" i="14"/>
  <c r="G14" i="9"/>
  <c r="A5" i="8"/>
  <c r="G5" i="27"/>
  <c r="B10" i="6"/>
  <c r="C3" i="17"/>
  <c r="G15" i="1"/>
  <c r="A25" i="3"/>
  <c r="C4" i="1"/>
  <c r="B16" i="3"/>
  <c r="E12" i="17"/>
  <c r="F10" i="29"/>
  <c r="A5" i="27"/>
  <c r="A2" i="30"/>
  <c r="A5" i="30"/>
  <c r="E8" i="6"/>
  <c r="B10" i="20"/>
  <c r="F5" i="8"/>
  <c r="B14" i="11"/>
  <c r="E8" i="34"/>
  <c r="G2" i="24"/>
  <c r="G8" i="15"/>
  <c r="F75" i="3"/>
  <c r="A71" i="3"/>
  <c r="E67" i="3"/>
  <c r="C9" i="12"/>
  <c r="A6" i="39"/>
  <c r="G16" i="9"/>
  <c r="B9" i="35"/>
  <c r="A14" i="24"/>
  <c r="A12" i="14"/>
  <c r="A4" i="20"/>
  <c r="G3" i="6"/>
  <c r="E16" i="24"/>
  <c r="F3" i="6"/>
  <c r="E15" i="24"/>
  <c r="A23" i="3"/>
  <c r="B3" i="15"/>
  <c r="C2" i="16"/>
  <c r="C8" i="3"/>
  <c r="A6" i="3"/>
  <c r="F12" i="10"/>
  <c r="G28" i="24"/>
  <c r="A17" i="35"/>
  <c r="G13" i="6"/>
  <c r="A6" i="30"/>
  <c r="F6" i="29"/>
  <c r="G6" i="24"/>
  <c r="G21" i="6"/>
  <c r="E5" i="20"/>
  <c r="F3" i="29"/>
  <c r="B3" i="6"/>
  <c r="A15" i="3"/>
  <c r="F22" i="3"/>
  <c r="E30" i="1"/>
  <c r="E55" i="3"/>
  <c r="C8" i="12"/>
  <c r="E18" i="9"/>
  <c r="E14" i="14"/>
  <c r="B11" i="34"/>
  <c r="A13" i="11"/>
  <c r="C19" i="6"/>
  <c r="C4" i="5"/>
  <c r="G3" i="21"/>
  <c r="F62" i="10"/>
  <c r="G4" i="56"/>
  <c r="C10" i="32"/>
  <c r="E7" i="28"/>
  <c r="C19" i="35"/>
  <c r="C15" i="15"/>
  <c r="C13" i="35"/>
  <c r="F8" i="29"/>
  <c r="C2" i="38"/>
  <c r="E4" i="29"/>
  <c r="F21" i="14"/>
  <c r="C8" i="24"/>
  <c r="A4" i="39"/>
  <c r="A12" i="20"/>
  <c r="C7" i="28"/>
  <c r="A11" i="34"/>
  <c r="A3" i="7"/>
  <c r="G9" i="34"/>
  <c r="E7" i="9"/>
  <c r="G4" i="6"/>
  <c r="A17" i="16"/>
  <c r="F5" i="16"/>
  <c r="C50" i="3"/>
  <c r="G8" i="12"/>
  <c r="A6" i="12"/>
  <c r="F6" i="15"/>
  <c r="G5" i="15"/>
  <c r="G12" i="28"/>
  <c r="C27" i="24"/>
  <c r="G16" i="24"/>
  <c r="E15" i="11"/>
  <c r="F7" i="35"/>
  <c r="G11" i="29"/>
  <c r="E3" i="9"/>
  <c r="C2" i="28"/>
  <c r="B10" i="17"/>
  <c r="B8" i="29"/>
  <c r="B49" i="3"/>
  <c r="G6" i="12"/>
  <c r="C6" i="15"/>
  <c r="C5" i="11"/>
  <c r="A35" i="3"/>
  <c r="E30" i="3"/>
  <c r="F3" i="34"/>
  <c r="B6" i="34"/>
  <c r="E5" i="34"/>
  <c r="A12" i="11"/>
  <c r="A4" i="7"/>
  <c r="G3" i="20"/>
  <c r="F4" i="8"/>
  <c r="G10" i="4"/>
  <c r="F4" i="20"/>
  <c r="E10" i="17"/>
  <c r="B6" i="15"/>
  <c r="E37" i="3"/>
  <c r="G35" i="3"/>
  <c r="A2" i="23"/>
  <c r="F28" i="3"/>
  <c r="G44" i="10"/>
  <c r="B2" i="35"/>
  <c r="F6" i="39"/>
  <c r="B6" i="28"/>
  <c r="C16" i="9"/>
  <c r="G6" i="20"/>
  <c r="G4" i="35"/>
  <c r="A3" i="27"/>
  <c r="F3" i="5"/>
  <c r="F7" i="6"/>
  <c r="F86" i="3"/>
  <c r="C5" i="4"/>
  <c r="F2" i="24"/>
  <c r="C8" i="15"/>
  <c r="G75" i="3"/>
  <c r="C72" i="3"/>
  <c r="E22" i="14"/>
  <c r="A6" i="29"/>
  <c r="A21" i="14"/>
  <c r="C4" i="29"/>
  <c r="C2" i="31"/>
  <c r="F16" i="11"/>
  <c r="B4" i="28"/>
  <c r="A4" i="8"/>
  <c r="B16" i="14"/>
  <c r="A2" i="32"/>
  <c r="C3" i="23"/>
  <c r="G2" i="19"/>
  <c r="G21" i="3"/>
  <c r="E3" i="13"/>
  <c r="E2" i="16"/>
  <c r="G2" i="14"/>
  <c r="E5" i="29"/>
  <c r="E12" i="14"/>
  <c r="E20" i="6"/>
  <c r="C13" i="14"/>
  <c r="C16" i="6"/>
  <c r="C12" i="4"/>
  <c r="B19" i="16"/>
  <c r="E9" i="9"/>
  <c r="A10" i="4"/>
  <c r="A5" i="5"/>
  <c r="F9" i="16"/>
  <c r="A27" i="1"/>
  <c r="E64" i="3"/>
  <c r="C75" i="3"/>
  <c r="E5" i="16"/>
  <c r="C14" i="34"/>
  <c r="F14" i="20"/>
  <c r="C5" i="35"/>
  <c r="B2" i="34"/>
  <c r="C6" i="39"/>
  <c r="G5" i="29"/>
  <c r="G3" i="34"/>
  <c r="A4" i="28"/>
  <c r="E9" i="29"/>
  <c r="A28" i="24"/>
  <c r="E68" i="3"/>
  <c r="B63" i="3"/>
  <c r="C7" i="16"/>
  <c r="A5" i="16"/>
  <c r="C100" i="3"/>
  <c r="B97" i="3"/>
  <c r="B19" i="14"/>
  <c r="E7" i="34"/>
  <c r="G4" i="37"/>
  <c r="C12" i="24"/>
  <c r="F7" i="9"/>
  <c r="F10" i="4"/>
  <c r="B66" i="10"/>
  <c r="E7" i="58"/>
  <c r="B2" i="61"/>
  <c r="F17" i="10"/>
  <c r="A9" i="34"/>
  <c r="A15" i="20"/>
  <c r="C7" i="29"/>
  <c r="A8" i="20"/>
  <c r="B14" i="14"/>
  <c r="B16" i="35"/>
  <c r="E2" i="31"/>
  <c r="G7" i="34"/>
  <c r="C8" i="9"/>
  <c r="F19" i="14"/>
  <c r="G13" i="11"/>
  <c r="B2" i="40"/>
  <c r="C15" i="20"/>
  <c r="B7" i="6"/>
  <c r="E6" i="29"/>
  <c r="C4" i="9"/>
  <c r="C4" i="6"/>
  <c r="G11" i="11"/>
  <c r="A13" i="12"/>
  <c r="C8" i="17"/>
  <c r="E98" i="3"/>
  <c r="A13" i="16"/>
  <c r="G89" i="3"/>
  <c r="F84" i="3"/>
  <c r="C10" i="11"/>
  <c r="B17" i="35"/>
  <c r="E15" i="20"/>
  <c r="E3" i="25"/>
  <c r="A4" i="30"/>
  <c r="E13" i="6"/>
  <c r="B3" i="8"/>
  <c r="E5" i="5"/>
  <c r="B5" i="39"/>
  <c r="B5" i="20"/>
  <c r="G15" i="16"/>
  <c r="C89" i="3"/>
  <c r="F89" i="3"/>
  <c r="C10" i="14"/>
  <c r="B83" i="3"/>
  <c r="B80" i="3"/>
  <c r="E4" i="23"/>
  <c r="E6" i="28"/>
  <c r="G17" i="6"/>
  <c r="C15" i="14"/>
  <c r="C8" i="29"/>
  <c r="F8" i="4"/>
  <c r="E3" i="8"/>
  <c r="E10" i="8"/>
  <c r="A18" i="16"/>
  <c r="B13" i="15"/>
  <c r="C88" i="3"/>
  <c r="G11" i="1"/>
  <c r="A5" i="4"/>
  <c r="F2" i="10"/>
  <c r="F8" i="15"/>
  <c r="E24" i="29"/>
  <c r="A13" i="35"/>
  <c r="F19" i="6"/>
  <c r="C2" i="32"/>
  <c r="F9" i="8"/>
  <c r="B4" i="29"/>
  <c r="E5" i="6"/>
  <c r="C3" i="9"/>
  <c r="F11" i="17"/>
  <c r="B12" i="35"/>
  <c r="E5" i="15"/>
  <c r="F4" i="15"/>
  <c r="E3" i="23"/>
  <c r="G24" i="3"/>
  <c r="B23" i="3"/>
  <c r="A3" i="16"/>
  <c r="E20" i="35"/>
  <c r="B17" i="24"/>
  <c r="E13" i="14"/>
  <c r="B26" i="24"/>
  <c r="F11" i="9"/>
  <c r="G12" i="9"/>
  <c r="E3" i="26"/>
  <c r="C18" i="16"/>
  <c r="B5" i="34"/>
  <c r="B5" i="5"/>
  <c r="C9" i="15"/>
  <c r="E75" i="3"/>
  <c r="E10" i="16"/>
  <c r="C70" i="3"/>
  <c r="F66" i="3"/>
  <c r="B60" i="3"/>
  <c r="E14" i="9"/>
  <c r="G29" i="24"/>
  <c r="G8" i="9"/>
  <c r="A14" i="35"/>
  <c r="F13" i="6"/>
  <c r="B20" i="6"/>
  <c r="A18" i="14"/>
  <c r="G4" i="26"/>
  <c r="C6" i="8"/>
  <c r="B4" i="6"/>
  <c r="G17" i="3"/>
  <c r="B74" i="3"/>
  <c r="F14" i="3"/>
  <c r="G2" i="16"/>
  <c r="G12" i="15"/>
  <c r="C18" i="15"/>
  <c r="A4" i="37"/>
  <c r="C14" i="6"/>
  <c r="C3" i="27"/>
  <c r="F13" i="20"/>
  <c r="F19" i="24"/>
  <c r="E4" i="9"/>
  <c r="C3" i="26"/>
  <c r="G5" i="6"/>
  <c r="B6" i="35"/>
  <c r="F3" i="16"/>
  <c r="B13" i="3"/>
  <c r="A2" i="15"/>
  <c r="F12" i="15"/>
  <c r="F6" i="17"/>
  <c r="E49" i="3"/>
  <c r="F4" i="35"/>
  <c r="G16" i="6"/>
  <c r="B7" i="28"/>
  <c r="A2" i="40"/>
  <c r="A2" i="37"/>
  <c r="G39" i="10"/>
  <c r="G14" i="17"/>
  <c r="C16" i="34"/>
  <c r="E2" i="46"/>
  <c r="C3" i="7"/>
  <c r="G5" i="9"/>
  <c r="E12" i="35"/>
  <c r="E13" i="9"/>
  <c r="B2" i="66"/>
  <c r="G2" i="34"/>
  <c r="G2" i="60"/>
  <c r="G2" i="41"/>
  <c r="G7" i="24"/>
  <c r="B9" i="28"/>
  <c r="E21" i="6"/>
  <c r="G4" i="32"/>
  <c r="F10" i="8"/>
  <c r="B13" i="14"/>
  <c r="G5" i="5"/>
  <c r="E2" i="26"/>
  <c r="G18" i="16"/>
  <c r="G9" i="20"/>
  <c r="E56" i="3"/>
  <c r="A54" i="3"/>
  <c r="A6" i="14"/>
  <c r="E4" i="17"/>
  <c r="A5" i="12"/>
  <c r="G37" i="3"/>
  <c r="C4" i="37"/>
  <c r="G12" i="20"/>
  <c r="G9" i="9"/>
  <c r="C16" i="14"/>
  <c r="C5" i="34"/>
  <c r="C3" i="29"/>
  <c r="A11" i="17"/>
  <c r="C4" i="20"/>
  <c r="F5" i="29"/>
  <c r="G11" i="17"/>
  <c r="F6" i="14"/>
  <c r="G43" i="3"/>
  <c r="G5" i="12"/>
  <c r="E35" i="3"/>
  <c r="G4" i="11"/>
  <c r="B53" i="10"/>
  <c r="G7" i="29"/>
  <c r="A11" i="11"/>
  <c r="B7" i="29"/>
  <c r="A3" i="24"/>
  <c r="F2" i="38"/>
  <c r="C29" i="24"/>
  <c r="E11" i="28"/>
  <c r="C5" i="28"/>
  <c r="E9" i="8"/>
  <c r="B2" i="31"/>
  <c r="C40" i="3"/>
  <c r="E2" i="9"/>
  <c r="G4" i="15"/>
  <c r="F4" i="1"/>
  <c r="A24" i="3"/>
  <c r="F4" i="13"/>
  <c r="C6" i="34"/>
  <c r="G6" i="8"/>
  <c r="F6" i="6"/>
  <c r="A5" i="35"/>
  <c r="E15" i="9"/>
  <c r="G3" i="28"/>
  <c r="G3" i="5"/>
  <c r="C3" i="25"/>
  <c r="G6" i="9"/>
  <c r="B84" i="3"/>
  <c r="A82" i="3"/>
  <c r="A9" i="15"/>
  <c r="B11" i="12"/>
  <c r="G74" i="3"/>
  <c r="C67" i="3"/>
  <c r="F9" i="34"/>
  <c r="G15" i="20"/>
  <c r="B7" i="34"/>
  <c r="C14" i="11"/>
  <c r="A2" i="39"/>
  <c r="A7" i="6"/>
  <c r="G17" i="16"/>
  <c r="B18" i="16"/>
  <c r="F4" i="26"/>
  <c r="G3" i="8"/>
  <c r="F30" i="3"/>
  <c r="A22" i="3"/>
  <c r="A19" i="3"/>
  <c r="F3" i="11"/>
  <c r="E15" i="3"/>
  <c r="B27" i="10"/>
  <c r="F5" i="9"/>
  <c r="C7" i="24"/>
  <c r="B14" i="6"/>
  <c r="C11" i="35"/>
  <c r="A2" i="34"/>
  <c r="E10" i="11"/>
  <c r="C5" i="6"/>
  <c r="B8" i="4"/>
  <c r="B2" i="27"/>
  <c r="C7" i="14"/>
  <c r="E10" i="12"/>
  <c r="A67" i="3"/>
  <c r="G64" i="3"/>
  <c r="G9" i="12"/>
  <c r="C3" i="4"/>
  <c r="G23" i="35"/>
  <c r="B5" i="29"/>
  <c r="A25" i="24"/>
  <c r="E29" i="24"/>
  <c r="A9" i="28"/>
  <c r="E8" i="8"/>
  <c r="C2" i="26"/>
  <c r="F17" i="16"/>
  <c r="B4" i="24"/>
  <c r="F4" i="29"/>
  <c r="G70" i="3"/>
  <c r="E63" i="3"/>
  <c r="E6" i="16"/>
  <c r="B3" i="4"/>
  <c r="B99" i="3"/>
  <c r="C95" i="3"/>
  <c r="F23" i="24"/>
  <c r="G19" i="14"/>
  <c r="E12" i="6"/>
  <c r="C8" i="30"/>
  <c r="C7" i="20"/>
  <c r="B2" i="48"/>
  <c r="C21" i="29"/>
  <c r="E7" i="31"/>
  <c r="E13" i="34"/>
  <c r="E5" i="39"/>
  <c r="G10" i="28"/>
  <c r="F49" i="10"/>
  <c r="E25" i="24"/>
  <c r="A2" i="45"/>
  <c r="F6" i="30"/>
  <c r="B7" i="32"/>
  <c r="C56" i="10"/>
  <c r="E3" i="34"/>
  <c r="A3" i="58"/>
  <c r="A16" i="24"/>
  <c r="A13" i="20"/>
  <c r="A9" i="35"/>
  <c r="B16" i="6"/>
  <c r="F3" i="20"/>
  <c r="F9" i="4"/>
  <c r="G3" i="31"/>
  <c r="E4" i="26"/>
  <c r="E101" i="3"/>
  <c r="G97" i="3"/>
  <c r="C11" i="14"/>
  <c r="B90" i="3"/>
  <c r="G7" i="17"/>
  <c r="G9" i="11"/>
  <c r="G15" i="15"/>
  <c r="B3" i="37"/>
  <c r="B14" i="15"/>
  <c r="F10" i="24"/>
  <c r="F17" i="6"/>
  <c r="F2" i="28"/>
  <c r="F4" i="28"/>
  <c r="B2" i="29"/>
  <c r="A3" i="9"/>
  <c r="G22" i="6"/>
  <c r="C14" i="16"/>
  <c r="G24" i="1"/>
  <c r="B6" i="4"/>
  <c r="C9" i="1"/>
  <c r="C82" i="3"/>
  <c r="G14" i="42"/>
  <c r="F3" i="24"/>
  <c r="F16" i="9"/>
  <c r="E8" i="20"/>
  <c r="C12" i="35"/>
  <c r="A6" i="28"/>
  <c r="E13" i="20"/>
  <c r="B7" i="20"/>
  <c r="F2" i="26"/>
  <c r="E8" i="9"/>
  <c r="E92" i="3"/>
  <c r="G6" i="4"/>
  <c r="E84" i="3"/>
  <c r="B82" i="3"/>
  <c r="E9" i="15"/>
  <c r="E11" i="12"/>
  <c r="B26" i="35"/>
  <c r="F6" i="28"/>
  <c r="B15" i="15"/>
  <c r="G14" i="12"/>
  <c r="A6" i="27"/>
  <c r="C8" i="6"/>
  <c r="B12" i="4"/>
  <c r="B2" i="28"/>
  <c r="G6" i="34"/>
  <c r="E4" i="6"/>
  <c r="A5" i="11"/>
  <c r="C32" i="3"/>
  <c r="G30" i="3"/>
  <c r="A2" i="18"/>
  <c r="F23" i="3"/>
  <c r="A3" i="15"/>
  <c r="C6" i="29"/>
  <c r="E4" i="7"/>
  <c r="G9" i="29"/>
  <c r="C19" i="16"/>
  <c r="C20" i="6"/>
  <c r="C4" i="8"/>
  <c r="E3" i="28"/>
  <c r="E8" i="24"/>
  <c r="A3" i="26"/>
  <c r="E14" i="12"/>
  <c r="C78" i="3"/>
  <c r="F11" i="3"/>
  <c r="F10" i="12"/>
  <c r="C16" i="1"/>
  <c r="F63" i="3"/>
  <c r="F8" i="31"/>
  <c r="C3" i="31"/>
  <c r="A12" i="9"/>
  <c r="F8" i="6"/>
  <c r="F15" i="9"/>
  <c r="B3" i="27"/>
  <c r="E4" i="37"/>
  <c r="F3" i="28"/>
  <c r="G10" i="9"/>
  <c r="G13" i="9"/>
  <c r="E2" i="19"/>
  <c r="F3" i="14"/>
  <c r="F3" i="13"/>
  <c r="F10" i="3"/>
  <c r="E9" i="3"/>
  <c r="E102" i="3"/>
  <c r="B29" i="24"/>
  <c r="E15" i="15"/>
  <c r="B14" i="35"/>
  <c r="C18" i="24"/>
  <c r="C10" i="20"/>
  <c r="C4" i="28"/>
  <c r="B11" i="17"/>
  <c r="E9" i="4"/>
  <c r="G15" i="6"/>
  <c r="E4" i="20"/>
  <c r="A3" i="13"/>
  <c r="E10" i="3"/>
  <c r="C9" i="3"/>
  <c r="G101" i="3"/>
  <c r="F5" i="17"/>
  <c r="B7" i="15"/>
  <c r="G21" i="24"/>
  <c r="A11" i="29"/>
  <c r="G6" i="29"/>
  <c r="F11" i="28"/>
  <c r="E6" i="8"/>
  <c r="A23" i="29"/>
  <c r="A61" i="10"/>
  <c r="A58" i="10"/>
  <c r="B4" i="13"/>
  <c r="G6" i="55"/>
  <c r="A6" i="6"/>
  <c r="F2" i="43"/>
  <c r="A11" i="9"/>
  <c r="B25" i="14"/>
  <c r="C3" i="30"/>
  <c r="E3" i="41"/>
  <c r="G17" i="42"/>
  <c r="F11" i="34"/>
  <c r="F12" i="30"/>
  <c r="A9" i="9"/>
  <c r="A20" i="24"/>
  <c r="F9" i="9"/>
  <c r="F4" i="9"/>
  <c r="E8" i="4"/>
  <c r="C4" i="26"/>
  <c r="C2" i="33"/>
  <c r="G4" i="5"/>
  <c r="G56" i="3"/>
  <c r="C49" i="3"/>
  <c r="A7" i="12"/>
  <c r="E5" i="12"/>
  <c r="C42" i="3"/>
  <c r="G11" i="55"/>
  <c r="E18" i="6"/>
  <c r="F18" i="24"/>
  <c r="E4" i="27"/>
  <c r="C4" i="24"/>
  <c r="A7" i="29"/>
  <c r="A10" i="17"/>
  <c r="E4" i="5"/>
  <c r="B15" i="20"/>
  <c r="E3" i="5"/>
  <c r="E10" i="34"/>
  <c r="E45" i="3"/>
  <c r="B9" i="1"/>
  <c r="F39" i="3"/>
  <c r="E2" i="7"/>
  <c r="G32" i="3"/>
  <c r="C5" i="25"/>
  <c r="C4" i="35"/>
  <c r="F20" i="6"/>
  <c r="F2" i="33"/>
  <c r="F8" i="34"/>
  <c r="B2" i="32"/>
  <c r="C5" i="9"/>
  <c r="F5" i="5"/>
  <c r="F3" i="8"/>
  <c r="G17" i="35"/>
  <c r="B44" i="3"/>
  <c r="F5" i="14"/>
  <c r="G5" i="11"/>
  <c r="E32" i="3"/>
  <c r="A30" i="3"/>
  <c r="B2" i="18"/>
  <c r="C21" i="35"/>
  <c r="C17" i="14"/>
  <c r="G10" i="8"/>
  <c r="G16" i="15"/>
  <c r="F9" i="29"/>
  <c r="F3" i="9"/>
  <c r="B3" i="9"/>
  <c r="F12" i="4"/>
  <c r="A5" i="6"/>
  <c r="E2" i="27"/>
  <c r="G10" i="15"/>
  <c r="F8" i="14"/>
  <c r="B8" i="11"/>
  <c r="C74" i="3"/>
  <c r="B73" i="3"/>
  <c r="A7" i="11"/>
  <c r="B11" i="28"/>
  <c r="F2" i="32"/>
  <c r="B4" i="34"/>
  <c r="F8" i="24"/>
  <c r="F8" i="9"/>
  <c r="F18" i="16"/>
  <c r="C11" i="4"/>
  <c r="F22" i="24"/>
  <c r="C17" i="16"/>
  <c r="A5" i="20"/>
  <c r="G2" i="22"/>
  <c r="G13" i="1"/>
  <c r="G3" i="14"/>
  <c r="A69" i="3"/>
  <c r="G10" i="3"/>
  <c r="A3" i="41"/>
  <c r="F4" i="7"/>
  <c r="A3" i="34"/>
  <c r="G16" i="11"/>
  <c r="A7" i="34"/>
  <c r="F24" i="24"/>
  <c r="G5" i="20"/>
  <c r="A12" i="4"/>
  <c r="E10" i="24"/>
  <c r="A5" i="29"/>
  <c r="C76" i="3"/>
  <c r="E72" i="3"/>
  <c r="G71" i="3"/>
  <c r="G7" i="16"/>
  <c r="E6" i="11"/>
  <c r="A55" i="3"/>
  <c r="C13" i="20"/>
  <c r="E10" i="28"/>
  <c r="E12" i="20"/>
  <c r="F10" i="11"/>
  <c r="F4" i="37"/>
  <c r="F3" i="26"/>
  <c r="C3" i="20"/>
  <c r="A6" i="20"/>
  <c r="A4" i="9"/>
  <c r="G12" i="4"/>
  <c r="E70" i="3"/>
  <c r="E9" i="12"/>
  <c r="C6" i="11"/>
  <c r="C4" i="16"/>
  <c r="E8" i="17"/>
  <c r="B6" i="10"/>
  <c r="F10" i="28"/>
  <c r="C9" i="28"/>
  <c r="A5" i="28"/>
  <c r="A14" i="20"/>
  <c r="G13" i="24"/>
  <c r="F45" i="10"/>
  <c r="A32" i="10"/>
  <c r="C27" i="10"/>
  <c r="B6" i="8"/>
  <c r="F14" i="30"/>
  <c r="C4" i="39"/>
  <c r="C4" i="13"/>
  <c r="A24" i="24"/>
  <c r="E26" i="35"/>
  <c r="B9" i="34"/>
  <c r="F22" i="14"/>
  <c r="G13" i="17"/>
  <c r="F3" i="7"/>
  <c r="F17" i="12"/>
  <c r="E12" i="11"/>
  <c r="G17" i="15"/>
  <c r="A14" i="15"/>
  <c r="B2" i="26"/>
  <c r="G10" i="17"/>
  <c r="E4" i="8"/>
  <c r="C5" i="5"/>
  <c r="B17" i="16"/>
  <c r="B12" i="12"/>
  <c r="E5" i="11"/>
  <c r="A93" i="3"/>
  <c r="E22" i="1"/>
  <c r="F12" i="16"/>
  <c r="A13" i="4"/>
  <c r="A10" i="24"/>
  <c r="C6" i="30"/>
  <c r="G2" i="35"/>
  <c r="F13" i="35"/>
  <c r="C8" i="20"/>
  <c r="G8" i="4"/>
  <c r="B8" i="30"/>
  <c r="G9" i="6"/>
  <c r="F16" i="15"/>
  <c r="F8" i="17"/>
  <c r="B93" i="3"/>
  <c r="C91" i="3"/>
  <c r="E86" i="3"/>
  <c r="C10" i="15"/>
  <c r="E2" i="24"/>
  <c r="B17" i="11"/>
  <c r="F2" i="37"/>
  <c r="G8" i="6"/>
  <c r="A5" i="9"/>
  <c r="A10" i="28"/>
  <c r="B11" i="35"/>
  <c r="B4" i="8"/>
  <c r="E3" i="20"/>
  <c r="C15" i="11"/>
  <c r="E2" i="38"/>
  <c r="B91" i="3"/>
  <c r="B85" i="3"/>
  <c r="B10" i="15"/>
  <c r="C2" i="24"/>
  <c r="C8" i="11"/>
  <c r="B76" i="3"/>
  <c r="C3" i="32"/>
  <c r="B10" i="9"/>
  <c r="B4" i="7"/>
  <c r="F15" i="24"/>
  <c r="A4" i="34"/>
  <c r="C3" i="8"/>
  <c r="C2" i="27"/>
  <c r="F17" i="15"/>
  <c r="C3" i="28"/>
  <c r="B9" i="4"/>
  <c r="E36" i="3"/>
  <c r="C30" i="3"/>
  <c r="F7" i="39"/>
  <c r="E21" i="15"/>
  <c r="B13" i="4"/>
  <c r="C9" i="20"/>
  <c r="A12" i="17"/>
  <c r="C25" i="24"/>
  <c r="G26" i="35"/>
  <c r="B21" i="6"/>
  <c r="A11" i="8"/>
  <c r="B9" i="6"/>
  <c r="E19" i="35"/>
  <c r="E17" i="11"/>
  <c r="E3" i="33"/>
  <c r="B23" i="35"/>
  <c r="G20" i="6"/>
  <c r="A15" i="15"/>
  <c r="C4" i="27"/>
  <c r="C11" i="17"/>
  <c r="E3" i="29"/>
  <c r="G17" i="9"/>
  <c r="B3" i="20"/>
  <c r="A9" i="4"/>
  <c r="C53" i="3"/>
  <c r="B22" i="1"/>
  <c r="B45" i="3"/>
  <c r="G8" i="1"/>
  <c r="E38" i="3"/>
  <c r="B9" i="30"/>
  <c r="A7" i="35"/>
  <c r="C10" i="29"/>
  <c r="B3" i="7"/>
  <c r="A3" i="33"/>
  <c r="E2" i="33"/>
  <c r="B6" i="39"/>
  <c r="G11" i="6"/>
  <c r="G4" i="20"/>
  <c r="B15" i="35"/>
  <c r="G53" i="3"/>
  <c r="F47" i="3"/>
  <c r="B4" i="17"/>
  <c r="B38" i="3"/>
  <c r="B36" i="3"/>
  <c r="C31" i="3"/>
  <c r="F11" i="8"/>
  <c r="C23" i="24"/>
  <c r="B14" i="24"/>
  <c r="B28" i="24"/>
  <c r="C6" i="35"/>
  <c r="G3" i="30"/>
  <c r="E18" i="16"/>
  <c r="B3" i="26"/>
  <c r="E7" i="35"/>
  <c r="G3" i="29"/>
  <c r="G4" i="17"/>
  <c r="F38" i="3"/>
  <c r="A36" i="3"/>
  <c r="A31" i="3"/>
  <c r="E29" i="3"/>
  <c r="C23" i="3"/>
  <c r="A12" i="6"/>
  <c r="E2" i="34"/>
  <c r="E8" i="29"/>
  <c r="A14" i="14"/>
  <c r="C13" i="15"/>
  <c r="C10" i="17"/>
  <c r="E11" i="17"/>
  <c r="G8" i="35"/>
  <c r="F11" i="4"/>
  <c r="F6" i="20"/>
  <c r="F2" i="25"/>
  <c r="A4" i="3"/>
  <c r="C80" i="3"/>
  <c r="C27" i="1"/>
  <c r="G68" i="3"/>
  <c r="B9" i="31"/>
  <c r="C9" i="34"/>
  <c r="A13" i="9"/>
  <c r="G7" i="8"/>
  <c r="F10" i="34"/>
  <c r="C10" i="6"/>
  <c r="B18" i="24"/>
  <c r="B10" i="35"/>
  <c r="E17" i="16"/>
  <c r="G3" i="9"/>
  <c r="F32" i="3"/>
  <c r="G25" i="3"/>
  <c r="F2" i="18"/>
  <c r="G16" i="3"/>
  <c r="F3" i="15"/>
  <c r="A3" i="12"/>
  <c r="G18" i="35"/>
  <c r="B11" i="11"/>
  <c r="G5" i="24"/>
  <c r="G19" i="24"/>
  <c r="F8" i="8"/>
  <c r="F5" i="6"/>
  <c r="E10" i="4"/>
  <c r="E11" i="9"/>
  <c r="C5" i="20"/>
  <c r="C3" i="5"/>
  <c r="G76" i="3"/>
  <c r="B72" i="3"/>
  <c r="F68" i="3"/>
  <c r="F6" i="16"/>
  <c r="A60" i="3"/>
  <c r="G6" i="17"/>
  <c r="G9" i="35"/>
  <c r="B27" i="24"/>
  <c r="E16" i="6"/>
  <c r="F3" i="32"/>
  <c r="C12" i="6"/>
  <c r="E4" i="28"/>
  <c r="G17" i="24"/>
  <c r="G18" i="6"/>
  <c r="F10" i="17"/>
  <c r="F4" i="5"/>
  <c r="G8" i="16"/>
  <c r="B8" i="14"/>
  <c r="A58" i="3"/>
  <c r="G23" i="3"/>
  <c r="A96" i="3"/>
  <c r="C16" i="12"/>
  <c r="B5" i="8"/>
  <c r="A23" i="24"/>
  <c r="B18" i="14"/>
  <c r="A10" i="29"/>
  <c r="A4" i="26"/>
  <c r="B28" i="3"/>
  <c r="A14" i="6"/>
  <c r="A70" i="3"/>
  <c r="B12" i="20"/>
  <c r="G3" i="12"/>
  <c r="A11" i="4"/>
  <c r="B2" i="24"/>
  <c r="B4" i="20"/>
  <c r="B12" i="24"/>
  <c r="B4" i="27"/>
  <c r="C9" i="4"/>
  <c r="B3" i="5"/>
  <c r="B5" i="3"/>
  <c r="B13" i="12"/>
  <c r="B8" i="17"/>
  <c r="F97" i="3"/>
  <c r="C13" i="16"/>
  <c r="E2" i="5"/>
  <c r="A8" i="14"/>
  <c r="B81" i="3"/>
  <c r="F74" i="3"/>
  <c r="G77" i="3"/>
  <c r="G4" i="4"/>
  <c r="E76" i="3"/>
  <c r="C26" i="3"/>
  <c r="G30" i="1"/>
  <c r="E65" i="3"/>
  <c r="E2" i="13"/>
  <c r="E3" i="3"/>
  <c r="A10" i="12"/>
  <c r="G46" i="3"/>
  <c r="F4" i="11"/>
  <c r="B2" i="11"/>
  <c r="E78" i="3"/>
  <c r="E74" i="3"/>
  <c r="A9" i="16"/>
  <c r="B7" i="11"/>
  <c r="B67" i="3"/>
  <c r="A64" i="3"/>
  <c r="C48" i="3"/>
  <c r="B11" i="14"/>
  <c r="E93" i="3"/>
  <c r="A7" i="1"/>
  <c r="E26" i="3"/>
  <c r="E4" i="14"/>
  <c r="B7" i="1"/>
  <c r="G3" i="2"/>
  <c r="A74" i="3"/>
  <c r="A68" i="3"/>
  <c r="F7" i="11"/>
  <c r="A6" i="16"/>
  <c r="B64" i="3"/>
  <c r="B58" i="3"/>
  <c r="B26" i="3"/>
  <c r="F78" i="3"/>
  <c r="E39" i="3"/>
  <c r="B15" i="1"/>
  <c r="B2" i="5"/>
  <c r="C8" i="1"/>
  <c r="G26" i="3"/>
  <c r="B13" i="16"/>
  <c r="C5" i="1"/>
  <c r="E27" i="1"/>
  <c r="F2" i="16"/>
  <c r="A2" i="14"/>
  <c r="F7" i="3"/>
  <c r="F100" i="3"/>
  <c r="C12" i="15"/>
  <c r="F7" i="4"/>
  <c r="F11" i="14"/>
  <c r="E52" i="3"/>
  <c r="A57" i="3"/>
  <c r="A6" i="11"/>
  <c r="G3" i="17"/>
  <c r="B23" i="1"/>
  <c r="C2" i="11"/>
  <c r="F3" i="17"/>
  <c r="G7" i="15"/>
  <c r="C61" i="3"/>
  <c r="B4" i="16"/>
  <c r="G50" i="3"/>
  <c r="A7" i="15"/>
  <c r="F53" i="3"/>
  <c r="A45" i="3"/>
  <c r="B10" i="12"/>
  <c r="E18" i="3"/>
  <c r="A20" i="1"/>
  <c r="E7" i="4"/>
  <c r="A97" i="3"/>
  <c r="A10" i="1"/>
  <c r="A11" i="1"/>
  <c r="F11" i="16"/>
  <c r="A3" i="3"/>
  <c r="E12" i="12"/>
  <c r="G95" i="3"/>
  <c r="C93" i="3"/>
  <c r="G87" i="3"/>
  <c r="A91" i="3"/>
  <c r="E85" i="3"/>
  <c r="E2" i="3"/>
  <c r="A92" i="3"/>
  <c r="G11" i="15"/>
  <c r="B4" i="12"/>
  <c r="A38" i="3"/>
  <c r="B5" i="17"/>
  <c r="G65" i="3"/>
  <c r="F37" i="3"/>
  <c r="A2" i="20"/>
  <c r="C41" i="3"/>
  <c r="E2" i="25"/>
  <c r="E5" i="4"/>
  <c r="B78" i="3"/>
  <c r="B3" i="23"/>
  <c r="C2" i="18"/>
  <c r="A14" i="3"/>
  <c r="A12" i="16"/>
  <c r="B5" i="14"/>
  <c r="C65" i="3"/>
  <c r="G9" i="3"/>
  <c r="B30" i="1"/>
  <c r="A34" i="3"/>
  <c r="F5" i="3"/>
  <c r="G20" i="3"/>
  <c r="A26" i="24"/>
  <c r="F72" i="3"/>
  <c r="B4" i="5"/>
  <c r="G8" i="3"/>
  <c r="G7" i="27"/>
  <c r="C52" i="3"/>
  <c r="E3" i="32"/>
  <c r="B19" i="6"/>
  <c r="B4" i="9"/>
  <c r="C3" i="6"/>
  <c r="B11" i="4"/>
  <c r="G61" i="3"/>
  <c r="C55" i="3"/>
  <c r="A52" i="3"/>
  <c r="C6" i="14"/>
  <c r="F4" i="17"/>
  <c r="G10" i="14"/>
  <c r="G3" i="23"/>
  <c r="A27" i="3"/>
  <c r="C22" i="3"/>
  <c r="G2" i="20"/>
  <c r="F17" i="3"/>
  <c r="G73" i="3"/>
  <c r="A2" i="19"/>
  <c r="F56" i="3"/>
  <c r="C4" i="3"/>
  <c r="B11" i="3"/>
  <c r="C44" i="3"/>
  <c r="B41" i="3"/>
  <c r="G91" i="3"/>
  <c r="B31" i="3"/>
  <c r="E28" i="3"/>
  <c r="G28" i="3"/>
  <c r="G22" i="3"/>
  <c r="C17" i="3"/>
  <c r="G15" i="3"/>
  <c r="E3" i="16"/>
  <c r="E11" i="3"/>
  <c r="G14" i="1"/>
  <c r="A14" i="16"/>
  <c r="G4" i="19"/>
  <c r="E16" i="3"/>
  <c r="C8" i="16"/>
  <c r="E5" i="3"/>
  <c r="A2" i="4"/>
  <c r="B9" i="16"/>
  <c r="A20" i="3"/>
  <c r="C3" i="15"/>
  <c r="A13" i="3"/>
  <c r="F9" i="3"/>
  <c r="C11" i="3"/>
  <c r="A3" i="2"/>
  <c r="G19" i="3"/>
  <c r="E77" i="3"/>
  <c r="B25" i="1"/>
  <c r="A86" i="3"/>
  <c r="G8" i="17"/>
  <c r="C87" i="3"/>
  <c r="C28" i="1"/>
  <c r="F44" i="3"/>
  <c r="F5" i="15"/>
  <c r="A7" i="4"/>
  <c r="G66" i="3"/>
  <c r="G6" i="16"/>
  <c r="B61" i="3"/>
  <c r="A6" i="17"/>
  <c r="G3" i="4"/>
  <c r="B54" i="3"/>
  <c r="F11" i="15"/>
  <c r="E7" i="15"/>
  <c r="F9" i="1"/>
  <c r="G81" i="3"/>
  <c r="A100" i="3"/>
  <c r="B5" i="16"/>
  <c r="B16" i="1"/>
  <c r="A83" i="3"/>
  <c r="C2" i="25"/>
  <c r="E6" i="3"/>
  <c r="C9" i="17"/>
  <c r="A16" i="16"/>
  <c r="F14" i="16"/>
  <c r="A98" i="3"/>
  <c r="G13" i="16"/>
  <c r="A4" i="1"/>
  <c r="G4" i="12"/>
  <c r="A4" i="12"/>
  <c r="C45" i="3"/>
  <c r="A50" i="3"/>
  <c r="C33" i="3"/>
  <c r="A63" i="3"/>
  <c r="B28" i="1"/>
  <c r="E14" i="3"/>
  <c r="F54" i="3"/>
  <c r="A47" i="3"/>
  <c r="E46" i="3"/>
  <c r="G39" i="3"/>
  <c r="E43" i="3"/>
  <c r="F5" i="11"/>
  <c r="F3" i="1"/>
  <c r="F16" i="1"/>
  <c r="B89" i="3"/>
  <c r="C3" i="16"/>
  <c r="F65" i="3"/>
  <c r="F29" i="3"/>
  <c r="B12" i="1"/>
  <c r="A2" i="24"/>
  <c r="C4" i="15"/>
  <c r="B88" i="3"/>
  <c r="B34" i="3"/>
  <c r="A4" i="15"/>
  <c r="A26" i="3"/>
  <c r="B79" i="3"/>
  <c r="E51" i="3"/>
  <c r="E16" i="1"/>
  <c r="C2" i="10"/>
  <c r="A5" i="14"/>
  <c r="E4" i="19"/>
  <c r="G6" i="3"/>
  <c r="B100" i="3"/>
  <c r="E2" i="22"/>
  <c r="A2" i="13"/>
  <c r="B70" i="3"/>
  <c r="E2" i="17"/>
  <c r="A2" i="41"/>
  <c r="B62" i="3"/>
  <c r="B10" i="4"/>
  <c r="C99" i="3"/>
  <c r="G11" i="24"/>
  <c r="C5" i="32"/>
  <c r="B12" i="6"/>
  <c r="F5" i="20"/>
  <c r="A4" i="29"/>
  <c r="A21" i="24"/>
  <c r="F62" i="3"/>
  <c r="E29" i="1"/>
  <c r="G102" i="3"/>
  <c r="F98" i="3"/>
  <c r="A11" i="14"/>
  <c r="F91" i="3"/>
  <c r="B35" i="3"/>
  <c r="F9" i="15"/>
  <c r="F79" i="3"/>
  <c r="B10" i="16"/>
  <c r="B7" i="14"/>
  <c r="C10" i="12"/>
  <c r="E2" i="6"/>
  <c r="B2" i="17"/>
  <c r="A17" i="3"/>
  <c r="A2" i="9"/>
  <c r="B10" i="1"/>
  <c r="F6" i="4"/>
  <c r="A21" i="1"/>
  <c r="A90" i="3"/>
  <c r="C3" i="14"/>
  <c r="C14" i="1"/>
  <c r="F81" i="3"/>
  <c r="E9" i="16"/>
  <c r="G10" i="12"/>
  <c r="A65" i="3"/>
  <c r="E69" i="3"/>
  <c r="F7" i="16"/>
  <c r="C23" i="1"/>
  <c r="A28" i="1"/>
  <c r="E87" i="3"/>
  <c r="B2" i="16"/>
  <c r="G63" i="3"/>
  <c r="F22" i="1"/>
  <c r="F33" i="3"/>
  <c r="E89" i="3"/>
  <c r="C73" i="3"/>
  <c r="F71" i="3"/>
  <c r="B8" i="16"/>
  <c r="E61" i="3"/>
  <c r="E62" i="3"/>
  <c r="E60" i="3"/>
  <c r="A2" i="17"/>
  <c r="A10" i="16"/>
  <c r="C11" i="15"/>
  <c r="F60" i="3"/>
  <c r="G83" i="3"/>
  <c r="E4" i="15"/>
  <c r="C12" i="1"/>
  <c r="C43" i="3"/>
  <c r="B5" i="4"/>
  <c r="F31" i="3"/>
  <c r="A12" i="3"/>
  <c r="E8" i="3"/>
  <c r="G5" i="3"/>
  <c r="F12" i="12"/>
  <c r="G13" i="12"/>
  <c r="C98" i="3"/>
  <c r="A17" i="1"/>
  <c r="F46" i="3"/>
  <c r="G47" i="3"/>
  <c r="C4" i="4"/>
  <c r="F12" i="3"/>
  <c r="B9" i="15"/>
  <c r="B3" i="3"/>
  <c r="G33" i="3"/>
  <c r="G5" i="16"/>
  <c r="G60" i="3"/>
  <c r="G54" i="3"/>
  <c r="A53" i="3"/>
  <c r="E47" i="3"/>
  <c r="A49" i="3"/>
  <c r="C4" i="17"/>
  <c r="A19" i="1"/>
  <c r="B10" i="14"/>
  <c r="C3" i="11"/>
  <c r="G44" i="3"/>
  <c r="E6" i="4"/>
  <c r="B6" i="17"/>
  <c r="E34" i="3"/>
  <c r="F8" i="16"/>
  <c r="G11" i="12"/>
  <c r="B96" i="3"/>
  <c r="B3" i="13"/>
  <c r="E91" i="3"/>
  <c r="C17" i="1"/>
  <c r="F7" i="17"/>
  <c r="A13" i="1"/>
  <c r="F57" i="3"/>
  <c r="F2" i="9"/>
  <c r="E12" i="16"/>
  <c r="G12" i="3"/>
  <c r="C6" i="16"/>
  <c r="C58" i="3"/>
  <c r="F80" i="3"/>
  <c r="C2" i="19"/>
  <c r="G14" i="3"/>
  <c r="E40" i="3"/>
  <c r="F3" i="10"/>
  <c r="C8" i="14"/>
  <c r="E2" i="4"/>
  <c r="G29" i="3"/>
  <c r="G21" i="1"/>
  <c r="F43" i="3"/>
  <c r="G51" i="3"/>
  <c r="B9" i="17"/>
  <c r="C14" i="3"/>
  <c r="F27" i="1"/>
  <c r="G12" i="12"/>
  <c r="G48" i="3"/>
  <c r="G6" i="58"/>
  <c r="B5" i="6"/>
  <c r="A24" i="35"/>
  <c r="E17" i="6"/>
  <c r="F20" i="14"/>
  <c r="F2" i="29"/>
  <c r="A17" i="6"/>
  <c r="B3" i="29"/>
  <c r="A4" i="5"/>
  <c r="G3" i="26"/>
  <c r="E3" i="35"/>
  <c r="A10" i="3"/>
  <c r="C5" i="16"/>
  <c r="F55" i="3"/>
  <c r="B8" i="12"/>
  <c r="B7" i="12"/>
  <c r="B43" i="3"/>
  <c r="E83" i="3"/>
  <c r="B2" i="23"/>
  <c r="C2" i="22"/>
  <c r="C18" i="3"/>
  <c r="B2" i="19"/>
  <c r="F69" i="3"/>
  <c r="F4" i="14"/>
  <c r="A16" i="3"/>
  <c r="C16" i="3"/>
  <c r="C6" i="12"/>
  <c r="E88" i="3"/>
  <c r="B2" i="12"/>
  <c r="G3" i="10"/>
  <c r="F88" i="3"/>
  <c r="C79" i="3"/>
  <c r="G27" i="3"/>
  <c r="B2" i="22"/>
  <c r="G2" i="17"/>
  <c r="F4" i="12"/>
  <c r="C13" i="3"/>
  <c r="G3" i="13"/>
  <c r="G2" i="15"/>
  <c r="A3" i="10"/>
  <c r="G78" i="3"/>
  <c r="A16" i="1"/>
  <c r="C12" i="3"/>
  <c r="B6" i="11"/>
  <c r="B57" i="3"/>
  <c r="F3" i="3"/>
  <c r="F34" i="3"/>
  <c r="F2" i="17"/>
  <c r="G3" i="11"/>
  <c r="G13" i="3"/>
  <c r="B7" i="3"/>
  <c r="F3" i="12"/>
  <c r="E13" i="12"/>
  <c r="F90" i="3"/>
  <c r="F4" i="4"/>
  <c r="B4" i="4"/>
  <c r="F93" i="3"/>
  <c r="B2" i="25"/>
  <c r="E11" i="16"/>
  <c r="F2" i="7"/>
  <c r="E6" i="15"/>
  <c r="A3" i="19"/>
  <c r="B2" i="8"/>
  <c r="A8" i="16"/>
  <c r="E58" i="3"/>
  <c r="C59" i="3"/>
  <c r="B53" i="3"/>
  <c r="B55" i="3"/>
  <c r="A8" i="12"/>
  <c r="B4" i="3"/>
  <c r="F12" i="1"/>
  <c r="A6" i="15"/>
  <c r="A72" i="3"/>
  <c r="A11" i="3"/>
  <c r="F2" i="6"/>
  <c r="G29" i="1"/>
  <c r="A18" i="3"/>
  <c r="A7" i="3"/>
  <c r="A12" i="15"/>
  <c r="C68" i="3"/>
  <c r="F96" i="3"/>
  <c r="E2" i="15"/>
  <c r="C94" i="3"/>
  <c r="B27" i="1"/>
  <c r="E2" i="11"/>
  <c r="G9" i="1"/>
  <c r="E12" i="3"/>
  <c r="A42" i="3"/>
  <c r="F10" i="15"/>
  <c r="B11" i="16"/>
  <c r="A2" i="21"/>
  <c r="B71" i="3"/>
  <c r="G3" i="15"/>
  <c r="E8" i="12"/>
  <c r="B17" i="1"/>
  <c r="A43" i="3"/>
  <c r="B4" i="1"/>
  <c r="A41" i="3"/>
  <c r="F4" i="3"/>
  <c r="C57" i="3"/>
  <c r="A6" i="1"/>
  <c r="E12" i="1"/>
  <c r="C10" i="3"/>
  <c r="G59" i="3"/>
  <c r="F3" i="4"/>
  <c r="C3" i="10"/>
  <c r="A73" i="3"/>
  <c r="F21" i="1"/>
  <c r="G85" i="3"/>
  <c r="B2" i="4"/>
  <c r="A3" i="23"/>
  <c r="C51" i="3"/>
  <c r="G80" i="3"/>
  <c r="B16" i="16"/>
  <c r="G52" i="3"/>
  <c r="B14" i="1"/>
  <c r="C2" i="13"/>
  <c r="A14" i="1"/>
  <c r="G5" i="1"/>
  <c r="F8" i="12"/>
  <c r="A7" i="17"/>
  <c r="E9" i="6"/>
  <c r="E7" i="8"/>
  <c r="G2" i="32"/>
  <c r="G4" i="8"/>
  <c r="G8" i="29"/>
  <c r="G9" i="24"/>
  <c r="C2" i="37"/>
  <c r="E2" i="28"/>
  <c r="C10" i="4"/>
  <c r="E13" i="35"/>
  <c r="G4" i="28"/>
  <c r="B7" i="16"/>
  <c r="C102" i="3"/>
  <c r="A99" i="3"/>
  <c r="A15" i="16"/>
  <c r="E94" i="3"/>
  <c r="C7" i="17"/>
  <c r="A4" i="11"/>
  <c r="A80" i="3"/>
  <c r="E80" i="3"/>
  <c r="E4" i="4"/>
  <c r="A75" i="3"/>
  <c r="C3" i="13"/>
  <c r="B18" i="1"/>
  <c r="G25" i="1"/>
  <c r="A2" i="16"/>
  <c r="F5" i="12"/>
  <c r="G12" i="16"/>
  <c r="F2" i="13"/>
  <c r="G34" i="3"/>
  <c r="B42" i="3"/>
  <c r="G10" i="1"/>
  <c r="F2" i="8"/>
  <c r="E7" i="14"/>
  <c r="G7" i="1"/>
  <c r="F70" i="3"/>
  <c r="B102" i="3"/>
  <c r="E66" i="3"/>
  <c r="A10" i="15"/>
  <c r="G2" i="4"/>
  <c r="A5" i="3"/>
  <c r="F10" i="16"/>
  <c r="C35" i="3"/>
  <c r="B59" i="3"/>
  <c r="C6" i="17"/>
  <c r="F18" i="1"/>
  <c r="C9" i="16"/>
  <c r="G9" i="16"/>
  <c r="A66" i="3"/>
  <c r="B65" i="3"/>
  <c r="C60" i="3"/>
  <c r="A7" i="16"/>
  <c r="A3" i="4"/>
  <c r="C10" i="1"/>
  <c r="G92" i="3"/>
  <c r="B69" i="3"/>
  <c r="E13" i="16"/>
  <c r="G40" i="3"/>
  <c r="E82" i="3"/>
  <c r="G3" i="1"/>
  <c r="F41" i="3"/>
  <c r="A9" i="17"/>
  <c r="F15" i="3"/>
  <c r="B15" i="3"/>
  <c r="F6" i="3"/>
  <c r="F13" i="12"/>
  <c r="E7" i="16"/>
  <c r="F99" i="3"/>
  <c r="A4" i="17"/>
  <c r="G12" i="1"/>
  <c r="G22" i="1"/>
  <c r="G41" i="3"/>
  <c r="C66" i="3"/>
  <c r="C7" i="3"/>
  <c r="B12" i="15"/>
  <c r="C81" i="3"/>
  <c r="G7" i="14"/>
  <c r="B68" i="3"/>
  <c r="E3" i="4"/>
  <c r="C2" i="14"/>
  <c r="G49" i="3"/>
  <c r="G16" i="1"/>
  <c r="B47" i="3"/>
  <c r="F10" i="1"/>
  <c r="C5" i="15"/>
  <c r="A2" i="2"/>
  <c r="C5" i="12"/>
  <c r="C38" i="3"/>
  <c r="F83" i="3"/>
  <c r="A79" i="3"/>
  <c r="G2" i="18"/>
  <c r="A28" i="3"/>
  <c r="E100" i="3"/>
  <c r="C96" i="3"/>
  <c r="A95" i="3"/>
  <c r="E90" i="3"/>
  <c r="B11" i="15"/>
  <c r="A87" i="3"/>
  <c r="B52" i="3"/>
  <c r="G4" i="16"/>
  <c r="A2" i="8"/>
  <c r="B2" i="7"/>
  <c r="E5" i="1"/>
  <c r="E6" i="14"/>
  <c r="C5" i="17"/>
  <c r="G14" i="16"/>
  <c r="F48" i="3"/>
  <c r="E3" i="10"/>
  <c r="A5" i="15"/>
  <c r="C83" i="3"/>
  <c r="G9" i="15"/>
  <c r="G82" i="3"/>
  <c r="F2" i="22"/>
  <c r="F15" i="16"/>
  <c r="E50" i="3"/>
  <c r="E2" i="10"/>
  <c r="E3" i="1"/>
  <c r="F64" i="3"/>
  <c r="C47" i="3"/>
  <c r="B7" i="17"/>
  <c r="E10" i="14"/>
  <c r="G20" i="1"/>
  <c r="C14" i="14"/>
  <c r="B4" i="26"/>
  <c r="A20" i="14"/>
  <c r="E23" i="3"/>
  <c r="B12" i="14"/>
  <c r="B3" i="11"/>
  <c r="B2" i="41"/>
  <c r="G9" i="4"/>
  <c r="B16" i="9"/>
  <c r="B8" i="20"/>
  <c r="B3" i="28"/>
  <c r="C2" i="15"/>
  <c r="B56" i="3"/>
  <c r="E6" i="17"/>
  <c r="F7" i="12"/>
  <c r="E48" i="3"/>
  <c r="E42" i="3"/>
  <c r="G2" i="25"/>
  <c r="C28" i="3"/>
  <c r="F26" i="3"/>
  <c r="E4" i="12"/>
  <c r="B22" i="3"/>
  <c r="A32" i="3"/>
  <c r="G4" i="1"/>
  <c r="A61" i="3"/>
  <c r="G11" i="3"/>
  <c r="A40" i="3"/>
  <c r="C9" i="11"/>
  <c r="F82" i="3"/>
  <c r="B4" i="15"/>
  <c r="B39" i="3"/>
  <c r="C64" i="3"/>
  <c r="A2" i="1"/>
  <c r="E2" i="18"/>
  <c r="F101" i="3"/>
  <c r="E3" i="15"/>
  <c r="E7" i="12"/>
  <c r="B14" i="3"/>
  <c r="G2" i="23"/>
  <c r="A23" i="1"/>
  <c r="A15" i="1"/>
  <c r="F29" i="1"/>
  <c r="B3" i="10"/>
  <c r="B2" i="9"/>
  <c r="E54" i="3"/>
  <c r="A84" i="3"/>
  <c r="B18" i="3"/>
  <c r="B17" i="3"/>
  <c r="C15" i="3"/>
  <c r="B12" i="3"/>
  <c r="F30" i="1"/>
  <c r="F2" i="15"/>
  <c r="F13" i="16"/>
  <c r="A2" i="5"/>
  <c r="A29" i="3"/>
  <c r="B66" i="3"/>
  <c r="G88" i="3"/>
  <c r="G38" i="3"/>
  <c r="A4" i="4"/>
  <c r="E23" i="1"/>
  <c r="G19" i="1"/>
  <c r="E16" i="16"/>
  <c r="F7" i="1"/>
  <c r="A62" i="3"/>
  <c r="F9" i="12"/>
  <c r="A56" i="3"/>
  <c r="A29" i="1"/>
  <c r="G5" i="17"/>
  <c r="A24" i="1"/>
  <c r="B12" i="16"/>
  <c r="F5" i="1"/>
  <c r="B2" i="13"/>
  <c r="C63" i="3"/>
  <c r="C13" i="12"/>
  <c r="E9" i="17"/>
  <c r="G94" i="3"/>
  <c r="B3" i="1"/>
  <c r="B8" i="3"/>
  <c r="F102" i="3"/>
  <c r="G100" i="3"/>
  <c r="E15" i="16"/>
  <c r="C7" i="4"/>
  <c r="B14" i="16"/>
  <c r="G79" i="3"/>
  <c r="F59" i="3"/>
  <c r="F7" i="14"/>
  <c r="C7" i="1"/>
  <c r="G23" i="1"/>
  <c r="E4" i="1"/>
  <c r="B8" i="15"/>
  <c r="C6" i="4"/>
  <c r="G26" i="1"/>
  <c r="F4" i="16"/>
  <c r="F49" i="3"/>
  <c r="F7" i="15"/>
  <c r="G6" i="15"/>
  <c r="E6" i="12"/>
  <c r="B40" i="3"/>
  <c r="B51" i="3"/>
  <c r="C16" i="16"/>
  <c r="G57" i="3"/>
  <c r="E14" i="16"/>
  <c r="F45" i="3"/>
  <c r="G7" i="3"/>
  <c r="F52" i="3"/>
  <c r="B87" i="3"/>
  <c r="F2" i="11"/>
  <c r="G90" i="3"/>
  <c r="G84" i="3"/>
  <c r="B4" i="11"/>
  <c r="C2" i="23"/>
  <c r="A33" i="3"/>
  <c r="C77" i="3"/>
  <c r="F94" i="3"/>
  <c r="A51" i="3"/>
  <c r="A46" i="3"/>
  <c r="E17" i="1"/>
  <c r="C2" i="3"/>
  <c r="E9" i="1"/>
  <c r="E17" i="3"/>
  <c r="B86" i="3"/>
  <c r="G17" i="1"/>
  <c r="A2" i="7"/>
  <c r="E13" i="15"/>
  <c r="F77" i="3"/>
  <c r="G24" i="24"/>
  <c r="F16" i="3"/>
  <c r="A7" i="24"/>
  <c r="F2" i="14"/>
  <c r="C10" i="35"/>
  <c r="G11" i="4"/>
  <c r="G4" i="9"/>
  <c r="F4" i="6"/>
  <c r="E11" i="4"/>
  <c r="B6" i="16"/>
  <c r="C85" i="3"/>
  <c r="G16" i="16"/>
  <c r="F3" i="23"/>
  <c r="E11" i="15"/>
  <c r="G4" i="14"/>
  <c r="A3" i="17"/>
  <c r="A2" i="6"/>
  <c r="F76" i="3"/>
  <c r="C2" i="12"/>
  <c r="E73" i="3"/>
  <c r="F8" i="11"/>
  <c r="C15" i="1"/>
  <c r="E28" i="1"/>
  <c r="E15" i="1"/>
  <c r="E2" i="12"/>
  <c r="G5" i="4"/>
  <c r="A8" i="11"/>
  <c r="F23" i="1"/>
  <c r="A4" i="14"/>
  <c r="A11" i="15"/>
  <c r="E8" i="11"/>
  <c r="B75" i="3"/>
  <c r="F73" i="3"/>
  <c r="G67" i="3"/>
  <c r="G72" i="3"/>
  <c r="E8" i="16"/>
  <c r="C54" i="3"/>
  <c r="G27" i="1"/>
  <c r="A2" i="11"/>
  <c r="E5" i="14"/>
  <c r="B77" i="3"/>
  <c r="G62" i="3"/>
  <c r="A26" i="1"/>
  <c r="G5" i="14"/>
  <c r="G18" i="1"/>
  <c r="C69" i="3"/>
  <c r="E2" i="8"/>
  <c r="A9" i="12"/>
  <c r="G55" i="3"/>
  <c r="F58" i="3"/>
  <c r="C36" i="3"/>
  <c r="F61" i="3"/>
  <c r="F17" i="1"/>
  <c r="E96" i="3"/>
  <c r="C86" i="3"/>
  <c r="B4" i="14"/>
  <c r="B33" i="3"/>
  <c r="E2" i="23"/>
  <c r="F40" i="3"/>
  <c r="C7" i="11"/>
  <c r="G6" i="11"/>
  <c r="C3" i="12"/>
  <c r="B29" i="1"/>
  <c r="C101" i="3"/>
  <c r="E14" i="1"/>
  <c r="A12" i="12"/>
  <c r="G9" i="17"/>
  <c r="G11" i="16"/>
  <c r="F5" i="4"/>
  <c r="B21" i="1"/>
  <c r="E4" i="3"/>
  <c r="B2" i="6"/>
  <c r="A8" i="17"/>
  <c r="B5" i="1"/>
  <c r="F2" i="12"/>
  <c r="F6" i="11"/>
  <c r="C56" i="3"/>
  <c r="E5" i="17"/>
  <c r="B6" i="14"/>
  <c r="B50" i="3"/>
  <c r="A48" i="3"/>
  <c r="E8" i="15"/>
  <c r="F14" i="1"/>
  <c r="E7" i="3"/>
  <c r="B2" i="3"/>
  <c r="F95" i="3"/>
  <c r="G58" i="3"/>
  <c r="A5" i="1"/>
  <c r="C11" i="16"/>
  <c r="G7" i="11"/>
  <c r="E99" i="3"/>
  <c r="C15" i="16"/>
  <c r="A94" i="3"/>
  <c r="A89" i="3"/>
  <c r="C92" i="3"/>
  <c r="A6" i="4"/>
  <c r="C7" i="15"/>
  <c r="E97" i="3"/>
  <c r="A101" i="3"/>
  <c r="B32" i="3"/>
  <c r="A25" i="1"/>
  <c r="A12" i="1"/>
  <c r="C2" i="4"/>
  <c r="F36" i="3"/>
  <c r="F15" i="1"/>
  <c r="B5" i="12"/>
  <c r="A10" i="14"/>
  <c r="A2" i="25"/>
  <c r="E81" i="3"/>
  <c r="G31" i="3"/>
  <c r="G2" i="21"/>
  <c r="C29" i="1"/>
  <c r="G45" i="3"/>
  <c r="B6" i="12"/>
  <c r="E71" i="3"/>
  <c r="A4" i="10"/>
  <c r="C30" i="1"/>
  <c r="A18" i="1"/>
  <c r="B3" i="17"/>
  <c r="F2" i="19"/>
  <c r="C15" i="35"/>
  <c r="F11" i="12"/>
  <c r="C12" i="20"/>
  <c r="E3" i="11"/>
  <c r="A7" i="28"/>
  <c r="F8" i="3"/>
  <c r="G3" i="38"/>
  <c r="G3" i="37"/>
  <c r="E5" i="24"/>
  <c r="F2" i="27"/>
  <c r="E16" i="35"/>
  <c r="A9" i="3"/>
  <c r="B30" i="3"/>
  <c r="F51" i="3"/>
  <c r="E21" i="1"/>
  <c r="F6" i="12"/>
  <c r="A8" i="1"/>
  <c r="E31" i="3"/>
  <c r="G69" i="3"/>
  <c r="A21" i="3"/>
  <c r="B15" i="16"/>
  <c r="C2" i="17"/>
  <c r="A78" i="3"/>
  <c r="C21" i="1"/>
  <c r="G3" i="16"/>
  <c r="E53" i="3"/>
  <c r="C18" i="1"/>
  <c r="A9" i="1"/>
  <c r="E79" i="3"/>
  <c r="C7" i="12"/>
  <c r="C12" i="16"/>
  <c r="G99" i="3"/>
  <c r="F2" i="23"/>
  <c r="E22" i="3"/>
  <c r="F18" i="3"/>
  <c r="A3" i="11"/>
  <c r="A3" i="14"/>
  <c r="F13" i="3"/>
  <c r="G6" i="14"/>
  <c r="B7" i="4"/>
  <c r="B10" i="3"/>
  <c r="F8" i="1"/>
  <c r="E3" i="12"/>
  <c r="A11" i="16"/>
  <c r="F25" i="1"/>
  <c r="A2" i="12"/>
  <c r="F2" i="4"/>
  <c r="B3" i="16"/>
  <c r="A4" i="16"/>
  <c r="E2" i="14"/>
  <c r="F28" i="1"/>
  <c r="C6" i="3"/>
  <c r="A22" i="1"/>
  <c r="G4" i="10"/>
  <c r="A3" i="1"/>
  <c r="G18" i="3"/>
  <c r="E10" i="1"/>
  <c r="E33" i="3"/>
  <c r="C29" i="3"/>
  <c r="E11" i="14"/>
  <c r="A9" i="11"/>
  <c r="B95" i="3"/>
  <c r="F67" i="3"/>
  <c r="B9" i="12"/>
  <c r="E57" i="3"/>
  <c r="E4" i="16"/>
  <c r="A59" i="3"/>
  <c r="F50" i="3"/>
  <c r="G7" i="4"/>
  <c r="C4" i="12"/>
  <c r="C62" i="3"/>
  <c r="C3" i="1"/>
  <c r="F87" i="3"/>
  <c r="E41" i="3"/>
  <c r="E18" i="1"/>
  <c r="C37" i="3"/>
  <c r="A88" i="3"/>
  <c r="A8" i="3"/>
  <c r="B101" i="3"/>
  <c r="F9" i="17"/>
  <c r="G11" i="14"/>
  <c r="G98" i="3"/>
  <c r="G93" i="3"/>
  <c r="C10" i="16"/>
  <c r="G3" i="19"/>
  <c r="A30" i="1"/>
  <c r="B6" i="3"/>
  <c r="A39" i="3"/>
  <c r="C25" i="1"/>
  <c r="B3" i="14"/>
  <c r="C84" i="3"/>
  <c r="G36" i="3"/>
  <c r="A5" i="17"/>
  <c r="G7" i="12"/>
  <c r="B48" i="3"/>
  <c r="F42" i="3"/>
  <c r="A44" i="3"/>
  <c r="C5" i="14"/>
  <c r="B46" i="3"/>
  <c r="B94" i="3"/>
  <c r="E95" i="3"/>
  <c r="G28" i="1"/>
  <c r="E7" i="1"/>
  <c r="A2" i="10"/>
  <c r="B8" i="1"/>
  <c r="A2" i="3"/>
  <c r="C39" i="3"/>
  <c r="E7" i="17"/>
  <c r="F35" i="3"/>
  <c r="E3" i="17"/>
  <c r="B29" i="3"/>
  <c r="E8" i="14"/>
  <c r="C11" i="12"/>
  <c r="F9" i="11"/>
  <c r="E44" i="3"/>
  <c r="G42" i="3"/>
  <c r="E7" i="11"/>
  <c r="E13" i="3"/>
  <c r="F2" i="5"/>
  <c r="B9" i="11"/>
  <c r="A2" i="22"/>
</calcChain>
</file>

<file path=xl/sharedStrings.xml><?xml version="1.0" encoding="utf-8"?>
<sst xmlns="http://schemas.openxmlformats.org/spreadsheetml/2006/main" count="3578" uniqueCount="781">
  <si>
    <t>STUDENT NO</t>
  </si>
  <si>
    <t xml:space="preserve">SURNAME </t>
  </si>
  <si>
    <t>INITIALS</t>
  </si>
  <si>
    <t>SUBJECT CODE</t>
  </si>
  <si>
    <t>CONTACT NO</t>
  </si>
  <si>
    <t>EMAIL ADDRESS</t>
  </si>
  <si>
    <t>REASON FOR READMISSION</t>
  </si>
  <si>
    <t>M</t>
  </si>
  <si>
    <t>Moshoaduba</t>
  </si>
  <si>
    <t xml:space="preserve">R </t>
  </si>
  <si>
    <t> </t>
  </si>
  <si>
    <t>ralesaim@gmail.com</t>
  </si>
  <si>
    <t>Student must pass HCI401T and PJT401B in 2022 s1.</t>
  </si>
  <si>
    <t>Mothadi</t>
  </si>
  <si>
    <t>MJ</t>
  </si>
  <si>
    <t>jack.mathadi@hotmail.com</t>
  </si>
  <si>
    <t>Student must pass PJT411B</t>
  </si>
  <si>
    <t>Gumede</t>
  </si>
  <si>
    <t>Sithembiso</t>
  </si>
  <si>
    <t>minator.g@gmail.com</t>
  </si>
  <si>
    <t>Ranku</t>
  </si>
  <si>
    <t>RG</t>
  </si>
  <si>
    <t>rgranku@gmail.com</t>
  </si>
  <si>
    <t>Boyce</t>
  </si>
  <si>
    <t>S</t>
  </si>
  <si>
    <t>210037870@tut4life.ac.za</t>
  </si>
  <si>
    <t>Student need to pass PJT411B</t>
  </si>
  <si>
    <t>Mugivhi</t>
  </si>
  <si>
    <t>A</t>
  </si>
  <si>
    <t>212375497@tut4life.ac.za</t>
  </si>
  <si>
    <t>Student need to pass PJT411B and (HCI401T or KNM401T).</t>
  </si>
  <si>
    <t>Segodi</t>
  </si>
  <si>
    <t>JD</t>
  </si>
  <si>
    <t>jdsegodi@gmail.com</t>
  </si>
  <si>
    <t xml:space="preserve">Student has pass 8 modules of Btech Support Services, student should register KNM401T and pass in 1st semester of 2022. </t>
  </si>
  <si>
    <t>Zulu</t>
  </si>
  <si>
    <t>NP</t>
  </si>
  <si>
    <t>nosiphozulup@gmail.com</t>
  </si>
  <si>
    <t>Student has passed 8 modules in total and is going to write exit exams this month (ADA401T) and if he/she pass then the student will be able to finish, please lift the exclusion. LAST OPPORTUNITY.</t>
  </si>
  <si>
    <t>Zwane</t>
  </si>
  <si>
    <t>0764136663`</t>
  </si>
  <si>
    <t>zwanesizwe94@gmail.com</t>
  </si>
  <si>
    <t>Lift the exclusion, student has passed 8 modules and is left with PJT411F, student must register and pass PJT411F in 2022 First Semester.</t>
  </si>
  <si>
    <t>Makondo</t>
  </si>
  <si>
    <t>TP</t>
  </si>
  <si>
    <t>nwamakondo@gmail.com</t>
  </si>
  <si>
    <t>STUDENT HAVE TO PASS PIF117V DURING S1 2022</t>
  </si>
  <si>
    <t>STUDENT NEED TO PASS ITM117V DURING S1 2022.</t>
  </si>
  <si>
    <t>Ngele</t>
  </si>
  <si>
    <t>Na</t>
  </si>
  <si>
    <t>213473956@tut4life.ac.za</t>
  </si>
  <si>
    <t>Student must pass PJT411B in 2022 semester 1.</t>
  </si>
  <si>
    <t>Madondo</t>
  </si>
  <si>
    <t>N</t>
  </si>
  <si>
    <t>nonku94@gmail.com</t>
  </si>
  <si>
    <t>MR MASETHE: LIFT EXCLUSION: Student passed ADH401T, AND only left with PJT411B, student must pass the subject</t>
  </si>
  <si>
    <t>Student was excluded on credits. LIFT EXCLUSION. Condition: Uplift Exclusion, the student is doing Advanced diploma and has</t>
  </si>
  <si>
    <t>Credit issue - Advanced Diploma</t>
  </si>
  <si>
    <t>Baloi</t>
  </si>
  <si>
    <t>UNCONDITIONAL</t>
  </si>
  <si>
    <t>Mokete</t>
  </si>
  <si>
    <t>T A</t>
  </si>
  <si>
    <t>nonzzym0@gmail.com</t>
  </si>
  <si>
    <t>Unconditional.</t>
  </si>
  <si>
    <t>NONG</t>
  </si>
  <si>
    <t>MM</t>
  </si>
  <si>
    <t>ledilemnong@gmail.com</t>
  </si>
  <si>
    <t>Accidental Exclusion.</t>
  </si>
  <si>
    <t xml:space="preserve">Makgwana </t>
  </si>
  <si>
    <t>L.E</t>
  </si>
  <si>
    <t>LekalakalaLesego.eve@gmail.com</t>
  </si>
  <si>
    <t>Lekalakala</t>
  </si>
  <si>
    <t>KMF</t>
  </si>
  <si>
    <t>lekalakalakatlego@yahoo.com</t>
  </si>
  <si>
    <t>Bassie</t>
  </si>
  <si>
    <t>LD</t>
  </si>
  <si>
    <t>lebogangbassie@gmail.com</t>
  </si>
  <si>
    <t xml:space="preserve">Mokgalaka </t>
  </si>
  <si>
    <t>LI</t>
  </si>
  <si>
    <t>212017957@tut4life.ac.za</t>
  </si>
  <si>
    <t>The performance of the student is highly concerning. The student must pass all the subjects registered for this semester</t>
  </si>
  <si>
    <t>Khoza</t>
  </si>
  <si>
    <t>SK</t>
  </si>
  <si>
    <t>212124826@tut4life.ac.za</t>
  </si>
  <si>
    <t>The performance of the student is highly concerning. The student must pass all the subjects registered for this semester.</t>
  </si>
  <si>
    <t>Matlala</t>
  </si>
  <si>
    <t>L</t>
  </si>
  <si>
    <t>213037137@tut4life.ac.za</t>
  </si>
  <si>
    <t xml:space="preserve">Magagula </t>
  </si>
  <si>
    <t>SG</t>
  </si>
  <si>
    <t>sbuh.magagula@gmail.com</t>
  </si>
  <si>
    <t>Student has passed all her/his modules including IDC30BC, Uplift Exclusion for him/her to do Advanced Diploma</t>
  </si>
  <si>
    <t xml:space="preserve">Masombuka </t>
  </si>
  <si>
    <t>Dpm</t>
  </si>
  <si>
    <t>enhledudu@gmail.com</t>
  </si>
  <si>
    <t>Student must attend counselling,</t>
  </si>
  <si>
    <t xml:space="preserve">Macuvele </t>
  </si>
  <si>
    <t>AM</t>
  </si>
  <si>
    <t>abelmacuvele101@gmail.com</t>
  </si>
  <si>
    <t>Probation form needs to be completed and signed.</t>
  </si>
  <si>
    <t>Mbokodo</t>
  </si>
  <si>
    <t>G</t>
  </si>
  <si>
    <t>goodmanmboks12@gmail.com</t>
  </si>
  <si>
    <t>LIFTED,  STUDENT MUST PASS ALL FAILED SUBJECTS THIS SEMESTER</t>
  </si>
  <si>
    <t>Sithole</t>
  </si>
  <si>
    <t>Delroy</t>
  </si>
  <si>
    <t>dtsithole1@gmail.com</t>
  </si>
  <si>
    <t>LIFTED, STUDENT MUST PASS ALL REMAINING SUBJECTS</t>
  </si>
  <si>
    <t>Ntuli</t>
  </si>
  <si>
    <t>NM</t>
  </si>
  <si>
    <t>sibawela@gmail.com</t>
  </si>
  <si>
    <t>Unconditional</t>
  </si>
  <si>
    <t>Nkuna</t>
  </si>
  <si>
    <t>NS</t>
  </si>
  <si>
    <t>nkunso99@gmail.com</t>
  </si>
  <si>
    <t>Gabela</t>
  </si>
  <si>
    <t>TA</t>
  </si>
  <si>
    <t>themza6677@gmail.com</t>
  </si>
  <si>
    <t>Motlhomi</t>
  </si>
  <si>
    <t>B</t>
  </si>
  <si>
    <t>218415520@tut4life.ac.za</t>
  </si>
  <si>
    <t>Tonga</t>
  </si>
  <si>
    <t>Z S</t>
  </si>
  <si>
    <t>zamumzitonga222@gmail.com</t>
  </si>
  <si>
    <t>Student must pass 5 subjects per semester.  Student must be made aware of the teach out date of 31 December 2023.  Student must report for academic intervention.</t>
  </si>
  <si>
    <t>Maswanganyi</t>
  </si>
  <si>
    <t>RC</t>
  </si>
  <si>
    <t>risuna09@gmail.com</t>
  </si>
  <si>
    <t>Student has passed all theory modules he/she registered in 2021 Academic Year and we request comitte to uplift registration. Unconditional.</t>
  </si>
  <si>
    <t>Mathe</t>
  </si>
  <si>
    <t>MB</t>
  </si>
  <si>
    <t>brian1781227@gmail.com</t>
  </si>
  <si>
    <t>Student already registered for 2022.</t>
  </si>
  <si>
    <t>TSHIVHENGA</t>
  </si>
  <si>
    <t>OC</t>
  </si>
  <si>
    <t>219968540@tut4life.ac.za</t>
  </si>
  <si>
    <t>Bolofo</t>
  </si>
  <si>
    <t>Khothatso</t>
  </si>
  <si>
    <t>062 744 1697</t>
  </si>
  <si>
    <t>khothatso.bolofo@gmail.com</t>
  </si>
  <si>
    <t>Student already registered.</t>
  </si>
  <si>
    <t>Mabuza</t>
  </si>
  <si>
    <t>MF</t>
  </si>
  <si>
    <t>mmelifazemabuza@gmail.com</t>
  </si>
  <si>
    <t>Accidental exclusion.</t>
  </si>
  <si>
    <t>petja</t>
  </si>
  <si>
    <t>rtm</t>
  </si>
  <si>
    <t>petja.rtm@gmail.com</t>
  </si>
  <si>
    <t xml:space="preserve">Mtshali </t>
  </si>
  <si>
    <t>QS</t>
  </si>
  <si>
    <t>216699785@tut4life.ac.za</t>
  </si>
  <si>
    <t>Shabalala</t>
  </si>
  <si>
    <t>X</t>
  </si>
  <si>
    <t>xkingc93@gmail.com</t>
  </si>
  <si>
    <t>Mazibuko</t>
  </si>
  <si>
    <t>218636357@tut4life.ac.za</t>
  </si>
  <si>
    <t>MOKGOHLOA</t>
  </si>
  <si>
    <t>KMA</t>
  </si>
  <si>
    <t>Kholofelohope06@gmail.com</t>
  </si>
  <si>
    <t>Ramela</t>
  </si>
  <si>
    <t>215132315@tut4life.ac.za</t>
  </si>
  <si>
    <t>VUTSULU</t>
  </si>
  <si>
    <t>nyikovutsulu@gmail.com</t>
  </si>
  <si>
    <t>Ndlovu</t>
  </si>
  <si>
    <t>AA</t>
  </si>
  <si>
    <t>andiswandlovu829@gmail.com</t>
  </si>
  <si>
    <t>Masimula</t>
  </si>
  <si>
    <t>npmasimula20@gmail.com</t>
  </si>
  <si>
    <t>Nyathi</t>
  </si>
  <si>
    <t>muhlenyathi97@gmail.com</t>
  </si>
  <si>
    <t>Dlamini</t>
  </si>
  <si>
    <t>NF</t>
  </si>
  <si>
    <t>nompilofaith@gmail.com</t>
  </si>
  <si>
    <t>Mphahlele</t>
  </si>
  <si>
    <t>MphahleleLerato27@gmail.com</t>
  </si>
  <si>
    <t>Peter</t>
  </si>
  <si>
    <t>A A</t>
  </si>
  <si>
    <t>asathipeter@outlook.com</t>
  </si>
  <si>
    <t>Hlongwane</t>
  </si>
  <si>
    <t>215758818@tut4life.ac.za</t>
  </si>
  <si>
    <t>Ademoye</t>
  </si>
  <si>
    <t>OO</t>
  </si>
  <si>
    <t>Ademoyemo@gmail.com</t>
  </si>
  <si>
    <t>Hlophe</t>
  </si>
  <si>
    <t>M.S</t>
  </si>
  <si>
    <t>mandisahlophe34@gmail.com</t>
  </si>
  <si>
    <t>Magagula</t>
  </si>
  <si>
    <t>T</t>
  </si>
  <si>
    <t>216508238@tut4life.ac.za</t>
  </si>
  <si>
    <t>Kubeka</t>
  </si>
  <si>
    <t>N.P</t>
  </si>
  <si>
    <t>nonhlanhla.p.kubeka@gmail.com</t>
  </si>
  <si>
    <t>Makonga</t>
  </si>
  <si>
    <t>LY</t>
  </si>
  <si>
    <t>220838579@tut4life.ac.za</t>
  </si>
  <si>
    <t>Mhlongo</t>
  </si>
  <si>
    <t>P</t>
  </si>
  <si>
    <t>Petersontom26@gmail.com</t>
  </si>
  <si>
    <t>Mathibane</t>
  </si>
  <si>
    <t>SE</t>
  </si>
  <si>
    <t>sindileedmonds@gmail.com</t>
  </si>
  <si>
    <t>Student has completed the qualification</t>
  </si>
  <si>
    <t>SHOYISA</t>
  </si>
  <si>
    <t>NG</t>
  </si>
  <si>
    <t>215812880@tut4life.ac.za</t>
  </si>
  <si>
    <t>ngobeni</t>
  </si>
  <si>
    <t>np</t>
  </si>
  <si>
    <t>218472656@tut4life.ac.za</t>
  </si>
  <si>
    <t>Student not excluded but on probation and registered for academic year 2022</t>
  </si>
  <si>
    <t>Mabasa</t>
  </si>
  <si>
    <t>218126154@tut4life.ac.za</t>
  </si>
  <si>
    <t>Mkhonza</t>
  </si>
  <si>
    <t>SP</t>
  </si>
  <si>
    <t>218732275@tut4life.ac.za</t>
  </si>
  <si>
    <t>Student not excluded but on probation, passed the module on 3rd try.</t>
  </si>
  <si>
    <t>Modau</t>
  </si>
  <si>
    <t>F.T</t>
  </si>
  <si>
    <t>213300172@tut4life.ac.za</t>
  </si>
  <si>
    <t>student is not supposed to be on exclusion</t>
  </si>
  <si>
    <t>Nkwanyana</t>
  </si>
  <si>
    <t>SPS</t>
  </si>
  <si>
    <t>214460602@tut4life.ac.za</t>
  </si>
  <si>
    <t>Student won't be able to complete in the teach out plan period</t>
  </si>
  <si>
    <t>Rikhotso</t>
  </si>
  <si>
    <t>215412067@tut4Iife.ac.za</t>
  </si>
  <si>
    <t>Mokwena</t>
  </si>
  <si>
    <t>JK</t>
  </si>
  <si>
    <t>215584429@tut4life.ac.za</t>
  </si>
  <si>
    <t>Student was not on the exclusion list.</t>
  </si>
  <si>
    <t>Manyaka</t>
  </si>
  <si>
    <t>CT</t>
  </si>
  <si>
    <t>manyakatshepi@gmail.com</t>
  </si>
  <si>
    <t>Z.P</t>
  </si>
  <si>
    <t>zakhona1998@gmail.com</t>
  </si>
  <si>
    <t>Buthelezi</t>
  </si>
  <si>
    <t>S.N</t>
  </si>
  <si>
    <t>simisob971@gmaiI.com</t>
  </si>
  <si>
    <t>Ntombela</t>
  </si>
  <si>
    <t>SV</t>
  </si>
  <si>
    <t>siphelelevelenkosini@gmail.com</t>
  </si>
  <si>
    <t>Student needs 5 semesters to complete qualifcation, wont maked it thorugh teach out period.</t>
  </si>
  <si>
    <t>Madope</t>
  </si>
  <si>
    <t>SN</t>
  </si>
  <si>
    <t>sazinatmadope@gmail.com</t>
  </si>
  <si>
    <t>Student performance very low, excluded on 4 modules. though to finish in 4 semesters - student not serious about his/her academics. FINAL DECISION by Faculty</t>
  </si>
  <si>
    <t>Chikong</t>
  </si>
  <si>
    <t>A.N.C.D</t>
  </si>
  <si>
    <t>chikongben@gmail.com</t>
  </si>
  <si>
    <t>Student not coping in IT - refer to SDS</t>
  </si>
  <si>
    <t>L W</t>
  </si>
  <si>
    <t>218749194@tut4life.ac.za</t>
  </si>
  <si>
    <t>Maluleke</t>
  </si>
  <si>
    <t>Vv</t>
  </si>
  <si>
    <t>vukonahveekay@gmail.com</t>
  </si>
  <si>
    <t>Mtolo</t>
  </si>
  <si>
    <t>N.T</t>
  </si>
  <si>
    <t>219193920@tut4Iife.ac.za</t>
  </si>
  <si>
    <t>Chauke</t>
  </si>
  <si>
    <t>nyikozi.chauke@gmail.com</t>
  </si>
  <si>
    <t>mthabela</t>
  </si>
  <si>
    <t>zp</t>
  </si>
  <si>
    <t>zpmthabela23@gmail.com</t>
  </si>
  <si>
    <t>Student not coping with IT - refer to SDS</t>
  </si>
  <si>
    <t>Giyani</t>
  </si>
  <si>
    <t>060 470 3393</t>
  </si>
  <si>
    <t>ntlhandlukogift@gmail.com</t>
  </si>
  <si>
    <t>siyavincentdlamini@gmail.com</t>
  </si>
  <si>
    <t>Student not coping in IT -refer to SDS</t>
  </si>
  <si>
    <t>Student not coping in IT - Refer to SDS</t>
  </si>
  <si>
    <t>Student not going to complete in phase-out, however he/she started in 2019 - should be part of the special request groups. Faculty to make the final ruling.</t>
  </si>
  <si>
    <t>Student is not supposed to be on exclusion.</t>
  </si>
  <si>
    <t>This student started in 2020 and has passed 5. STudent should be on probation</t>
  </si>
  <si>
    <t>SD</t>
  </si>
  <si>
    <t>spha9626@gmail.com</t>
  </si>
  <si>
    <t>Lift Exclusion</t>
  </si>
  <si>
    <t>Simelane</t>
  </si>
  <si>
    <t>TB</t>
  </si>
  <si>
    <t>thabanisimelane05@gmail.com</t>
  </si>
  <si>
    <t>MS MOGASE: STUDENT PREVIOUSLY EXCLUDED. Student to remain excluded. Already serving exclusion since September 2021, has not finished a 2 year term.</t>
  </si>
  <si>
    <t>Ngobeni</t>
  </si>
  <si>
    <t>NC</t>
  </si>
  <si>
    <t>nomcebongobeni7@gmail.com</t>
  </si>
  <si>
    <t>Moloto</t>
  </si>
  <si>
    <t>E</t>
  </si>
  <si>
    <t>eexperience991@gmail.com</t>
  </si>
  <si>
    <t>PASS REMAINING SUBJECTS</t>
  </si>
  <si>
    <t>Madigoe</t>
  </si>
  <si>
    <t>luckystarmadigoe@gmail.com</t>
  </si>
  <si>
    <t>N.</t>
  </si>
  <si>
    <t>nndlamini04@gmail.com</t>
  </si>
  <si>
    <t>MS MOGASE: REVISIT OF EXCLUSION CASE: Credits &lt; 30%, Years registered = 2, 1 subject passed in 2 years, "My Father was diagnosed with cancer in May 2020. This was during lockdown. When we resumed with academics I came back to school but still did not cope as there was no one taking care of him. My mother could not go back home since she was the breadwinner in the family. This affected me emotionally and I could not focus fully on my studies and it impacted negatively on my academic performance. In 2021 his sickness became worse that I had to go back home in KZN to take care of him until he met his untimely death in November the 28th 2021. I am pleading with the faculty to give me one last chance to study and promise I will perform to the best of my ability.", Death certificate dated 28th November 2021, student excluded at FAEAC of 22 February 2022. PROBLEM CASE, Requesting commiittee to make a final ruling. Initial decision by committee was Exclusion.</t>
  </si>
  <si>
    <t>Given the pass history (academic history) of the student, we believe she might not be able to finish within the teach out period. Hence we suggest that she be excluded.</t>
  </si>
  <si>
    <t>The following student 2121167053 Maome were blocked erroneously on subject passed .</t>
  </si>
  <si>
    <t>He has passed 7 of the 8 subjects. Lift exclusion.</t>
  </si>
  <si>
    <t>SEDIBA</t>
  </si>
  <si>
    <t>BM</t>
  </si>
  <si>
    <t>bennysediba@gmail.com</t>
  </si>
  <si>
    <t>EXCLUDE: Student wont finish in time for phase out</t>
  </si>
  <si>
    <t>TOTAL NUMBER OF STUDENTS</t>
  </si>
  <si>
    <t>TOTAL NUMBER OF STUDENTS (1-10)</t>
  </si>
  <si>
    <t>TOTAL NUMBER OF STUDENTS (11-20)</t>
  </si>
  <si>
    <t>TOTAL NUMBER OF STUDENTS (21-30)</t>
  </si>
  <si>
    <t>TOTAL NUMBER OF STUDENTS (31-50)</t>
  </si>
  <si>
    <t>TOTAL NUMBER OF STUDENTS (51-160)</t>
  </si>
  <si>
    <t>ACS11AT</t>
  </si>
  <si>
    <t>COB30AT</t>
  </si>
  <si>
    <t>TPG12AT</t>
  </si>
  <si>
    <t>TPG111T</t>
  </si>
  <si>
    <t>TPG201T</t>
  </si>
  <si>
    <t>ACS11BT</t>
  </si>
  <si>
    <t>COB30BT</t>
  </si>
  <si>
    <t>TPG12BT</t>
  </si>
  <si>
    <t>DSO17BT</t>
  </si>
  <si>
    <t>BUA20BT</t>
  </si>
  <si>
    <t>DSA30AT</t>
  </si>
  <si>
    <t>DSA20BT</t>
  </si>
  <si>
    <t>BUA30AT</t>
  </si>
  <si>
    <t>DSA30BT</t>
  </si>
  <si>
    <t>DSO23BT</t>
  </si>
  <si>
    <t>BUA30BT</t>
  </si>
  <si>
    <t>DSO23AT</t>
  </si>
  <si>
    <t>ISY23AT</t>
  </si>
  <si>
    <t>CFBF15D</t>
  </si>
  <si>
    <t>DSO34BT</t>
  </si>
  <si>
    <t>ISY23BT</t>
  </si>
  <si>
    <t>CFS10BT</t>
  </si>
  <si>
    <t>IIE20BT</t>
  </si>
  <si>
    <t>ISY34AT</t>
  </si>
  <si>
    <t>CMK10BT</t>
  </si>
  <si>
    <t>ISY34BT</t>
  </si>
  <si>
    <t>PGG311T</t>
  </si>
  <si>
    <t>COB20AT</t>
  </si>
  <si>
    <t>ITT10BT</t>
  </si>
  <si>
    <t>COB20BT</t>
  </si>
  <si>
    <t>LOD311B</t>
  </si>
  <si>
    <t>COHFO5D</t>
  </si>
  <si>
    <t>PGG211T</t>
  </si>
  <si>
    <t>DBR311T</t>
  </si>
  <si>
    <t>DIC101T</t>
  </si>
  <si>
    <t>DPC201T</t>
  </si>
  <si>
    <t>DPC301T</t>
  </si>
  <si>
    <t>DSA20AT</t>
  </si>
  <si>
    <t>DSO35BT</t>
  </si>
  <si>
    <t>DSY231C</t>
  </si>
  <si>
    <t>DSY341C</t>
  </si>
  <si>
    <t>ELC211B</t>
  </si>
  <si>
    <t>FPPGG01</t>
  </si>
  <si>
    <t>DSMF06D</t>
  </si>
  <si>
    <t>GPM20AT</t>
  </si>
  <si>
    <t>GPM20BT</t>
  </si>
  <si>
    <t>GUI10AT</t>
  </si>
  <si>
    <t>GUI10BT</t>
  </si>
  <si>
    <t>DSO34AT</t>
  </si>
  <si>
    <t>HSPF15D</t>
  </si>
  <si>
    <t>IDC30AT</t>
  </si>
  <si>
    <t>IDC30BE</t>
  </si>
  <si>
    <t>IDC30BT</t>
  </si>
  <si>
    <t>IIE20AT</t>
  </si>
  <si>
    <t>IIE30BT</t>
  </si>
  <si>
    <t>IIS20AT</t>
  </si>
  <si>
    <t>IIS20BT</t>
  </si>
  <si>
    <t>IIS301T</t>
  </si>
  <si>
    <t>INFF25D</t>
  </si>
  <si>
    <t>ITN10AT</t>
  </si>
  <si>
    <t>ITN20AT</t>
  </si>
  <si>
    <t>ITN20BT</t>
  </si>
  <si>
    <t>ITS20BT</t>
  </si>
  <si>
    <t>ITT10AT</t>
  </si>
  <si>
    <t>MAT251</t>
  </si>
  <si>
    <t>MIS22AT</t>
  </si>
  <si>
    <t>MIS22BT</t>
  </si>
  <si>
    <t>MMA301T</t>
  </si>
  <si>
    <t>MMA30AT</t>
  </si>
  <si>
    <t>MMN20AT</t>
  </si>
  <si>
    <t>MMX30AT</t>
  </si>
  <si>
    <t>MMX30BT</t>
  </si>
  <si>
    <t>MMZ30AT</t>
  </si>
  <si>
    <t>ISY34AB</t>
  </si>
  <si>
    <t>OSY301T</t>
  </si>
  <si>
    <t>PGG111T</t>
  </si>
  <si>
    <t>PJT101B</t>
  </si>
  <si>
    <t>PPAF05D</t>
  </si>
  <si>
    <t>PPB115D</t>
  </si>
  <si>
    <t>SFC311T</t>
  </si>
  <si>
    <t>SFE311T</t>
  </si>
  <si>
    <t>SSE311T</t>
  </si>
  <si>
    <t>SSF24AT</t>
  </si>
  <si>
    <t>SSF24BT</t>
  </si>
  <si>
    <t>SYA201T</t>
  </si>
  <si>
    <t>WEB115D</t>
  </si>
  <si>
    <t xml:space="preserve"> Student Condition</t>
  </si>
  <si>
    <t>Information Session</t>
  </si>
  <si>
    <t>Information Session Attendance</t>
  </si>
  <si>
    <t>WhatsApp Status</t>
  </si>
  <si>
    <t>Supported Subjects</t>
  </si>
  <si>
    <t>Additional Subjects to be supported</t>
  </si>
  <si>
    <t>Assigned Tutor</t>
  </si>
  <si>
    <t>215761851@tut4life.co.za</t>
  </si>
  <si>
    <t>TPG201T failed 4 times. Left with 2 subjects. No first year subjects outstanding. Student must pass TPG201T. Student must report for academic intervention. Course code NDIS12.</t>
  </si>
  <si>
    <t xml:space="preserve">              </t>
  </si>
  <si>
    <t>Communicated</t>
  </si>
  <si>
    <t>Added</t>
  </si>
  <si>
    <t>TPG201 repeated 4 times.  Pass TPG201T during S1 2022. Student must report for academic intervention.</t>
  </si>
  <si>
    <t>Unreachable</t>
  </si>
  <si>
    <t xml:space="preserve">STUDENT NEEDS TO REPORT FOR ACADEMIC INTERVENTION.LIFTED,  STUDENT MUST PASS TPG201T,DSO23AT AND OTHER SUBJECTS
</t>
  </si>
  <si>
    <t>Present</t>
  </si>
  <si>
    <t>Student registered conditional subject (TPG201T, ISY23AT).</t>
  </si>
  <si>
    <t>ISY23AT (Sevezile Maluleke).
TPG201T (Teleki, Lelethu, Tumiso)</t>
  </si>
  <si>
    <t>Student registered conditional subject (TPG201T). However there was an agreement to support other registered subjects (TPG201T)</t>
  </si>
  <si>
    <t>TPG201T (Teleki, Lelethu, Tumiso)</t>
  </si>
  <si>
    <t xml:space="preserve">Mabuza </t>
  </si>
  <si>
    <t>Not Added</t>
  </si>
  <si>
    <t>Student registered conditional subject
 (TPG201T).</t>
  </si>
  <si>
    <t xml:space="preserve">Student registered conditional subject (ISY34AT). </t>
  </si>
  <si>
    <t>Student registered conditional subject (TPG201T, DSO23BT, ISY23AT).</t>
  </si>
  <si>
    <t xml:space="preserve">Teleki Thobejane
Lelethu Sayedwa
</t>
  </si>
  <si>
    <t>Not Registered</t>
  </si>
  <si>
    <t>Student registered conditional subject (TPG201T,IIE30AT). However there was an agreement to support other registered subjects (DIC101T)</t>
  </si>
  <si>
    <t>TPG201T(Teleki,Lelethu,Tumiso)
,IIE30AT(Mapitso),
DIC101T(Mapitso)</t>
  </si>
  <si>
    <t xml:space="preserve">Waiting For Exite Exam Results </t>
  </si>
  <si>
    <t>Student registered conditional subject (TPG201T). However there was an agreement to support other registered subjects (TPG201T, DIC101T)</t>
  </si>
  <si>
    <t>TPG201T (Teleki, Lelethu, Tumiso), DIC101T (Mapitso)</t>
  </si>
  <si>
    <t xml:space="preserve">Communicated </t>
  </si>
  <si>
    <t>R</t>
  </si>
  <si>
    <t>SHABANGU</t>
  </si>
  <si>
    <t xml:space="preserve">Did Not Register Module TPG 201T </t>
  </si>
  <si>
    <t xml:space="preserve">Student registered conditional subject
 (TPG201T,ISY23BT,DSO23BT). </t>
  </si>
  <si>
    <t>TPG201T (Teleki, Lelethu, Tumiso),
DSO23BT(Lindokuhle,Sevezile)</t>
  </si>
  <si>
    <t>Student registered conditional subject (TPG201T).</t>
  </si>
  <si>
    <t xml:space="preserve">Student registered conditional subjects 
(DSO23AT, ISY23AT,SSF24AT). </t>
  </si>
  <si>
    <t>DSO23AT(Thabang,Lindokuhle)
,ISY23AT(Sevezile)</t>
  </si>
  <si>
    <t>Student registered conditional subjects (TPG201T, ISY23AT). However there was an agreement to support other registered subjects (TPG201T, ISY23AT)</t>
  </si>
  <si>
    <t>TPG201T (Teleki, Lelethu, Tumiso), ISY23AT (Sevezile)</t>
  </si>
  <si>
    <t>Student registered conditional
 subject (TPG201T,ISY34AT,ISY34BT).</t>
  </si>
  <si>
    <t>communicated</t>
  </si>
  <si>
    <t>Student registered conditional
 subject (TPG201T,ISY34AT).</t>
  </si>
  <si>
    <t>K</t>
  </si>
  <si>
    <t>TPG201T failed 3 times, On Probation for DSO34BT. Need to pass TPG201T, DSO34BT. ATTEND 85% CLASSES and interventions.</t>
  </si>
  <si>
    <t>STUDENT MLIST PASS TPG201T DURING S1 2022 AND REPORT FOR ACADEMIC INTERVENTION.</t>
  </si>
  <si>
    <t>STUDENT MUST PASS TPG201T AND IIS301T DURING S1 2022 AND REPORT FOR ACADEMIC INTERVENTION FOR TPG201T.</t>
  </si>
  <si>
    <t>Skosana</t>
  </si>
  <si>
    <t>TSF</t>
  </si>
  <si>
    <t>Skosie9511@gmail.com</t>
  </si>
  <si>
    <t>LIFT EXCLUSION: CONDITION: Need to pass TPG201T(3), ISY23AT(2), DSO23BT(3), attend 85% of classes, and interventions</t>
  </si>
  <si>
    <t>RAMOLOTSHA</t>
  </si>
  <si>
    <t>MAS</t>
  </si>
  <si>
    <t>216324986@tut4life.ac.za</t>
  </si>
  <si>
    <t>LIFT EXCLUSION: CONDITION: Need to pass TPG201T, and DSO34BT ATTEND 85% CLASSES, and interventions</t>
  </si>
  <si>
    <t>Student registered conditional 
subject (TPG201T,DSO34BT).</t>
  </si>
  <si>
    <t>Boketsu</t>
  </si>
  <si>
    <t>NVW</t>
  </si>
  <si>
    <t>n.boketsu@gmail.com</t>
  </si>
  <si>
    <t>LIFT EXCLUSION: CONDITION: Need to pass TPG201T(3),DSO34AT(2),DSO34BT(2),ISY34AT(2),ISY34BT(2), attend 85% classes, and interventions</t>
  </si>
  <si>
    <t>Not added</t>
  </si>
  <si>
    <t>present</t>
  </si>
  <si>
    <t>Student registered conditional subject ISY23AT). However there was an agreement to support other registered subjects (ISY23AT, TPG111T)</t>
  </si>
  <si>
    <t xml:space="preserve">TPG111T
DSO23AT
</t>
  </si>
  <si>
    <t>ISY23AT(Sevezile)
TPG111T(     Lindokuhle Mwandla
Teleki Thobejane
Lelethu Sayedwa).
DSO23AT(Lindokuhle Mwandla
Thabang Sepataka).</t>
  </si>
  <si>
    <t>Student registered 
conditional subjects 
(TPG111T). However 
there was an agreement
 to support other
 registered subjects (DSO23AT)</t>
  </si>
  <si>
    <t>TPG111T(Lindokuhle,
Teleki,Lelethu,Nhlalala)
,DSO23AT(Thabang,Lindokuhle)</t>
  </si>
  <si>
    <t>Student registered conditional subjects (TPG111T). However there was an agreement to support other registered subjects (DSO23BT)</t>
  </si>
  <si>
    <t>TPG111T(Lindokuhle,
Teleki,Lelethu,Nhlalala)</t>
  </si>
  <si>
    <t>Student registered 
conditional subjects 
(TPG111T,ISY23AT).</t>
  </si>
  <si>
    <t>TPG111T (Lindokuhle Mwandla
Teleki Thobejane
Lelethu Sayedwa).
ISY23AT (Sevezile Maluleke).</t>
  </si>
  <si>
    <t>TPG111T (Lindokuhle Mwandla
Teleki Thobejane
Lelethu Sayedwa).
DSO23BT (Sebenzile Maluleke
Lindokuhle Mwandla).
ISY23AT (Sevezile Maluleke).</t>
  </si>
  <si>
    <t>Conditional student 
due to credits.</t>
  </si>
  <si>
    <t>TPG111T
DSO23AT
ISY23ATT</t>
  </si>
  <si>
    <t> Lindokuhle Mwandla
 Teleki Thobejane
 Lelethu Sayedwa</t>
  </si>
  <si>
    <t>Khumalo</t>
  </si>
  <si>
    <t>S.B.L</t>
  </si>
  <si>
    <t>KhumaIolucas865@gmail.com</t>
  </si>
  <si>
    <t>STUDENT NEED TO PASS TPG111T DURING S1 2022 AND REPORT FOR ACADEMIC INTERVENTION.</t>
  </si>
  <si>
    <t>Student need to pass CMK10BT and TPG111T DURING S1 2022 AND REPORT FOR ACADEMIC INTERVENTION.</t>
  </si>
  <si>
    <t>Student must pass TPG111T, ITT10AT, IIE20BT AND GPM20BT DURING S1 2022, REPORT FOR ACADEMIC INTERVENTION</t>
  </si>
  <si>
    <t>tmatlala99@gmail.com</t>
  </si>
  <si>
    <t>MR MASETHE: LIFT EXCLUSION: CONDITION: Student need to pass CFS10BT AND TPG111T</t>
  </si>
  <si>
    <t>Student registered
 conditional subjects
 (CFS10BT)</t>
  </si>
  <si>
    <t>Student registered conditional subjects (DSO17BT, COB30AT, COB30BT, IIE20BT, ITT10BT). However there was an agreement to support other registered subjects (DSO17BT, IIE20BT, ITT10BT).</t>
  </si>
  <si>
    <t>DSO17BT (Lindokuhle, Teleki), IIE20BT (Mapitso, Nhlalala), ITT10BT (Teleki, Lelethu)</t>
  </si>
  <si>
    <t xml:space="preserve">Unreachable </t>
  </si>
  <si>
    <t>Student registered conditional subjects (DSO17T). However there was an agreement to support other registered subjects (DSO17BT, IIE20BT, ITT10BT).</t>
  </si>
  <si>
    <t>IIE20BT
ITT10BT</t>
  </si>
  <si>
    <t>Student registered conditional
 subjects (DSO17BT)</t>
  </si>
  <si>
    <t>DSO17BT
 (Lindokuhle, Teleki)</t>
  </si>
  <si>
    <t>Student registered conditional
 subjects (DSO17BT).</t>
  </si>
  <si>
    <t>Student registered conditional subjects (DSO17BT). However there was an agreement to support other registered subjects (DSO17BT).</t>
  </si>
  <si>
    <t>DSO17BT (Lindokuhle, Teleki)</t>
  </si>
  <si>
    <t>Student registered conditional subjects (DSO17BT). However there was an agreement to support other registered subjects (DSO17BT)</t>
  </si>
  <si>
    <t>Student registered conditional subjects (DSO17BT). However there was an agreement to support other registered subjects (DSO17BT, ISY23AT)</t>
  </si>
  <si>
    <t>DSO17BT (Lindokuhle, Teleki), ISY23AT (Sevezile</t>
  </si>
  <si>
    <t>Student registered conditional
 subjects (DSO17BT).However there was an agreement to support other registered subjects (GUI10BT)</t>
  </si>
  <si>
    <t>DSO17BT
 (Lindokuhle, Teleki),GUI10BT(Philemon)</t>
  </si>
  <si>
    <t>Lindokuhle Mwandla(DSO17BT)
Teleki Thobejane(DSO17BT)</t>
  </si>
  <si>
    <t>Student registered conditional
 subjects (DSO17BT,ISY23AT).</t>
  </si>
  <si>
    <t>DSO17BT
 (Lindokuhle, Teleki),ISY23AT(Sevezile)</t>
  </si>
  <si>
    <t>219939108@tut4life.ac.za</t>
  </si>
  <si>
    <t>Student should register and pass the following modules i.e CMK10BT DSO17BT, DSA20BT, COB30BT and ITT10BT in 2022 Academic Year.</t>
  </si>
  <si>
    <t>not added</t>
  </si>
  <si>
    <t>FL</t>
  </si>
  <si>
    <t>lebogangf.ngobeni@gmail.com</t>
  </si>
  <si>
    <t>Student passes DSO17BT, BUA20BT, and MIS22AT. (a 2019 student, passed all modules registered in 2021 except DSO17BT. Give one last chance based on 2021 perfomance)</t>
  </si>
  <si>
    <t>Shivambu</t>
  </si>
  <si>
    <t>nsovoshivabu@gmail.com</t>
  </si>
  <si>
    <t>Student wont finish within the teach out phase. DOS17BT failed twice, on probation, registered in 2017 (5 years on system)</t>
  </si>
  <si>
    <t>Maelane</t>
  </si>
  <si>
    <t>MK</t>
  </si>
  <si>
    <t>076 441 5654</t>
  </si>
  <si>
    <t>matIawa75@gmail.com</t>
  </si>
  <si>
    <t>Student passes DSO17BT, ASDC11AT, BUA20BT and is to add MIS22AT and must pass it DURING S1 2022 AND REPORT FOR ACADEMIC INTERVENTION FOR DSO17BT.</t>
  </si>
  <si>
    <t>Ngcobo</t>
  </si>
  <si>
    <t>SZ</t>
  </si>
  <si>
    <t>Sibongakonkez75@gmail.co m</t>
  </si>
  <si>
    <t>LIFT EXCLUSION: CONDITION: DSO17BT SPECIAL CASE - STUDENT IS CURRENTLY ON THE MASTER FILE NOTED AS EXCLUDED</t>
  </si>
  <si>
    <t>Mr Masethe: Student passed DSO17BT. LIFT EXCLUSION</t>
  </si>
  <si>
    <t>LIFT EXCLUSION: CONDITION: DSO17BT SPECIAL CASE</t>
  </si>
  <si>
    <t>Student should register and pass the following modules i.e IIE20BT, COB20AT, DSA20ATT, ITT10AT, ITT10BT, TPG12AT, TPG12BT &amp; COB20BT in 2022 Academic Year. he/she must be report for academic intervention.</t>
  </si>
  <si>
    <t>Unreachable
Wrong number</t>
  </si>
  <si>
    <t>Not registered for TPG12BT
Registered for TPG12AT</t>
  </si>
  <si>
    <t>Mooko</t>
  </si>
  <si>
    <t>T N</t>
  </si>
  <si>
    <t> ITN20AT</t>
  </si>
  <si>
    <t>tebelloht@gmail.com</t>
  </si>
  <si>
    <t>Student must pass TPG12BT, ITN20AT, MMN20AT in 2022 Semester 1. Student took 4 years to pass only 8 modules.  Student must report for academic intervention.</t>
  </si>
  <si>
    <t>Student did not register TPG12BT this semester.</t>
  </si>
  <si>
    <t>Student registered conditional subjects (TPG12AT, ITN20AT). However there was an agreement to support other registered subjects (TPG12AT, ISY23AT, GUI10AT)</t>
  </si>
  <si>
    <t>ISY23AT, GUI10AT</t>
  </si>
  <si>
    <t>TPG12AT (Ronaldo, Philemon), ISY23AT (Sevezile), GUI10AT (Philemon)</t>
  </si>
  <si>
    <t>student registered conditional
 subjects (TPG12BT)</t>
  </si>
  <si>
    <t>TPG12AT 
(Ronaldo, Philemon).</t>
  </si>
  <si>
    <t>Not registered for the semester</t>
  </si>
  <si>
    <t>Student registered conditional subjects 
(TPG12BT). However there was an
 agreement to support other registered
 subjects (IIE20BT)</t>
  </si>
  <si>
    <t>TPG12BT(Ronaldo,Philemon),
IIE20BT(Mapitso,Nhlalala)</t>
  </si>
  <si>
    <t>Ngobene</t>
  </si>
  <si>
    <t>217049628@tut4Iife.ac.za</t>
  </si>
  <si>
    <t>The student had difficulty in 2021s1 but has shown great improvement in 2021s2. Student must complete TPG12BT, ITN20BT, and ISY23BT in 2022 s1 AND REPORT FOR ACADEMIC IhITERVENTION.</t>
  </si>
  <si>
    <t>student registered conditional
 subjects (ISY23BT). However
 there was an agreement to
 support other registered 
subjects (TPG12BT, ITN20BT,)</t>
  </si>
  <si>
    <t>ITN20BT,TPG12BT</t>
  </si>
  <si>
    <t>Zitha</t>
  </si>
  <si>
    <t>mrobimrobizitha@gmail.com</t>
  </si>
  <si>
    <t>The student had difficulty in 2021s1 but has shown great improvement in 2021s2. Student must complete TPG12BT, ITN20BT, MMX30AT, and MMX30BT in 2022 s1 AND REPORT FOR ACADEMIC INTERVENTION.</t>
  </si>
  <si>
    <t>The student must pass TPG12BT, ITN20BT, ISY23BT, GUI10BT in 2022 Semester 1 and attend 85% of all contact classes AND REPORT FOR ACADEMIC INTERVENTION.</t>
  </si>
  <si>
    <t>Student left with full 2 years thus 2022 and 2023 to complete studies (4 semesters). Student Failed TPG12AT twice and passed ITT10BT, IIE20BT, DSO17BT and COB20BT in 2021 Academic Year. Teach out Dec 2023. The student is not appearing in the list of IT Department database and we request the committee to uplift the exclusion on the following condition: Student should register and pass the following modules i.e. TPG12AT, TPG12BT, DSA20BT and IDC30AT in 2022 Academic Year.</t>
  </si>
  <si>
    <t>"Student:219548915 should now be able to finish before the phase- out time(June 2023). I recommend the exclusion should be lifted as REGISTERED FOR COB30BT, IDC30AT, TPG12AT S1, 2022 AND TPG12BT AND DSA20BT S2 2022.</t>
  </si>
  <si>
    <t>Student must pass PGG311T and OSY301T during S1 2022.  Academic intervention.</t>
  </si>
  <si>
    <t>STUDENT MUST PASS PGG311T DURING S1 2022 AND REPORT FOR ACADEMIC INTERVENTION.</t>
  </si>
  <si>
    <t>STUDENT MUST PASS PGG311T DURING S1 2002.</t>
  </si>
  <si>
    <t>Moeketsi</t>
  </si>
  <si>
    <t>keoagile624@gmail.com</t>
  </si>
  <si>
    <t>STUDENT MUST PASS DSY231C AND PJT101B DURING S1 2022</t>
  </si>
  <si>
    <t>Student registered 
conditional subjects(PGG311T).</t>
  </si>
  <si>
    <t>PGG311T(Teleki Thobejane).</t>
  </si>
  <si>
    <t>BB</t>
  </si>
  <si>
    <t>The student is not appearing in the list of IT Department database and we request the committee to uplift the exclusion on the following condition: Student should register and pass the following modules i.e. ITT10AT, TPG12AT, IIE20AT, COB20BT or DSA20BT a"&amp;"nd if failed the above modules, he/she wont be able to finish.</t>
  </si>
  <si>
    <t>Student registered conditional subject (ITT10AT). However there was an agreement to support other registered subjects (ITT10AT, IEE20BT, COB20AT, TPG12AT)</t>
  </si>
  <si>
    <t>IEE20BT
TPG12AT</t>
  </si>
  <si>
    <t>Mapitso Kgowana(IIE20BT)
Ronaldo Monyebodi(TPG12AT)
Philemon Maitisa(TPG12AT)</t>
  </si>
  <si>
    <t>Communicated
WhatsApp Num 0749200923</t>
  </si>
  <si>
    <t>Student registered conditional subject (TPG12AT).</t>
  </si>
  <si>
    <t>Ronaldo Monyebodi(TPG12AT) 
Philemon Maitisa(TPG12AT)</t>
  </si>
  <si>
    <t>Passed this module (TPG12AT)</t>
  </si>
  <si>
    <t>Passed this module</t>
  </si>
  <si>
    <t xml:space="preserve">Student registered conditional subjects (TPG12AT). However there was an agreement to support other registered subjects (TPG12AT, GUI10BT). </t>
  </si>
  <si>
    <t>TPG12AT (Ronaldo, Philemon), GUI10BT (Philemon)</t>
  </si>
  <si>
    <t>TPG12AT (Ronaldo, Philemon), ISY23AT (Sevezile), GUI10AT (Sevezile)</t>
  </si>
  <si>
    <t>218042716@tut4life.ac.za</t>
  </si>
  <si>
    <t>219107200@tut4life.ac.za</t>
  </si>
  <si>
    <t>STUDENT MLIST PASS FPPGG01 AND FPDSY01 AND ELC211B DURING S1 2022 AND REPORT FOR ACADEMIC INTERVENTION.</t>
  </si>
  <si>
    <t>219016344@tut4life.ac.za</t>
  </si>
  <si>
    <t>STUDENT MUST PASS FPPGG01 DURING S1 2022</t>
  </si>
  <si>
    <t>Mafuleka</t>
  </si>
  <si>
    <t>SAP</t>
  </si>
  <si>
    <t>sthabilemafuleka@gmail.com</t>
  </si>
  <si>
    <t>Ngwenyama</t>
  </si>
  <si>
    <t>CC</t>
  </si>
  <si>
    <t>chavelelocomfort@gmail.com</t>
  </si>
  <si>
    <t>STUDENT MUST PASS FPPGG01 AND MMA301T DURING S1 2022</t>
  </si>
  <si>
    <t>Muambi</t>
  </si>
  <si>
    <t>muambilufuno@gmail.com</t>
  </si>
  <si>
    <t>LIFTED, MUST PASS FPPGG01,DPC301T</t>
  </si>
  <si>
    <t>Mabunda</t>
  </si>
  <si>
    <t>mabundasenzekile01@gmail.com</t>
  </si>
  <si>
    <t>Hasani</t>
  </si>
  <si>
    <t>RB</t>
  </si>
  <si>
    <t>srisuna64@gmail.com</t>
  </si>
  <si>
    <t>Hoka</t>
  </si>
  <si>
    <t>KA</t>
  </si>
  <si>
    <t>antoinehoka3@gmail.com</t>
  </si>
  <si>
    <t>STUDENT MUST PASS PGG211T AND MAT251 DURING S1 2022 AND REPORT FOR ACADEMIC INTERVENTION</t>
  </si>
  <si>
    <t>Student registered conditional
subjects(PGG211T).</t>
  </si>
  <si>
    <t>unreachable</t>
  </si>
  <si>
    <t>212118222@tut4life.ac.za</t>
  </si>
  <si>
    <t>Student should register and pass the following modules i.e. ITT10BT, DSA30BT, COB30BT, DSA30AT, COB30AT and IDC30AT in 2022 Academic Year.</t>
  </si>
  <si>
    <t>Student registered conditional
subjects(PGG211T). However there was an agreement to support other registered subjects(ITT10BT).</t>
  </si>
  <si>
    <t>ITT10BT (Teleki, Lelethu)</t>
  </si>
  <si>
    <t xml:space="preserve">OSY301T </t>
  </si>
  <si>
    <t xml:space="preserve">STUDENT CONDITIONS </t>
  </si>
  <si>
    <t xml:space="preserve">NOT COMMUNICATED </t>
  </si>
  <si>
    <t xml:space="preserve">ADDED </t>
  </si>
  <si>
    <t xml:space="preserve">REGISTERED </t>
  </si>
  <si>
    <t>COMMUNICATED</t>
  </si>
  <si>
    <t>STUDENT CONDITION</t>
  </si>
  <si>
    <t xml:space="preserve">Not added </t>
  </si>
  <si>
    <t>Student registered for conditional subjects (TPG111T, DSO23AT).</t>
  </si>
  <si>
    <t>TPG111T(Lindokuhle Mwandla
Teleki Thobejane
Lelethu Sayedwa).
DSO23AT(Thabang Sepataka
Lindokuhle Mwandla).</t>
  </si>
  <si>
    <t>Student is on conditional due to credits.</t>
  </si>
  <si>
    <t>Student registered. However there was an agreement to support other registered subjects (TPG111T, DSO23AT, ISY23ATT)</t>
  </si>
  <si>
    <t>Thabang Sepataka
Lindokuhle Mwandla</t>
  </si>
  <si>
    <t>Dikobe</t>
  </si>
  <si>
    <t>KB</t>
  </si>
  <si>
    <t>koketsodikobe04@gmaiI.com</t>
  </si>
  <si>
    <t>Student passes all subject registered (ACS11BT, BUA20BT, DSO23AT, MIS22AT)</t>
  </si>
  <si>
    <t>Mbokazi</t>
  </si>
  <si>
    <t>T.M</t>
  </si>
  <si>
    <t>thandombokazi67@gmail.com</t>
  </si>
  <si>
    <t>Student passed BUA20BT, ISY23AT and DSO23AT. Student cannot afford to fail any modules, should he/she fail, will not complete within teach out period.</t>
  </si>
  <si>
    <t>ISY23AT FAILED 3 TIMES.  REGISTERED IN 2015. TPG201T MIGHT ME FAILED DUE TO FAILING TPG111T.   FAILED TPG111T 4 TIMES.  TPG111T WAS PASSED NOW VIA A SPECIAL TEST.  DSO23BT MUST BE PASSED DURING S1 2022. SSF24BT MUST ALSO BE PASSED DURING S1 2022 AND GET A"&amp;"CADEMIC INTERVENTION.</t>
  </si>
  <si>
    <t xml:space="preserve">Student registered conditional subject (TPG201T, ISY23AT, DSO23BT). </t>
  </si>
  <si>
    <t>Lindokuhle Mwandla
Sebenzile Maluleke</t>
  </si>
  <si>
    <t xml:space="preserve">Student registered 
conditional subject 
(TPG201T, DSO23BT). </t>
  </si>
  <si>
    <t>TPG201T(Teleki,
Lelethu,Tumiso)
,DSO23BT(Sevezile,Lindokuhle)</t>
  </si>
  <si>
    <t>Shobede</t>
  </si>
  <si>
    <t>L.T</t>
  </si>
  <si>
    <t>215170144@tut4life.ac.za</t>
  </si>
  <si>
    <t>Student passes DSO23BT (ONLY SUBJECT HE/SHE CAN REGISTER, Blocking level 3 DSOs)</t>
  </si>
  <si>
    <t>Muvhango</t>
  </si>
  <si>
    <t>215732010@tut4Iife.ac.za</t>
  </si>
  <si>
    <t>Student passes DSO23BT and BUA20BT</t>
  </si>
  <si>
    <t>Takalani</t>
  </si>
  <si>
    <t>216049594@tut4life.ac.za</t>
  </si>
  <si>
    <t>Student passes DSO23BT and BUA30AT</t>
  </si>
  <si>
    <t>Mbuyane</t>
  </si>
  <si>
    <t>goldennjabulo2@gmaiI.com</t>
  </si>
  <si>
    <t>Student passes ASC11AT, BUA20BT, DSO23BT, ISY23AT and MIS22AT. studnet does not have room to repeat any modules. all modules registered for should be passed in each semester.</t>
  </si>
  <si>
    <t>Yose</t>
  </si>
  <si>
    <t>217315514@tut4life.ac.za</t>
  </si>
  <si>
    <t>LIFT EXCLUSION: CONDITION: Student need to pass DSO23BT</t>
  </si>
  <si>
    <t>Student registered 
conditional subject 
(DS023BT)</t>
  </si>
  <si>
    <t>DSO23BT(Lindokuhle,
Sevezile)</t>
  </si>
  <si>
    <t>Sambo</t>
  </si>
  <si>
    <t>VK</t>
  </si>
  <si>
    <t>vuyanikezner@gmail.com</t>
  </si>
  <si>
    <t>MS MOGASE: needs 3 semesters to complete, 4 semesters to teach out the qualification Remaining with 6 modules Remaining with 6 modules 5 years in the system, 1st Registration is 2017 Problematic subject Is DSO23BT - DECISION Lift Exclusion. CONDITION :Student passes DSO23BT, ISY23BT and BUA30BT.</t>
  </si>
  <si>
    <t>ISY23AT
DSO23BT</t>
  </si>
  <si>
    <t xml:space="preserve">  </t>
  </si>
  <si>
    <t>Not on WhatsApp</t>
  </si>
  <si>
    <t>Student registered conditional subject (TPG201T, ISY23AT). However there was an agreement to support other registered subjects (TPG201T, ISY23AT)</t>
  </si>
  <si>
    <t>Added, but left the
Group.</t>
  </si>
  <si>
    <t xml:space="preserve">Student registered 
conditional subject
 (TPG111T, ISY23AT). </t>
  </si>
  <si>
    <t>Conditional student
 due to Credits</t>
  </si>
  <si>
    <t>TPG111T
ISY23AT
DSO23AT</t>
  </si>
  <si>
    <t xml:space="preserve">Lindokuhle Mwandla
Teleki Thobejane
Lelethu Sayedwa
</t>
  </si>
  <si>
    <t xml:space="preserve">Student registered 
conditional subject
 (DSO17BT, ISY23AT). </t>
  </si>
  <si>
    <t>DSO17BT (Lindokuhle, Teleki)
, ISY23AT (Sevezile</t>
  </si>
  <si>
    <t>Kunene</t>
  </si>
  <si>
    <t>Si</t>
  </si>
  <si>
    <t>214043718@tut4life.ac.za</t>
  </si>
  <si>
    <t>Student must pass BUA30BT, ISY23AT, and MIS22BT.</t>
  </si>
  <si>
    <t>Mathebula</t>
  </si>
  <si>
    <t>smoshmolech@icloud.com</t>
  </si>
  <si>
    <t>Student must complete CMK10BT, ISY23AT, GUI10BT and MMZ30AT in 2022 s1 AND REPORT FOR ACADEMIC INTERVENTION.</t>
  </si>
  <si>
    <t>Xakata</t>
  </si>
  <si>
    <t>214752042@tut4life.ac.za</t>
  </si>
  <si>
    <t>MS MOGASE: needs 2 semesters to complete the qualification Remaining modules = 3 (DSO35BT, BUA30AT and IDC30BB) in 2015 Was excluded in 2017 but looks like it was uplifted cause he registered for that academic year ASC11AT, ISY23AT, ISY23BT, DECISION: Lift Exclusion. CONDITION: Student passes DSO35BT and BUA30AT. Row 1004 on master file.</t>
  </si>
  <si>
    <t>SEMOSA</t>
  </si>
  <si>
    <t>RT</t>
  </si>
  <si>
    <t>rialeboga5@gmail.com</t>
  </si>
  <si>
    <t>Student passes ISY23BT, BUA30AT, BUA30BT, and DSO35BT</t>
  </si>
  <si>
    <t>Vilakazi</t>
  </si>
  <si>
    <t>mthokozivilakazi@gmail.com</t>
  </si>
  <si>
    <t>Student passed ISY23BT</t>
  </si>
  <si>
    <t>ISY34AT failed 4 times, and passed exit exam. Student left with IDC30BT.</t>
  </si>
  <si>
    <t>STUDENT MUST PASS DSO24BT AND TPG201T DURING S1 2022 AND REPORT FOR ACADEMIC INTERVENTION. STUDENT WILL BE ABLE TO FINISH WITHIN TEACH OUT PLAN.</t>
  </si>
  <si>
    <t>Rammutla</t>
  </si>
  <si>
    <t>MP</t>
  </si>
  <si>
    <t>trammutIa24@gmail.com</t>
  </si>
  <si>
    <t>Student can still finish in one semester if, the student pass DSO34BT</t>
  </si>
  <si>
    <t xml:space="preserve">Comminucated </t>
  </si>
  <si>
    <t>Added but left the group</t>
  </si>
  <si>
    <t xml:space="preserve">Not communicated </t>
  </si>
  <si>
    <t>added</t>
  </si>
  <si>
    <t>Not on whatapp</t>
  </si>
  <si>
    <t>218470912@tut4life.ac.za</t>
  </si>
  <si>
    <t>Student should register and pass the following modules i.e. IIE20BT, DSA30BT, COB30BT &amp; DSA30AT in 2022 Academic Year.</t>
  </si>
  <si>
    <t xml:space="preserve"> unreachable</t>
  </si>
  <si>
    <t>Student registered conditional subjects (DSO17BT, COB30BT). However there was an agreement to support other registered subjects (DSO17BT)</t>
  </si>
  <si>
    <t>2145544709@tut4life.ac.za</t>
  </si>
  <si>
    <t>Student should register and pass the following modules i.e. DSA30BT and IDC30BC in 2022 Academic Yeai</t>
  </si>
  <si>
    <t>Student must report for academic intervention. Student should register and pass the following module TPG12AT, IIE20BT, COB30BT, DSA30BT and IDC30BE in 2022 Academic Year.</t>
  </si>
  <si>
    <t>C</t>
  </si>
  <si>
    <t>Mabena</t>
  </si>
  <si>
    <t>TN</t>
  </si>
  <si>
    <t>mabenanaphty@gmail.com</t>
  </si>
  <si>
    <t>Student left with IDC30BT</t>
  </si>
  <si>
    <t>Masindi</t>
  </si>
  <si>
    <t>mcicalvin@gmail.com</t>
  </si>
  <si>
    <t>Student must pass IDC30BT in 2022 s1.</t>
  </si>
  <si>
    <t>Mphai</t>
  </si>
  <si>
    <t>BTL</t>
  </si>
  <si>
    <t>lazi.mphai@gmail.com</t>
  </si>
  <si>
    <t>STUDENT'S CONDITION</t>
  </si>
  <si>
    <t>217345740@tut.ac.za</t>
  </si>
  <si>
    <t>NOT ADDED</t>
  </si>
  <si>
    <t>Unreacheable</t>
  </si>
  <si>
    <t>Student need to be monitored strictly, he/she must be allowed to register TPG12AT, TPG12BT, IIE20BT, COB20BT, DSA20BT and IDC30AT in 2022 Academic Year</t>
  </si>
  <si>
    <t>Student should report for academic intervention. Student should register and pass the following modules i.e DSO17BT, ITT10BT, IIE20BT, DSA20BT and IDc30AT in 2022 Academic Year.</t>
  </si>
  <si>
    <t>Student should report for academic intervention. Student should register and pass the following module COB20BT, DSO17BT, ITT10BT, DSA20BT, COB20BT &amp; , IDC30AT in 2022 Academic Year.</t>
  </si>
  <si>
    <t>Student should report for academic intervention.  Student should register and pass the following module DSO17BT, IIE20BT, DSA20BT, COB20BT and IDC30AT in 2022 Academic Year.</t>
  </si>
  <si>
    <t>I</t>
  </si>
  <si>
    <t>PASS ISY23BT, BUA30BT AND IDC30AT S1 2022 + REPORT FOR ACADEMIC INTERVENTION</t>
  </si>
  <si>
    <t>Moropene</t>
  </si>
  <si>
    <t>thapeloteekaymoropene@gmail.com</t>
  </si>
  <si>
    <t>student passes BUA30AT and DSO35BT</t>
  </si>
  <si>
    <t>Latsha</t>
  </si>
  <si>
    <t>AL</t>
  </si>
  <si>
    <t>215017117@tut4life.ac.za</t>
  </si>
  <si>
    <t>LIFTED, STUDENT MUST PASS ELC211B, LOD311B</t>
  </si>
  <si>
    <t>UNREACHABLE</t>
  </si>
  <si>
    <t>NOT REGISTERED FOR CONDITIONAL SUBJECT</t>
  </si>
  <si>
    <t>ADDED</t>
  </si>
  <si>
    <t xml:space="preserve">NOT ON WHATSAPP </t>
  </si>
  <si>
    <t xml:space="preserve">COMMUNICATED </t>
  </si>
  <si>
    <t xml:space="preserve">Student registered conditional subjects (LOD311B). </t>
  </si>
  <si>
    <t>LOD311B(Mapitso Kgowana).</t>
  </si>
  <si>
    <t xml:space="preserve"> </t>
  </si>
  <si>
    <t>STUDENT NEED TO PASS LOD311B DURING S1 2022 AND REPORT FOR ACADEMIC INTERVENTION.</t>
  </si>
  <si>
    <t>SB</t>
  </si>
  <si>
    <t>jamose1319@gmail.com</t>
  </si>
  <si>
    <t>Student must pass remaining subject and LOD311B during s1 2022</t>
  </si>
  <si>
    <t>Communicated
Student is registered at Emalahleni campus</t>
  </si>
  <si>
    <t>Manyako</t>
  </si>
  <si>
    <t>O S</t>
  </si>
  <si>
    <t> PPAF05D</t>
  </si>
  <si>
    <t>manyakoofentse09@gmail.com</t>
  </si>
  <si>
    <t>Student must pass PPAF05D and INFF25D.</t>
  </si>
  <si>
    <t>Student registered conditional subject (PPAF05D, INFF25D). However there was an agreement to support other registered subjects (PPAF05D, CFBF15D).</t>
  </si>
  <si>
    <t>PPAF05D (Ronaldo), CFBF15D (Ronaldo)</t>
  </si>
  <si>
    <t>Kgaffe</t>
  </si>
  <si>
    <t>T M</t>
  </si>
  <si>
    <t>214311933@tut4life.ac.za</t>
  </si>
  <si>
    <t>Student must be referred to SDS. Student must pass PPAF05D in 2022..</t>
  </si>
  <si>
    <t>Zondo</t>
  </si>
  <si>
    <t>OS</t>
  </si>
  <si>
    <t>oscarsibongakonke10@gmail.com</t>
  </si>
  <si>
    <t>Student must pass COHF05D and PPAF05D..</t>
  </si>
  <si>
    <t>Only 1 subject passed in a period of 2 years (INFF25D) . Decision — Exclude : Student not coping in IT — Refer to SDS</t>
  </si>
  <si>
    <t>PL</t>
  </si>
  <si>
    <t> CFBF15D</t>
  </si>
  <si>
    <t>220725758@tut4life.ac.za</t>
  </si>
  <si>
    <t>Student must pass CFBF15D, COHF05D.</t>
  </si>
  <si>
    <t> COHFO5D</t>
  </si>
  <si>
    <t xml:space="preserve">Mmatsoetji </t>
  </si>
  <si>
    <t>CS</t>
  </si>
  <si>
    <t>0823684488 or 0679099728</t>
  </si>
  <si>
    <t>charloZeeMmatsoetjI@gmail.com</t>
  </si>
  <si>
    <t>Student must pass ITN20AT in 2022 semester 1 and report for academic intervention.</t>
  </si>
  <si>
    <t>ZL</t>
  </si>
  <si>
    <t>zipholsithole@gmail.com</t>
  </si>
  <si>
    <t>Student must pass MMX30AT in 2022 Semester 1.</t>
  </si>
  <si>
    <t>Mnguni</t>
  </si>
  <si>
    <t>lindokuhlemnguni56@gmail.com</t>
  </si>
  <si>
    <t>Student must pass MMX30AT in 2022 Semester 1.  85% class attendance compulsory</t>
  </si>
  <si>
    <t>Student registered conditional 
subjects(MMC30BT,MMX30AT)</t>
  </si>
  <si>
    <t>Ngxongo</t>
  </si>
  <si>
    <t> MMX30BT</t>
  </si>
  <si>
    <t>ayandangxongo2@gmail.com</t>
  </si>
  <si>
    <t>Student must pass MMX30BT in 2022 Semester 1.</t>
  </si>
  <si>
    <t>Baloyi</t>
  </si>
  <si>
    <t> HSPF15D</t>
  </si>
  <si>
    <t>thandobaloyi223@gmail.com</t>
  </si>
  <si>
    <t xml:space="preserve">STUDENT MUST PASS HSPF15D &amp; DSMF06D DURING S1 2022. </t>
  </si>
  <si>
    <t>Student registered conditional subject
 (PPAF05D). However there was an
 agreement to support other 
registered subjects (HSPF15D)</t>
  </si>
  <si>
    <t>PPAF05D(Ronaldo),
HSPF15D(Ronaldo)</t>
  </si>
  <si>
    <t xml:space="preserve">  DSO35BT </t>
  </si>
  <si>
    <t>STUDENT MUST PASS DSO35BT DURING S1 2022.</t>
  </si>
  <si>
    <t>ASC11AT</t>
  </si>
  <si>
    <t>TPG12BT(Philemon,Ronaldo)
ITN20BT(Philemon)</t>
  </si>
  <si>
    <t>218269249@tut4life.ac.za</t>
  </si>
  <si>
    <t xml:space="preserve">IIS301T </t>
  </si>
  <si>
    <t xml:space="preserve">GPM20BT </t>
  </si>
  <si>
    <t xml:space="preserve">CFS10BT </t>
  </si>
  <si>
    <t xml:space="preserve">MAT251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</si>
</sst>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10"/>
      <color rgb="FF000000"/>
      <name val="Arial"/>
      <family val="2"/>
    </font>
    <font>
      <sz val="10"/>
      <color rgb="FF000000"/>
      <name val="Arial"/>
      <family val="2"/>
      <charset val="1"/>
    </font>
    <font>
      <u/>
      <sz val="10"/>
      <color theme="10"/>
      <name val="Arial"/>
    </font>
    <font>
      <sz val="10"/>
      <color rgb="FF000000"/>
      <name val="Arial"/>
    </font>
    <font>
      <sz val="10"/>
      <color rgb="FF000000"/>
      <name val="Times New Roman"/>
      <family val="1"/>
      <charset val="1"/>
    </font>
    <font>
      <sz val="10"/>
      <color rgb="FF000000"/>
      <name val="Arial"/>
      <charset val="1"/>
    </font>
    <font>
      <sz val="10"/>
      <color rgb="FF000000"/>
      <name val="Arial MT"/>
      <family val="2"/>
      <charset val="1"/>
    </font>
    <font>
      <b/>
      <sz val="9"/>
      <color theme="1"/>
      <name val="Calibri"/>
      <family val="2"/>
      <scheme val="minor"/>
    </font>
    <font>
      <sz val="11"/>
      <color rgb="FFFF0000"/>
      <name val="Calibri"/>
      <family val="2"/>
      <scheme val="minor"/>
    </font>
    <font>
      <sz val="11"/>
      <color rgb="FF70AD47"/>
      <name val="Calibri"/>
      <family val="2"/>
      <scheme val="minor"/>
    </font>
    <font>
      <sz val="11"/>
      <color rgb="FF5B9BD5"/>
      <name val="Calibri"/>
      <family val="2"/>
      <scheme val="minor"/>
    </font>
    <font>
      <sz val="11"/>
      <color rgb="FF4472C4"/>
      <name val="Calibri"/>
      <family val="2"/>
      <scheme val="minor"/>
    </font>
    <font>
      <sz val="11"/>
      <color rgb="FFC65911"/>
      <name val="Calibri"/>
      <family val="2"/>
      <scheme val="minor"/>
    </font>
    <font>
      <sz val="11"/>
      <color rgb="FFF4B084"/>
      <name val="Calibri"/>
      <family val="2"/>
      <scheme val="minor"/>
    </font>
    <font>
      <sz val="11"/>
      <color rgb="FF00B050"/>
      <name val="Calibri"/>
      <family val="2"/>
      <scheme val="minor"/>
    </font>
    <font>
      <sz val="11"/>
      <color rgb="FF0070C0"/>
      <name val="Calibri"/>
      <family val="2"/>
      <scheme val="minor"/>
    </font>
    <font>
      <sz val="11"/>
      <color rgb="FF000000"/>
      <name val="Calibri"/>
      <family val="2"/>
      <scheme val="minor"/>
    </font>
    <font>
      <sz val="10"/>
      <color theme="1"/>
      <name val="Arial"/>
    </font>
    <font>
      <sz val="10"/>
      <color rgb="FFFF0000"/>
      <name val="Arial"/>
      <family val="2"/>
    </font>
    <font>
      <u/>
      <sz val="11"/>
      <color rgb="FF000000"/>
      <name val="Calibri"/>
      <family val="2"/>
      <scheme val="minor"/>
    </font>
    <font>
      <sz val="11"/>
      <color rgb="FF000000"/>
      <name val="Calibri"/>
      <charset val="1"/>
    </font>
    <font>
      <b/>
      <sz val="11"/>
      <color rgb="FF000000"/>
      <name val="Calibri"/>
      <charset val="1"/>
    </font>
    <font>
      <sz val="10"/>
      <color rgb="FF0D0D0D"/>
      <name val="Arial"/>
      <family val="2"/>
    </font>
    <font>
      <sz val="11"/>
      <color rgb="FF0D0D0D"/>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C0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261">
    <xf numFmtId="0" fontId="0" fillId="0" borderId="0" xfId="0"/>
    <xf numFmtId="0" fontId="1" fillId="2" borderId="1" xfId="0" applyFont="1" applyFill="1" applyBorder="1"/>
    <xf numFmtId="0" fontId="2" fillId="0" borderId="1" xfId="0" applyFont="1" applyBorder="1" applyAlignment="1">
      <alignment wrapText="1"/>
    </xf>
    <xf numFmtId="0" fontId="0" fillId="0" borderId="1" xfId="0" applyBorder="1"/>
    <xf numFmtId="0" fontId="2" fillId="0" borderId="2" xfId="0" applyFont="1" applyBorder="1" applyAlignment="1">
      <alignment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applyAlignment="1">
      <alignment horizontal="left" wrapText="1"/>
    </xf>
    <xf numFmtId="0" fontId="2" fillId="0" borderId="0" xfId="0" applyFont="1"/>
    <xf numFmtId="0" fontId="2" fillId="0" borderId="5" xfId="0" applyFont="1" applyBorder="1" applyAlignment="1">
      <alignment wrapText="1"/>
    </xf>
    <xf numFmtId="0" fontId="4" fillId="0" borderId="2"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5" fillId="0" borderId="2" xfId="0" applyFont="1" applyBorder="1"/>
    <xf numFmtId="0" fontId="6" fillId="0" borderId="2" xfId="1" applyFont="1" applyFill="1" applyBorder="1"/>
    <xf numFmtId="0" fontId="5" fillId="0" borderId="2" xfId="0" applyFont="1" applyBorder="1" applyAlignment="1">
      <alignment wrapText="1"/>
    </xf>
    <xf numFmtId="0" fontId="5" fillId="0" borderId="6" xfId="0" applyFont="1" applyBorder="1"/>
    <xf numFmtId="0" fontId="6" fillId="0" borderId="6" xfId="1" applyFont="1" applyBorder="1"/>
    <xf numFmtId="0" fontId="5" fillId="0" borderId="5" xfId="0" applyFont="1" applyBorder="1" applyAlignment="1">
      <alignment wrapText="1"/>
    </xf>
    <xf numFmtId="0" fontId="7" fillId="0" borderId="7" xfId="0" applyFont="1" applyBorder="1"/>
    <xf numFmtId="0" fontId="7" fillId="0" borderId="0" xfId="0" applyFont="1"/>
    <xf numFmtId="0" fontId="7" fillId="0" borderId="6" xfId="0" applyFont="1" applyBorder="1"/>
    <xf numFmtId="0" fontId="3" fillId="0" borderId="7" xfId="1" applyFill="1" applyBorder="1" applyAlignment="1"/>
    <xf numFmtId="0" fontId="5" fillId="0" borderId="8" xfId="0" applyFont="1" applyBorder="1" applyAlignment="1">
      <alignment wrapText="1"/>
    </xf>
    <xf numFmtId="0" fontId="7" fillId="0" borderId="2" xfId="0" applyFont="1" applyBorder="1"/>
    <xf numFmtId="0" fontId="1" fillId="2" borderId="10" xfId="0" applyFont="1" applyFill="1" applyBorder="1"/>
    <xf numFmtId="0" fontId="5" fillId="0" borderId="4" xfId="0" applyFont="1" applyBorder="1"/>
    <xf numFmtId="0" fontId="3" fillId="0" borderId="4" xfId="1" applyFill="1" applyBorder="1" applyAlignment="1"/>
    <xf numFmtId="0" fontId="8" fillId="0" borderId="4" xfId="0" applyFont="1" applyBorder="1"/>
    <xf numFmtId="0" fontId="5" fillId="0" borderId="7" xfId="0" applyFont="1" applyBorder="1"/>
    <xf numFmtId="0" fontId="5" fillId="0" borderId="6" xfId="0" applyFont="1" applyBorder="1" applyAlignment="1">
      <alignment wrapText="1"/>
    </xf>
    <xf numFmtId="0" fontId="5" fillId="0" borderId="7" xfId="0" applyFont="1" applyBorder="1" applyAlignment="1">
      <alignment wrapText="1"/>
    </xf>
    <xf numFmtId="0" fontId="3" fillId="0" borderId="7" xfId="1" applyFill="1" applyBorder="1" applyAlignment="1">
      <alignment wrapText="1"/>
    </xf>
    <xf numFmtId="0" fontId="5" fillId="0" borderId="4" xfId="0" applyFont="1" applyBorder="1" applyAlignment="1">
      <alignment wrapText="1"/>
    </xf>
    <xf numFmtId="0" fontId="5" fillId="0" borderId="11" xfId="0" applyFont="1" applyBorder="1"/>
    <xf numFmtId="0" fontId="5" fillId="0" borderId="12" xfId="0" applyFont="1" applyBorder="1"/>
    <xf numFmtId="0" fontId="5" fillId="0" borderId="12" xfId="0" applyFont="1" applyBorder="1" applyAlignment="1">
      <alignment wrapText="1"/>
    </xf>
    <xf numFmtId="0" fontId="8" fillId="0" borderId="7" xfId="0" applyFont="1" applyBorder="1"/>
    <xf numFmtId="0" fontId="8" fillId="0" borderId="12" xfId="0" applyFont="1" applyBorder="1"/>
    <xf numFmtId="0" fontId="8" fillId="0" borderId="2" xfId="0" applyFont="1" applyBorder="1"/>
    <xf numFmtId="0" fontId="8" fillId="0" borderId="6" xfId="0" applyFont="1" applyBorder="1"/>
    <xf numFmtId="0" fontId="7" fillId="0" borderId="5" xfId="0" applyFont="1" applyBorder="1"/>
    <xf numFmtId="0" fontId="7" fillId="0" borderId="8" xfId="0" applyFont="1" applyBorder="1"/>
    <xf numFmtId="0" fontId="10" fillId="0" borderId="5" xfId="0" applyFont="1" applyBorder="1"/>
    <xf numFmtId="0" fontId="3" fillId="0" borderId="8" xfId="1" applyFill="1" applyBorder="1" applyAlignment="1"/>
    <xf numFmtId="0" fontId="8" fillId="0" borderId="8" xfId="0" applyFont="1" applyBorder="1"/>
    <xf numFmtId="0" fontId="10" fillId="0" borderId="8" xfId="0" applyFont="1" applyBorder="1"/>
    <xf numFmtId="0" fontId="10" fillId="0" borderId="8" xfId="0" applyFont="1" applyBorder="1" applyAlignment="1">
      <alignment wrapText="1"/>
    </xf>
    <xf numFmtId="0" fontId="7" fillId="0" borderId="4" xfId="0" applyFont="1" applyBorder="1"/>
    <xf numFmtId="0" fontId="10" fillId="0" borderId="4" xfId="0" applyFont="1" applyBorder="1" applyAlignment="1">
      <alignment wrapText="1"/>
    </xf>
    <xf numFmtId="0" fontId="10" fillId="0" borderId="2" xfId="0" applyFont="1" applyBorder="1"/>
    <xf numFmtId="0" fontId="10" fillId="0" borderId="6" xfId="0" applyFont="1" applyBorder="1"/>
    <xf numFmtId="0" fontId="10" fillId="0" borderId="7" xfId="0" applyFont="1" applyBorder="1" applyAlignment="1">
      <alignment wrapText="1"/>
    </xf>
    <xf numFmtId="0" fontId="7" fillId="0" borderId="11" xfId="0" applyFont="1" applyBorder="1"/>
    <xf numFmtId="0" fontId="7" fillId="0" borderId="12" xfId="0" applyFont="1" applyBorder="1"/>
    <xf numFmtId="0" fontId="10" fillId="0" borderId="11" xfId="0" applyFont="1" applyBorder="1"/>
    <xf numFmtId="0" fontId="3" fillId="0" borderId="12" xfId="1" applyFill="1" applyBorder="1" applyAlignment="1"/>
    <xf numFmtId="0" fontId="10" fillId="0" borderId="12" xfId="0" applyFont="1" applyBorder="1"/>
    <xf numFmtId="0" fontId="10" fillId="0" borderId="12" xfId="0" applyFont="1" applyBorder="1" applyAlignment="1">
      <alignment wrapText="1"/>
    </xf>
    <xf numFmtId="0" fontId="10" fillId="0" borderId="4" xfId="0" applyFont="1" applyBorder="1"/>
    <xf numFmtId="0" fontId="10" fillId="0" borderId="2" xfId="0" applyFont="1" applyBorder="1" applyAlignment="1">
      <alignment wrapText="1"/>
    </xf>
    <xf numFmtId="0" fontId="8" fillId="0" borderId="4" xfId="0" applyFont="1" applyBorder="1" applyAlignment="1">
      <alignment wrapText="1"/>
    </xf>
    <xf numFmtId="0" fontId="7" fillId="0" borderId="0" xfId="0" applyFont="1" applyAlignment="1">
      <alignment wrapText="1"/>
    </xf>
    <xf numFmtId="0" fontId="8" fillId="0" borderId="2" xfId="0" applyFont="1" applyBorder="1" applyAlignment="1">
      <alignment wrapText="1"/>
    </xf>
    <xf numFmtId="0" fontId="10" fillId="0" borderId="7" xfId="0" applyFont="1" applyBorder="1"/>
    <xf numFmtId="0" fontId="1" fillId="2" borderId="0" xfId="0" applyFont="1" applyFill="1"/>
    <xf numFmtId="0" fontId="1" fillId="2" borderId="0" xfId="0" applyFont="1" applyFill="1" applyAlignment="1">
      <alignment wrapText="1"/>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 fillId="2" borderId="0" xfId="0" applyFont="1" applyFill="1" applyAlignment="1">
      <alignment horizontal="center"/>
    </xf>
    <xf numFmtId="0" fontId="11" fillId="2" borderId="0" xfId="0" applyFont="1" applyFill="1" applyAlignment="1">
      <alignment horizontal="center" wrapText="1"/>
    </xf>
    <xf numFmtId="0" fontId="0" fillId="0" borderId="0" xfId="0" applyAlignment="1">
      <alignment horizontal="center"/>
    </xf>
    <xf numFmtId="0" fontId="12" fillId="0" borderId="0" xfId="0" applyFont="1" applyAlignment="1">
      <alignment horizontal="center"/>
    </xf>
    <xf numFmtId="0" fontId="20" fillId="0" borderId="0" xfId="0" applyFont="1" applyAlignment="1">
      <alignment horizontal="center"/>
    </xf>
    <xf numFmtId="0" fontId="0" fillId="3" borderId="1" xfId="0" applyFill="1" applyBorder="1"/>
    <xf numFmtId="0" fontId="2" fillId="5" borderId="1" xfId="0" applyFont="1" applyFill="1" applyBorder="1" applyAlignment="1">
      <alignment wrapText="1"/>
    </xf>
    <xf numFmtId="0" fontId="0" fillId="5" borderId="1" xfId="0" applyFill="1" applyBorder="1"/>
    <xf numFmtId="0" fontId="2" fillId="5" borderId="2" xfId="0" applyFont="1" applyFill="1" applyBorder="1" applyAlignment="1">
      <alignment wrapText="1"/>
    </xf>
    <xf numFmtId="0" fontId="2" fillId="3" borderId="2" xfId="0" applyFont="1" applyFill="1" applyBorder="1" applyAlignment="1">
      <alignment wrapText="1"/>
    </xf>
    <xf numFmtId="0" fontId="0" fillId="3" borderId="0" xfId="0" applyFill="1"/>
    <xf numFmtId="0" fontId="21" fillId="3" borderId="2" xfId="0" applyFont="1" applyFill="1" applyBorder="1" applyAlignment="1">
      <alignment wrapText="1"/>
    </xf>
    <xf numFmtId="0" fontId="2" fillId="6" borderId="2" xfId="0" applyFont="1" applyFill="1" applyBorder="1" applyAlignment="1">
      <alignment wrapText="1"/>
    </xf>
    <xf numFmtId="0" fontId="2" fillId="5" borderId="5" xfId="0" applyFont="1" applyFill="1" applyBorder="1" applyAlignment="1">
      <alignment wrapText="1"/>
    </xf>
    <xf numFmtId="0" fontId="10" fillId="5" borderId="2" xfId="0" applyFont="1" applyFill="1" applyBorder="1"/>
    <xf numFmtId="0" fontId="8" fillId="5" borderId="4" xfId="0" applyFont="1" applyFill="1" applyBorder="1"/>
    <xf numFmtId="0" fontId="8" fillId="5" borderId="13" xfId="0" applyFont="1" applyFill="1" applyBorder="1"/>
    <xf numFmtId="0" fontId="7" fillId="5" borderId="2" xfId="0" applyFont="1" applyFill="1" applyBorder="1"/>
    <xf numFmtId="0" fontId="10" fillId="5" borderId="4" xfId="0" applyFont="1" applyFill="1" applyBorder="1" applyAlignment="1">
      <alignment wrapText="1"/>
    </xf>
    <xf numFmtId="0" fontId="4" fillId="3" borderId="2" xfId="0" applyFont="1" applyFill="1" applyBorder="1" applyAlignment="1">
      <alignment wrapText="1"/>
    </xf>
    <xf numFmtId="0" fontId="4" fillId="3" borderId="4" xfId="0" applyFont="1" applyFill="1" applyBorder="1" applyAlignment="1">
      <alignment wrapText="1"/>
    </xf>
    <xf numFmtId="0" fontId="4" fillId="5" borderId="2" xfId="0" applyFont="1" applyFill="1" applyBorder="1" applyAlignment="1">
      <alignment wrapText="1"/>
    </xf>
    <xf numFmtId="0" fontId="4" fillId="5" borderId="4" xfId="0" applyFont="1" applyFill="1" applyBorder="1" applyAlignment="1">
      <alignment wrapText="1"/>
    </xf>
    <xf numFmtId="0" fontId="5" fillId="5" borderId="6" xfId="0" applyFont="1" applyFill="1" applyBorder="1"/>
    <xf numFmtId="0" fontId="7" fillId="5" borderId="7" xfId="0" applyFont="1" applyFill="1" applyBorder="1"/>
    <xf numFmtId="0" fontId="7" fillId="5" borderId="0" xfId="0" applyFont="1" applyFill="1"/>
    <xf numFmtId="0" fontId="7" fillId="5" borderId="6" xfId="0" applyFont="1" applyFill="1" applyBorder="1"/>
    <xf numFmtId="0" fontId="5" fillId="5" borderId="8" xfId="0" applyFont="1" applyFill="1" applyBorder="1" applyAlignment="1">
      <alignment wrapText="1"/>
    </xf>
    <xf numFmtId="0" fontId="3" fillId="5" borderId="7" xfId="1" applyFill="1" applyBorder="1" applyAlignment="1"/>
    <xf numFmtId="0" fontId="5" fillId="5" borderId="2" xfId="0" applyFont="1" applyFill="1" applyBorder="1"/>
    <xf numFmtId="0" fontId="7" fillId="5" borderId="4" xfId="0" applyFont="1" applyFill="1" applyBorder="1"/>
    <xf numFmtId="0" fontId="7" fillId="3" borderId="2" xfId="0" applyFont="1" applyFill="1" applyBorder="1"/>
    <xf numFmtId="0" fontId="7" fillId="3" borderId="4" xfId="0" applyFont="1" applyFill="1" applyBorder="1"/>
    <xf numFmtId="0" fontId="7" fillId="3" borderId="0" xfId="0" applyFont="1" applyFill="1"/>
    <xf numFmtId="0" fontId="10" fillId="3" borderId="2" xfId="0" applyFont="1" applyFill="1" applyBorder="1"/>
    <xf numFmtId="0" fontId="3" fillId="3" borderId="4" xfId="1" applyFill="1" applyBorder="1" applyAlignment="1"/>
    <xf numFmtId="0" fontId="10" fillId="3" borderId="4" xfId="0" applyFont="1" applyFill="1" applyBorder="1" applyAlignment="1">
      <alignment wrapText="1"/>
    </xf>
    <xf numFmtId="0" fontId="10" fillId="3" borderId="4" xfId="0" applyFont="1" applyFill="1" applyBorder="1"/>
    <xf numFmtId="0" fontId="0" fillId="4" borderId="0" xfId="0" applyFill="1"/>
    <xf numFmtId="0" fontId="4" fillId="3" borderId="1" xfId="0" applyFont="1" applyFill="1" applyBorder="1" applyAlignment="1">
      <alignment wrapText="1"/>
    </xf>
    <xf numFmtId="0" fontId="20" fillId="3" borderId="1" xfId="0" applyFont="1" applyFill="1" applyBorder="1"/>
    <xf numFmtId="0" fontId="23" fillId="3" borderId="1" xfId="1" applyFont="1" applyFill="1" applyBorder="1" applyAlignment="1">
      <alignment wrapText="1"/>
    </xf>
    <xf numFmtId="0" fontId="22" fillId="0" borderId="2" xfId="0" applyFont="1" applyBorder="1" applyAlignment="1">
      <alignment wrapText="1"/>
    </xf>
    <xf numFmtId="0" fontId="5" fillId="3" borderId="2" xfId="0" applyFont="1" applyFill="1" applyBorder="1"/>
    <xf numFmtId="0" fontId="3" fillId="3" borderId="2" xfId="1" applyFill="1" applyBorder="1" applyAlignment="1"/>
    <xf numFmtId="0" fontId="5" fillId="3" borderId="6" xfId="0" applyFont="1" applyFill="1" applyBorder="1"/>
    <xf numFmtId="0" fontId="5" fillId="3" borderId="7" xfId="0" applyFont="1" applyFill="1" applyBorder="1"/>
    <xf numFmtId="0" fontId="3" fillId="3" borderId="7" xfId="1" applyFill="1" applyBorder="1" applyAlignment="1"/>
    <xf numFmtId="0" fontId="5" fillId="3" borderId="4" xfId="0" applyFont="1" applyFill="1" applyBorder="1" applyAlignment="1">
      <alignment wrapText="1"/>
    </xf>
    <xf numFmtId="0" fontId="5" fillId="3" borderId="11" xfId="0" applyFont="1" applyFill="1" applyBorder="1"/>
    <xf numFmtId="0" fontId="5" fillId="3" borderId="12" xfId="0" applyFont="1" applyFill="1" applyBorder="1"/>
    <xf numFmtId="0" fontId="5" fillId="3" borderId="8" xfId="0" applyFont="1" applyFill="1" applyBorder="1" applyAlignment="1">
      <alignment wrapText="1"/>
    </xf>
    <xf numFmtId="0" fontId="3" fillId="5" borderId="4" xfId="1" applyFill="1" applyBorder="1" applyAlignment="1"/>
    <xf numFmtId="0" fontId="10" fillId="5" borderId="4" xfId="0" applyFont="1" applyFill="1" applyBorder="1"/>
    <xf numFmtId="0" fontId="8" fillId="5" borderId="2" xfId="0" applyFont="1" applyFill="1" applyBorder="1"/>
    <xf numFmtId="0" fontId="0" fillId="5" borderId="0" xfId="0" applyFill="1"/>
    <xf numFmtId="0" fontId="3" fillId="5" borderId="2" xfId="1" applyFill="1" applyBorder="1"/>
    <xf numFmtId="0" fontId="3" fillId="0" borderId="6" xfId="1" applyBorder="1"/>
    <xf numFmtId="0" fontId="3" fillId="0" borderId="2" xfId="1" applyBorder="1"/>
    <xf numFmtId="0" fontId="3" fillId="0" borderId="2" xfId="1" applyBorder="1" applyAlignment="1">
      <alignment wrapText="1"/>
    </xf>
    <xf numFmtId="0" fontId="2" fillId="3" borderId="5" xfId="0" applyFont="1" applyFill="1" applyBorder="1" applyAlignment="1">
      <alignment wrapText="1"/>
    </xf>
    <xf numFmtId="0" fontId="5" fillId="5" borderId="7" xfId="0" applyFont="1" applyFill="1" applyBorder="1"/>
    <xf numFmtId="0" fontId="5" fillId="5" borderId="9" xfId="0" applyFont="1" applyFill="1" applyBorder="1"/>
    <xf numFmtId="0" fontId="4" fillId="3" borderId="6" xfId="0" applyFont="1" applyFill="1" applyBorder="1" applyAlignment="1">
      <alignment wrapText="1"/>
    </xf>
    <xf numFmtId="0" fontId="4" fillId="3" borderId="7" xfId="0" applyFont="1" applyFill="1" applyBorder="1" applyAlignment="1">
      <alignment wrapText="1"/>
    </xf>
    <xf numFmtId="0" fontId="5" fillId="3" borderId="7" xfId="0" applyFont="1" applyFill="1" applyBorder="1" applyAlignment="1">
      <alignment wrapText="1"/>
    </xf>
    <xf numFmtId="0" fontId="7" fillId="5" borderId="9" xfId="0" applyFont="1" applyFill="1" applyBorder="1"/>
    <xf numFmtId="0" fontId="9" fillId="5" borderId="2" xfId="0" applyFont="1" applyFill="1" applyBorder="1"/>
    <xf numFmtId="0" fontId="5" fillId="5" borderId="4" xfId="0" applyFont="1" applyFill="1" applyBorder="1"/>
    <xf numFmtId="0" fontId="5" fillId="5" borderId="4" xfId="0" applyFont="1" applyFill="1" applyBorder="1" applyAlignment="1">
      <alignment wrapText="1"/>
    </xf>
    <xf numFmtId="0" fontId="4" fillId="5" borderId="6" xfId="0" applyFont="1" applyFill="1" applyBorder="1" applyAlignment="1">
      <alignment wrapText="1"/>
    </xf>
    <xf numFmtId="0" fontId="4" fillId="5" borderId="7" xfId="0" applyFont="1" applyFill="1" applyBorder="1" applyAlignment="1">
      <alignment wrapText="1"/>
    </xf>
    <xf numFmtId="0" fontId="20" fillId="5" borderId="0" xfId="0" applyFont="1" applyFill="1"/>
    <xf numFmtId="0" fontId="2" fillId="4" borderId="2" xfId="0" applyFont="1" applyFill="1" applyBorder="1" applyAlignment="1">
      <alignment wrapText="1"/>
    </xf>
    <xf numFmtId="0" fontId="5" fillId="4" borderId="6" xfId="0" applyFont="1" applyFill="1" applyBorder="1"/>
    <xf numFmtId="0" fontId="5" fillId="4" borderId="7" xfId="0" applyFont="1" applyFill="1" applyBorder="1"/>
    <xf numFmtId="0" fontId="7" fillId="4" borderId="0" xfId="0" applyFont="1" applyFill="1"/>
    <xf numFmtId="0" fontId="3" fillId="4" borderId="7" xfId="1" applyFill="1" applyBorder="1" applyAlignment="1"/>
    <xf numFmtId="0" fontId="5" fillId="4" borderId="8" xfId="0" applyFont="1" applyFill="1" applyBorder="1" applyAlignment="1">
      <alignment wrapText="1"/>
    </xf>
    <xf numFmtId="0" fontId="2" fillId="3" borderId="0" xfId="0" applyFont="1" applyFill="1" applyAlignment="1">
      <alignment wrapText="1"/>
    </xf>
    <xf numFmtId="0" fontId="5" fillId="0" borderId="0" xfId="0" applyFont="1" applyAlignment="1">
      <alignment wrapText="1"/>
    </xf>
    <xf numFmtId="0" fontId="10" fillId="0" borderId="0" xfId="0" applyFont="1" applyAlignment="1">
      <alignment wrapText="1"/>
    </xf>
    <xf numFmtId="0" fontId="0" fillId="0" borderId="2" xfId="0" applyBorder="1"/>
    <xf numFmtId="0" fontId="2" fillId="5" borderId="14" xfId="0" applyFont="1" applyFill="1" applyBorder="1" applyAlignment="1">
      <alignment wrapText="1"/>
    </xf>
    <xf numFmtId="0" fontId="2" fillId="3" borderId="3" xfId="0" applyFont="1" applyFill="1" applyBorder="1" applyAlignment="1">
      <alignment wrapText="1"/>
    </xf>
    <xf numFmtId="0" fontId="2" fillId="5" borderId="3" xfId="0" applyFont="1" applyFill="1" applyBorder="1" applyAlignment="1">
      <alignment wrapText="1"/>
    </xf>
    <xf numFmtId="0" fontId="10" fillId="5" borderId="13" xfId="0" applyFont="1" applyFill="1" applyBorder="1" applyAlignment="1">
      <alignment wrapText="1"/>
    </xf>
    <xf numFmtId="0" fontId="0" fillId="0" borderId="5" xfId="0" applyBorder="1"/>
    <xf numFmtId="0" fontId="0" fillId="0" borderId="6" xfId="0" applyBorder="1"/>
    <xf numFmtId="0" fontId="1" fillId="2" borderId="14" xfId="0" applyFont="1" applyFill="1" applyBorder="1"/>
    <xf numFmtId="0" fontId="5" fillId="5" borderId="15" xfId="0" applyFont="1" applyFill="1" applyBorder="1" applyAlignment="1">
      <alignment wrapText="1"/>
    </xf>
    <xf numFmtId="0" fontId="24" fillId="0" borderId="2" xfId="0" applyFont="1" applyBorder="1"/>
    <xf numFmtId="0" fontId="0" fillId="0" borderId="3" xfId="0" applyBorder="1"/>
    <xf numFmtId="0" fontId="0" fillId="0" borderId="16" xfId="0" applyBorder="1"/>
    <xf numFmtId="0" fontId="0" fillId="0" borderId="2" xfId="0" applyBorder="1" applyAlignment="1">
      <alignment wrapText="1"/>
    </xf>
    <xf numFmtId="0" fontId="24" fillId="0" borderId="0" xfId="0" applyFont="1"/>
    <xf numFmtId="0" fontId="0" fillId="5" borderId="2" xfId="0" applyFill="1" applyBorder="1"/>
    <xf numFmtId="0" fontId="0" fillId="5" borderId="2" xfId="0" applyFill="1" applyBorder="1" applyAlignment="1">
      <alignment wrapText="1"/>
    </xf>
    <xf numFmtId="0" fontId="0" fillId="5" borderId="3" xfId="0" applyFill="1" applyBorder="1"/>
    <xf numFmtId="0" fontId="24" fillId="5" borderId="2" xfId="0" applyFont="1" applyFill="1" applyBorder="1"/>
    <xf numFmtId="0" fontId="0" fillId="5" borderId="5" xfId="0" applyFill="1" applyBorder="1"/>
    <xf numFmtId="0" fontId="0" fillId="4" borderId="2" xfId="0" applyFill="1" applyBorder="1"/>
    <xf numFmtId="0" fontId="0" fillId="4" borderId="16" xfId="0" applyFill="1" applyBorder="1"/>
    <xf numFmtId="0" fontId="0" fillId="4" borderId="17" xfId="0" applyFill="1" applyBorder="1"/>
    <xf numFmtId="0" fontId="0" fillId="4" borderId="12" xfId="0" applyFill="1" applyBorder="1"/>
    <xf numFmtId="0" fontId="0" fillId="4" borderId="11" xfId="0" applyFill="1" applyBorder="1"/>
    <xf numFmtId="0" fontId="0" fillId="4" borderId="5" xfId="0" applyFill="1" applyBorder="1"/>
    <xf numFmtId="0" fontId="0" fillId="4" borderId="3" xfId="0" applyFill="1" applyBorder="1"/>
    <xf numFmtId="0" fontId="21" fillId="3" borderId="3" xfId="0" applyFont="1" applyFill="1" applyBorder="1" applyAlignment="1">
      <alignment wrapText="1"/>
    </xf>
    <xf numFmtId="0" fontId="0" fillId="0" borderId="8" xfId="0" applyBorder="1"/>
    <xf numFmtId="0" fontId="0" fillId="0" borderId="17" xfId="0" applyBorder="1"/>
    <xf numFmtId="0" fontId="21" fillId="0" borderId="3" xfId="0" applyFont="1" applyBorder="1" applyAlignment="1">
      <alignment wrapText="1"/>
    </xf>
    <xf numFmtId="0" fontId="21" fillId="5" borderId="3" xfId="0" applyFont="1" applyFill="1" applyBorder="1" applyAlignment="1">
      <alignment wrapText="1"/>
    </xf>
    <xf numFmtId="0" fontId="7" fillId="5" borderId="3" xfId="0" applyFont="1" applyFill="1" applyBorder="1" applyAlignment="1">
      <alignment wrapText="1"/>
    </xf>
    <xf numFmtId="0" fontId="21" fillId="4" borderId="3" xfId="0" applyFont="1" applyFill="1" applyBorder="1" applyAlignment="1">
      <alignment wrapText="1"/>
    </xf>
    <xf numFmtId="0" fontId="9" fillId="4" borderId="15" xfId="0" applyFont="1" applyFill="1" applyBorder="1" applyAlignment="1">
      <alignment wrapText="1"/>
    </xf>
    <xf numFmtId="0" fontId="9" fillId="0" borderId="15" xfId="0" applyFont="1" applyBorder="1" applyAlignment="1">
      <alignment wrapText="1"/>
    </xf>
    <xf numFmtId="0" fontId="0" fillId="3" borderId="2" xfId="0" applyFill="1" applyBorder="1"/>
    <xf numFmtId="0" fontId="0" fillId="0" borderId="7" xfId="0" applyBorder="1"/>
    <xf numFmtId="0" fontId="0" fillId="0" borderId="4" xfId="0" applyBorder="1"/>
    <xf numFmtId="0" fontId="0" fillId="4" borderId="7" xfId="0" applyFill="1" applyBorder="1"/>
    <xf numFmtId="0" fontId="20" fillId="4" borderId="2" xfId="0" applyFont="1" applyFill="1" applyBorder="1"/>
    <xf numFmtId="0" fontId="0" fillId="4" borderId="18" xfId="0" applyFill="1" applyBorder="1"/>
    <xf numFmtId="0" fontId="20" fillId="4" borderId="16" xfId="0" applyFont="1" applyFill="1" applyBorder="1"/>
    <xf numFmtId="0" fontId="0" fillId="0" borderId="9" xfId="0" applyBorder="1"/>
    <xf numFmtId="0" fontId="1" fillId="2" borderId="2" xfId="0" applyFont="1" applyFill="1" applyBorder="1"/>
    <xf numFmtId="0" fontId="0" fillId="3" borderId="2" xfId="0" applyFill="1" applyBorder="1" applyAlignment="1">
      <alignment wrapText="1"/>
    </xf>
    <xf numFmtId="0" fontId="10" fillId="4" borderId="2" xfId="0" applyFont="1" applyFill="1" applyBorder="1"/>
    <xf numFmtId="0" fontId="8" fillId="4" borderId="4" xfId="0" applyFont="1" applyFill="1" applyBorder="1"/>
    <xf numFmtId="0" fontId="10" fillId="4" borderId="6" xfId="0" applyFont="1" applyFill="1" applyBorder="1"/>
    <xf numFmtId="0" fontId="8" fillId="4" borderId="7" xfId="0" applyFont="1" applyFill="1" applyBorder="1"/>
    <xf numFmtId="0" fontId="10" fillId="4" borderId="13" xfId="0" applyFont="1" applyFill="1" applyBorder="1"/>
    <xf numFmtId="0" fontId="10" fillId="4" borderId="9" xfId="0" applyFont="1" applyFill="1" applyBorder="1"/>
    <xf numFmtId="0" fontId="7" fillId="4" borderId="2" xfId="0" applyFont="1" applyFill="1" applyBorder="1"/>
    <xf numFmtId="0" fontId="8" fillId="4" borderId="13" xfId="0" applyFont="1" applyFill="1" applyBorder="1"/>
    <xf numFmtId="0" fontId="8" fillId="4" borderId="9" xfId="0" applyFont="1" applyFill="1" applyBorder="1"/>
    <xf numFmtId="0" fontId="7" fillId="0" borderId="15" xfId="0" applyFont="1" applyBorder="1"/>
    <xf numFmtId="0" fontId="7" fillId="4" borderId="11" xfId="0" applyFont="1" applyFill="1" applyBorder="1"/>
    <xf numFmtId="0" fontId="25" fillId="2" borderId="0" xfId="0" applyFont="1" applyFill="1"/>
    <xf numFmtId="0" fontId="4" fillId="3" borderId="13" xfId="0" applyFont="1" applyFill="1" applyBorder="1" applyAlignment="1">
      <alignment wrapText="1"/>
    </xf>
    <xf numFmtId="0" fontId="4" fillId="5" borderId="13" xfId="0" applyFont="1" applyFill="1" applyBorder="1" applyAlignment="1">
      <alignment wrapText="1"/>
    </xf>
    <xf numFmtId="0" fontId="1" fillId="2" borderId="19" xfId="0" applyFont="1" applyFill="1" applyBorder="1"/>
    <xf numFmtId="0" fontId="5" fillId="3" borderId="3" xfId="0" applyFont="1" applyFill="1" applyBorder="1" applyAlignment="1">
      <alignment wrapText="1"/>
    </xf>
    <xf numFmtId="0" fontId="5" fillId="5" borderId="3" xfId="0" applyFont="1" applyFill="1" applyBorder="1" applyAlignment="1">
      <alignment wrapText="1"/>
    </xf>
    <xf numFmtId="0" fontId="4" fillId="3" borderId="14" xfId="0" applyFont="1" applyFill="1" applyBorder="1" applyAlignment="1">
      <alignment wrapText="1"/>
    </xf>
    <xf numFmtId="0" fontId="0" fillId="0" borderId="18" xfId="0" applyBorder="1"/>
    <xf numFmtId="0" fontId="2" fillId="5" borderId="0" xfId="0" applyFont="1" applyFill="1" applyAlignment="1">
      <alignment wrapText="1"/>
    </xf>
    <xf numFmtId="0" fontId="1" fillId="4" borderId="18" xfId="0" applyFont="1" applyFill="1" applyBorder="1"/>
    <xf numFmtId="0" fontId="26" fillId="3" borderId="2" xfId="0" applyFont="1" applyFill="1" applyBorder="1" applyAlignment="1">
      <alignment wrapText="1"/>
    </xf>
    <xf numFmtId="0" fontId="27" fillId="3" borderId="1" xfId="0" applyFont="1" applyFill="1" applyBorder="1"/>
    <xf numFmtId="0" fontId="1" fillId="2" borderId="2" xfId="0" applyFont="1" applyFill="1" applyBorder="1" applyAlignment="1">
      <alignment wrapText="1"/>
    </xf>
    <xf numFmtId="0" fontId="7" fillId="0" borderId="9" xfId="0" applyFont="1" applyBorder="1"/>
    <xf numFmtId="0" fontId="7" fillId="0" borderId="13" xfId="0" applyFont="1" applyBorder="1"/>
    <xf numFmtId="0" fontId="10" fillId="0" borderId="13" xfId="0" applyFont="1" applyBorder="1"/>
    <xf numFmtId="0" fontId="0" fillId="3" borderId="0" xfId="0" applyFill="1" applyAlignment="1">
      <alignment horizontal="left" wrapText="1"/>
    </xf>
    <xf numFmtId="0" fontId="0" fillId="3" borderId="0" xfId="0" applyFill="1" applyAlignment="1">
      <alignment wrapText="1"/>
    </xf>
    <xf numFmtId="0" fontId="0" fillId="0" borderId="0" xfId="0" applyAlignment="1">
      <alignment wrapText="1"/>
    </xf>
    <xf numFmtId="0" fontId="2" fillId="3" borderId="1" xfId="0" applyFont="1" applyFill="1" applyBorder="1" applyAlignment="1">
      <alignment wrapText="1"/>
    </xf>
    <xf numFmtId="0" fontId="24" fillId="3" borderId="0" xfId="0" applyFont="1" applyFill="1" applyAlignment="1">
      <alignment wrapText="1"/>
    </xf>
    <xf numFmtId="0" fontId="24" fillId="3" borderId="0" xfId="0" applyFont="1" applyFill="1"/>
    <xf numFmtId="0" fontId="7" fillId="3" borderId="2" xfId="0" applyFont="1" applyFill="1" applyBorder="1" applyAlignment="1">
      <alignment wrapText="1"/>
    </xf>
    <xf numFmtId="0" fontId="7" fillId="3" borderId="4" xfId="0" applyFont="1" applyFill="1" applyBorder="1" applyAlignment="1">
      <alignment wrapText="1"/>
    </xf>
    <xf numFmtId="0" fontId="7" fillId="3" borderId="13" xfId="0" applyFont="1" applyFill="1" applyBorder="1" applyAlignment="1">
      <alignment wrapText="1"/>
    </xf>
    <xf numFmtId="0" fontId="0" fillId="4" borderId="0" xfId="0" applyFill="1" applyAlignment="1">
      <alignment wrapText="1"/>
    </xf>
    <xf numFmtId="0" fontId="0" fillId="3" borderId="3" xfId="0" applyFill="1" applyBorder="1"/>
    <xf numFmtId="0" fontId="24" fillId="0" borderId="0" xfId="0" applyFont="1" applyAlignment="1">
      <alignment wrapText="1"/>
    </xf>
    <xf numFmtId="0" fontId="24" fillId="3" borderId="2" xfId="0" applyFont="1" applyFill="1" applyBorder="1" applyAlignment="1">
      <alignment wrapText="1"/>
    </xf>
    <xf numFmtId="0" fontId="20" fillId="4" borderId="0" xfId="0" applyFont="1" applyFill="1" applyAlignment="1">
      <alignment wrapText="1"/>
    </xf>
    <xf numFmtId="0" fontId="21" fillId="4" borderId="2" xfId="0" applyFont="1" applyFill="1" applyBorder="1" applyAlignment="1">
      <alignment wrapText="1"/>
    </xf>
    <xf numFmtId="0" fontId="1" fillId="4" borderId="1" xfId="0" applyFont="1" applyFill="1" applyBorder="1"/>
    <xf numFmtId="0" fontId="4" fillId="4" borderId="2" xfId="0" applyFont="1" applyFill="1" applyBorder="1" applyAlignment="1">
      <alignment wrapText="1"/>
    </xf>
    <xf numFmtId="0" fontId="7" fillId="4" borderId="2" xfId="0" applyFont="1" applyFill="1" applyBorder="1" applyAlignment="1">
      <alignment wrapText="1"/>
    </xf>
    <xf numFmtId="0" fontId="7" fillId="4" borderId="4" xfId="0" applyFont="1" applyFill="1" applyBorder="1" applyAlignment="1">
      <alignment wrapText="1"/>
    </xf>
    <xf numFmtId="0" fontId="7" fillId="4" borderId="13" xfId="0" applyFont="1" applyFill="1" applyBorder="1" applyAlignment="1">
      <alignment wrapText="1"/>
    </xf>
    <xf numFmtId="0" fontId="0" fillId="0" borderId="0" xfId="0" applyAlignment="1">
      <alignment horizontal="left" wrapText="1"/>
    </xf>
    <xf numFmtId="0" fontId="0" fillId="4" borderId="1" xfId="0" applyFill="1" applyBorder="1"/>
    <xf numFmtId="0" fontId="24" fillId="4" borderId="0" xfId="0" applyFont="1" applyFill="1" applyAlignment="1">
      <alignment wrapText="1"/>
    </xf>
    <xf numFmtId="0" fontId="24" fillId="4" borderId="0" xfId="0" applyFont="1" applyFill="1"/>
    <xf numFmtId="0" fontId="10" fillId="4" borderId="4" xfId="0" applyFont="1" applyFill="1" applyBorder="1"/>
    <xf numFmtId="0" fontId="3" fillId="4" borderId="4" xfId="1" applyFill="1" applyBorder="1" applyAlignment="1"/>
    <xf numFmtId="0" fontId="10" fillId="4" borderId="4" xfId="0" applyFont="1" applyFill="1" applyBorder="1" applyAlignment="1">
      <alignment wrapText="1"/>
    </xf>
    <xf numFmtId="0" fontId="7" fillId="4" borderId="4" xfId="0" applyFont="1" applyFill="1" applyBorder="1"/>
    <xf numFmtId="0" fontId="0" fillId="3" borderId="0" xfId="0" applyFill="1" applyAlignment="1">
      <alignment horizontal="center"/>
    </xf>
    <xf numFmtId="0" fontId="20"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ustomXml" Target="../customXml/item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9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nonku94@gmail.com" TargetMode="External"/><Relationship Id="rId1" Type="http://schemas.openxmlformats.org/officeDocument/2006/relationships/hyperlink" Target="mailto:213473956@tut4life.ac.za"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218042716@tut4life.ac.za" TargetMode="External"/><Relationship Id="rId3" Type="http://schemas.openxmlformats.org/officeDocument/2006/relationships/hyperlink" Target="mailto:muambilufuno@gmail.com" TargetMode="External"/><Relationship Id="rId7" Type="http://schemas.openxmlformats.org/officeDocument/2006/relationships/hyperlink" Target="mailto:219016344@tut4life.ac.za" TargetMode="External"/><Relationship Id="rId2" Type="http://schemas.openxmlformats.org/officeDocument/2006/relationships/hyperlink" Target="mailto:chavelelocomfort@gmail.com" TargetMode="External"/><Relationship Id="rId1" Type="http://schemas.openxmlformats.org/officeDocument/2006/relationships/hyperlink" Target="mailto:sthabilemafuleka@gmail.com" TargetMode="External"/><Relationship Id="rId6" Type="http://schemas.openxmlformats.org/officeDocument/2006/relationships/hyperlink" Target="mailto:219107200@tut4life.ac.za" TargetMode="External"/><Relationship Id="rId5" Type="http://schemas.openxmlformats.org/officeDocument/2006/relationships/hyperlink" Target="mailto:srisuna64@gmail.com" TargetMode="External"/><Relationship Id="rId4" Type="http://schemas.openxmlformats.org/officeDocument/2006/relationships/hyperlink" Target="mailto:mabundasenzekile01@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antoinehoka3@gmail.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antoinehoka3@gmail.com" TargetMode="External"/><Relationship Id="rId2" Type="http://schemas.openxmlformats.org/officeDocument/2006/relationships/hyperlink" Target="mailto:219939108@tut4life.ac.za" TargetMode="External"/><Relationship Id="rId1" Type="http://schemas.openxmlformats.org/officeDocument/2006/relationships/hyperlink" Target="mailto:212118222@tut4life.ac.za"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muambilufuno@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215412067@tut4Iife.ac.za" TargetMode="External"/><Relationship Id="rId13" Type="http://schemas.openxmlformats.org/officeDocument/2006/relationships/hyperlink" Target="mailto:siphelelevelenkosini@gmail.com" TargetMode="External"/><Relationship Id="rId18" Type="http://schemas.openxmlformats.org/officeDocument/2006/relationships/hyperlink" Target="mailto:219193920@tut4Iife.ac.za" TargetMode="External"/><Relationship Id="rId26" Type="http://schemas.openxmlformats.org/officeDocument/2006/relationships/hyperlink" Target="mailto:eexperience991@gmail.com" TargetMode="External"/><Relationship Id="rId3" Type="http://schemas.openxmlformats.org/officeDocument/2006/relationships/hyperlink" Target="mailto:218472656@tut4life.ac.za" TargetMode="External"/><Relationship Id="rId21" Type="http://schemas.openxmlformats.org/officeDocument/2006/relationships/hyperlink" Target="mailto:ntlhandlukogift@gmail.com" TargetMode="External"/><Relationship Id="rId7" Type="http://schemas.openxmlformats.org/officeDocument/2006/relationships/hyperlink" Target="mailto:214460602@tut4life.ac.za" TargetMode="External"/><Relationship Id="rId12" Type="http://schemas.openxmlformats.org/officeDocument/2006/relationships/hyperlink" Target="mailto:simisob971@gmaiI.com" TargetMode="External"/><Relationship Id="rId17" Type="http://schemas.openxmlformats.org/officeDocument/2006/relationships/hyperlink" Target="mailto:vukonahveekay@gmail.com" TargetMode="External"/><Relationship Id="rId25" Type="http://schemas.openxmlformats.org/officeDocument/2006/relationships/hyperlink" Target="mailto:nomcebongobeni7@gmail.com" TargetMode="External"/><Relationship Id="rId2" Type="http://schemas.openxmlformats.org/officeDocument/2006/relationships/hyperlink" Target="mailto:215812880@tut4life.ac.za" TargetMode="External"/><Relationship Id="rId16" Type="http://schemas.openxmlformats.org/officeDocument/2006/relationships/hyperlink" Target="mailto:218749194@tut4life.ac.za" TargetMode="External"/><Relationship Id="rId20" Type="http://schemas.openxmlformats.org/officeDocument/2006/relationships/hyperlink" Target="mailto:zpmthabela23@gmail.com" TargetMode="External"/><Relationship Id="rId29" Type="http://schemas.openxmlformats.org/officeDocument/2006/relationships/hyperlink" Target="mailto:bennysediba@gmail.com" TargetMode="External"/><Relationship Id="rId1" Type="http://schemas.openxmlformats.org/officeDocument/2006/relationships/hyperlink" Target="mailto:sindileedmonds@gmail.com" TargetMode="External"/><Relationship Id="rId6" Type="http://schemas.openxmlformats.org/officeDocument/2006/relationships/hyperlink" Target="mailto:213300172@tut4life.ac.za" TargetMode="External"/><Relationship Id="rId11" Type="http://schemas.openxmlformats.org/officeDocument/2006/relationships/hyperlink" Target="mailto:zakhona1998@gmail.com" TargetMode="External"/><Relationship Id="rId24" Type="http://schemas.openxmlformats.org/officeDocument/2006/relationships/hyperlink" Target="mailto:thabanisimelane05@gmail.com" TargetMode="External"/><Relationship Id="rId5" Type="http://schemas.openxmlformats.org/officeDocument/2006/relationships/hyperlink" Target="mailto:218732275@tut4life.ac.za" TargetMode="External"/><Relationship Id="rId15" Type="http://schemas.openxmlformats.org/officeDocument/2006/relationships/hyperlink" Target="mailto:chikongben@gmail.com" TargetMode="External"/><Relationship Id="rId23" Type="http://schemas.openxmlformats.org/officeDocument/2006/relationships/hyperlink" Target="mailto:spha9626@gmail.com" TargetMode="External"/><Relationship Id="rId28" Type="http://schemas.openxmlformats.org/officeDocument/2006/relationships/hyperlink" Target="mailto:nndlamini04@gmail.com" TargetMode="External"/><Relationship Id="rId10" Type="http://schemas.openxmlformats.org/officeDocument/2006/relationships/hyperlink" Target="mailto:manyakatshepi@gmail.com" TargetMode="External"/><Relationship Id="rId19" Type="http://schemas.openxmlformats.org/officeDocument/2006/relationships/hyperlink" Target="mailto:nyikozi.chauke@gmail.com" TargetMode="External"/><Relationship Id="rId4" Type="http://schemas.openxmlformats.org/officeDocument/2006/relationships/hyperlink" Target="mailto:218126154@tut4life.ac.za" TargetMode="External"/><Relationship Id="rId9" Type="http://schemas.openxmlformats.org/officeDocument/2006/relationships/hyperlink" Target="mailto:215584429@tut4life.ac.za" TargetMode="External"/><Relationship Id="rId14" Type="http://schemas.openxmlformats.org/officeDocument/2006/relationships/hyperlink" Target="mailto:sazinatmadope@gmail.com" TargetMode="External"/><Relationship Id="rId22" Type="http://schemas.openxmlformats.org/officeDocument/2006/relationships/hyperlink" Target="mailto:siyavincentdlamini@gmail.com" TargetMode="External"/><Relationship Id="rId27" Type="http://schemas.openxmlformats.org/officeDocument/2006/relationships/hyperlink" Target="mailto:luckystarmadigoe@gmail.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219939108@tut4life.ac.za"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mailto:thandombokazi67@gmail.com" TargetMode="External"/><Relationship Id="rId1" Type="http://schemas.openxmlformats.org/officeDocument/2006/relationships/hyperlink" Target="mailto:koketsodikobe04@gmaiI.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216049594@tut4life.ac.za" TargetMode="External"/><Relationship Id="rId7" Type="http://schemas.openxmlformats.org/officeDocument/2006/relationships/hyperlink" Target="mailto:vuyanikezner@gmail.com" TargetMode="External"/><Relationship Id="rId2" Type="http://schemas.openxmlformats.org/officeDocument/2006/relationships/hyperlink" Target="mailto:215732010@tut4Iife.ac.za" TargetMode="External"/><Relationship Id="rId1" Type="http://schemas.openxmlformats.org/officeDocument/2006/relationships/hyperlink" Target="mailto:215170144@tut4life.ac.za" TargetMode="External"/><Relationship Id="rId6" Type="http://schemas.openxmlformats.org/officeDocument/2006/relationships/hyperlink" Target="mailto:217315514@tut4life.ac.za" TargetMode="External"/><Relationship Id="rId5" Type="http://schemas.openxmlformats.org/officeDocument/2006/relationships/hyperlink" Target="mailto:Skosie9511@gmail.com" TargetMode="External"/><Relationship Id="rId4" Type="http://schemas.openxmlformats.org/officeDocument/2006/relationships/hyperlink" Target="mailto:goldennjabulo2@gmaiI.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handombokazi67@gmail.com" TargetMode="External"/><Relationship Id="rId2" Type="http://schemas.openxmlformats.org/officeDocument/2006/relationships/hyperlink" Target="mailto:goldennjabulo2@gmaiI.com" TargetMode="External"/><Relationship Id="rId1" Type="http://schemas.openxmlformats.org/officeDocument/2006/relationships/hyperlink" Target="mailto:214043718@tut4life.ac.za" TargetMode="External"/><Relationship Id="rId6" Type="http://schemas.openxmlformats.org/officeDocument/2006/relationships/hyperlink" Target="mailto:214752042@tut4life.ac.za" TargetMode="External"/><Relationship Id="rId5" Type="http://schemas.openxmlformats.org/officeDocument/2006/relationships/hyperlink" Target="mailto:Skosie9511@gmail.com" TargetMode="External"/><Relationship Id="rId4" Type="http://schemas.openxmlformats.org/officeDocument/2006/relationships/hyperlink" Target="mailto:smoshmolech@iclou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hyperlink" Target="mailto:217049628@tut4Iife.ac.za" TargetMode="External"/><Relationship Id="rId2" Type="http://schemas.openxmlformats.org/officeDocument/2006/relationships/hyperlink" Target="mailto:mthokozivilakazi@gmail.com" TargetMode="External"/><Relationship Id="rId1" Type="http://schemas.openxmlformats.org/officeDocument/2006/relationships/hyperlink" Target="mailto:rialeboga5@gmail.com" TargetMode="External"/><Relationship Id="rId5" Type="http://schemas.openxmlformats.org/officeDocument/2006/relationships/hyperlink" Target="mailto:vuyanikezner@gmail.com" TargetMode="External"/><Relationship Id="rId4" Type="http://schemas.openxmlformats.org/officeDocument/2006/relationships/hyperlink" Target="mailto:214752042@tut4life.ac.za"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n.boketsu@gmail.com" TargetMode="External"/><Relationship Id="rId2" Type="http://schemas.openxmlformats.org/officeDocument/2006/relationships/hyperlink" Target="mailto:216324986@tut4life.ac.za" TargetMode="External"/><Relationship Id="rId1" Type="http://schemas.openxmlformats.org/officeDocument/2006/relationships/hyperlink" Target="mailto:trammutIa24@gmail.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218470912@tut4life.ac.za"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212118222@tut4life.ac.z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216324986@tut4life.ac.za" TargetMode="External"/><Relationship Id="rId2" Type="http://schemas.openxmlformats.org/officeDocument/2006/relationships/hyperlink" Target="mailto:Skosie9511@gmail.com" TargetMode="External"/><Relationship Id="rId1" Type="http://schemas.openxmlformats.org/officeDocument/2006/relationships/hyperlink" Target="mailto:215761851@tut4life.co.za" TargetMode="External"/><Relationship Id="rId4" Type="http://schemas.openxmlformats.org/officeDocument/2006/relationships/hyperlink" Target="mailto:n.boketsu@gmail.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219939108@tut4life.ac.za" TargetMode="External"/><Relationship Id="rId2" Type="http://schemas.openxmlformats.org/officeDocument/2006/relationships/hyperlink" Target="mailto:212118222@tut4life.ac.za" TargetMode="External"/><Relationship Id="rId1" Type="http://schemas.openxmlformats.org/officeDocument/2006/relationships/hyperlink" Target="mailto:218470912@tut4life.ac.za"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212118222@tut4life.ac.za" TargetMode="External"/><Relationship Id="rId1" Type="http://schemas.openxmlformats.org/officeDocument/2006/relationships/hyperlink" Target="mailto:218470912@tut4life.ac.za"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212118222@tut4life.ac.za" TargetMode="External"/><Relationship Id="rId2" Type="http://schemas.openxmlformats.org/officeDocument/2006/relationships/hyperlink" Target="mailto:218470912@tut4life.ac.za" TargetMode="External"/><Relationship Id="rId1" Type="http://schemas.openxmlformats.org/officeDocument/2006/relationships/hyperlink" Target="mailto:2145544709@tut4life.ac.za"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mailto:217345740@tut.ac.z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matlala99@gmail.com" TargetMode="External"/><Relationship Id="rId1" Type="http://schemas.openxmlformats.org/officeDocument/2006/relationships/hyperlink" Target="mailto:KhumaIolucas865@gmail.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lebogangf.ngobeni@gmail.com" TargetMode="External"/><Relationship Id="rId2" Type="http://schemas.openxmlformats.org/officeDocument/2006/relationships/hyperlink" Target="mailto:koketsodikobe04@gmaiI.com" TargetMode="External"/><Relationship Id="rId1" Type="http://schemas.openxmlformats.org/officeDocument/2006/relationships/hyperlink" Target="mailto:215732010@tut4Iife.ac.za" TargetMode="External"/><Relationship Id="rId5" Type="http://schemas.openxmlformats.org/officeDocument/2006/relationships/hyperlink" Target="mailto:matIawa75@gmail.com" TargetMode="External"/><Relationship Id="rId4" Type="http://schemas.openxmlformats.org/officeDocument/2006/relationships/hyperlink" Target="mailto:thandombokazi67@gmail.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rialeboga5@gmail.com" TargetMode="External"/><Relationship Id="rId2" Type="http://schemas.openxmlformats.org/officeDocument/2006/relationships/hyperlink" Target="mailto:thapeloteekaymoropene@gmail.com" TargetMode="External"/><Relationship Id="rId1" Type="http://schemas.openxmlformats.org/officeDocument/2006/relationships/hyperlink" Target="mailto:216049594@tut4life.ac.za" TargetMode="External"/><Relationship Id="rId4" Type="http://schemas.openxmlformats.org/officeDocument/2006/relationships/hyperlink" Target="mailto:214752042@tut4life.ac.za"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vuyanikezner@gmail.com" TargetMode="External"/><Relationship Id="rId2" Type="http://schemas.openxmlformats.org/officeDocument/2006/relationships/hyperlink" Target="mailto:rialeboga5@gmail.com" TargetMode="External"/><Relationship Id="rId1" Type="http://schemas.openxmlformats.org/officeDocument/2006/relationships/hyperlink" Target="mailto:214043718@tut4life.ac.za"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lebogangf.ngobeni@gmail.com" TargetMode="External"/><Relationship Id="rId2" Type="http://schemas.openxmlformats.org/officeDocument/2006/relationships/hyperlink" Target="mailto:koketsodikobe04@gmaiI.com" TargetMode="External"/><Relationship Id="rId1" Type="http://schemas.openxmlformats.org/officeDocument/2006/relationships/hyperlink" Target="mailto:goldennjabulo2@gmaiI.com" TargetMode="External"/><Relationship Id="rId4" Type="http://schemas.openxmlformats.org/officeDocument/2006/relationships/hyperlink" Target="mailto:matIawa75@gmail.co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mailto:jamose1319@gmail.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mailto:chavelelocomfort@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nsovoshivabu@gmail.com" TargetMode="External"/><Relationship Id="rId2" Type="http://schemas.openxmlformats.org/officeDocument/2006/relationships/hyperlink" Target="mailto:lebogangf.ngobeni@gmail.com" TargetMode="External"/><Relationship Id="rId1" Type="http://schemas.openxmlformats.org/officeDocument/2006/relationships/hyperlink" Target="mailto:219939108@tut4life.ac.za" TargetMode="External"/><Relationship Id="rId5" Type="http://schemas.openxmlformats.org/officeDocument/2006/relationships/hyperlink" Target="mailto:Sibongakonkez75@gmail.co" TargetMode="External"/><Relationship Id="rId4" Type="http://schemas.openxmlformats.org/officeDocument/2006/relationships/hyperlink" Target="mailto:matIawa75@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mrobimrobizitha@gmail.com" TargetMode="External"/><Relationship Id="rId1" Type="http://schemas.openxmlformats.org/officeDocument/2006/relationships/hyperlink" Target="mailto:217049628@tut4Iife.ac.za"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mailto:mrobimrobizitha@gmail.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mrobimrobizitha@gmail.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214752042@tut4life.ac.za" TargetMode="External"/><Relationship Id="rId2" Type="http://schemas.openxmlformats.org/officeDocument/2006/relationships/hyperlink" Target="mailto:rialeboga5@gmail.com" TargetMode="External"/><Relationship Id="rId1" Type="http://schemas.openxmlformats.org/officeDocument/2006/relationships/hyperlink" Target="mailto:thapeloteekaymoropene@gmail.com" TargetMode="External"/></Relationships>
</file>

<file path=xl/worksheets/_rels/sheet78.xml.rels><?xml version="1.0" encoding="UTF-8" standalone="yes"?>
<Relationships xmlns="http://schemas.openxmlformats.org/package/2006/relationships"><Relationship Id="rId2" Type="http://schemas.openxmlformats.org/officeDocument/2006/relationships/hyperlink" Target="mailto:smoshmolech@icloud.com" TargetMode="External"/><Relationship Id="rId1" Type="http://schemas.openxmlformats.org/officeDocument/2006/relationships/hyperlink" Target="mailto:219939108@tut4life.ac.za"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mailto:214043718@tut4life.ac.z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eoagile624@gmail.co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koketsodikobe04@gmaiI.com" TargetMode="External"/></Relationships>
</file>

<file path=xl/worksheets/_rels/sheet81.xml.rels><?xml version="1.0" encoding="UTF-8" standalone="yes"?>
<Relationships xmlns="http://schemas.openxmlformats.org/package/2006/relationships"><Relationship Id="rId2" Type="http://schemas.openxmlformats.org/officeDocument/2006/relationships/hyperlink" Target="mailto:214752042@tut4life.ac.za" TargetMode="External"/><Relationship Id="rId1" Type="http://schemas.openxmlformats.org/officeDocument/2006/relationships/hyperlink" Target="mailto:matIawa75@gmail.com" TargetMode="External"/></Relationships>
</file>

<file path=xl/worksheets/_rels/sheet82.xml.rels><?xml version="1.0" encoding="UTF-8" standalone="yes"?>
<Relationships xmlns="http://schemas.openxmlformats.org/package/2006/relationships"><Relationship Id="rId2" Type="http://schemas.openxmlformats.org/officeDocument/2006/relationships/hyperlink" Target="mailto:mrobimrobizitha@gmail.com" TargetMode="External"/><Relationship Id="rId1" Type="http://schemas.openxmlformats.org/officeDocument/2006/relationships/hyperlink" Target="mailto:217049628@tut4Iife.ac.za" TargetMode="External"/></Relationships>
</file>

<file path=xl/worksheets/_rels/sheet83.xml.rels><?xml version="1.0" encoding="UTF-8" standalone="yes"?>
<Relationships xmlns="http://schemas.openxmlformats.org/package/2006/relationships"><Relationship Id="rId2" Type="http://schemas.openxmlformats.org/officeDocument/2006/relationships/hyperlink" Target="mailto:218269249@tut4life.ac.za" TargetMode="External"/><Relationship Id="rId1" Type="http://schemas.openxmlformats.org/officeDocument/2006/relationships/hyperlink" Target="mailto:smoshmolech@icloud.com"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smoshmolech@icloud.com"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keoagile624@gmail.com"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keoagile624@gmail.co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mailto:tmatlala99@gmail.com"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mailto:antoinehoka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A3" sqref="A3"/>
    </sheetView>
  </sheetViews>
  <sheetFormatPr defaultRowHeight="15"/>
  <cols>
    <col min="1" max="1" width="14.5703125" customWidth="1"/>
    <col min="2" max="2" width="15.28515625" customWidth="1"/>
    <col min="3" max="3" width="10.5703125" customWidth="1"/>
    <col min="4" max="4" width="14.28515625" customWidth="1"/>
    <col min="5" max="5" width="15" customWidth="1"/>
    <col min="6" max="6" width="24" customWidth="1"/>
    <col min="7" max="7" width="26.5703125" customWidth="1"/>
  </cols>
  <sheetData>
    <row r="1" spans="1:7">
      <c r="A1" s="1" t="s">
        <v>0</v>
      </c>
      <c r="B1" s="1" t="s">
        <v>1</v>
      </c>
      <c r="C1" s="1" t="s">
        <v>2</v>
      </c>
      <c r="D1" s="1" t="s">
        <v>3</v>
      </c>
      <c r="E1" s="1" t="s">
        <v>4</v>
      </c>
      <c r="F1" s="1" t="s">
        <v>5</v>
      </c>
      <c r="G1" s="1" t="s">
        <v>6</v>
      </c>
    </row>
    <row r="2" spans="1:7" ht="39">
      <c r="A2" s="4">
        <f ca="1">IFERROR(__xludf.DUMMYFUNCTION("""COMPUTED_VALUE"""),209040735)</f>
        <v>209040735</v>
      </c>
      <c r="B2" s="4" t="str">
        <f ca="1">IFERROR(__xludf.DUMMYFUNCTION("""COMPUTED_VALUE"""),"Kgoroba")</f>
        <v>Kgoroba</v>
      </c>
      <c r="C2" s="4" t="str">
        <f ca="1">IFERROR(__xludf.DUMMYFUNCTION("""COMPUTED_VALUE"""),"T")</f>
        <v>T</v>
      </c>
      <c r="D2" s="4"/>
      <c r="E2" s="4" t="str">
        <f ca="1">IFERROR(__xludf.DUMMYFUNCTION("""COMPUTED_VALUE"""),"0766202294")</f>
        <v>0766202294</v>
      </c>
      <c r="F2" s="4" t="str">
        <f ca="1">IFERROR(__xludf.DUMMYFUNCTION("""COMPUTED_VALUE"""),"209040735@tut4life.ac.za")</f>
        <v>209040735@tut4life.ac.za</v>
      </c>
      <c r="G2" s="4" t="str">
        <f ca="1">IFERROR(__xludf.DUMMYFUNCTION("""COMPUTED_VALUE"""),"The student must pass the two outstanding  subjects, PJT411E and ITA401T.")</f>
        <v>The student must pass the two outstanding  subjects, PJT411E and ITA401T.</v>
      </c>
    </row>
    <row r="3" spans="1:7">
      <c r="A3" s="4">
        <f ca="1">IFERROR(__xludf.DUMMYFUNCTION("""COMPUTED_VALUE"""),215646181)</f>
        <v>215646181</v>
      </c>
      <c r="B3" s="4"/>
      <c r="C3" s="4"/>
      <c r="D3" s="4"/>
      <c r="E3" s="4"/>
      <c r="F3" s="4"/>
      <c r="G3" s="4" t="str">
        <f ca="1">IFERROR(__xludf.DUMMYFUNCTION("""COMPUTED_VALUE"""),"STUDENT MAY SELECT ANOTHER SUBJECT TO PASS DURING S1 2022. DBA401T IS NOT OFFERED DURING S1 2022 .")</f>
        <v>STUDENT MAY SELECT ANOTHER SUBJECT TO PASS DURING S1 2022. DBA401T IS NOT OFFERED DURING S1 2022 .</v>
      </c>
    </row>
    <row r="4" spans="1:7">
      <c r="A4" s="4">
        <f ca="1">IFERROR(__xludf.DUMMYFUNCTION("""COMPUTED_VALUE"""),213510762)</f>
        <v>213510762</v>
      </c>
      <c r="B4" s="4"/>
      <c r="C4" s="4"/>
      <c r="D4" s="4"/>
      <c r="E4" s="4"/>
      <c r="F4" s="4"/>
      <c r="G4" s="4" t="str">
        <f ca="1">IFERROR(__xludf.DUMMYFUNCTION("""COMPUTED_VALUE"""),"STUDENT NEED TO PASS EGD107V DURING S1 2022 AND REPORT FOR ACADEMIC INTERVENTION.")</f>
        <v>STUDENT NEED TO PASS EGD107V DURING S1 2022 AND REPORT FOR ACADEMIC INTERVENTION.</v>
      </c>
    </row>
    <row r="5" spans="1:7" ht="102.75">
      <c r="A5" s="4">
        <f ca="1">IFERROR(__xludf.DUMMYFUNCTION("""COMPUTED_VALUE"""),214198800)</f>
        <v>214198800</v>
      </c>
      <c r="B5" s="4" t="str">
        <f ca="1">IFERROR(__xludf.DUMMYFUNCTION("""COMPUTED_VALUE"""),"Maseko")</f>
        <v>Maseko</v>
      </c>
      <c r="C5" s="4" t="str">
        <f ca="1">IFERROR(__xludf.DUMMYFUNCTION("""COMPUTED_VALUE"""),"S.J.")</f>
        <v>S.J.</v>
      </c>
      <c r="D5" s="4"/>
      <c r="E5" s="4" t="str">
        <f ca="1">IFERROR(__xludf.DUMMYFUNCTION("""COMPUTED_VALUE"""),"0714664918")</f>
        <v>0714664918</v>
      </c>
      <c r="F5" s="4" t="str">
        <f ca="1">IFERROR(__xludf.DUMMYFUNCTION("""COMPUTED_VALUE"""),"msizwejulius@gmail.com")</f>
        <v>msizwejulius@gmail.com</v>
      </c>
      <c r="G5" s="4" t="str">
        <f ca="1">IFERROR(__xludf.DUMMYFUNCTION("""COMPUTED_VALUE"""),"LOOK AT ANOTHER OPTIONAL SUBJECT AS DBA401T IS ALSO AN OPTIONAL SUBJECT AND IS NOT OFFERED S1 2022 AND WILL BE PHASED OUT AND NOT OFFERED DURING S2 2022.")</f>
        <v>LOOK AT ANOTHER OPTIONAL SUBJECT AS DBA401T IS ALSO AN OPTIONAL SUBJECT AND IS NOT OFFERED S1 2022 AND WILL BE PHASED OUT AND NOT OFFERED DURING S2 2022.</v>
      </c>
    </row>
    <row r="6" spans="1:7">
      <c r="A6" s="4">
        <f ca="1">IFERROR(__xludf.DUMMYFUNCTION("""COMPUTED_VALUE"""),214396874)</f>
        <v>214396874</v>
      </c>
      <c r="B6" s="4"/>
      <c r="C6" s="4"/>
      <c r="D6" s="4"/>
      <c r="E6" s="4"/>
      <c r="F6" s="4"/>
      <c r="G6" s="4" t="str">
        <f ca="1">IFERROR(__xludf.DUMMYFUNCTION("""COMPUTED_VALUE"""),"STUDENT NEED TO PASS EGD107V DURING S1 2022 AND REPORT FOR ACADEMIC INTERVENTION.")</f>
        <v>STUDENT NEED TO PASS EGD107V DURING S1 2022 AND REPORT FOR ACADEMIC INTERVENTION.</v>
      </c>
    </row>
    <row r="7" spans="1:7">
      <c r="A7" s="4">
        <f ca="1">IFERROR(__xludf.DUMMYFUNCTION("""COMPUTED_VALUE"""),218756492)</f>
        <v>218756492</v>
      </c>
      <c r="B7" s="4"/>
      <c r="C7" s="4"/>
      <c r="D7" s="4"/>
      <c r="E7" s="4"/>
      <c r="F7" s="4"/>
      <c r="G7" s="4" t="str">
        <f ca="1">IFERROR(__xludf.DUMMYFUNCTION("""COMPUTED_VALUE"""),"STUDENT NEED TO PASS EGD117R DURING S1 2022 AND REPORT FOR ACADEMIC INTERVENTION.")</f>
        <v>STUDENT NEED TO PASS EGD117R DURING S1 2022 AND REPORT FOR ACADEMIC INTERVENTION.</v>
      </c>
    </row>
    <row r="8" spans="1:7" ht="26.25">
      <c r="A8" s="4">
        <f ca="1">IFERROR(__xludf.DUMMYFUNCTION("""COMPUTED_VALUE"""),215073653)</f>
        <v>215073653</v>
      </c>
      <c r="B8" s="4" t="str">
        <f ca="1">IFERROR(__xludf.DUMMYFUNCTION("""COMPUTED_VALUE"""),"Mapeka")</f>
        <v>Mapeka</v>
      </c>
      <c r="C8" s="4" t="str">
        <f ca="1">IFERROR(__xludf.DUMMYFUNCTION("""COMPUTED_VALUE"""),"JM")</f>
        <v>JM</v>
      </c>
      <c r="D8" s="4"/>
      <c r="E8" s="4" t="str">
        <f ca="1">IFERROR(__xludf.DUMMYFUNCTION("""COMPUTED_VALUE"""),"0763287092")</f>
        <v>0763287092</v>
      </c>
      <c r="F8" s="4" t="str">
        <f ca="1">IFERROR(__xludf.DUMMYFUNCTION("""COMPUTED_VALUE"""),"mpamalevy224@gmail.com")</f>
        <v>mpamalevy224@gmail.com</v>
      </c>
      <c r="G8" s="4" t="str">
        <f ca="1">IFERROR(__xludf.DUMMYFUNCTION("""COMPUTED_VALUE"""),"Student must pass HCI401T DURING S1 2022 .")</f>
        <v>Student must pass HCI401T DURING S1 2022 .</v>
      </c>
    </row>
    <row r="9" spans="1:7" ht="39">
      <c r="A9" s="4">
        <f ca="1">IFERROR(__xludf.DUMMYFUNCTION("""COMPUTED_VALUE"""),212082015)</f>
        <v>212082015</v>
      </c>
      <c r="B9" s="4" t="str">
        <f ca="1">IFERROR(__xludf.DUMMYFUNCTION("""COMPUTED_VALUE"""),"Mokoena")</f>
        <v>Mokoena</v>
      </c>
      <c r="C9" s="4" t="str">
        <f ca="1">IFERROR(__xludf.DUMMYFUNCTION("""COMPUTED_VALUE"""),"KG")</f>
        <v>KG</v>
      </c>
      <c r="D9" s="4"/>
      <c r="E9" s="4" t="str">
        <f ca="1">IFERROR(__xludf.DUMMYFUNCTION("""COMPUTED_VALUE"""),"0766721368")</f>
        <v>0766721368</v>
      </c>
      <c r="F9" s="4" t="str">
        <f ca="1">IFERROR(__xludf.DUMMYFUNCTION("""COMPUTED_VALUE"""),"mokoenakgoth@gmail.com")</f>
        <v>mokoenakgoth@gmail.com</v>
      </c>
      <c r="G9" s="4" t="str">
        <f ca="1">IFERROR(__xludf.DUMMYFUNCTION("""COMPUTED_VALUE"""),"STUDENT MUST PASS SRN401T AND TPG401T DURING S1 2022.")</f>
        <v>STUDENT MUST PASS SRN401T AND TPG401T DURING S1 2022.</v>
      </c>
    </row>
    <row r="10" spans="1:7" ht="26.25">
      <c r="A10" s="4">
        <f ca="1">IFERROR(__xludf.DUMMYFUNCTION("""COMPUTED_VALUE"""),213077309)</f>
        <v>213077309</v>
      </c>
      <c r="B10" s="4" t="str">
        <f ca="1">IFERROR(__xludf.DUMMYFUNCTION("""COMPUTED_VALUE"""),"Mani")</f>
        <v>Mani</v>
      </c>
      <c r="C10" s="4" t="s">
        <v>7</v>
      </c>
      <c r="D10" s="4"/>
      <c r="E10" s="4" t="str">
        <f ca="1">IFERROR(__xludf.DUMMYFUNCTION("""COMPUTED_VALUE"""),"0671298237")</f>
        <v>0671298237</v>
      </c>
      <c r="F10" s="4" t="str">
        <f ca="1">IFERROR(__xludf.DUMMYFUNCTION("""COMPUTED_VALUE"""),"manimbulelo3@gmail.com")</f>
        <v>manimbulelo3@gmail.com</v>
      </c>
      <c r="G10" s="4" t="str">
        <f ca="1">IFERROR(__xludf.DUMMYFUNCTION("""COMPUTED_VALUE"""),"Student need to pass PJT411B.")</f>
        <v>Student need to pass PJT411B.</v>
      </c>
    </row>
    <row r="11" spans="1:7" ht="26.25">
      <c r="A11" s="4">
        <f ca="1">IFERROR(__xludf.DUMMYFUNCTION("""COMPUTED_VALUE"""),217552702)</f>
        <v>217552702</v>
      </c>
      <c r="B11" s="4" t="str">
        <f ca="1">IFERROR(__xludf.DUMMYFUNCTION("""COMPUTED_VALUE"""),"Shabalala")</f>
        <v>Shabalala</v>
      </c>
      <c r="C11" s="4" t="str">
        <f ca="1">IFERROR(__xludf.DUMMYFUNCTION("""COMPUTED_VALUE"""),"SN")</f>
        <v>SN</v>
      </c>
      <c r="D11" s="4"/>
      <c r="E11" s="4" t="str">
        <f ca="1">IFERROR(__xludf.DUMMYFUNCTION("""COMPUTED_VALUE"""),"0799506001")</f>
        <v>0799506001</v>
      </c>
      <c r="F11" s="4" t="str">
        <f ca="1">IFERROR(__xludf.DUMMYFUNCTION("""COMPUTED_VALUE"""),"shabalalasbusiso@gmail.com")</f>
        <v>shabalalasbusiso@gmail.com</v>
      </c>
      <c r="G11" s="4" t="str">
        <f ca="1">IFERROR(__xludf.DUMMYFUNCTION("""COMPUTED_VALUE"""),"Student need to pass PJT411B")</f>
        <v>Student need to pass PJT411B</v>
      </c>
    </row>
    <row r="12" spans="1:7">
      <c r="A12" s="4">
        <f ca="1">IFERROR(__xludf.DUMMYFUNCTION("""COMPUTED_VALUE"""),207206660)</f>
        <v>207206660</v>
      </c>
      <c r="B12" s="4" t="str">
        <f ca="1">IFERROR(__xludf.DUMMYFUNCTION("""COMPUTED_VALUE"""),"Motau ")</f>
        <v xml:space="preserve">Motau </v>
      </c>
      <c r="C12" s="4" t="str">
        <f ca="1">IFERROR(__xludf.DUMMYFUNCTION("""COMPUTED_VALUE"""),"Pk")</f>
        <v>Pk</v>
      </c>
      <c r="D12" s="4"/>
      <c r="E12" s="4" t="str">
        <f ca="1">IFERROR(__xludf.DUMMYFUNCTION("""COMPUTED_VALUE"""),"0820823776")</f>
        <v>0820823776</v>
      </c>
      <c r="F12" s="4" t="str">
        <f ca="1">IFERROR(__xludf.DUMMYFUNCTION("""COMPUTED_VALUE"""),"phetogomotau@gmail.com")</f>
        <v>phetogomotau@gmail.com</v>
      </c>
      <c r="G12" s="4" t="str">
        <f ca="1">IFERROR(__xludf.DUMMYFUNCTION("""COMPUTED_VALUE"""),"Student must pass Project IV")</f>
        <v>Student must pass Project IV</v>
      </c>
    </row>
    <row r="13" spans="1:7" ht="26.25">
      <c r="A13" s="4">
        <f ca="1">IFERROR(__xludf.DUMMYFUNCTION("""COMPUTED_VALUE"""),214417367)</f>
        <v>214417367</v>
      </c>
      <c r="B13" s="4" t="str">
        <f ca="1">IFERROR(__xludf.DUMMYFUNCTION("""COMPUTED_VALUE"""),"Mbuyazi")</f>
        <v>Mbuyazi</v>
      </c>
      <c r="C13" s="4" t="str">
        <f ca="1">IFERROR(__xludf.DUMMYFUNCTION("""COMPUTED_VALUE"""),"NL")</f>
        <v>NL</v>
      </c>
      <c r="D13" s="4"/>
      <c r="E13" s="4" t="str">
        <f ca="1">IFERROR(__xludf.DUMMYFUNCTION("""COMPUTED_VALUE"""),"0733143315")</f>
        <v>0733143315</v>
      </c>
      <c r="F13" s="4" t="str">
        <f ca="1">IFERROR(__xludf.DUMMYFUNCTION("""COMPUTED_VALUE"""),"nlmbuyazi@gmail.com")</f>
        <v>nlmbuyazi@gmail.com</v>
      </c>
      <c r="G13" s="4" t="str">
        <f ca="1">IFERROR(__xludf.DUMMYFUNCTION("""COMPUTED_VALUE"""),"Student need to pass PJT411B and HCI401T.")</f>
        <v>Student need to pass PJT411B and HCI401T.</v>
      </c>
    </row>
    <row r="14" spans="1:7" ht="39">
      <c r="A14" s="4">
        <f ca="1">IFERROR(__xludf.DUMMYFUNCTION("""COMPUTED_VALUE"""),213237098)</f>
        <v>213237098</v>
      </c>
      <c r="B14" s="4" t="str">
        <f ca="1">IFERROR(__xludf.DUMMYFUNCTION("""COMPUTED_VALUE"""),"Kgatla")</f>
        <v>Kgatla</v>
      </c>
      <c r="C14" s="4" t="str">
        <f ca="1">IFERROR(__xludf.DUMMYFUNCTION("""COMPUTED_VALUE"""),"E")</f>
        <v>E</v>
      </c>
      <c r="D14" s="4"/>
      <c r="E14" s="4" t="str">
        <f ca="1">IFERROR(__xludf.DUMMYFUNCTION("""COMPUTED_VALUE"""),"0662238612")</f>
        <v>0662238612</v>
      </c>
      <c r="F14" s="4" t="str">
        <f ca="1">IFERROR(__xludf.DUMMYFUNCTION("""COMPUTED_VALUE"""),"emmanuel66@live.co.za")</f>
        <v>emmanuel66@live.co.za</v>
      </c>
      <c r="G14" s="4" t="str">
        <f ca="1">IFERROR(__xludf.DUMMYFUNCTION("""COMPUTED_VALUE"""),"Student must pass PJT411H and KNM401T during S1 2022.")</f>
        <v>Student must pass PJT411H and KNM401T during S1 2022.</v>
      </c>
    </row>
    <row r="15" spans="1:7" ht="26.25">
      <c r="A15" s="4">
        <f ca="1">IFERROR(__xludf.DUMMYFUNCTION("""COMPUTED_VALUE"""),218753086)</f>
        <v>218753086</v>
      </c>
      <c r="B15" s="4" t="str">
        <f ca="1">IFERROR(__xludf.DUMMYFUNCTION("""COMPUTED_VALUE"""),"Setlogelo")</f>
        <v>Setlogelo</v>
      </c>
      <c r="C15" s="4" t="str">
        <f ca="1">IFERROR(__xludf.DUMMYFUNCTION("""COMPUTED_VALUE"""),"M")</f>
        <v>M</v>
      </c>
      <c r="D15" s="4"/>
      <c r="E15" s="4" t="str">
        <f ca="1">IFERROR(__xludf.DUMMYFUNCTION("""COMPUTED_VALUE"""),"0662728267")</f>
        <v>0662728267</v>
      </c>
      <c r="F15" s="4" t="str">
        <f ca="1">IFERROR(__xludf.DUMMYFUNCTION("""COMPUTED_VALUE"""),"mosetlogelo@gmail.com")</f>
        <v>mosetlogelo@gmail.com</v>
      </c>
      <c r="G15" s="4" t="str">
        <f ca="1">IFERROR(__xludf.DUMMYFUNCTION("""COMPUTED_VALUE"""),"Student must complete PJT411T in 2022 semster 1.")</f>
        <v>Student must complete PJT411T in 2022 semster 1.</v>
      </c>
    </row>
    <row r="16" spans="1:7" ht="39">
      <c r="A16" s="4">
        <f ca="1">IFERROR(__xludf.DUMMYFUNCTION("""COMPUTED_VALUE"""),214729806)</f>
        <v>214729806</v>
      </c>
      <c r="B16" s="4" t="str">
        <f ca="1">IFERROR(__xludf.DUMMYFUNCTION("""COMPUTED_VALUE"""),"MAMADISHA")</f>
        <v>MAMADISHA</v>
      </c>
      <c r="C16" s="4" t="str">
        <f ca="1">IFERROR(__xludf.DUMMYFUNCTION("""COMPUTED_VALUE"""),"MN")</f>
        <v>MN</v>
      </c>
      <c r="D16" s="4"/>
      <c r="E16" s="4" t="str">
        <f ca="1">IFERROR(__xludf.DUMMYFUNCTION("""COMPUTED_VALUE"""),"0714854440")</f>
        <v>0714854440</v>
      </c>
      <c r="F16" s="4" t="str">
        <f ca="1">IFERROR(__xludf.DUMMYFUNCTION("""COMPUTED_VALUE"""),"214729806@tut4life.ac.za")</f>
        <v>214729806@tut4life.ac.za</v>
      </c>
      <c r="G16" s="4" t="str">
        <f ca="1">IFERROR(__xludf.DUMMYFUNCTION("""COMPUTED_VALUE"""),"Student must pass PJT411J and DEG401T during S1 2022.")</f>
        <v>Student must pass PJT411J and DEG401T during S1 2022.</v>
      </c>
    </row>
    <row r="17" spans="1:7" ht="26.25">
      <c r="A17" s="11">
        <v>99183934</v>
      </c>
      <c r="B17" s="12" t="s">
        <v>8</v>
      </c>
      <c r="C17" s="12" t="s">
        <v>9</v>
      </c>
      <c r="D17" s="12" t="s">
        <v>10</v>
      </c>
      <c r="E17" s="12">
        <v>27731757243</v>
      </c>
      <c r="F17" s="12" t="s">
        <v>11</v>
      </c>
      <c r="G17" s="12" t="s">
        <v>12</v>
      </c>
    </row>
    <row r="18" spans="1:7">
      <c r="A18" s="11">
        <v>209031450</v>
      </c>
      <c r="B18" s="12" t="s">
        <v>13</v>
      </c>
      <c r="C18" s="12" t="s">
        <v>14</v>
      </c>
      <c r="D18" s="12" t="s">
        <v>10</v>
      </c>
      <c r="E18" s="12">
        <v>723644741</v>
      </c>
      <c r="F18" s="12" t="s">
        <v>15</v>
      </c>
      <c r="G18" s="12" t="s">
        <v>16</v>
      </c>
    </row>
    <row r="19" spans="1:7">
      <c r="A19" s="13">
        <v>209088282</v>
      </c>
      <c r="B19" s="14" t="s">
        <v>17</v>
      </c>
      <c r="C19" s="14" t="s">
        <v>18</v>
      </c>
      <c r="D19" s="14" t="s">
        <v>10</v>
      </c>
      <c r="E19" s="14">
        <v>835248647</v>
      </c>
      <c r="F19" s="14" t="s">
        <v>19</v>
      </c>
      <c r="G19" s="14" t="s">
        <v>16</v>
      </c>
    </row>
    <row r="20" spans="1:7">
      <c r="A20" s="13">
        <v>209235587</v>
      </c>
      <c r="B20" s="14" t="s">
        <v>20</v>
      </c>
      <c r="C20" s="14" t="s">
        <v>21</v>
      </c>
      <c r="D20" s="14" t="s">
        <v>10</v>
      </c>
      <c r="E20" s="14">
        <v>847773774</v>
      </c>
      <c r="F20" s="14" t="s">
        <v>22</v>
      </c>
      <c r="G20" s="14" t="s">
        <v>16</v>
      </c>
    </row>
    <row r="21" spans="1:7" ht="26.25">
      <c r="A21" s="11">
        <v>210037870</v>
      </c>
      <c r="B21" s="12" t="s">
        <v>23</v>
      </c>
      <c r="C21" s="12" t="s">
        <v>24</v>
      </c>
      <c r="D21" s="12" t="s">
        <v>10</v>
      </c>
      <c r="E21" s="12">
        <v>27780032643</v>
      </c>
      <c r="F21" s="12" t="s">
        <v>25</v>
      </c>
      <c r="G21" s="12" t="s">
        <v>26</v>
      </c>
    </row>
    <row r="22" spans="1:7" ht="39">
      <c r="A22" s="11">
        <v>212375497</v>
      </c>
      <c r="B22" s="12" t="s">
        <v>27</v>
      </c>
      <c r="C22" s="12" t="s">
        <v>28</v>
      </c>
      <c r="D22" s="12" t="s">
        <v>10</v>
      </c>
      <c r="E22" s="12">
        <v>672406250</v>
      </c>
      <c r="F22" s="12" t="s">
        <v>29</v>
      </c>
      <c r="G22" s="12" t="s">
        <v>30</v>
      </c>
    </row>
    <row r="23" spans="1:7" ht="64.5">
      <c r="A23" s="11">
        <v>212001805</v>
      </c>
      <c r="B23" s="12" t="s">
        <v>31</v>
      </c>
      <c r="C23" s="12" t="s">
        <v>32</v>
      </c>
      <c r="D23" s="12" t="s">
        <v>10</v>
      </c>
      <c r="E23" s="12">
        <v>824143723</v>
      </c>
      <c r="F23" s="12" t="s">
        <v>33</v>
      </c>
      <c r="G23" s="12" t="s">
        <v>34</v>
      </c>
    </row>
    <row r="24" spans="1:7" ht="102.75">
      <c r="A24" s="13">
        <v>213650610</v>
      </c>
      <c r="B24" s="14" t="s">
        <v>35</v>
      </c>
      <c r="C24" s="14" t="s">
        <v>36</v>
      </c>
      <c r="D24" s="14" t="s">
        <v>10</v>
      </c>
      <c r="E24" s="14">
        <v>728887525</v>
      </c>
      <c r="F24" s="14" t="s">
        <v>37</v>
      </c>
      <c r="G24" s="14" t="s">
        <v>38</v>
      </c>
    </row>
    <row r="25" spans="1:7" ht="64.5">
      <c r="A25" s="11">
        <v>218659969</v>
      </c>
      <c r="B25" s="12" t="s">
        <v>39</v>
      </c>
      <c r="C25" s="12" t="s">
        <v>24</v>
      </c>
      <c r="D25" s="12" t="s">
        <v>10</v>
      </c>
      <c r="E25" s="12" t="s">
        <v>40</v>
      </c>
      <c r="F25" s="12" t="s">
        <v>41</v>
      </c>
      <c r="G25" s="12" t="s">
        <v>42</v>
      </c>
    </row>
    <row r="26" spans="1:7" ht="26.25">
      <c r="A26" s="11">
        <v>222400724</v>
      </c>
      <c r="B26" s="12" t="s">
        <v>43</v>
      </c>
      <c r="C26" s="12" t="s">
        <v>44</v>
      </c>
      <c r="D26" s="12" t="s">
        <v>10</v>
      </c>
      <c r="E26" s="12">
        <v>833060444</v>
      </c>
      <c r="F26" s="12" t="s">
        <v>45</v>
      </c>
      <c r="G26" s="12" t="s">
        <v>46</v>
      </c>
    </row>
    <row r="27" spans="1:7" ht="26.25">
      <c r="A27" s="11">
        <v>213571397</v>
      </c>
      <c r="B27" s="12" t="s">
        <v>10</v>
      </c>
      <c r="C27" s="12" t="s">
        <v>10</v>
      </c>
      <c r="D27" s="12" t="s">
        <v>10</v>
      </c>
      <c r="E27" s="12" t="s">
        <v>10</v>
      </c>
      <c r="F27" s="12" t="s">
        <v>10</v>
      </c>
      <c r="G27" s="12" t="s">
        <v>47</v>
      </c>
    </row>
    <row r="28" spans="1:7" ht="26.25">
      <c r="A28" s="18">
        <v>213473956</v>
      </c>
      <c r="B28" s="31" t="s">
        <v>48</v>
      </c>
      <c r="C28" s="31" t="s">
        <v>49</v>
      </c>
      <c r="E28" s="18">
        <v>736954921</v>
      </c>
      <c r="F28" s="24" t="s">
        <v>50</v>
      </c>
      <c r="G28" s="25" t="s">
        <v>51</v>
      </c>
    </row>
    <row r="29" spans="1:7" ht="64.5">
      <c r="A29" s="26">
        <v>217435897</v>
      </c>
      <c r="B29" s="50" t="s">
        <v>52</v>
      </c>
      <c r="C29" s="50" t="s">
        <v>53</v>
      </c>
      <c r="D29" s="22"/>
      <c r="E29" s="52">
        <v>733120997</v>
      </c>
      <c r="F29" s="29" t="s">
        <v>54</v>
      </c>
      <c r="G29" s="51" t="s">
        <v>55</v>
      </c>
    </row>
    <row r="30" spans="1:7" ht="64.5">
      <c r="A30" s="62">
        <v>216915739</v>
      </c>
      <c r="B30" s="63" t="s">
        <v>10</v>
      </c>
      <c r="C30" s="63" t="s">
        <v>10</v>
      </c>
      <c r="D30" s="64"/>
      <c r="E30" s="65" t="s">
        <v>10</v>
      </c>
      <c r="F30" s="63" t="s">
        <v>10</v>
      </c>
      <c r="G30" s="51" t="s">
        <v>56</v>
      </c>
    </row>
    <row r="31" spans="1:7">
      <c r="A31" s="52">
        <v>215286428</v>
      </c>
      <c r="B31" s="30" t="s">
        <v>10</v>
      </c>
      <c r="C31" s="30" t="s">
        <v>10</v>
      </c>
      <c r="D31" s="22"/>
      <c r="E31" s="41" t="s">
        <v>10</v>
      </c>
      <c r="F31" s="30" t="s">
        <v>10</v>
      </c>
      <c r="G31" s="61" t="s">
        <v>57</v>
      </c>
    </row>
    <row r="32" spans="1:7">
      <c r="A32" s="53">
        <v>215658953</v>
      </c>
      <c r="B32" s="39" t="s">
        <v>10</v>
      </c>
      <c r="C32" s="39" t="s">
        <v>10</v>
      </c>
      <c r="D32" s="22"/>
      <c r="E32" s="42" t="s">
        <v>10</v>
      </c>
      <c r="F32" s="39" t="s">
        <v>10</v>
      </c>
      <c r="G32" s="66" t="s">
        <v>57</v>
      </c>
    </row>
    <row r="33" spans="1:7">
      <c r="A33" s="53">
        <v>217118506</v>
      </c>
      <c r="B33" s="39" t="s">
        <v>10</v>
      </c>
      <c r="C33" s="39" t="s">
        <v>10</v>
      </c>
      <c r="D33" s="22"/>
      <c r="E33" s="42" t="s">
        <v>10</v>
      </c>
      <c r="F33" s="39" t="s">
        <v>10</v>
      </c>
      <c r="G33" s="66" t="s">
        <v>57</v>
      </c>
    </row>
    <row r="34" spans="1:7">
      <c r="A34" s="53">
        <v>214748363</v>
      </c>
      <c r="B34" s="39" t="s">
        <v>10</v>
      </c>
      <c r="C34" s="39" t="s">
        <v>10</v>
      </c>
      <c r="D34" s="22"/>
      <c r="E34" s="42" t="s">
        <v>10</v>
      </c>
      <c r="F34" s="39" t="s">
        <v>10</v>
      </c>
      <c r="G34" s="66" t="s">
        <v>57</v>
      </c>
    </row>
    <row r="35" spans="1:7">
      <c r="A35" s="53">
        <v>215273024</v>
      </c>
      <c r="B35" s="39" t="s">
        <v>10</v>
      </c>
      <c r="C35" s="39" t="s">
        <v>10</v>
      </c>
      <c r="D35" s="22"/>
      <c r="E35" s="42" t="s">
        <v>10</v>
      </c>
      <c r="F35" s="39" t="s">
        <v>10</v>
      </c>
      <c r="G35" s="66" t="s">
        <v>57</v>
      </c>
    </row>
    <row r="36" spans="1:7">
      <c r="A36" s="53">
        <v>216063546</v>
      </c>
      <c r="B36" s="39" t="s">
        <v>10</v>
      </c>
      <c r="C36" s="39" t="s">
        <v>10</v>
      </c>
      <c r="D36" s="22"/>
      <c r="E36" s="42" t="s">
        <v>10</v>
      </c>
      <c r="F36" s="39" t="s">
        <v>10</v>
      </c>
      <c r="G36" s="66" t="s">
        <v>57</v>
      </c>
    </row>
  </sheetData>
  <hyperlinks>
    <hyperlink ref="F28" r:id="rId1"/>
    <hyperlink ref="F2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G1" workbookViewId="0">
      <selection activeCell="H1" sqref="H1:M1"/>
    </sheetView>
  </sheetViews>
  <sheetFormatPr defaultRowHeight="15"/>
  <cols>
    <col min="1" max="1" width="19.140625" customWidth="1"/>
    <col min="2" max="2" width="17.85546875" customWidth="1"/>
    <col min="4" max="4" width="16.85546875" customWidth="1"/>
    <col min="5" max="5" width="17.7109375" customWidth="1"/>
    <col min="6" max="6" width="27.85546875" customWidth="1"/>
    <col min="7" max="7" width="37.140625" customWidth="1"/>
    <col min="8" max="8" width="20.5703125" customWidth="1"/>
    <col min="9" max="9" width="32" customWidth="1"/>
    <col min="10" max="10" width="18.5703125" customWidth="1"/>
    <col min="11" max="11" width="18.85546875" customWidth="1"/>
    <col min="12" max="12" width="21.140625" customWidth="1"/>
    <col min="13" max="13" width="18.7109375" customWidth="1"/>
  </cols>
  <sheetData>
    <row r="1" spans="1:13" ht="51"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39">
      <c r="A2" s="4">
        <f ca="1">IFERROR(__xludf.DUMMYFUNCTION("""COMPUTED_VALUE"""),217053641)</f>
        <v>217053641</v>
      </c>
      <c r="B2" s="4" t="str">
        <f ca="1">IFERROR(__xludf.DUMMYFUNCTION("""COMPUTED_VALUE"""),"Maseng")</f>
        <v>Maseng</v>
      </c>
      <c r="C2" s="4" t="str">
        <f ca="1">IFERROR(__xludf.DUMMYFUNCTION("""COMPUTED_VALUE"""),"L")</f>
        <v>L</v>
      </c>
      <c r="D2" s="4" t="s">
        <v>346</v>
      </c>
      <c r="E2" s="4" t="str">
        <f ca="1">IFERROR(__xludf.DUMMYFUNCTION("""COMPUTED_VALUE"""),"0631869576")</f>
        <v>0631869576</v>
      </c>
      <c r="F2" s="4" t="str">
        <f ca="1">IFERROR(__xludf.DUMMYFUNCTION("""COMPUTED_VALUE"""),"lekone.maseng@gmail.com")</f>
        <v>lekone.maseng@gmail.com</v>
      </c>
      <c r="G2" s="4" t="str">
        <f ca="1">IFERROR(__xludf.DUMMYFUNCTION("""COMPUTED_VALUE"""),"LIFTED, Student must pass FPPGG01, LOD311B,PGG211T and other subjects and report for academic intervention.")</f>
        <v>LIFTED, Student must pass FPPGG01, LOD311B,PGG211T and other subjects and report for academic intervention.</v>
      </c>
    </row>
    <row r="3" spans="1:13" ht="51.75">
      <c r="A3" s="4">
        <f ca="1">IFERROR(__xludf.DUMMYFUNCTION("""COMPUTED_VALUE"""),218042716)</f>
        <v>218042716</v>
      </c>
      <c r="B3" s="4"/>
      <c r="C3" s="4"/>
      <c r="D3" s="10" t="s">
        <v>346</v>
      </c>
      <c r="E3" s="4"/>
      <c r="F3" s="136" t="s">
        <v>564</v>
      </c>
      <c r="G3" s="4" t="str">
        <f ca="1">IFERROR(__xludf.DUMMYFUNCTION("""COMPUTED_VALUE"""),"LIFTED, STUDENT MUST PASS PGG211T, FPPGG01, FPELCO2 AND OTHER SUBJECTS AND REPORT FOR ACADEMIC INTERVENTION.")</f>
        <v>LIFTED, STUDENT MUST PASS PGG211T, FPPGG01, FPELCO2 AND OTHER SUBJECTS AND REPORT FOR ACADEMIC INTERVENTION.</v>
      </c>
    </row>
    <row r="4" spans="1:13" ht="51.75">
      <c r="A4" s="18">
        <v>219107200</v>
      </c>
      <c r="B4" s="21" t="s">
        <v>10</v>
      </c>
      <c r="C4" s="228" t="s">
        <v>10</v>
      </c>
      <c r="D4" s="26"/>
      <c r="E4" s="21" t="s">
        <v>10</v>
      </c>
      <c r="F4" s="134" t="s">
        <v>565</v>
      </c>
      <c r="G4" s="25" t="s">
        <v>566</v>
      </c>
    </row>
    <row r="5" spans="1:13" ht="26.25">
      <c r="A5" s="26">
        <v>219016344</v>
      </c>
      <c r="B5" s="50" t="s">
        <v>10</v>
      </c>
      <c r="C5" s="229" t="s">
        <v>10</v>
      </c>
      <c r="D5" s="26"/>
      <c r="E5" s="30" t="s">
        <v>10</v>
      </c>
      <c r="F5" s="135" t="s">
        <v>567</v>
      </c>
      <c r="G5" s="51" t="s">
        <v>568</v>
      </c>
    </row>
    <row r="6" spans="1:13" ht="26.25">
      <c r="A6" s="23">
        <v>219379790</v>
      </c>
      <c r="B6" s="21" t="s">
        <v>569</v>
      </c>
      <c r="C6" s="228" t="s">
        <v>570</v>
      </c>
      <c r="D6" s="26"/>
      <c r="E6" s="66">
        <v>720251784</v>
      </c>
      <c r="F6" s="24" t="s">
        <v>571</v>
      </c>
      <c r="G6" s="54" t="s">
        <v>568</v>
      </c>
    </row>
    <row r="7" spans="1:13" ht="26.25">
      <c r="A7" s="23">
        <v>219400195</v>
      </c>
      <c r="B7" s="21" t="s">
        <v>572</v>
      </c>
      <c r="C7" s="228" t="s">
        <v>573</v>
      </c>
      <c r="D7" s="26"/>
      <c r="E7" s="66">
        <v>731586898</v>
      </c>
      <c r="F7" s="24" t="s">
        <v>574</v>
      </c>
      <c r="G7" s="54" t="s">
        <v>575</v>
      </c>
    </row>
    <row r="8" spans="1:13">
      <c r="A8" s="55">
        <v>219461054</v>
      </c>
      <c r="B8" s="56" t="s">
        <v>576</v>
      </c>
      <c r="C8" s="22" t="s">
        <v>86</v>
      </c>
      <c r="D8" s="26"/>
      <c r="E8" s="59">
        <v>795496574</v>
      </c>
      <c r="F8" s="58" t="s">
        <v>577</v>
      </c>
      <c r="G8" s="59" t="s">
        <v>578</v>
      </c>
    </row>
    <row r="9" spans="1:13" ht="26.25">
      <c r="A9" s="26">
        <v>219982437</v>
      </c>
      <c r="B9" s="50" t="s">
        <v>579</v>
      </c>
      <c r="C9" s="229" t="s">
        <v>24</v>
      </c>
      <c r="D9" s="26"/>
      <c r="E9" s="61">
        <v>658318243</v>
      </c>
      <c r="F9" s="29" t="s">
        <v>580</v>
      </c>
      <c r="G9" s="51" t="s">
        <v>568</v>
      </c>
    </row>
    <row r="10" spans="1:13" ht="40.5" customHeight="1">
      <c r="A10" s="52">
        <v>219092881</v>
      </c>
      <c r="B10" s="61" t="s">
        <v>581</v>
      </c>
      <c r="C10" s="230" t="s">
        <v>582</v>
      </c>
      <c r="D10" s="26"/>
      <c r="E10" s="61">
        <v>826350600</v>
      </c>
      <c r="F10" s="29" t="s">
        <v>583</v>
      </c>
      <c r="G10" s="51" t="s">
        <v>568</v>
      </c>
    </row>
  </sheetData>
  <hyperlinks>
    <hyperlink ref="F6" r:id="rId1"/>
    <hyperlink ref="F7" r:id="rId2"/>
    <hyperlink ref="F8" r:id="rId3"/>
    <hyperlink ref="F9" r:id="rId4"/>
    <hyperlink ref="F10" r:id="rId5"/>
    <hyperlink ref="F4" r:id="rId6"/>
    <hyperlink ref="F5" r:id="rId7"/>
    <hyperlink ref="F3" r:id="rId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5703125" customWidth="1"/>
    <col min="2" max="2" width="19.5703125" customWidth="1"/>
    <col min="4" max="4" width="14.5703125" customWidth="1"/>
    <col min="5" max="5" width="19.28515625" customWidth="1"/>
    <col min="6" max="6" width="27.140625" customWidth="1"/>
    <col min="7" max="7" width="31.140625" customWidth="1"/>
    <col min="8" max="8" width="18.42578125" customWidth="1"/>
    <col min="9" max="9" width="30.85546875" customWidth="1"/>
    <col min="10" max="10" width="15.7109375" customWidth="1"/>
    <col min="11" max="11" width="21.7109375" customWidth="1"/>
    <col min="12" max="12" width="26" customWidth="1"/>
    <col min="13" max="13" width="20.7109375" customWidth="1"/>
  </cols>
  <sheetData>
    <row r="1" spans="1:13" ht="43.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c r="A2" s="85">
        <f ca="1">IFERROR(__xludf.DUMMYFUNCTION("""COMPUTED_VALUE"""),218409890)</f>
        <v>218409890</v>
      </c>
      <c r="B2" s="85">
        <f ca="1">IFERROR(__xludf.DUMMYFUNCTION("""COMPUTED_VALUE"""),218409890)</f>
        <v>218409890</v>
      </c>
      <c r="C2" s="85">
        <f ca="1">IFERROR(__xludf.DUMMYFUNCTION("""COMPUTED_VALUE"""),218409890)</f>
        <v>218409890</v>
      </c>
      <c r="D2" s="85">
        <f ca="1">IFERROR(__xludf.DUMMYFUNCTION("""COMPUTED_VALUE"""),218409890)</f>
        <v>218409890</v>
      </c>
      <c r="E2" s="85">
        <f ca="1">IFERROR(__xludf.DUMMYFUNCTION("""COMPUTED_VALUE"""),218409890)</f>
        <v>218409890</v>
      </c>
      <c r="F2" s="85">
        <f ca="1">IFERROR(__xludf.DUMMYFUNCTION("""COMPUTED_VALUE"""),218409890)</f>
        <v>218409890</v>
      </c>
      <c r="G2" s="85">
        <f ca="1">IFERROR(__xludf.DUMMYFUNCTION("""COMPUTED_VALUE"""),218409890)</f>
        <v>218409890</v>
      </c>
      <c r="H2" t="s">
        <v>411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9" workbookViewId="0">
      <selection activeCell="K19" sqref="H19:K19"/>
    </sheetView>
  </sheetViews>
  <sheetFormatPr defaultRowHeight="15"/>
  <cols>
    <col min="1" max="2" width="19.28515625" customWidth="1"/>
    <col min="3" max="3" width="12.28515625" customWidth="1"/>
    <col min="4" max="4" width="16.140625" customWidth="1"/>
    <col min="5" max="5" width="17.5703125" customWidth="1"/>
    <col min="6" max="6" width="22.5703125" customWidth="1"/>
    <col min="7" max="7" width="29.42578125" customWidth="1"/>
    <col min="8" max="8" width="20.7109375" customWidth="1"/>
    <col min="9" max="9" width="29.7109375" customWidth="1"/>
    <col min="10" max="10" width="19.42578125" customWidth="1"/>
    <col min="11" max="11" width="23.140625" customWidth="1"/>
    <col min="12" max="12" width="17.5703125" customWidth="1"/>
    <col min="13" max="13" width="16" customWidth="1"/>
  </cols>
  <sheetData>
    <row r="1" spans="1:13" ht="48"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c r="A2" s="4">
        <f ca="1">IFERROR(__xludf.DUMMYFUNCTION("""COMPUTED_VALUE"""),218367658)</f>
        <v>218367658</v>
      </c>
      <c r="B2" s="4"/>
      <c r="C2" s="4"/>
      <c r="D2" s="4"/>
      <c r="E2" s="4"/>
      <c r="F2" s="4"/>
      <c r="G2" s="4" t="str">
        <f ca="1">IFERROR(__xludf.DUMMYFUNCTION("""COMPUTED_VALUE"""),"STUDENT MUST PASS PGG211T DURING S1 2022 AND REPORT FOR ACADEMIC INTERVENTION.")</f>
        <v>STUDENT MUST PASS PGG211T DURING S1 2022 AND REPORT FOR ACADEMIC INTERVENTION.</v>
      </c>
    </row>
    <row r="3" spans="1:13" ht="51.75">
      <c r="A3" s="4">
        <f ca="1">IFERROR(__xludf.DUMMYFUNCTION("""COMPUTED_VALUE"""),214309599)</f>
        <v>214309599</v>
      </c>
      <c r="B3" s="4" t="str">
        <f ca="1">IFERROR(__xludf.DUMMYFUNCTION("""COMPUTED_VALUE"""),"PHETLA ")</f>
        <v xml:space="preserve">PHETLA </v>
      </c>
      <c r="C3" s="4" t="str">
        <f ca="1">IFERROR(__xludf.DUMMYFUNCTION("""COMPUTED_VALUE"""),"Mp")</f>
        <v>Mp</v>
      </c>
      <c r="D3" s="4"/>
      <c r="E3" s="4" t="str">
        <f ca="1">IFERROR(__xludf.DUMMYFUNCTION("""COMPUTED_VALUE"""),"0794335657")</f>
        <v>0794335657</v>
      </c>
      <c r="F3" s="4" t="str">
        <f ca="1">IFERROR(__xludf.DUMMYFUNCTION("""COMPUTED_VALUE"""),"motlabilepauinah@gmail.com")</f>
        <v>motlabilepauinah@gmail.com</v>
      </c>
      <c r="G3" s="4" t="str">
        <f ca="1">IFERROR(__xludf.DUMMYFUNCTION("""COMPUTED_VALUE"""),"STUDENT MUST PASS PGG211T DURING S1 2022 AND REPORT FOR ACADEMIC INTERVENTION.")</f>
        <v>STUDENT MUST PASS PGG211T DURING S1 2022 AND REPORT FOR ACADEMIC INTERVENTION.</v>
      </c>
    </row>
    <row r="4" spans="1:13" ht="64.5">
      <c r="A4" s="4">
        <f ca="1">IFERROR(__xludf.DUMMYFUNCTION("""COMPUTED_VALUE"""),217066905)</f>
        <v>217066905</v>
      </c>
      <c r="B4" s="4" t="str">
        <f ca="1">IFERROR(__xludf.DUMMYFUNCTION("""COMPUTED_VALUE"""),"Mazibuko")</f>
        <v>Mazibuko</v>
      </c>
      <c r="C4" s="4" t="str">
        <f ca="1">IFERROR(__xludf.DUMMYFUNCTION("""COMPUTED_VALUE"""),"Bongiwe")</f>
        <v>Bongiwe</v>
      </c>
      <c r="D4" s="4"/>
      <c r="E4" s="4" t="str">
        <f ca="1">IFERROR(__xludf.DUMMYFUNCTION("""COMPUTED_VALUE"""),"0719377742")</f>
        <v>0719377742</v>
      </c>
      <c r="F4" s="4" t="str">
        <f ca="1">IFERROR(__xludf.DUMMYFUNCTION("""COMPUTED_VALUE"""),"217066905@tut4life.ac.za")</f>
        <v>217066905@tut4life.ac.za</v>
      </c>
      <c r="G4" s="4" t="str">
        <f ca="1">IFERROR(__xludf.DUMMYFUNCTION("""COMPUTED_VALUE"""),"STUDENT NEED TO PASS LOD311B AND PGG211T DURING S1 2022 AND REPORT FOR ACADEMIC INTERVENTION.")</f>
        <v>STUDENT NEED TO PASS LOD311B AND PGG211T DURING S1 2022 AND REPORT FOR ACADEMIC INTERVENTION.</v>
      </c>
    </row>
    <row r="5" spans="1:13" ht="64.5">
      <c r="A5" s="4">
        <f ca="1">IFERROR(__xludf.DUMMYFUNCTION("""COMPUTED_VALUE"""),217188628)</f>
        <v>217188628</v>
      </c>
      <c r="B5" s="4" t="str">
        <f ca="1">IFERROR(__xludf.DUMMYFUNCTION("""COMPUTED_VALUE"""),"MOSENA")</f>
        <v>MOSENA</v>
      </c>
      <c r="C5" s="4" t="str">
        <f ca="1">IFERROR(__xludf.DUMMYFUNCTION("""COMPUTED_VALUE"""),"MS")</f>
        <v>MS</v>
      </c>
      <c r="D5" s="4"/>
      <c r="E5" s="4" t="str">
        <f ca="1">IFERROR(__xludf.DUMMYFUNCTION("""COMPUTED_VALUE"""),"0761373786")</f>
        <v>0761373786</v>
      </c>
      <c r="F5" s="4" t="str">
        <f ca="1">IFERROR(__xludf.DUMMYFUNCTION("""COMPUTED_VALUE"""),"Mashilo158@gmail.com")</f>
        <v>Mashilo158@gmail.com</v>
      </c>
      <c r="G5" s="4" t="str">
        <f ca="1">IFERROR(__xludf.DUMMYFUNCTION("""COMPUTED_VALUE"""),"STUDENT MUST PASS PGG211T AND LOD311B DURING S1 2022 AND REPORT FOR ACADEMIC INTERVENTION.")</f>
        <v>STUDENT MUST PASS PGG211T AND LOD311B DURING S1 2022 AND REPORT FOR ACADEMIC INTERVENTION.</v>
      </c>
    </row>
    <row r="6" spans="1:13" ht="51.75">
      <c r="A6" s="4">
        <f ca="1">IFERROR(__xludf.DUMMYFUNCTION("""COMPUTED_VALUE"""),218379974)</f>
        <v>218379974</v>
      </c>
      <c r="B6" s="4" t="str">
        <f ca="1">IFERROR(__xludf.DUMMYFUNCTION("""COMPUTED_VALUE"""),"Dlodlo")</f>
        <v>Dlodlo</v>
      </c>
      <c r="C6" s="4" t="str">
        <f ca="1">IFERROR(__xludf.DUMMYFUNCTION("""COMPUTED_VALUE"""),"SR")</f>
        <v>SR</v>
      </c>
      <c r="D6" s="4"/>
      <c r="E6" s="4" t="str">
        <f ca="1">IFERROR(__xludf.DUMMYFUNCTION("""COMPUTED_VALUE"""),"0790879199")</f>
        <v>0790879199</v>
      </c>
      <c r="F6" s="4" t="str">
        <f ca="1">IFERROR(__xludf.DUMMYFUNCTION("""COMPUTED_VALUE"""),"218379974@tut4life.ac.za")</f>
        <v>218379974@tut4life.ac.za</v>
      </c>
      <c r="G6" s="4" t="str">
        <f ca="1">IFERROR(__xludf.DUMMYFUNCTION("""COMPUTED_VALUE"""),"STUDENT NEED TO PASS PGG211T DURING S1 2022 AND REPORT FOR ACADEMIC INTERVENTION.")</f>
        <v>STUDENT NEED TO PASS PGG211T DURING S1 2022 AND REPORT FOR ACADEMIC INTERVENTION.</v>
      </c>
    </row>
    <row r="7" spans="1:13" ht="77.25">
      <c r="A7" s="4">
        <f ca="1">IFERROR(__xludf.DUMMYFUNCTION("""COMPUTED_VALUE"""),219682824)</f>
        <v>219682824</v>
      </c>
      <c r="B7" s="4" t="str">
        <f ca="1">IFERROR(__xludf.DUMMYFUNCTION("""COMPUTED_VALUE"""),"BUKOME ")</f>
        <v xml:space="preserve">BUKOME </v>
      </c>
      <c r="C7" s="4" t="str">
        <f ca="1">IFERROR(__xludf.DUMMYFUNCTION("""COMPUTED_VALUE"""),"WE")</f>
        <v>WE</v>
      </c>
      <c r="D7" s="4"/>
      <c r="E7" s="4" t="str">
        <f ca="1">IFERROR(__xludf.DUMMYFUNCTION("""COMPUTED_VALUE"""),"0615170101")</f>
        <v>0615170101</v>
      </c>
      <c r="F7" s="4" t="str">
        <f ca="1">IFERROR(__xludf.DUMMYFUNCTION("""COMPUTED_VALUE"""),"elshabkm1@gmail.com")</f>
        <v>elshabkm1@gmail.com</v>
      </c>
      <c r="G7" s="4" t="str">
        <f ca="1">IFERROR(__xludf.DUMMYFUNCTION("""COMPUTED_VALUE"""),"STUDENT MUST PASS PGG211T AND SYA201T DURING S1 2022, MUST PASS 5 SUBJECTS PER SEMESTER AND REPORT FOR ACADEMIC INTERVENTION.")</f>
        <v>STUDENT MUST PASS PGG211T AND SYA201T DURING S1 2022, MUST PASS 5 SUBJECTS PER SEMESTER AND REPORT FOR ACADEMIC INTERVENTION.</v>
      </c>
    </row>
    <row r="8" spans="1:13" ht="64.5">
      <c r="A8" s="4">
        <f ca="1">IFERROR(__xludf.DUMMYFUNCTION("""COMPUTED_VALUE"""),215336506)</f>
        <v>215336506</v>
      </c>
      <c r="B8" s="4" t="str">
        <f ca="1">IFERROR(__xludf.DUMMYFUNCTION("""COMPUTED_VALUE"""),"Dladla ")</f>
        <v xml:space="preserve">Dladla </v>
      </c>
      <c r="C8" s="4" t="str">
        <f ca="1">IFERROR(__xludf.DUMMYFUNCTION("""COMPUTED_VALUE"""),"NN")</f>
        <v>NN</v>
      </c>
      <c r="D8" s="4"/>
      <c r="E8" s="4" t="str">
        <f ca="1">IFERROR(__xludf.DUMMYFUNCTION("""COMPUTED_VALUE"""),"658218086")</f>
        <v>658218086</v>
      </c>
      <c r="F8" s="4" t="str">
        <f ca="1">IFERROR(__xludf.DUMMYFUNCTION("""COMPUTED_VALUE"""),"nokuxoladladla.nd@gmail.com")</f>
        <v>nokuxoladladla.nd@gmail.com</v>
      </c>
      <c r="G8" s="4" t="str">
        <f ca="1">IFERROR(__xludf.DUMMYFUNCTION("""COMPUTED_VALUE"""),"STUDENT MUST PASS PGG211T AND LOD311D DURING S1 2022 AND REPORT FOR ACADEMIC INTERVENTION.")</f>
        <v>STUDENT MUST PASS PGG211T AND LOD311D DURING S1 2022 AND REPORT FOR ACADEMIC INTERVENTION.</v>
      </c>
    </row>
    <row r="9" spans="1:13" ht="77.25">
      <c r="A9" s="4">
        <f ca="1">IFERROR(__xludf.DUMMYFUNCTION("""COMPUTED_VALUE"""),216415582)</f>
        <v>216415582</v>
      </c>
      <c r="B9" s="4" t="str">
        <f ca="1">IFERROR(__xludf.DUMMYFUNCTION("""COMPUTED_VALUE"""),"SAFOU TCHIAMA MAMAS ")</f>
        <v xml:space="preserve">SAFOU TCHIAMA MAMAS </v>
      </c>
      <c r="C9" s="4" t="str">
        <f ca="1">IFERROR(__xludf.DUMMYFUNCTION("""COMPUTED_VALUE"""),"STMDL")</f>
        <v>STMDL</v>
      </c>
      <c r="D9" s="4"/>
      <c r="E9" s="4" t="str">
        <f ca="1">IFERROR(__xludf.DUMMYFUNCTION("""COMPUTED_VALUE"""),"0681580609")</f>
        <v>0681580609</v>
      </c>
      <c r="F9" s="4" t="str">
        <f ca="1">IFERROR(__xludf.DUMMYFUNCTION("""COMPUTED_VALUE"""),"danesh.safou@gmail.com")</f>
        <v>danesh.safou@gmail.com</v>
      </c>
      <c r="G9" s="4" t="str">
        <f ca="1">IFERROR(__xludf.DUMMYFUNCTION("""COMPUTED_VALUE"""),"STUDENT MUST PASS PGG211T DURING S1 2022 AND REPORT FOR ACADEMIC INTERVENTION.  (STUDENT NEED TO PASS 5 SUBJECTS PER SEMESTER). ")</f>
        <v xml:space="preserve">STUDENT MUST PASS PGG211T DURING S1 2022 AND REPORT FOR ACADEMIC INTERVENTION.  (STUDENT NEED TO PASS 5 SUBJECTS PER SEMESTER). </v>
      </c>
    </row>
    <row r="10" spans="1:13">
      <c r="A10" s="4">
        <f ca="1">IFERROR(__xludf.DUMMYFUNCTION("""COMPUTED_VALUE"""),216788460)</f>
        <v>216788460</v>
      </c>
      <c r="B10" s="4"/>
      <c r="C10" s="4"/>
      <c r="D10" s="4"/>
      <c r="E10" s="4"/>
      <c r="F10" s="4"/>
      <c r="G10" s="4" t="str">
        <f ca="1">IFERROR(__xludf.DUMMYFUNCTION("""COMPUTED_VALUE"""),"STUDENT NEED TO PASS PGG211T DURING S1 2022 AND REPORT FOR ACADEMIC INTERVENTION.")</f>
        <v>STUDENT NEED TO PASS PGG211T DURING S1 2022 AND REPORT FOR ACADEMIC INTERVENTION.</v>
      </c>
    </row>
    <row r="11" spans="1:13">
      <c r="A11" s="4">
        <f ca="1">IFERROR(__xludf.DUMMYFUNCTION("""COMPUTED_VALUE"""),217541719)</f>
        <v>217541719</v>
      </c>
      <c r="B11" s="4"/>
      <c r="C11" s="4"/>
      <c r="D11" s="4"/>
      <c r="E11" s="4"/>
      <c r="F11" s="4"/>
      <c r="G11" s="4" t="str">
        <f ca="1">IFERROR(__xludf.DUMMYFUNCTION("""COMPUTED_VALUE"""),"STUDENT NEED TO PASS PGG211T DURING S1 2022 AND REPORT FOR ACADEMIC INTERVENTION.")</f>
        <v>STUDENT NEED TO PASS PGG211T DURING S1 2022 AND REPORT FOR ACADEMIC INTERVENTION.</v>
      </c>
    </row>
    <row r="12" spans="1:13">
      <c r="A12" s="4">
        <f ca="1">IFERROR(__xludf.DUMMYFUNCTION("""COMPUTED_VALUE"""),219235690)</f>
        <v>219235690</v>
      </c>
      <c r="B12" s="4"/>
      <c r="C12" s="4"/>
      <c r="D12" s="4"/>
      <c r="E12" s="4"/>
      <c r="F12" s="4"/>
      <c r="G12" s="4" t="str">
        <f ca="1">IFERROR(__xludf.DUMMYFUNCTION("""COMPUTED_VALUE"""),"STUDENT MUST PASS PGG211T DURING S1 2022 AND REPORT FOR ACADEMIC INTERVENTION.")</f>
        <v>STUDENT MUST PASS PGG211T DURING S1 2022 AND REPORT FOR ACADEMIC INTERVENTION.</v>
      </c>
    </row>
    <row r="13" spans="1:13" ht="51.75">
      <c r="A13" s="4">
        <f ca="1">IFERROR(__xludf.DUMMYFUNCTION("""COMPUTED_VALUE"""),219297114)</f>
        <v>219297114</v>
      </c>
      <c r="B13" s="4" t="str">
        <f ca="1">IFERROR(__xludf.DUMMYFUNCTION("""COMPUTED_VALUE"""),"Nkgapele ")</f>
        <v xml:space="preserve">Nkgapele </v>
      </c>
      <c r="C13" s="4" t="str">
        <f ca="1">IFERROR(__xludf.DUMMYFUNCTION("""COMPUTED_VALUE"""),"D")</f>
        <v>D</v>
      </c>
      <c r="D13" s="4"/>
      <c r="E13" s="4" t="str">
        <f ca="1">IFERROR(__xludf.DUMMYFUNCTION("""COMPUTED_VALUE"""),"782147972")</f>
        <v>782147972</v>
      </c>
      <c r="F13" s="4" t="str">
        <f ca="1">IFERROR(__xludf.DUMMYFUNCTION("""COMPUTED_VALUE"""),"deshninkgapele@gmail.com")</f>
        <v>deshninkgapele@gmail.com</v>
      </c>
      <c r="G13" s="4" t="str">
        <f ca="1">IFERROR(__xludf.DUMMYFUNCTION("""COMPUTED_VALUE"""),"STUDENT MUST PASS PGG211T DURING S1 2022 AND REPORT FOR ACADEMIC INTERVENTION.")</f>
        <v>STUDENT MUST PASS PGG211T DURING S1 2022 AND REPORT FOR ACADEMIC INTERVENTION.</v>
      </c>
    </row>
    <row r="14" spans="1:13">
      <c r="A14" s="4">
        <f ca="1">IFERROR(__xludf.DUMMYFUNCTION("""COMPUTED_VALUE"""),219525567)</f>
        <v>219525567</v>
      </c>
      <c r="B14" s="4"/>
      <c r="C14" s="4"/>
      <c r="D14" s="4"/>
      <c r="E14" s="4"/>
      <c r="F14" s="4"/>
      <c r="G14" s="4" t="str">
        <f ca="1">IFERROR(__xludf.DUMMYFUNCTION("""COMPUTED_VALUE"""),"STUDENT MUST PASS PGG211T DURING S1 2022 AND REPORT FOR ACADEMIC INTERVENTION. AND MUST ALSO PASS REMAINING SUBJECTS.")</f>
        <v>STUDENT MUST PASS PGG211T DURING S1 2022 AND REPORT FOR ACADEMIC INTERVENTION. AND MUST ALSO PASS REMAINING SUBJECTS.</v>
      </c>
    </row>
    <row r="15" spans="1:13" ht="51.75">
      <c r="A15" s="4">
        <f ca="1">IFERROR(__xludf.DUMMYFUNCTION("""COMPUTED_VALUE"""),219973195)</f>
        <v>219973195</v>
      </c>
      <c r="B15" s="4" t="str">
        <f ca="1">IFERROR(__xludf.DUMMYFUNCTION("""COMPUTED_VALUE"""),"Moraswi")</f>
        <v>Moraswi</v>
      </c>
      <c r="C15" s="4" t="str">
        <f ca="1">IFERROR(__xludf.DUMMYFUNCTION("""COMPUTED_VALUE"""),"MW")</f>
        <v>MW</v>
      </c>
      <c r="D15" s="4"/>
      <c r="E15" s="4" t="str">
        <f ca="1">IFERROR(__xludf.DUMMYFUNCTION("""COMPUTED_VALUE"""),"0797870078")</f>
        <v>0797870078</v>
      </c>
      <c r="F15" s="4" t="str">
        <f ca="1">IFERROR(__xludf.DUMMYFUNCTION("""COMPUTED_VALUE"""),"wilson.mw31f@gmail.com")</f>
        <v>wilson.mw31f@gmail.com</v>
      </c>
      <c r="G15" s="4" t="str">
        <f ca="1">IFERROR(__xludf.DUMMYFUNCTION("""COMPUTED_VALUE"""),"STUDENT NEED TO PASS PGG211T DURING S1 2022 AND REPORT FOR ACADEMIC INTERVENTION.")</f>
        <v>STUDENT NEED TO PASS PGG211T DURING S1 2022 AND REPORT FOR ACADEMIC INTERVENTION.</v>
      </c>
    </row>
    <row r="16" spans="1:13">
      <c r="A16" s="4">
        <f ca="1">IFERROR(__xludf.DUMMYFUNCTION("""COMPUTED_VALUE"""),218788746)</f>
        <v>218788746</v>
      </c>
      <c r="B16" s="4"/>
      <c r="C16" s="4"/>
      <c r="D16" s="4"/>
      <c r="E16" s="4"/>
      <c r="F16" s="4"/>
      <c r="G16" s="4" t="str">
        <f ca="1">IFERROR(__xludf.DUMMYFUNCTION("""COMPUTED_VALUE"""),"STUDENT NEED TO PASS PGG211T DURING S1 2022 AND REPORT FOR ACADEMIC INTERVENTION.")</f>
        <v>STUDENT NEED TO PASS PGG211T DURING S1 2022 AND REPORT FOR ACADEMIC INTERVENTION.</v>
      </c>
    </row>
    <row r="17" spans="1:11" ht="51.75">
      <c r="A17" s="4">
        <f ca="1">IFERROR(__xludf.DUMMYFUNCTION("""COMPUTED_VALUE"""),217053641)</f>
        <v>217053641</v>
      </c>
      <c r="B17" s="4" t="str">
        <f ca="1">IFERROR(__xludf.DUMMYFUNCTION("""COMPUTED_VALUE"""),"Maseng")</f>
        <v>Maseng</v>
      </c>
      <c r="C17" s="4" t="str">
        <f ca="1">IFERROR(__xludf.DUMMYFUNCTION("""COMPUTED_VALUE"""),"L")</f>
        <v>L</v>
      </c>
      <c r="D17" s="4"/>
      <c r="E17" s="4" t="str">
        <f ca="1">IFERROR(__xludf.DUMMYFUNCTION("""COMPUTED_VALUE"""),"0631869576")</f>
        <v>0631869576</v>
      </c>
      <c r="F17" s="4" t="str">
        <f ca="1">IFERROR(__xludf.DUMMYFUNCTION("""COMPUTED_VALUE"""),"lekone.maseng@gmail.com")</f>
        <v>lekone.maseng@gmail.com</v>
      </c>
      <c r="G17" s="10" t="str">
        <f ca="1">IFERROR(__xludf.DUMMYFUNCTION("""COMPUTED_VALUE"""),"LIFTED, Student must pass FPPGG01, LOD311B,PGG211T and other subjects and report for academic intervention.")</f>
        <v>LIFTED, Student must pass FPPGG01, LOD311B,PGG211T and other subjects and report for academic intervention.</v>
      </c>
    </row>
    <row r="18" spans="1:11" ht="64.5">
      <c r="A18" s="4">
        <f ca="1">IFERROR(__xludf.DUMMYFUNCTION("""COMPUTED_VALUE"""),218042716)</f>
        <v>218042716</v>
      </c>
      <c r="B18" s="4"/>
      <c r="C18" s="4"/>
      <c r="D18" s="4"/>
      <c r="E18" s="4"/>
      <c r="F18" s="6"/>
      <c r="G18" s="2" t="str">
        <f ca="1">IFERROR(__xludf.DUMMYFUNCTION("""COMPUTED_VALUE"""),"LIFTED, STUDENT MUST PASS PGG211T, FPPGG01, FPELCO2 AND OTHER SUBJECTS AND REPORT FOR ACADEMIC INTERVENTION.")</f>
        <v>LIFTED, STUDENT MUST PASS PGG211T, FPPGG01, FPELCO2 AND OTHER SUBJECTS AND REPORT FOR ACADEMIC INTERVENTION.</v>
      </c>
      <c r="H18" s="5"/>
      <c r="I18" s="5"/>
      <c r="J18" s="9"/>
      <c r="K18" s="9"/>
    </row>
    <row r="19" spans="1:11" s="115" customFormat="1" ht="51.75">
      <c r="A19" s="204">
        <v>218758746</v>
      </c>
      <c r="B19" s="255" t="s">
        <v>584</v>
      </c>
      <c r="C19" s="255" t="s">
        <v>585</v>
      </c>
      <c r="D19" s="153"/>
      <c r="E19" s="204">
        <v>651977806</v>
      </c>
      <c r="F19" s="256" t="s">
        <v>586</v>
      </c>
      <c r="G19" s="257" t="s">
        <v>587</v>
      </c>
      <c r="H19" s="115" t="s">
        <v>400</v>
      </c>
      <c r="I19" s="115" t="s">
        <v>405</v>
      </c>
      <c r="K19" s="240" t="s">
        <v>588</v>
      </c>
    </row>
  </sheetData>
  <hyperlinks>
    <hyperlink ref="F19"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J16" sqref="J16"/>
    </sheetView>
  </sheetViews>
  <sheetFormatPr defaultRowHeight="15"/>
  <cols>
    <col min="1" max="1" width="16.7109375" customWidth="1"/>
    <col min="2" max="2" width="15.7109375" customWidth="1"/>
    <col min="4" max="4" width="16.7109375" customWidth="1"/>
    <col min="5" max="5" width="15.5703125" customWidth="1"/>
    <col min="6" max="6" width="22.28515625" customWidth="1"/>
    <col min="7" max="7" width="30.42578125" customWidth="1"/>
    <col min="8" max="8" width="18.42578125" customWidth="1"/>
    <col min="9" max="9" width="32.7109375" customWidth="1"/>
    <col min="10" max="10" width="18.140625" customWidth="1"/>
    <col min="11" max="11" width="20.28515625" customWidth="1"/>
    <col min="12" max="13" width="20.42578125" customWidth="1"/>
  </cols>
  <sheetData>
    <row r="1" spans="1:13" ht="41.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0">
      <c r="A2" s="86">
        <v>216127102</v>
      </c>
      <c r="B2" s="86" t="str">
        <f ca="1">IFERROR(__xludf.DUMMYFUNCTION("""COMPUTED_VALUE"""),"Segafa")</f>
        <v>Segafa</v>
      </c>
      <c r="C2" s="86" t="str">
        <f ca="1">IFERROR(__xludf.DUMMYFUNCTION("""COMPUTED_VALUE"""),"ME")</f>
        <v>ME</v>
      </c>
      <c r="D2" s="86"/>
      <c r="E2" s="86" t="str">
        <f ca="1">IFERROR(__xludf.DUMMYFUNCTION("""COMPUTED_VALUE"""),"082 095 1689 ")</f>
        <v xml:space="preserve">082 095 1689 </v>
      </c>
      <c r="F2" s="86" t="str">
        <f ca="1">IFERROR(__xludf.DUMMYFUNCTION("""COMPUTED_VALUE"""),"ellenmatshele@gmail.com")</f>
        <v>ellenmatshele@gmail.com</v>
      </c>
      <c r="G2" s="86" t="s">
        <v>515</v>
      </c>
      <c r="H2" t="s">
        <v>434</v>
      </c>
      <c r="J2" t="s">
        <v>401</v>
      </c>
    </row>
    <row r="3" spans="1:13" ht="90">
      <c r="A3" s="4">
        <f ca="1">IFERROR(__xludf.DUMMYFUNCTION("""COMPUTED_VALUE"""),216628322)</f>
        <v>216628322</v>
      </c>
      <c r="B3" s="4" t="str">
        <f ca="1">IFERROR(__xludf.DUMMYFUNCTION("""COMPUTED_VALUE"""),"mdaka")</f>
        <v>mdaka</v>
      </c>
      <c r="C3" s="4" t="str">
        <f ca="1">IFERROR(__xludf.DUMMYFUNCTION("""COMPUTED_VALUE"""),"ns")</f>
        <v>ns</v>
      </c>
      <c r="D3" s="4"/>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3" t="s">
        <v>589</v>
      </c>
      <c r="J3" t="s">
        <v>401</v>
      </c>
    </row>
    <row r="4" spans="1:13" ht="90">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4" t="s">
        <v>434</v>
      </c>
      <c r="J4" t="s">
        <v>401</v>
      </c>
    </row>
    <row r="5" spans="1:13" ht="64.5">
      <c r="A5" s="4">
        <f ca="1">IFERROR(__xludf.DUMMYFUNCTION("""COMPUTED_VALUE"""),219159137)</f>
        <v>219159137</v>
      </c>
      <c r="B5" s="4" t="str">
        <f ca="1">IFERROR(__xludf.DUMMYFUNCTION("""COMPUTED_VALUE"""),"Nontsibongo")</f>
        <v>Nontsibongo</v>
      </c>
      <c r="C5" s="4" t="str">
        <f ca="1">IFERROR(__xludf.DUMMYFUNCTION("""COMPUTED_VALUE"""),"S")</f>
        <v>S</v>
      </c>
      <c r="D5" s="4"/>
      <c r="E5" s="4" t="str">
        <f ca="1">IFERROR(__xludf.DUMMYFUNCTION("""COMPUTED_VALUE"""),"0785221806")</f>
        <v>0785221806</v>
      </c>
      <c r="F5" s="4" t="str">
        <f ca="1">IFERROR(__xludf.DUMMYFUNCTION("""COMPUTED_VALUE"""),"sinovuyondlela98@gmail.com")</f>
        <v>sinovuyondlela98@gmail.com</v>
      </c>
      <c r="G5"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5" t="s">
        <v>589</v>
      </c>
      <c r="J5" t="s">
        <v>401</v>
      </c>
    </row>
    <row r="6" spans="1:13" ht="77.25">
      <c r="A6" s="86">
        <f ca="1">IFERROR(__xludf.DUMMYFUNCTION("""COMPUTED_VALUE"""),219114648)</f>
        <v>219114648</v>
      </c>
      <c r="B6" s="86" t="str">
        <f ca="1">IFERROR(__xludf.DUMMYFUNCTION("""COMPUTED_VALUE"""),"Ramango ")</f>
        <v xml:space="preserve">Ramango </v>
      </c>
      <c r="C6" s="86" t="str">
        <f ca="1">IFERROR(__xludf.DUMMYFUNCTION("""COMPUTED_VALUE"""),"T.U")</f>
        <v>T.U</v>
      </c>
      <c r="D6" s="86"/>
      <c r="E6" s="86" t="str">
        <f ca="1">IFERROR(__xludf.DUMMYFUNCTION("""COMPUTED_VALUE"""),"0762384765")</f>
        <v>0762384765</v>
      </c>
      <c r="F6" s="86" t="str">
        <f ca="1">IFERROR(__xludf.DUMMYFUNCTION("""COMPUTED_VALUE"""),"unitymessina@gmail.com")</f>
        <v>unitymessina@gmail.com</v>
      </c>
      <c r="G6"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6" t="s">
        <v>434</v>
      </c>
      <c r="J6" t="s">
        <v>401</v>
      </c>
    </row>
    <row r="7" spans="1:13" ht="141">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7" t="s">
        <v>434</v>
      </c>
      <c r="J7" t="s">
        <v>401</v>
      </c>
    </row>
    <row r="8" spans="1:13" ht="165">
      <c r="A8" s="86">
        <f ca="1">IFERROR(__xludf.DUMMYFUNCTION("""COMPUTED_VALUE"""),216185021)</f>
        <v>216185021</v>
      </c>
      <c r="B8" s="86" t="str">
        <f ca="1">IFERROR(__xludf.DUMMYFUNCTION("""COMPUTED_VALUE"""),"Sibiya")</f>
        <v>Sibiya</v>
      </c>
      <c r="C8" s="86" t="str">
        <f ca="1">IFERROR(__xludf.DUMMYFUNCTION("""COMPUTED_VALUE"""),"JT")</f>
        <v>JT</v>
      </c>
      <c r="D8" s="86" t="s">
        <v>312</v>
      </c>
      <c r="E8" s="86" t="str">
        <f ca="1">IFERROR(__xludf.DUMMYFUNCTION("""COMPUTED_VALUE"""),"0710294350")</f>
        <v>0710294350</v>
      </c>
      <c r="F8" s="86" t="str">
        <f ca="1">IFERROR(__xludf.DUMMYFUNCTION("""COMPUTED_VALUE"""),"216185021@tut4life.ac.za")</f>
        <v>216185021@tut4life.ac.za</v>
      </c>
      <c r="G8"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H8" s="87" t="s">
        <v>422</v>
      </c>
      <c r="I8" s="87" t="s">
        <v>405</v>
      </c>
      <c r="J8" s="236" t="s">
        <v>401</v>
      </c>
      <c r="K8" s="232" t="s">
        <v>477</v>
      </c>
      <c r="L8" s="87"/>
      <c r="M8" s="235" t="s">
        <v>478</v>
      </c>
    </row>
    <row r="9" spans="1:13" ht="77.25">
      <c r="A9" s="4">
        <f ca="1">IFERROR(__xludf.DUMMYFUNCTION("""COMPUTED_VALUE"""),220034372)</f>
        <v>220034372</v>
      </c>
      <c r="B9" s="4" t="str">
        <f ca="1">IFERROR(__xludf.DUMMYFUNCTION("""COMPUTED_VALUE"""),"Kekana")</f>
        <v>Kekana</v>
      </c>
      <c r="C9" s="4" t="str">
        <f ca="1">IFERROR(__xludf.DUMMYFUNCTION("""COMPUTED_VALUE"""),"L.P")</f>
        <v>L.P</v>
      </c>
      <c r="D9" s="4"/>
      <c r="E9" s="4" t="str">
        <f ca="1">IFERROR(__xludf.DUMMYFUNCTION("""COMPUTED_VALUE"""),"0607997164")</f>
        <v>0607997164</v>
      </c>
      <c r="F9" s="4" t="str">
        <f ca="1">IFERROR(__xludf.DUMMYFUNCTION("""COMPUTED_VALUE"""),"plesego334@gmail.com")</f>
        <v>plesego334@gmail.com</v>
      </c>
      <c r="G9"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H9" t="s">
        <v>589</v>
      </c>
      <c r="J9" t="s">
        <v>401</v>
      </c>
    </row>
    <row r="10" spans="1:13" ht="90">
      <c r="A10" s="86">
        <f ca="1">IFERROR(__xludf.DUMMYFUNCTION("""COMPUTED_VALUE"""),218315780)</f>
        <v>218315780</v>
      </c>
      <c r="B10" s="86" t="str">
        <f ca="1">IFERROR(__xludf.DUMMYFUNCTION("""COMPUTED_VALUE"""),"Mashwama ")</f>
        <v xml:space="preserve">Mashwama </v>
      </c>
      <c r="C10" s="86" t="str">
        <f ca="1">IFERROR(__xludf.DUMMYFUNCTION("""COMPUTED_VALUE"""),"BH")</f>
        <v>BH</v>
      </c>
      <c r="D10" s="86"/>
      <c r="E10" s="86" t="str">
        <f ca="1">IFERROR(__xludf.DUMMYFUNCTION("""COMPUTED_VALUE"""),"714609774")</f>
        <v>714609774</v>
      </c>
      <c r="F10" s="86" t="str">
        <f ca="1">IFERROR(__xludf.DUMMYFUNCTION("""COMPUTED_VALUE"""),"218315780@tut4life.ac.za")</f>
        <v>218315780@tut4life.ac.za</v>
      </c>
      <c r="G10"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c r="H10" t="s">
        <v>434</v>
      </c>
      <c r="J10" t="s">
        <v>401</v>
      </c>
    </row>
    <row r="11" spans="1:13" ht="90">
      <c r="A11" s="4">
        <f ca="1">IFERROR(__xludf.DUMMYFUNCTION("""COMPUTED_VALUE"""),218221912)</f>
        <v>218221912</v>
      </c>
      <c r="B11" s="4" t="str">
        <f ca="1">IFERROR(__xludf.DUMMYFUNCTION("""COMPUTED_VALUE"""),"Mokobane")</f>
        <v>Mokobane</v>
      </c>
      <c r="C11" s="4" t="str">
        <f ca="1">IFERROR(__xludf.DUMMYFUNCTION("""COMPUTED_VALUE"""),"MR")</f>
        <v>MR</v>
      </c>
      <c r="D11" s="4"/>
      <c r="E11" s="4" t="str">
        <f ca="1">IFERROR(__xludf.DUMMYFUNCTION("""COMPUTED_VALUE"""),"0794269973")</f>
        <v>0794269973</v>
      </c>
      <c r="F11" s="4" t="str">
        <f ca="1">IFERROR(__xludf.DUMMYFUNCTION("""COMPUTED_VALUE"""),"mokobanemoraka@gmail.com")</f>
        <v>mokobanemoraka@gmail.com</v>
      </c>
      <c r="G11" s="4"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H11" t="s">
        <v>589</v>
      </c>
      <c r="J11" t="s">
        <v>401</v>
      </c>
    </row>
    <row r="12" spans="1:13" ht="90">
      <c r="A12" s="4">
        <f ca="1">IFERROR(__xludf.DUMMYFUNCTION("""COMPUTED_VALUE"""),218672094)</f>
        <v>218672094</v>
      </c>
      <c r="B12" s="4" t="str">
        <f ca="1">IFERROR(__xludf.DUMMYFUNCTION("""COMPUTED_VALUE"""),"Sibisi")</f>
        <v>Sibisi</v>
      </c>
      <c r="C12" s="4" t="str">
        <f ca="1">IFERROR(__xludf.DUMMYFUNCTION("""COMPUTED_VALUE"""),"Q")</f>
        <v>Q</v>
      </c>
      <c r="D12" s="4"/>
      <c r="E12" s="4" t="str">
        <f ca="1">IFERROR(__xludf.DUMMYFUNCTION("""COMPUTED_VALUE"""),"0818206858")</f>
        <v>0818206858</v>
      </c>
      <c r="F12" s="4" t="str">
        <f ca="1">IFERROR(__xludf.DUMMYFUNCTION("""COMPUTED_VALUE"""),"qinisani97@gmail.com")</f>
        <v>qinisani97@gmail.com</v>
      </c>
      <c r="G12"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H12" t="s">
        <v>589</v>
      </c>
      <c r="J12" t="s">
        <v>411</v>
      </c>
    </row>
    <row r="13" spans="1:13" ht="102.75">
      <c r="A13" s="4">
        <f ca="1">IFERROR(__xludf.DUMMYFUNCTION("""COMPUTED_VALUE"""),218412432)</f>
        <v>218412432</v>
      </c>
      <c r="B13" s="4" t="str">
        <f ca="1">IFERROR(__xludf.DUMMYFUNCTION("""COMPUTED_VALUE"""),"SEGOLOANE")</f>
        <v>SEGOLOANE</v>
      </c>
      <c r="C13" s="4" t="str">
        <f ca="1">IFERROR(__xludf.DUMMYFUNCTION("""COMPUTED_VALUE"""),"M")</f>
        <v>M</v>
      </c>
      <c r="D13" s="4"/>
      <c r="E13" s="4" t="str">
        <f ca="1">IFERROR(__xludf.DUMMYFUNCTION("""COMPUTED_VALUE"""),"+27793148421")</f>
        <v>+27793148421</v>
      </c>
      <c r="F13" s="4" t="str">
        <f ca="1">IFERROR(__xludf.DUMMYFUNCTION("""COMPUTED_VALUE"""),"Segoloanei@gmail.com")</f>
        <v>Segoloanei@gmail.com</v>
      </c>
      <c r="G13"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c r="H13" t="s">
        <v>589</v>
      </c>
      <c r="J13" t="s">
        <v>401</v>
      </c>
    </row>
    <row r="14" spans="1:13" ht="64.5">
      <c r="A14" s="18">
        <v>212118222</v>
      </c>
      <c r="B14" s="21" t="s">
        <v>10</v>
      </c>
      <c r="C14" s="21" t="s">
        <v>10</v>
      </c>
      <c r="D14" s="22"/>
      <c r="E14" s="23" t="s">
        <v>10</v>
      </c>
      <c r="F14" s="24" t="s">
        <v>590</v>
      </c>
      <c r="G14" s="25" t="s">
        <v>591</v>
      </c>
      <c r="H14" t="s">
        <v>589</v>
      </c>
      <c r="J14" t="s">
        <v>411</v>
      </c>
    </row>
    <row r="15" spans="1:13" ht="64.5">
      <c r="A15" s="18">
        <v>219939108</v>
      </c>
      <c r="B15" s="21" t="s">
        <v>10</v>
      </c>
      <c r="C15" s="21" t="s">
        <v>10</v>
      </c>
      <c r="D15" s="22"/>
      <c r="E15" s="23" t="s">
        <v>10</v>
      </c>
      <c r="F15" s="24" t="s">
        <v>495</v>
      </c>
      <c r="G15" s="25" t="s">
        <v>496</v>
      </c>
      <c r="H15" t="s">
        <v>589</v>
      </c>
      <c r="J15" t="s">
        <v>411</v>
      </c>
    </row>
    <row r="16" spans="1:13" ht="120">
      <c r="A16" s="204">
        <v>218758746</v>
      </c>
      <c r="B16" s="255" t="s">
        <v>584</v>
      </c>
      <c r="C16" s="255" t="s">
        <v>585</v>
      </c>
      <c r="D16" s="153"/>
      <c r="E16" s="204">
        <v>651977806</v>
      </c>
      <c r="F16" s="256" t="s">
        <v>586</v>
      </c>
      <c r="G16" s="257" t="s">
        <v>587</v>
      </c>
      <c r="H16" s="115" t="s">
        <v>400</v>
      </c>
      <c r="I16" s="115" t="s">
        <v>405</v>
      </c>
      <c r="J16" s="115"/>
      <c r="K16" s="240" t="s">
        <v>592</v>
      </c>
      <c r="L16" t="s">
        <v>332</v>
      </c>
      <c r="M16" s="172" t="s">
        <v>593</v>
      </c>
    </row>
  </sheetData>
  <hyperlinks>
    <hyperlink ref="F14" r:id="rId1"/>
    <hyperlink ref="F15" r:id="rId2"/>
    <hyperlink ref="F16" r:id="rId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7109375" customWidth="1"/>
    <col min="2" max="2" width="18" customWidth="1"/>
    <col min="3" max="3" width="9.7109375" customWidth="1"/>
    <col min="4" max="4" width="15.7109375" customWidth="1"/>
    <col min="5" max="5" width="19.140625" customWidth="1"/>
    <col min="6" max="6" width="20" customWidth="1"/>
    <col min="7" max="7" width="28.85546875" customWidth="1"/>
    <col min="8" max="8" width="20.42578125" customWidth="1"/>
    <col min="9" max="9" width="28.140625" customWidth="1"/>
    <col min="10" max="10" width="17" customWidth="1"/>
    <col min="11" max="11" width="18.7109375" customWidth="1"/>
    <col min="12" max="12" width="24.140625" customWidth="1"/>
    <col min="13" max="13" width="17.42578125" customWidth="1"/>
  </cols>
  <sheetData>
    <row r="1" spans="1:13" ht="47.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77.25">
      <c r="A2" s="4">
        <f ca="1">IFERROR(__xludf.DUMMYFUNCTION("""COMPUTED_VALUE"""),219682824)</f>
        <v>219682824</v>
      </c>
      <c r="B2" s="4" t="str">
        <f ca="1">IFERROR(__xludf.DUMMYFUNCTION("""COMPUTED_VALUE"""),"BUKOME ")</f>
        <v xml:space="preserve">BUKOME </v>
      </c>
      <c r="C2" s="4" t="str">
        <f ca="1">IFERROR(__xludf.DUMMYFUNCTION("""COMPUTED_VALUE"""),"WE")</f>
        <v>WE</v>
      </c>
      <c r="D2" s="4" t="s">
        <v>388</v>
      </c>
      <c r="E2" s="4" t="str">
        <f ca="1">IFERROR(__xludf.DUMMYFUNCTION("""COMPUTED_VALUE"""),"0615170101")</f>
        <v>0615170101</v>
      </c>
      <c r="F2" s="4" t="str">
        <f ca="1">IFERROR(__xludf.DUMMYFUNCTION("""COMPUTED_VALUE"""),"elshabkm1@gmail.com")</f>
        <v>elshabkm1@gmail.com</v>
      </c>
      <c r="G2" s="4" t="str">
        <f ca="1">IFERROR(__xludf.DUMMYFUNCTION("""COMPUTED_VALUE"""),"STUDENT MUST PASS PGG211T AND SYA201T DURING S1 2022, MUST PASS 5 SUBJECTS PER SEMESTER AND REPORT FOR ACADEMIC INTERVENTION.")</f>
        <v>STUDENT MUST PASS PGG211T AND SYA201T DURING S1 2022, MUST PASS 5 SUBJECTS PER SEMESTER AND REPORT FOR ACADEMIC INTERVENTION.</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H1" sqref="H1:M1"/>
    </sheetView>
  </sheetViews>
  <sheetFormatPr defaultRowHeight="15"/>
  <cols>
    <col min="1" max="1" width="18.5703125" customWidth="1"/>
    <col min="2" max="2" width="19.28515625" customWidth="1"/>
    <col min="4" max="4" width="15.7109375" customWidth="1"/>
    <col min="5" max="5" width="17" customWidth="1"/>
    <col min="6" max="6" width="22.140625" customWidth="1"/>
    <col min="7" max="7" width="36.140625" customWidth="1"/>
    <col min="8" max="8" width="18" customWidth="1"/>
    <col min="9" max="9" width="28.28515625" customWidth="1"/>
    <col min="10" max="10" width="18.85546875" customWidth="1"/>
    <col min="11" max="11" width="19.42578125" customWidth="1"/>
    <col min="12" max="12" width="22.42578125" customWidth="1"/>
    <col min="13" max="13" width="17.5703125" customWidth="1"/>
  </cols>
  <sheetData>
    <row r="1" spans="1:13" ht="35.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1.75">
      <c r="A2" s="4">
        <f ca="1">IFERROR(__xludf.DUMMYFUNCTION("""COMPUTED_VALUE"""),218037712)</f>
        <v>218037712</v>
      </c>
      <c r="B2" s="4" t="str">
        <f ca="1">IFERROR(__xludf.DUMMYFUNCTION("""COMPUTED_VALUE"""),"Mvango")</f>
        <v>Mvango</v>
      </c>
      <c r="C2" s="4" t="str">
        <f ca="1">IFERROR(__xludf.DUMMYFUNCTION("""COMPUTED_VALUE"""),"B")</f>
        <v>B</v>
      </c>
      <c r="D2" s="4"/>
      <c r="E2" s="4" t="str">
        <f ca="1">IFERROR(__xludf.DUMMYFUNCTION("""COMPUTED_VALUE"""),"0626887157")</f>
        <v>0626887157</v>
      </c>
      <c r="F2" s="4" t="str">
        <f ca="1">IFERROR(__xludf.DUMMYFUNCTION("""COMPUTED_VALUE"""),"bathandwabathimvango9@gmail.com")</f>
        <v>bathandwabathimvango9@gmail.com</v>
      </c>
      <c r="G2" s="4" t="str">
        <f ca="1">IFERROR(__xludf.DUMMYFUNCTION("""COMPUTED_VALUE"""),"STUDENT NEED TO PASS DPC201T AND PGG311T DURING S1 2022 AND REPORT FOR ACADEMIC INTERVENTION.")</f>
        <v>STUDENT NEED TO PASS DPC201T AND PGG311T DURING S1 2022 AND REPORT FOR ACADEMIC INTERVENTION.</v>
      </c>
    </row>
    <row r="3" spans="1:13" ht="51.75">
      <c r="A3" s="4">
        <f ca="1">IFERROR(__xludf.DUMMYFUNCTION("""COMPUTED_VALUE"""),218076734)</f>
        <v>218076734</v>
      </c>
      <c r="B3" s="4" t="str">
        <f ca="1">IFERROR(__xludf.DUMMYFUNCTION("""COMPUTED_VALUE"""),"Ngema")</f>
        <v>Ngema</v>
      </c>
      <c r="C3" s="4" t="str">
        <f ca="1">IFERROR(__xludf.DUMMYFUNCTION("""COMPUTED_VALUE"""),"SS")</f>
        <v>SS</v>
      </c>
      <c r="D3" s="4"/>
      <c r="E3" s="4" t="str">
        <f ca="1">IFERROR(__xludf.DUMMYFUNCTION("""COMPUTED_VALUE"""),"0677746212")</f>
        <v>0677746212</v>
      </c>
      <c r="F3" s="4" t="str">
        <f ca="1">IFERROR(__xludf.DUMMYFUNCTION("""COMPUTED_VALUE"""),"sandilengema.sphelele@gmail.com")</f>
        <v>sandilengema.sphelele@gmail.com</v>
      </c>
      <c r="G3" s="4" t="str">
        <f ca="1">IFERROR(__xludf.DUMMYFUNCTION("""COMPUTED_VALUE"""),"STUDENT NEED TO PASS DPC201T AND PGG311T DURING S1 2022 AND REPORT FOR ACADEMIC INTERVENTION.")</f>
        <v>STUDENT NEED TO PASS DPC201T AND PGG311T DURING S1 2022 AND REPORT FOR ACADEMIC INTERVENTION.</v>
      </c>
    </row>
    <row r="4" spans="1:13">
      <c r="A4" s="4">
        <f ca="1">IFERROR(__xludf.DUMMYFUNCTION("""COMPUTED_VALUE"""),220023400)</f>
        <v>220023400</v>
      </c>
      <c r="B4" s="4"/>
      <c r="C4" s="4"/>
      <c r="D4" s="4"/>
      <c r="E4" s="4"/>
      <c r="F4" s="4"/>
      <c r="G4" s="4" t="str">
        <f ca="1">IFERROR(__xludf.DUMMYFUNCTION("""COMPUTED_VALUE"""),"STUDENT NEED TO PASS DPC201T, DSY341C DURING S1 2022 AND REPORT FOR ACADEMIC INTERVENTION.  STUDENT NEED TO MAKE AN APPOINTMENT WITH HOD REGARDING OTHER OUTSTANDING SUBJECTS.")</f>
        <v>STUDENT NEED TO PASS DPC201T, DSY341C DURING S1 2022 AND REPORT FOR ACADEMIC INTERVENTION.  STUDENT NEED TO MAKE AN APPOINTMENT WITH HOD REGARDING OTHER OUTSTANDING SUBJECTS.</v>
      </c>
    </row>
    <row r="5" spans="1:13" ht="77.25">
      <c r="A5" s="4">
        <f ca="1">IFERROR(__xludf.DUMMYFUNCTION("""COMPUTED_VALUE"""),220055744)</f>
        <v>220055744</v>
      </c>
      <c r="B5" s="4" t="str">
        <f ca="1">IFERROR(__xludf.DUMMYFUNCTION("""COMPUTED_VALUE"""),"Mohafa")</f>
        <v>Mohafa</v>
      </c>
      <c r="C5" s="4" t="str">
        <f ca="1">IFERROR(__xludf.DUMMYFUNCTION("""COMPUTED_VALUE"""),"ST ")</f>
        <v xml:space="preserve">ST </v>
      </c>
      <c r="D5" s="4"/>
      <c r="E5" s="4" t="str">
        <f ca="1">IFERROR(__xludf.DUMMYFUNCTION("""COMPUTED_VALUE"""),"0672649082")</f>
        <v>0672649082</v>
      </c>
      <c r="F5" s="4" t="str">
        <f ca="1">IFERROR(__xludf.DUMMYFUNCTION("""COMPUTED_VALUE"""),"thabang.mohafa2@gmail.com")</f>
        <v>thabang.mohafa2@gmail.com</v>
      </c>
      <c r="G5" s="4" t="str">
        <f ca="1">IFERROR(__xludf.DUMMYFUNCTION("""COMPUTED_VALUE"""),"STUDENT NEED TO PASS 5 SUBJECTS PER SEMESTER, REPORT FOR ACADEMIC INTERVENTION AND NEED TO HAVE AN APPOINTMENT WITH THE HOD WITH THE FOCUS ON DPC201T.")</f>
        <v>STUDENT NEED TO PASS 5 SUBJECTS PER SEMESTER, REPORT FOR ACADEMIC INTERVENTION AND NEED TO HAVE AN APPOINTMENT WITH THE HOD WITH THE FOCUS ON DPC201T.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H1" sqref="H1:M1"/>
    </sheetView>
  </sheetViews>
  <sheetFormatPr defaultRowHeight="15"/>
  <cols>
    <col min="1" max="1" width="16.28515625" customWidth="1"/>
    <col min="2" max="2" width="18.42578125" customWidth="1"/>
    <col min="4" max="4" width="15.7109375" customWidth="1"/>
    <col min="5" max="5" width="18.7109375" customWidth="1"/>
    <col min="6" max="6" width="23.42578125" customWidth="1"/>
    <col min="7" max="7" width="28.28515625" customWidth="1"/>
    <col min="8" max="8" width="23" customWidth="1"/>
    <col min="9" max="9" width="28.28515625" customWidth="1"/>
    <col min="10" max="10" width="17.5703125" customWidth="1"/>
    <col min="11" max="11" width="20.7109375" customWidth="1"/>
    <col min="12" max="12" width="20" customWidth="1"/>
    <col min="13" max="13" width="17" customWidth="1"/>
  </cols>
  <sheetData>
    <row r="1" spans="1:13" ht="30.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8.5" customHeight="1">
      <c r="A2" s="4">
        <f ca="1">IFERROR(__xludf.DUMMYFUNCTION("""COMPUTED_VALUE"""),216805127)</f>
        <v>216805127</v>
      </c>
      <c r="B2" s="4"/>
      <c r="C2" s="4"/>
      <c r="D2" s="4"/>
      <c r="E2" s="4"/>
      <c r="F2" s="4"/>
      <c r="G2" s="4" t="str">
        <f ca="1">IFERROR(__xludf.DUMMYFUNCTION("""COMPUTED_VALUE"""),"STUDENT NEED TO PASS SFE311T AND DPC301T DURING S1 2022 AND REPORT FOR ACADEMIC INTERVENTION.")</f>
        <v>STUDENT NEED TO PASS SFE311T AND DPC301T DURING S1 2022 AND REPORT FOR ACADEMIC INTERVENTION.</v>
      </c>
    </row>
    <row r="3" spans="1:13" ht="64.5">
      <c r="A3" s="4">
        <f ca="1">IFERROR(__xludf.DUMMYFUNCTION("""COMPUTED_VALUE"""),217582369)</f>
        <v>217582369</v>
      </c>
      <c r="B3" s="4" t="str">
        <f ca="1">IFERROR(__xludf.DUMMYFUNCTION("""COMPUTED_VALUE"""),"Ngoveni")</f>
        <v>Ngoveni</v>
      </c>
      <c r="C3" s="4" t="str">
        <f ca="1">IFERROR(__xludf.DUMMYFUNCTION("""COMPUTED_VALUE"""),"B")</f>
        <v>B</v>
      </c>
      <c r="D3" s="4"/>
      <c r="E3" s="4" t="str">
        <f ca="1">IFERROR(__xludf.DUMMYFUNCTION("""COMPUTED_VALUE"""),"0716386013")</f>
        <v>0716386013</v>
      </c>
      <c r="F3" s="4" t="str">
        <f ca="1">IFERROR(__xludf.DUMMYFUNCTION("""COMPUTED_VALUE"""),"bngobeni10@icloud.com")</f>
        <v>bngobeni10@icloud.com</v>
      </c>
      <c r="G3" s="4" t="str">
        <f ca="1">IFERROR(__xludf.DUMMYFUNCTION("""COMPUTED_VALUE"""),"STUDENT NEED TO PASS LOD311B, PGG311T AND DPC301T DURING S1 2022 AND REPORT FOR ACADEMIC INTERVENTION.")</f>
        <v>STUDENT NEED TO PASS LOD311B, PGG311T AND DPC301T DURING S1 2022 AND REPORT FOR ACADEMIC INTERVENTION.</v>
      </c>
    </row>
    <row r="4" spans="1:13" ht="46.5" customHeight="1">
      <c r="A4" s="55">
        <v>219461054</v>
      </c>
      <c r="B4" s="56" t="s">
        <v>576</v>
      </c>
      <c r="C4" s="56" t="s">
        <v>86</v>
      </c>
      <c r="D4" s="22"/>
      <c r="E4" s="57">
        <v>795496574</v>
      </c>
      <c r="F4" s="58" t="s">
        <v>577</v>
      </c>
      <c r="G4" s="60" t="s">
        <v>578</v>
      </c>
    </row>
  </sheetData>
  <hyperlinks>
    <hyperlink ref="F4"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2.140625" customWidth="1"/>
    <col min="2" max="2" width="15.140625" customWidth="1"/>
    <col min="4" max="4" width="14.5703125" customWidth="1"/>
    <col min="5" max="5" width="13.85546875" customWidth="1"/>
    <col min="6" max="6" width="16" customWidth="1"/>
    <col min="7" max="7" width="29.42578125" customWidth="1"/>
    <col min="8" max="8" width="18.5703125" customWidth="1"/>
    <col min="9" max="9" width="30.42578125" customWidth="1"/>
    <col min="10" max="10" width="20.28515625" customWidth="1"/>
    <col min="11" max="11" width="21.7109375" customWidth="1"/>
    <col min="12" max="12" width="21" customWidth="1"/>
    <col min="13" max="13" width="17.28515625" customWidth="1"/>
  </cols>
  <sheetData>
    <row r="1" spans="1:13" ht="33"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4.25" customHeight="1">
      <c r="A2" s="2">
        <f ca="1">IFERROR(__xludf.DUMMYFUNCTION("query('Imported Data sheet'!A2:AV1930,""SELECT A,B,C,D,E,F,G,H,I,J,K,L,M,N,AP,AQ,AR,AS,AT,AU WHERE AR &gt;= date '""&amp;TEXT(DATEVALUE(Settings!B5 ),""yyyy-mm-dd"")&amp;""' AND AP='Lift Exclusion' ORDER BY AR ASC"",0)"),213061607)</f>
        <v>213061607</v>
      </c>
      <c r="B2" s="3"/>
      <c r="C2" s="3"/>
      <c r="D2" s="3" t="s">
        <v>594</v>
      </c>
      <c r="E2" s="3"/>
      <c r="F2" s="3"/>
      <c r="G2" s="2" t="s">
        <v>543</v>
      </c>
    </row>
    <row r="3" spans="1:13">
      <c r="A3" s="4">
        <f ca="1">IFERROR(__xludf.DUMMYFUNCTION("""COMPUTED_VALUE"""),215309053)</f>
        <v>215309053</v>
      </c>
      <c r="B3" s="4"/>
      <c r="C3" s="4"/>
      <c r="D3" s="4"/>
      <c r="E3" s="4"/>
      <c r="F3" s="4"/>
      <c r="G3" s="4" t="str">
        <f ca="1">IFERROR(__xludf.DUMMYFUNCTION("""COMPUTED_VALUE"""),"STUDENT MUST PASS OSY301T DURING S1 2022 AND REPORT FOR ACADEMIC INTERVENTION.")</f>
        <v>STUDENT MUST PASS OSY301T DURING S1 2022 AND REPORT FOR ACADEMIC INTERVENTION.</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H1" sqref="H1:M1"/>
    </sheetView>
  </sheetViews>
  <sheetFormatPr defaultRowHeight="15"/>
  <cols>
    <col min="1" max="1" width="16.7109375" customWidth="1"/>
    <col min="2" max="2" width="15.5703125" customWidth="1"/>
    <col min="3" max="3" width="9.7109375" customWidth="1"/>
    <col min="4" max="4" width="18.140625" customWidth="1"/>
    <col min="5" max="5" width="16.5703125" customWidth="1"/>
    <col min="6" max="6" width="23.140625" customWidth="1"/>
    <col min="7" max="7" width="38.85546875" customWidth="1"/>
    <col min="8" max="8" width="22.5703125" customWidth="1"/>
    <col min="9" max="9" width="30.7109375" customWidth="1"/>
    <col min="10" max="10" width="15.5703125" customWidth="1"/>
    <col min="11" max="11" width="21.42578125" customWidth="1"/>
    <col min="12" max="12" width="18.5703125" customWidth="1"/>
    <col min="13" max="13" width="15.7109375" customWidth="1"/>
  </cols>
  <sheetData>
    <row r="1" spans="1:13" ht="42.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1.25" customHeight="1">
      <c r="A2" s="2">
        <f ca="1">IFERROR(__xludf.DUMMYFUNCTION("""COMPUTED_VALUE"""),216955870)</f>
        <v>216955870</v>
      </c>
      <c r="B2" s="2" t="str">
        <f ca="1">IFERROR(__xludf.DUMMYFUNCTION("""COMPUTED_VALUE"""),"Shikwambane ")</f>
        <v xml:space="preserve">Shikwambane </v>
      </c>
      <c r="C2" s="2" t="str">
        <f ca="1">IFERROR(__xludf.DUMMYFUNCTION("""COMPUTED_VALUE"""),"SM")</f>
        <v>SM</v>
      </c>
      <c r="D2" s="3" t="s">
        <v>329</v>
      </c>
      <c r="E2" s="2" t="str">
        <f ca="1">IFERROR(__xludf.DUMMYFUNCTION("""COMPUTED_VALUE"""),"0678298342")</f>
        <v>0678298342</v>
      </c>
      <c r="F2" s="2" t="str">
        <f ca="1">IFERROR(__xludf.DUMMYFUNCTION("""COMPUTED_VALUE"""),"Sizwengobeza1@gmail.com")</f>
        <v>Sizwengobeza1@gmail.com</v>
      </c>
      <c r="G2" s="2" t="str">
        <f ca="1">IFERROR(__xludf.DUMMYFUNCTION("""COMPUTED_VALUE"""),"Repeated ISY34BT 4 times. Student must pass ISY34BT during S1 2022.  Student must report for academic intervention.")</f>
        <v>Repeated ISY34BT 4 times. Student must pass ISY34BT during S1 2022.  Student must report for academic intervention.</v>
      </c>
    </row>
    <row r="3" spans="1:13" ht="39">
      <c r="A3" s="4">
        <f ca="1">IFERROR(__xludf.DUMMYFUNCTION("""COMPUTED_VALUE"""),216205847)</f>
        <v>216205847</v>
      </c>
      <c r="B3" s="4" t="str">
        <f ca="1">IFERROR(__xludf.DUMMYFUNCTION("""COMPUTED_VALUE"""),"Magoro")</f>
        <v>Magoro</v>
      </c>
      <c r="C3" s="4" t="str">
        <f ca="1">IFERROR(__xludf.DUMMYFUNCTION("""COMPUTED_VALUE"""),"N")</f>
        <v>N</v>
      </c>
      <c r="D3" s="3" t="s">
        <v>329</v>
      </c>
      <c r="E3" s="4" t="str">
        <f ca="1">IFERROR(__xludf.DUMMYFUNCTION("""COMPUTED_VALUE"""),"0818683424")</f>
        <v>0818683424</v>
      </c>
      <c r="F3" s="4" t="str">
        <f ca="1">IFERROR(__xludf.DUMMYFUNCTION("""COMPUTED_VALUE"""),"nommagoro@gmail.com")</f>
        <v>nommagoro@gmail.com</v>
      </c>
      <c r="G3" s="4" t="str">
        <f ca="1">IFERROR(__xludf.DUMMYFUNCTION("""COMPUTED_VALUE"""),"Student need to pass TPG201T and ISY34BT, attend 85% full time, and attend all interventions.")</f>
        <v>Student need to pass TPG201T and ISY34BT, attend 85% full time, and attend all interventions.</v>
      </c>
    </row>
    <row r="4" spans="1:13" ht="39">
      <c r="A4" s="4">
        <f ca="1">IFERROR(__xludf.DUMMYFUNCTION("""COMPUTED_VALUE"""),216973992)</f>
        <v>216973992</v>
      </c>
      <c r="B4" s="4" t="str">
        <f ca="1">IFERROR(__xludf.DUMMYFUNCTION("""COMPUTED_VALUE"""),"Mkhize")</f>
        <v>Mkhize</v>
      </c>
      <c r="C4" s="4" t="str">
        <f ca="1">IFERROR(__xludf.DUMMYFUNCTION("""COMPUTED_VALUE"""),"BS")</f>
        <v>BS</v>
      </c>
      <c r="D4" s="3" t="s">
        <v>329</v>
      </c>
      <c r="E4" s="4" t="str">
        <f ca="1">IFERROR(__xludf.DUMMYFUNCTION("""COMPUTED_VALUE"""),"0833551002")</f>
        <v>0833551002</v>
      </c>
      <c r="F4" s="4" t="str">
        <f ca="1">IFERROR(__xludf.DUMMYFUNCTION("""COMPUTED_VALUE"""),"brillientsya@gmail.com")</f>
        <v>brillientsya@gmail.com</v>
      </c>
      <c r="G4" s="4" t="str">
        <f ca="1">IFERROR(__xludf.DUMMYFUNCTION("""COMPUTED_VALUE"""),"Need to PASS DSO23BT, TPG201T, ISY34AT, and  ISY34BT, attend 85% full time, and attend all interventions.")</f>
        <v>Need to PASS DSO23BT, TPG201T, ISY34AT, and  ISY34BT, attend 85% full time, and attend all interventions.</v>
      </c>
    </row>
    <row r="5" spans="1:13" ht="39">
      <c r="A5" s="4">
        <f ca="1">IFERROR(__xludf.DUMMYFUNCTION("""COMPUTED_VALUE"""),217612446)</f>
        <v>217612446</v>
      </c>
      <c r="B5" s="4" t="str">
        <f ca="1">IFERROR(__xludf.DUMMYFUNCTION("""COMPUTED_VALUE"""),"MANGANYE ")</f>
        <v xml:space="preserve">MANGANYE </v>
      </c>
      <c r="C5" s="4" t="str">
        <f ca="1">IFERROR(__xludf.DUMMYFUNCTION("""COMPUTED_VALUE"""),"VS ")</f>
        <v xml:space="preserve">VS </v>
      </c>
      <c r="D5" s="3" t="s">
        <v>329</v>
      </c>
      <c r="E5" s="4" t="str">
        <f ca="1">IFERROR(__xludf.DUMMYFUNCTION("""COMPUTED_VALUE"""),"0712312745")</f>
        <v>0712312745</v>
      </c>
      <c r="F5" s="4" t="str">
        <f ca="1">IFERROR(__xludf.DUMMYFUNCTION("""COMPUTED_VALUE"""),"manganyesurprise369@gmail.com")</f>
        <v>manganyesurprise369@gmail.com</v>
      </c>
      <c r="G5"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6" spans="1:13" ht="39">
      <c r="A6" s="4">
        <f ca="1">IFERROR(__xludf.DUMMYFUNCTION("""COMPUTED_VALUE"""),218064612)</f>
        <v>218064612</v>
      </c>
      <c r="B6" s="4" t="str">
        <f ca="1">IFERROR(__xludf.DUMMYFUNCTION("""COMPUTED_VALUE"""),"Sithole")</f>
        <v>Sithole</v>
      </c>
      <c r="C6" s="4" t="str">
        <f ca="1">IFERROR(__xludf.DUMMYFUNCTION("""COMPUTED_VALUE"""),"NW")</f>
        <v>NW</v>
      </c>
      <c r="D6" s="3" t="s">
        <v>329</v>
      </c>
      <c r="E6" s="4" t="str">
        <f ca="1">IFERROR(__xludf.DUMMYFUNCTION("""COMPUTED_VALUE"""),"0711994208")</f>
        <v>0711994208</v>
      </c>
      <c r="F6" s="4" t="str">
        <f ca="1">IFERROR(__xludf.DUMMYFUNCTION("""COMPUTED_VALUE"""),"218064612@tut4life.ac.za")</f>
        <v>218064612@tut4life.ac.za</v>
      </c>
      <c r="G6" s="4" t="str">
        <f ca="1">IFERROR(__xludf.DUMMYFUNCTION("""COMPUTED_VALUE"""),"Student must pass TPG201T, ISY34AT, and ISY34BT, attend 85% full time, and attend all interventions.")</f>
        <v>Student must pass TPG201T, ISY34AT, and ISY34BT, attend 85% full time, and attend all interventions.</v>
      </c>
      <c r="H6" s="5"/>
    </row>
    <row r="7" spans="1:13" ht="51.75">
      <c r="A7" s="4">
        <f ca="1">IFERROR(__xludf.DUMMYFUNCTION("""COMPUTED_VALUE"""),218701248)</f>
        <v>218701248</v>
      </c>
      <c r="B7" s="4" t="str">
        <f ca="1">IFERROR(__xludf.DUMMYFUNCTION("""COMPUTED_VALUE"""),"MALULEKE")</f>
        <v>MALULEKE</v>
      </c>
      <c r="C7" s="4" t="str">
        <f ca="1">IFERROR(__xludf.DUMMYFUNCTION("""COMPUTED_VALUE"""),"FD")</f>
        <v>FD</v>
      </c>
      <c r="D7" s="3" t="s">
        <v>329</v>
      </c>
      <c r="E7" s="4" t="str">
        <f ca="1">IFERROR(__xludf.DUMMYFUNCTION("""COMPUTED_VALUE"""),"0722843863")</f>
        <v>0722843863</v>
      </c>
      <c r="F7" s="4" t="str">
        <f ca="1">IFERROR(__xludf.DUMMYFUNCTION("""COMPUTED_VALUE"""),"dowenfumani97@gmail.com")</f>
        <v>dowenfumani97@gmail.com</v>
      </c>
      <c r="G7"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8" spans="1:13" ht="39">
      <c r="A8" s="4">
        <f ca="1">IFERROR(__xludf.DUMMYFUNCTION("""COMPUTED_VALUE"""),208258265)</f>
        <v>208258265</v>
      </c>
      <c r="B8" s="4" t="str">
        <f ca="1">IFERROR(__xludf.DUMMYFUNCTION("""COMPUTED_VALUE"""),"Nkuna ")</f>
        <v xml:space="preserve">Nkuna </v>
      </c>
      <c r="C8" s="4" t="str">
        <f ca="1">IFERROR(__xludf.DUMMYFUNCTION("""COMPUTED_VALUE"""),"LF")</f>
        <v>LF</v>
      </c>
      <c r="D8" s="3" t="s">
        <v>329</v>
      </c>
      <c r="E8" s="4" t="str">
        <f ca="1">IFERROR(__xludf.DUMMYFUNCTION("""COMPUTED_VALUE"""),"0785280109")</f>
        <v>0785280109</v>
      </c>
      <c r="F8" s="4" t="str">
        <f ca="1">IFERROR(__xludf.DUMMYFUNCTION("""COMPUTED_VALUE"""),"nkunalouren@yahoo.com")</f>
        <v>nkunalouren@yahoo.com</v>
      </c>
      <c r="G8" s="4" t="str">
        <f ca="1">IFERROR(__xludf.DUMMYFUNCTION("""COMPUTED_VALUE"""),"Student need to pass DSO34BT, and ISY34BT during S1 2022 and report for academic intervention.")</f>
        <v>Student need to pass DSO34BT, and ISY34BT during S1 2022 and report for academic intervention.</v>
      </c>
    </row>
    <row r="9" spans="1:13" ht="39">
      <c r="A9" s="4">
        <f ca="1">IFERROR(__xludf.DUMMYFUNCTION("""COMPUTED_VALUE"""),214703130)</f>
        <v>214703130</v>
      </c>
      <c r="B9" s="4" t="str">
        <f ca="1">IFERROR(__xludf.DUMMYFUNCTION("""COMPUTED_VALUE"""),"Mahloko")</f>
        <v>Mahloko</v>
      </c>
      <c r="C9" s="4" t="str">
        <f ca="1">IFERROR(__xludf.DUMMYFUNCTION("""COMPUTED_VALUE"""),"IT")</f>
        <v>IT</v>
      </c>
      <c r="D9" s="3" t="s">
        <v>329</v>
      </c>
      <c r="E9" s="4" t="str">
        <f ca="1">IFERROR(__xludf.DUMMYFUNCTION("""COMPUTED_VALUE"""),"0842326960")</f>
        <v>0842326960</v>
      </c>
      <c r="F9" s="4" t="str">
        <f ca="1">IFERROR(__xludf.DUMMYFUNCTION("""COMPUTED_VALUE"""),"ivanthato@gmail.com")</f>
        <v>ivanthato@gmail.com</v>
      </c>
      <c r="G9" s="4" t="str">
        <f ca="1">IFERROR(__xludf.DUMMYFUNCTION("""COMPUTED_VALUE"""),"STUDENT NEED TO PASS DSO34BT AND ISY34BT DURING S1 2022 AND REPORT FOR ACADEMIC INTERVENTION")</f>
        <v>STUDENT NEED TO PASS DSO34BT AND ISY34BT DURING S1 2022 AND REPORT FOR ACADEMIC INTERVENTION</v>
      </c>
    </row>
    <row r="10" spans="1:13">
      <c r="A10" s="4">
        <f ca="1">IFERROR(__xludf.DUMMYFUNCTION("""COMPUTED_VALUE"""),213493345)</f>
        <v>213493345</v>
      </c>
      <c r="B10" s="4" t="str">
        <f ca="1">IFERROR(__xludf.DUMMYFUNCTION("""COMPUTED_VALUE"""),"Setuke")</f>
        <v>Setuke</v>
      </c>
      <c r="C10" s="4" t="str">
        <f ca="1">IFERROR(__xludf.DUMMYFUNCTION("""COMPUTED_VALUE"""),"HT")</f>
        <v>HT</v>
      </c>
      <c r="D10" s="3" t="s">
        <v>329</v>
      </c>
      <c r="E10" s="4" t="str">
        <f ca="1">IFERROR(__xludf.DUMMYFUNCTION("""COMPUTED_VALUE"""),"0659204567")</f>
        <v>0659204567</v>
      </c>
      <c r="F10" s="4" t="str">
        <f ca="1">IFERROR(__xludf.DUMMYFUNCTION("""COMPUTED_VALUE"""),"tsetuke@gmail.com")</f>
        <v>tsetuke@gmail.com</v>
      </c>
      <c r="G10" s="4" t="str">
        <f ca="1">IFERROR(__xludf.DUMMYFUNCTION("""COMPUTED_VALUE"""),"Need to pass ISY34AT and ISY34BT.")</f>
        <v>Need to pass ISY34AT and ISY34BT.</v>
      </c>
    </row>
    <row r="11" spans="1:13" ht="26.25">
      <c r="A11" s="4">
        <f ca="1">IFERROR(__xludf.DUMMYFUNCTION("""COMPUTED_VALUE"""),216599390)</f>
        <v>216599390</v>
      </c>
      <c r="B11" s="4" t="str">
        <f ca="1">IFERROR(__xludf.DUMMYFUNCTION("""COMPUTED_VALUE"""),"Mthanti ")</f>
        <v xml:space="preserve">Mthanti </v>
      </c>
      <c r="C11" s="4" t="str">
        <f ca="1">IFERROR(__xludf.DUMMYFUNCTION("""COMPUTED_VALUE"""),"Sh")</f>
        <v>Sh</v>
      </c>
      <c r="D11" s="3" t="s">
        <v>329</v>
      </c>
      <c r="E11" s="4" t="str">
        <f ca="1">IFERROR(__xludf.DUMMYFUNCTION("""COMPUTED_VALUE"""),"0721283941")</f>
        <v>0721283941</v>
      </c>
      <c r="F11" s="4" t="str">
        <f ca="1">IFERROR(__xludf.DUMMYFUNCTION("""COMPUTED_VALUE"""),"simphiwemthanti76@gmail.coms")</f>
        <v>simphiwemthanti76@gmail.coms</v>
      </c>
      <c r="G11" s="4" t="str">
        <f ca="1">IFERROR(__xludf.DUMMYFUNCTION("""COMPUTED_VALUE"""),"Student need to pass ISY34BT.")</f>
        <v>Student need to pass ISY34BT.</v>
      </c>
    </row>
    <row r="12" spans="1:13" ht="26.25">
      <c r="A12" s="4">
        <f ca="1">IFERROR(__xludf.DUMMYFUNCTION("""COMPUTED_VALUE"""),216891562)</f>
        <v>216891562</v>
      </c>
      <c r="B12" s="4" t="str">
        <f ca="1">IFERROR(__xludf.DUMMYFUNCTION("""COMPUTED_VALUE"""),"Ratlhogo")</f>
        <v>Ratlhogo</v>
      </c>
      <c r="C12" s="4" t="str">
        <f ca="1">IFERROR(__xludf.DUMMYFUNCTION("""COMPUTED_VALUE"""),"T")</f>
        <v>T</v>
      </c>
      <c r="D12" s="3" t="s">
        <v>329</v>
      </c>
      <c r="E12" s="4" t="str">
        <f ca="1">IFERROR(__xludf.DUMMYFUNCTION("""COMPUTED_VALUE"""),"0828413723")</f>
        <v>0828413723</v>
      </c>
      <c r="F12" s="4" t="str">
        <f ca="1">IFERROR(__xludf.DUMMYFUNCTION("""COMPUTED_VALUE"""),"tlhomphosuper@gmail.com")</f>
        <v>tlhomphosuper@gmail.com</v>
      </c>
      <c r="G12" s="4" t="str">
        <f ca="1">IFERROR(__xludf.DUMMYFUNCTION("""COMPUTED_VALUE"""),"Need to pass ISY34AT AND ISY34BT.")</f>
        <v>Need to pass ISY34AT AND ISY34BT.</v>
      </c>
    </row>
    <row r="13" spans="1:13" ht="26.25">
      <c r="A13" s="4">
        <f ca="1">IFERROR(__xludf.DUMMYFUNCTION("""COMPUTED_VALUE"""),216599390)</f>
        <v>216599390</v>
      </c>
      <c r="B13" s="4" t="str">
        <f ca="1">IFERROR(__xludf.DUMMYFUNCTION("""COMPUTED_VALUE"""),"Mthanti ")</f>
        <v xml:space="preserve">Mthanti </v>
      </c>
      <c r="C13" s="4" t="str">
        <f ca="1">IFERROR(__xludf.DUMMYFUNCTION("""COMPUTED_VALUE"""),"Sh")</f>
        <v>Sh</v>
      </c>
      <c r="D13" s="4"/>
      <c r="E13" s="4" t="str">
        <f ca="1">IFERROR(__xludf.DUMMYFUNCTION("""COMPUTED_VALUE"""),"0721283941")</f>
        <v>0721283941</v>
      </c>
      <c r="F13" s="4" t="str">
        <f ca="1">IFERROR(__xludf.DUMMYFUNCTION("""COMPUTED_VALUE"""),"simphiwemthanti76@gmail.coms")</f>
        <v>simphiwemthanti76@gmail.coms</v>
      </c>
      <c r="G13" s="4" t="str">
        <f ca="1">IFERROR(__xludf.DUMMYFUNCTION("""COMPUTED_VALUE"""),"Student need to pass ISY34BT.")</f>
        <v>Student need to pass ISY34BT.</v>
      </c>
    </row>
    <row r="14" spans="1:13" ht="26.25">
      <c r="A14" s="4">
        <f ca="1">IFERROR(__xludf.DUMMYFUNCTION("""COMPUTED_VALUE"""),218683207)</f>
        <v>218683207</v>
      </c>
      <c r="B14" s="4" t="str">
        <f ca="1">IFERROR(__xludf.DUMMYFUNCTION("""COMPUTED_VALUE"""),"Tshamano")</f>
        <v>Tshamano</v>
      </c>
      <c r="C14" s="4" t="str">
        <f ca="1">IFERROR(__xludf.DUMMYFUNCTION("""COMPUTED_VALUE"""),"TG ")</f>
        <v xml:space="preserve">TG </v>
      </c>
      <c r="D14" s="4"/>
      <c r="E14" s="4" t="str">
        <f ca="1">IFERROR(__xludf.DUMMYFUNCTION("""COMPUTED_VALUE"""),"0622835358")</f>
        <v>0622835358</v>
      </c>
      <c r="F14" s="4" t="str">
        <f ca="1">IFERROR(__xludf.DUMMYFUNCTION("""COMPUTED_VALUE"""),"218683207@tut4life.ac.za")</f>
        <v>218683207@tut4life.ac.za</v>
      </c>
      <c r="G14" s="4" t="str">
        <f ca="1">IFERROR(__xludf.DUMMYFUNCTION("""COMPUTED_VALUE"""),"STUDENT MUST PASS ISY34BT DURING S1 2022.")</f>
        <v>STUDENT MUST PASS ISY34BT DURING S1 2022.</v>
      </c>
    </row>
    <row r="15" spans="1:13" ht="64.5">
      <c r="A15" s="52">
        <v>218332498</v>
      </c>
      <c r="B15" s="61" t="s">
        <v>449</v>
      </c>
      <c r="C15" s="61" t="s">
        <v>450</v>
      </c>
      <c r="D15" s="22"/>
      <c r="E15" s="52">
        <v>763205850</v>
      </c>
      <c r="F15" s="29" t="s">
        <v>451</v>
      </c>
      <c r="G15" s="51" t="s">
        <v>452</v>
      </c>
    </row>
  </sheetData>
  <hyperlinks>
    <hyperlink ref="F15"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6.140625" customWidth="1"/>
    <col min="2" max="2" width="17" customWidth="1"/>
    <col min="4" max="5" width="16.140625" customWidth="1"/>
    <col min="6" max="6" width="25.28515625" customWidth="1"/>
    <col min="7" max="7" width="29.28515625" customWidth="1"/>
  </cols>
  <sheetData>
    <row r="1" spans="1:7">
      <c r="A1" s="1" t="s">
        <v>0</v>
      </c>
      <c r="B1" s="1" t="s">
        <v>1</v>
      </c>
      <c r="C1" s="1" t="s">
        <v>2</v>
      </c>
      <c r="D1" s="1" t="s">
        <v>3</v>
      </c>
      <c r="E1" s="1" t="s">
        <v>4</v>
      </c>
      <c r="F1" s="1" t="s">
        <v>5</v>
      </c>
      <c r="G1" s="1" t="s">
        <v>6</v>
      </c>
    </row>
    <row r="2" spans="1:7" ht="51.75">
      <c r="A2" s="4">
        <f ca="1">IFERROR(__xludf.DUMMYFUNCTION("""COMPUTED_VALUE"""),214352931)</f>
        <v>214352931</v>
      </c>
      <c r="B2" s="4" t="str">
        <f ca="1">IFERROR(__xludf.DUMMYFUNCTION("""COMPUTED_VALUE"""),"Muleya")</f>
        <v>Muleya</v>
      </c>
      <c r="C2" s="4" t="str">
        <f ca="1">IFERROR(__xludf.DUMMYFUNCTION("""COMPUTED_VALUE"""),"M")</f>
        <v>M</v>
      </c>
      <c r="D2" s="4"/>
      <c r="E2" s="4" t="str">
        <f ca="1">IFERROR(__xludf.DUMMYFUNCTION("""COMPUTED_VALUE"""),"0724151779")</f>
        <v>0724151779</v>
      </c>
      <c r="F2" s="4" t="str">
        <f ca="1">IFERROR(__xludf.DUMMYFUNCTION("""COMPUTED_VALUE"""),"Muleyamn@gmail.com")</f>
        <v>Muleyamn@gmail.com</v>
      </c>
      <c r="G2" s="4" t="str">
        <f ca="1">IFERROR(__xludf.DUMMYFUNCTION("""COMPUTED_VALUE"""),"Student should register and pass the following modules i.e. ISY34AB and IDC30BE in 2022 Academic Year.")</f>
        <v>Student should register and pass the following modules i.e. ISY34AB and IDC30BE in 2022 Academic Year.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8"/>
  <sheetViews>
    <sheetView topLeftCell="A102" workbookViewId="0">
      <selection activeCell="B129" sqref="B129"/>
    </sheetView>
  </sheetViews>
  <sheetFormatPr defaultRowHeight="15"/>
  <cols>
    <col min="1" max="1" width="17.5703125" customWidth="1"/>
    <col min="2" max="2" width="15.140625" customWidth="1"/>
    <col min="3" max="3" width="13.7109375" customWidth="1"/>
    <col min="4" max="4" width="18" customWidth="1"/>
    <col min="5" max="5" width="19.5703125" customWidth="1"/>
    <col min="6" max="6" width="31.5703125" customWidth="1"/>
    <col min="7" max="7" width="40.5703125" customWidth="1"/>
  </cols>
  <sheetData>
    <row r="1" spans="1:8">
      <c r="A1" s="1" t="s">
        <v>0</v>
      </c>
      <c r="B1" s="1" t="s">
        <v>1</v>
      </c>
      <c r="C1" s="1" t="s">
        <v>2</v>
      </c>
      <c r="D1" s="1" t="s">
        <v>3</v>
      </c>
      <c r="E1" s="1" t="s">
        <v>4</v>
      </c>
      <c r="F1" s="1" t="s">
        <v>5</v>
      </c>
      <c r="G1" s="1" t="s">
        <v>6</v>
      </c>
    </row>
    <row r="2" spans="1:8">
      <c r="A2" s="2">
        <f ca="1">IFERROR(__xludf.DUMMYFUNCTION("""COMPUTED_VALUE"""),215353966)</f>
        <v>215353966</v>
      </c>
      <c r="B2" s="2" t="s">
        <v>58</v>
      </c>
      <c r="C2" s="2" t="str">
        <f ca="1">IFERROR(__xludf.DUMMYFUNCTION("""COMPUTED_VALUE"""),"TR")</f>
        <v>TR</v>
      </c>
      <c r="D2" s="3"/>
      <c r="E2" s="2" t="str">
        <f ca="1">IFERROR(__xludf.DUMMYFUNCTION("""COMPUTED_VALUE"""),"0835388916")</f>
        <v>0835388916</v>
      </c>
      <c r="F2" s="2" t="str">
        <f ca="1">IFERROR(__xludf.DUMMYFUNCTION("""COMPUTED_VALUE"""),"tiyanirichard20@gmail.com")</f>
        <v>tiyanirichard20@gmail.com</v>
      </c>
      <c r="G2" s="3"/>
    </row>
    <row r="3" spans="1:8">
      <c r="A3" s="4">
        <f ca="1">IFERROR(__xludf.DUMMYFUNCTION("""COMPUTED_VALUE"""),216162595)</f>
        <v>216162595</v>
      </c>
      <c r="B3" s="4" t="str">
        <f ca="1">IFERROR(__xludf.DUMMYFUNCTION("""COMPUTED_VALUE"""),"Daraza")</f>
        <v>Daraza</v>
      </c>
      <c r="C3" s="4" t="str">
        <f ca="1">IFERROR(__xludf.DUMMYFUNCTION("""COMPUTED_VALUE"""),"AO")</f>
        <v>AO</v>
      </c>
      <c r="D3" s="4"/>
      <c r="E3" s="4" t="str">
        <f ca="1">IFERROR(__xludf.DUMMYFUNCTION("""COMPUTED_VALUE"""),"0783307078")</f>
        <v>0783307078</v>
      </c>
      <c r="F3" s="4" t="str">
        <f ca="1">IFERROR(__xludf.DUMMYFUNCTION("""COMPUTED_VALUE"""),"216161595@tut4life.ac.za")</f>
        <v>216161595@tut4life.ac.za</v>
      </c>
      <c r="G3" s="4" t="str">
        <f ca="1">IFERROR(__xludf.DUMMYFUNCTION("""COMPUTED_VALUE"""),"UNCONDITIONAL")</f>
        <v>UNCONDITIONAL</v>
      </c>
    </row>
    <row r="4" spans="1:8">
      <c r="A4" s="4">
        <f ca="1">IFERROR(__xludf.DUMMYFUNCTION("""COMPUTED_VALUE"""),218719927)</f>
        <v>218719927</v>
      </c>
      <c r="B4" s="4"/>
      <c r="C4" s="4"/>
      <c r="D4" s="4"/>
      <c r="E4" s="4"/>
      <c r="F4" s="4"/>
      <c r="G4" s="4" t="str">
        <f ca="1">IFERROR(__xludf.DUMMYFUNCTION("""COMPUTED_VALUE"""),"UNCONDITIONAL")</f>
        <v>UNCONDITIONAL</v>
      </c>
    </row>
    <row r="5" spans="1:8">
      <c r="A5" s="4">
        <f ca="1">IFERROR(__xludf.DUMMYFUNCTION("""COMPUTED_VALUE"""),217174759)</f>
        <v>217174759</v>
      </c>
      <c r="B5" s="4"/>
      <c r="C5" s="4"/>
      <c r="D5" s="4"/>
      <c r="E5" s="4"/>
      <c r="F5" s="4"/>
      <c r="G5" s="4"/>
    </row>
    <row r="6" spans="1:8">
      <c r="A6" s="4">
        <f ca="1">IFERROR(__xludf.DUMMYFUNCTION("""COMPUTED_VALUE"""),218474977)</f>
        <v>218474977</v>
      </c>
      <c r="B6" s="4" t="str">
        <f ca="1">IFERROR(__xludf.DUMMYFUNCTION("""COMPUTED_VALUE"""),"KHATHWAYO ")</f>
        <v xml:space="preserve">KHATHWAYO </v>
      </c>
      <c r="C6" s="4" t="str">
        <f ca="1">IFERROR(__xludf.DUMMYFUNCTION("""COMPUTED_VALUE"""),"AG")</f>
        <v>AG</v>
      </c>
      <c r="D6" s="4"/>
      <c r="E6" s="4" t="str">
        <f ca="1">IFERROR(__xludf.DUMMYFUNCTION("""COMPUTED_VALUE"""),"0713340710")</f>
        <v>0713340710</v>
      </c>
      <c r="F6" s="4" t="str">
        <f ca="1">IFERROR(__xludf.DUMMYFUNCTION("""COMPUTED_VALUE"""),"khathwayoandilegift@gmail.com")</f>
        <v>khathwayoandilegift@gmail.com</v>
      </c>
      <c r="G6" s="4"/>
      <c r="H6" s="5"/>
    </row>
    <row r="7" spans="1:8">
      <c r="A7" s="4">
        <f ca="1">IFERROR(__xludf.DUMMYFUNCTION("""COMPUTED_VALUE"""),219090528)</f>
        <v>219090528</v>
      </c>
      <c r="B7" s="4" t="str">
        <f ca="1">IFERROR(__xludf.DUMMYFUNCTION("""COMPUTED_VALUE"""),"MABUZA")</f>
        <v>MABUZA</v>
      </c>
      <c r="C7" s="4" t="str">
        <f ca="1">IFERROR(__xludf.DUMMYFUNCTION("""COMPUTED_VALUE"""),"TM")</f>
        <v>TM</v>
      </c>
      <c r="D7" s="4"/>
      <c r="E7" s="4" t="str">
        <f ca="1">IFERROR(__xludf.DUMMYFUNCTION("""COMPUTED_VALUE"""),"0716387918")</f>
        <v>0716387918</v>
      </c>
      <c r="F7" s="4" t="str">
        <f ca="1">IFERROR(__xludf.DUMMYFUNCTION("""COMPUTED_VALUE"""),"thabomzamo6@gmail.com")</f>
        <v>thabomzamo6@gmail.com</v>
      </c>
      <c r="G7" s="4"/>
    </row>
    <row r="8" spans="1:8">
      <c r="A8" s="4">
        <f ca="1">IFERROR(__xludf.DUMMYFUNCTION("""COMPUTED_VALUE"""),219278896)</f>
        <v>219278896</v>
      </c>
      <c r="B8" s="4"/>
      <c r="C8" s="4"/>
      <c r="D8" s="4"/>
      <c r="E8" s="4"/>
      <c r="F8" s="4"/>
      <c r="G8" s="4" t="str">
        <f ca="1">IFERROR(__xludf.DUMMYFUNCTION("""COMPUTED_VALUE"""),"STUDENT NEED TO PASS 5 SUBJECTS PER SEMESTER.  STUDENT NEED TO MAKE AN APPOINTMENT WITH THE HOD.")</f>
        <v>STUDENT NEED TO PASS 5 SUBJECTS PER SEMESTER.  STUDENT NEED TO MAKE AN APPOINTMENT WITH THE HOD.</v>
      </c>
    </row>
    <row r="9" spans="1:8">
      <c r="A9" s="4">
        <f ca="1">IFERROR(__xludf.DUMMYFUNCTION("""COMPUTED_VALUE"""),214591944)</f>
        <v>214591944</v>
      </c>
      <c r="B9" s="4" t="str">
        <f ca="1">IFERROR(__xludf.DUMMYFUNCTION("""COMPUTED_VALUE"""),"Ngcobo")</f>
        <v>Ngcobo</v>
      </c>
      <c r="C9" s="4" t="str">
        <f ca="1">IFERROR(__xludf.DUMMYFUNCTION("""COMPUTED_VALUE"""),"NH")</f>
        <v>NH</v>
      </c>
      <c r="D9" s="4"/>
      <c r="E9" s="4" t="str">
        <f ca="1">IFERROR(__xludf.DUMMYFUNCTION("""COMPUTED_VALUE"""),"0728555546")</f>
        <v>0728555546</v>
      </c>
      <c r="F9" s="4" t="str">
        <f ca="1">IFERROR(__xludf.DUMMYFUNCTION("""COMPUTED_VALUE"""),"mnkulleko@gmail.com")</f>
        <v>mnkulleko@gmail.com</v>
      </c>
      <c r="G9" s="4" t="str">
        <f ca="1">IFERROR(__xludf.DUMMYFUNCTION("""COMPUTED_VALUE"""),"UNCONDITIONAL")</f>
        <v>UNCONDITIONAL</v>
      </c>
    </row>
    <row r="10" spans="1:8">
      <c r="A10" s="4">
        <f ca="1">IFERROR(__xludf.DUMMYFUNCTION("""COMPUTED_VALUE"""),215737624)</f>
        <v>215737624</v>
      </c>
      <c r="B10" s="4" t="str">
        <f ca="1">IFERROR(__xludf.DUMMYFUNCTION("""COMPUTED_VALUE"""),"Maimela")</f>
        <v>Maimela</v>
      </c>
      <c r="C10" s="4" t="str">
        <f ca="1">IFERROR(__xludf.DUMMYFUNCTION("""COMPUTED_VALUE"""),"SP")</f>
        <v>SP</v>
      </c>
      <c r="D10" s="4"/>
      <c r="E10" s="4" t="str">
        <f ca="1">IFERROR(__xludf.DUMMYFUNCTION("""COMPUTED_VALUE"""),"0790282429")</f>
        <v>0790282429</v>
      </c>
      <c r="F10" s="4" t="str">
        <f ca="1">IFERROR(__xludf.DUMMYFUNCTION("""COMPUTED_VALUE"""),"215737624@tut4life.ac.za")</f>
        <v>215737624@tut4life.ac.za</v>
      </c>
      <c r="G10" s="4" t="str">
        <f ca="1">IFERROR(__xludf.DUMMYFUNCTION("""COMPUTED_VALUE"""),"UNCONDITIONAL")</f>
        <v>UNCONDITIONAL</v>
      </c>
    </row>
    <row r="11" spans="1:8">
      <c r="A11" s="4">
        <f ca="1">IFERROR(__xludf.DUMMYFUNCTION("""COMPUTED_VALUE"""),215773612)</f>
        <v>215773612</v>
      </c>
      <c r="B11" s="4"/>
      <c r="C11" s="4"/>
      <c r="D11" s="4"/>
      <c r="E11" s="4"/>
      <c r="F11" s="4"/>
      <c r="G11" s="4"/>
    </row>
    <row r="12" spans="1:8">
      <c r="A12" s="4">
        <f ca="1">IFERROR(__xludf.DUMMYFUNCTION("""COMPUTED_VALUE"""),215796884)</f>
        <v>215796884</v>
      </c>
      <c r="B12" s="4" t="str">
        <f ca="1">IFERROR(__xludf.DUMMYFUNCTION("""COMPUTED_VALUE"""),"Ngwepe")</f>
        <v>Ngwepe</v>
      </c>
      <c r="C12" s="4" t="str">
        <f ca="1">IFERROR(__xludf.DUMMYFUNCTION("""COMPUTED_VALUE"""),"L.M")</f>
        <v>L.M</v>
      </c>
      <c r="D12" s="4"/>
      <c r="E12" s="4" t="str">
        <f ca="1">IFERROR(__xludf.DUMMYFUNCTION("""COMPUTED_VALUE"""),"0797175546")</f>
        <v>0797175546</v>
      </c>
      <c r="F12" s="4" t="str">
        <f ca="1">IFERROR(__xludf.DUMMYFUNCTION("""COMPUTED_VALUE"""),"lerato10.ngwepe@gmail.com")</f>
        <v>lerato10.ngwepe@gmail.com</v>
      </c>
      <c r="G12" s="4" t="str">
        <f ca="1">IFERROR(__xludf.DUMMYFUNCTION("""COMPUTED_VALUE"""),"UNCONDITIONAL")</f>
        <v>UNCONDITIONAL</v>
      </c>
    </row>
    <row r="13" spans="1:8">
      <c r="A13" s="4">
        <f ca="1">IFERROR(__xludf.DUMMYFUNCTION("""COMPUTED_VALUE"""),216763599)</f>
        <v>216763599</v>
      </c>
      <c r="B13" s="4"/>
      <c r="C13" s="4"/>
      <c r="D13" s="4"/>
      <c r="E13" s="4"/>
      <c r="F13" s="4"/>
      <c r="G13" s="4" t="str">
        <f ca="1">IFERROR(__xludf.DUMMYFUNCTION("""COMPUTED_VALUE"""),"STUDENT NEED TO MAKE AN APPOINTMENT WITH THE HOD AS 9 SUBJECTS ARE OUTSTANDING.")</f>
        <v>STUDENT NEED TO MAKE AN APPOINTMENT WITH THE HOD AS 9 SUBJECTS ARE OUTSTANDING.</v>
      </c>
    </row>
    <row r="14" spans="1:8">
      <c r="A14" s="4">
        <f ca="1">IFERROR(__xludf.DUMMYFUNCTION("""COMPUTED_VALUE"""),217184800)</f>
        <v>217184800</v>
      </c>
      <c r="B14" s="4"/>
      <c r="C14" s="4"/>
      <c r="D14" s="4"/>
      <c r="E14" s="4"/>
      <c r="F14" s="4"/>
      <c r="G14" s="4" t="str">
        <f ca="1">IFERROR(__xludf.DUMMYFUNCTION("""COMPUTED_VALUE"""),"STUDENT NEED TO PASS ALL OUTSTANDING SUBJECTS DURING S1 2022 AND REPORT FOR ACADEMIC INTERVENTION.")</f>
        <v>STUDENT NEED TO PASS ALL OUTSTANDING SUBJECTS DURING S1 2022 AND REPORT FOR ACADEMIC INTERVENTION.</v>
      </c>
    </row>
    <row r="15" spans="1:8" ht="26.25">
      <c r="A15" s="4">
        <f ca="1">IFERROR(__xludf.DUMMYFUNCTION("""COMPUTED_VALUE"""),218239579)</f>
        <v>218239579</v>
      </c>
      <c r="B15" s="4" t="str">
        <f ca="1">IFERROR(__xludf.DUMMYFUNCTION("""COMPUTED_VALUE"""),"MDLULI ")</f>
        <v xml:space="preserve">MDLULI </v>
      </c>
      <c r="C15" s="4" t="str">
        <f ca="1">IFERROR(__xludf.DUMMYFUNCTION("""COMPUTED_VALUE"""),"AN")</f>
        <v>AN</v>
      </c>
      <c r="D15" s="4"/>
      <c r="E15" s="4" t="str">
        <f ca="1">IFERROR(__xludf.DUMMYFUNCTION("""COMPUTED_VALUE"""),"713114456")</f>
        <v>713114456</v>
      </c>
      <c r="F15" s="4" t="str">
        <f ca="1">IFERROR(__xludf.DUMMYFUNCTION("""COMPUTED_VALUE"""),"nomphieangel@gmail.com")</f>
        <v>nomphieangel@gmail.com</v>
      </c>
      <c r="G15" s="4" t="str">
        <f ca="1">IFERROR(__xludf.DUMMYFUNCTION("""COMPUTED_VALUE"""),"STUDENT NEED TO MAKE AN APPOINTMENT WITH THE HOD")</f>
        <v>STUDENT NEED TO MAKE AN APPOINTMENT WITH THE HOD</v>
      </c>
    </row>
    <row r="16" spans="1:8" ht="39">
      <c r="A16" s="4">
        <f ca="1">IFERROR(__xludf.DUMMYFUNCTION("""COMPUTED_VALUE"""),218260284)</f>
        <v>218260284</v>
      </c>
      <c r="B16" s="4" t="str">
        <f ca="1">IFERROR(__xludf.DUMMYFUNCTION("""COMPUTED_VALUE"""),"Masemola ")</f>
        <v xml:space="preserve">Masemola </v>
      </c>
      <c r="C16" s="4" t="str">
        <f ca="1">IFERROR(__xludf.DUMMYFUNCTION("""COMPUTED_VALUE"""),"BB")</f>
        <v>BB</v>
      </c>
      <c r="D16" s="4"/>
      <c r="E16" s="4" t="str">
        <f ca="1">IFERROR(__xludf.DUMMYFUNCTION("""COMPUTED_VALUE"""),"0793790353")</f>
        <v>0793790353</v>
      </c>
      <c r="F16" s="4" t="str">
        <f ca="1">IFERROR(__xludf.DUMMYFUNCTION("""COMPUTED_VALUE"""),"bontlebaji@gmail.com")</f>
        <v>bontlebaji@gmail.com</v>
      </c>
      <c r="G16" s="4" t="str">
        <f ca="1">IFERROR(__xludf.DUMMYFUNCTION("""COMPUTED_VALUE"""),"STUDENT NEED TO PASS REMAINING SUBJECTS DURING S1 2022 AND REPORT FOR ACADEMIC INTERVENTION.")</f>
        <v>STUDENT NEED TO PASS REMAINING SUBJECTS DURING S1 2022 AND REPORT FOR ACADEMIC INTERVENTION.</v>
      </c>
    </row>
    <row r="17" spans="1:7" ht="26.25">
      <c r="A17" s="4">
        <f ca="1">IFERROR(__xludf.DUMMYFUNCTION("""COMPUTED_VALUE"""),217638950)</f>
        <v>217638950</v>
      </c>
      <c r="B17" s="4" t="str">
        <f ca="1">IFERROR(__xludf.DUMMYFUNCTION("""COMPUTED_VALUE"""),"carlos")</f>
        <v>carlos</v>
      </c>
      <c r="C17" s="4" t="str">
        <f ca="1">IFERROR(__xludf.DUMMYFUNCTION("""COMPUTED_VALUE"""),"AP")</f>
        <v>AP</v>
      </c>
      <c r="D17" s="4"/>
      <c r="E17" s="4" t="str">
        <f ca="1">IFERROR(__xludf.DUMMYFUNCTION("""COMPUTED_VALUE"""),"0678178867")</f>
        <v>0678178867</v>
      </c>
      <c r="F17" s="4" t="str">
        <f ca="1">IFERROR(__xludf.DUMMYFUNCTION("""COMPUTED_VALUE"""),"tonyrealest@icloud.com")</f>
        <v>tonyrealest@icloud.com</v>
      </c>
      <c r="G17" s="4" t="str">
        <f ca="1">IFERROR(__xludf.DUMMYFUNCTION("""COMPUTED_VALUE"""),"STUDENT MUST PASS ALL REMAINING SUBJECTS.")</f>
        <v>STUDENT MUST PASS ALL REMAINING SUBJECTS.</v>
      </c>
    </row>
    <row r="18" spans="1:7">
      <c r="A18" s="4">
        <f ca="1">IFERROR(__xludf.DUMMYFUNCTION("""COMPUTED_VALUE"""),200300027)</f>
        <v>200300027</v>
      </c>
      <c r="B18" s="4"/>
      <c r="C18" s="4"/>
      <c r="D18" s="4"/>
      <c r="E18" s="4"/>
      <c r="F18" s="4"/>
      <c r="G18" s="4" t="str">
        <f ca="1">IFERROR(__xludf.DUMMYFUNCTION("""COMPUTED_VALUE"""),"Unconditional")</f>
        <v>Unconditional</v>
      </c>
    </row>
    <row r="19" spans="1:7">
      <c r="A19" s="4">
        <f ca="1">IFERROR(__xludf.DUMMYFUNCTION("""COMPUTED_VALUE"""),204116415)</f>
        <v>204116415</v>
      </c>
      <c r="B19" s="4"/>
      <c r="C19" s="4"/>
      <c r="D19" s="4"/>
      <c r="E19" s="4"/>
      <c r="F19" s="4"/>
      <c r="G19" s="4" t="str">
        <f ca="1">IFERROR(__xludf.DUMMYFUNCTION("""COMPUTED_VALUE"""),"Unconditional")</f>
        <v>Unconditional</v>
      </c>
    </row>
    <row r="20" spans="1:7">
      <c r="A20" s="4">
        <f ca="1">IFERROR(__xludf.DUMMYFUNCTION("""COMPUTED_VALUE"""),207164263)</f>
        <v>207164263</v>
      </c>
      <c r="B20" s="4"/>
      <c r="C20" s="4"/>
      <c r="D20" s="4"/>
      <c r="E20" s="4"/>
      <c r="F20" s="4"/>
      <c r="G20" s="4" t="str">
        <f ca="1">IFERROR(__xludf.DUMMYFUNCTION("""COMPUTED_VALUE"""),"Unconditional")</f>
        <v>Unconditional</v>
      </c>
    </row>
    <row r="21" spans="1:7">
      <c r="A21" s="4">
        <f ca="1">IFERROR(__xludf.DUMMYFUNCTION("""COMPUTED_VALUE"""),209151146)</f>
        <v>209151146</v>
      </c>
      <c r="B21" s="4"/>
      <c r="C21" s="4"/>
      <c r="D21" s="4"/>
      <c r="E21" s="4"/>
      <c r="F21" s="4"/>
      <c r="G21" s="4" t="str">
        <f ca="1">IFERROR(__xludf.DUMMYFUNCTION("""COMPUTED_VALUE"""),"Unconditional")</f>
        <v>Unconditional</v>
      </c>
    </row>
    <row r="22" spans="1:7">
      <c r="A22" s="4">
        <f ca="1">IFERROR(__xludf.DUMMYFUNCTION("""COMPUTED_VALUE"""),209195844)</f>
        <v>209195844</v>
      </c>
      <c r="B22" s="4"/>
      <c r="C22" s="4"/>
      <c r="D22" s="4"/>
      <c r="E22" s="4"/>
      <c r="F22" s="4"/>
      <c r="G22" s="4" t="str">
        <f ca="1">IFERROR(__xludf.DUMMYFUNCTION("""COMPUTED_VALUE"""),"Unconditional")</f>
        <v>Unconditional</v>
      </c>
    </row>
    <row r="23" spans="1:7">
      <c r="A23" s="4">
        <f ca="1">IFERROR(__xludf.DUMMYFUNCTION("""COMPUTED_VALUE"""),209249600)</f>
        <v>209249600</v>
      </c>
      <c r="B23" s="4"/>
      <c r="C23" s="4"/>
      <c r="D23" s="4"/>
      <c r="E23" s="4"/>
      <c r="F23" s="4"/>
      <c r="G23" s="4" t="str">
        <f ca="1">IFERROR(__xludf.DUMMYFUNCTION("""COMPUTED_VALUE"""),"Unconditional")</f>
        <v>Unconditional</v>
      </c>
    </row>
    <row r="24" spans="1:7">
      <c r="A24" s="4">
        <f ca="1">IFERROR(__xludf.DUMMYFUNCTION("""COMPUTED_VALUE"""),210331093)</f>
        <v>210331093</v>
      </c>
      <c r="B24" s="4"/>
      <c r="C24" s="4"/>
      <c r="D24" s="4"/>
      <c r="E24" s="4"/>
      <c r="F24" s="4"/>
      <c r="G24" s="4" t="str">
        <f ca="1">IFERROR(__xludf.DUMMYFUNCTION("""COMPUTED_VALUE"""),"Unconditional")</f>
        <v>Unconditional</v>
      </c>
    </row>
    <row r="25" spans="1:7">
      <c r="A25" s="4">
        <f ca="1">IFERROR(__xludf.DUMMYFUNCTION("""COMPUTED_VALUE"""),211077255)</f>
        <v>211077255</v>
      </c>
      <c r="B25" s="4"/>
      <c r="C25" s="4"/>
      <c r="D25" s="4"/>
      <c r="E25" s="4"/>
      <c r="F25" s="4"/>
      <c r="G25" s="4" t="str">
        <f ca="1">IFERROR(__xludf.DUMMYFUNCTION("""COMPUTED_VALUE"""),"Unconditional")</f>
        <v>Unconditional</v>
      </c>
    </row>
    <row r="26" spans="1:7">
      <c r="A26" s="4">
        <f ca="1">IFERROR(__xludf.DUMMYFUNCTION("""COMPUTED_VALUE"""),212002321)</f>
        <v>212002321</v>
      </c>
      <c r="B26" s="4" t="str">
        <f ca="1">IFERROR(__xludf.DUMMYFUNCTION("""COMPUTED_VALUE"""),"Nkosi ")</f>
        <v xml:space="preserve">Nkosi </v>
      </c>
      <c r="C26" s="4" t="str">
        <f ca="1">IFERROR(__xludf.DUMMYFUNCTION("""COMPUTED_VALUE"""),"MT ")</f>
        <v xml:space="preserve">MT </v>
      </c>
      <c r="D26" s="4"/>
      <c r="E26" s="4" t="str">
        <f ca="1">IFERROR(__xludf.DUMMYFUNCTION("""COMPUTED_VALUE"""),"747678721")</f>
        <v>747678721</v>
      </c>
      <c r="F26" s="4" t="str">
        <f ca="1">IFERROR(__xludf.DUMMYFUNCTION("""COMPUTED_VALUE"""),"muzithami75@gmail.com")</f>
        <v>muzithami75@gmail.com</v>
      </c>
      <c r="G26" s="4" t="str">
        <f ca="1">IFERROR(__xludf.DUMMYFUNCTION("""COMPUTED_VALUE"""),"Unconditional")</f>
        <v>Unconditional</v>
      </c>
    </row>
    <row r="27" spans="1:7" ht="26.25">
      <c r="A27" s="4">
        <f ca="1">IFERROR(__xludf.DUMMYFUNCTION("""COMPUTED_VALUE"""),212411434)</f>
        <v>212411434</v>
      </c>
      <c r="B27" s="4" t="str">
        <f ca="1">IFERROR(__xludf.DUMMYFUNCTION("""COMPUTED_VALUE"""),"Seeletse")</f>
        <v>Seeletse</v>
      </c>
      <c r="C27" s="4" t="str">
        <f ca="1">IFERROR(__xludf.DUMMYFUNCTION("""COMPUTED_VALUE"""),"AC")</f>
        <v>AC</v>
      </c>
      <c r="D27" s="4"/>
      <c r="E27" s="4" t="str">
        <f ca="1">IFERROR(__xludf.DUMMYFUNCTION("""COMPUTED_VALUE"""),"0847497282")</f>
        <v>0847497282</v>
      </c>
      <c r="F27" s="4" t="str">
        <f ca="1">IFERROR(__xludf.DUMMYFUNCTION("""COMPUTED_VALUE"""),"cliford212411434@gmail.com")</f>
        <v>cliford212411434@gmail.com</v>
      </c>
      <c r="G27" s="4" t="str">
        <f ca="1">IFERROR(__xludf.DUMMYFUNCTION("""COMPUTED_VALUE"""),"Student must register for the 1 outstanding subject and attenf full time (85% of classes).")</f>
        <v>Student must register for the 1 outstanding subject and attenf full time (85% of classes).</v>
      </c>
    </row>
    <row r="28" spans="1:7">
      <c r="A28" s="4">
        <f ca="1">IFERROR(__xludf.DUMMYFUNCTION("""COMPUTED_VALUE"""),213096222)</f>
        <v>213096222</v>
      </c>
      <c r="B28" s="4"/>
      <c r="C28" s="4"/>
      <c r="D28" s="4"/>
      <c r="E28" s="4"/>
      <c r="F28" s="4"/>
      <c r="G28" s="4" t="str">
        <f ca="1">IFERROR(__xludf.DUMMYFUNCTION("""COMPUTED_VALUE"""),"Student is responsible for the lifting of financial exclusion via Student Accounts office.")</f>
        <v>Student is responsible for the lifting of financial exclusion via Student Accounts office.</v>
      </c>
    </row>
    <row r="29" spans="1:7" ht="39">
      <c r="A29" s="4">
        <f ca="1">IFERROR(__xludf.DUMMYFUNCTION("""COMPUTED_VALUE"""),214155133)</f>
        <v>214155133</v>
      </c>
      <c r="B29" s="4" t="str">
        <f ca="1">IFERROR(__xludf.DUMMYFUNCTION("""COMPUTED_VALUE"""),"Mathepe")</f>
        <v>Mathepe</v>
      </c>
      <c r="C29" s="4" t="str">
        <f ca="1">IFERROR(__xludf.DUMMYFUNCTION("""COMPUTED_VALUE"""),"MK")</f>
        <v>MK</v>
      </c>
      <c r="D29" s="4"/>
      <c r="E29" s="4" t="str">
        <f ca="1">IFERROR(__xludf.DUMMYFUNCTION("""COMPUTED_VALUE"""),"0768505523")</f>
        <v>0768505523</v>
      </c>
      <c r="F29" s="4" t="str">
        <f ca="1">IFERROR(__xludf.DUMMYFUNCTION("""COMPUTED_VALUE"""),"mkmathepe@yahoo.com")</f>
        <v>mkmathepe@yahoo.com</v>
      </c>
      <c r="G29" s="4" t="str">
        <f ca="1">IFERROR(__xludf.DUMMYFUNCTION("""COMPUTED_VALUE"""),"STUDENT MUST PASS REMAINING 4 SUBJECTS DURING S1 2022 AND REPORT FOR ACADEMIC INTERVENTION.")</f>
        <v>STUDENT MUST PASS REMAINING 4 SUBJECTS DURING S1 2022 AND REPORT FOR ACADEMIC INTERVENTION.</v>
      </c>
    </row>
    <row r="30" spans="1:7">
      <c r="A30" s="4">
        <f ca="1">IFERROR(__xludf.DUMMYFUNCTION("""COMPUTED_VALUE"""),214182181)</f>
        <v>214182181</v>
      </c>
      <c r="B30" s="4"/>
      <c r="C30" s="4"/>
      <c r="D30" s="4"/>
      <c r="E30" s="4"/>
      <c r="F30" s="4"/>
      <c r="G30" s="4" t="str">
        <f ca="1">IFERROR(__xludf.DUMMYFUNCTION("""COMPUTED_VALUE"""),"UNCONDITIONAL")</f>
        <v>UNCONDITIONAL</v>
      </c>
    </row>
    <row r="31" spans="1:7">
      <c r="A31" s="4">
        <f ca="1">IFERROR(__xludf.DUMMYFUNCTION("""COMPUTED_VALUE"""),214718693)</f>
        <v>214718693</v>
      </c>
      <c r="B31" s="4"/>
      <c r="C31" s="4"/>
      <c r="D31" s="4"/>
      <c r="E31" s="4"/>
      <c r="F31" s="4"/>
      <c r="G31" s="4" t="str">
        <f ca="1">IFERROR(__xludf.DUMMYFUNCTION("""COMPUTED_VALUE"""),"UNCONDITIONAL")</f>
        <v>UNCONDITIONAL</v>
      </c>
    </row>
    <row r="32" spans="1:7">
      <c r="A32" s="4">
        <f ca="1">IFERROR(__xludf.DUMMYFUNCTION("""COMPUTED_VALUE"""),214761149)</f>
        <v>214761149</v>
      </c>
      <c r="B32" s="4"/>
      <c r="C32" s="4"/>
      <c r="D32" s="4"/>
      <c r="E32" s="4"/>
      <c r="F32" s="4"/>
      <c r="G32" s="4" t="str">
        <f ca="1">IFERROR(__xludf.DUMMYFUNCTION("""COMPUTED_VALUE"""),"UNCONDITIONAL, STUDENT NEED TO MAKE ARRANGEMENTS FOR FINANCIAL BLOCK TO BE LIFTED VIA STUDENT ACCOUNTS OFFICE.")</f>
        <v>UNCONDITIONAL, STUDENT NEED TO MAKE ARRANGEMENTS FOR FINANCIAL BLOCK TO BE LIFTED VIA STUDENT ACCOUNTS OFFICE.</v>
      </c>
    </row>
    <row r="33" spans="1:7">
      <c r="A33" s="4">
        <f ca="1">IFERROR(__xludf.DUMMYFUNCTION("""COMPUTED_VALUE"""),214814455)</f>
        <v>214814455</v>
      </c>
      <c r="B33" s="4"/>
      <c r="C33" s="4"/>
      <c r="D33" s="4"/>
      <c r="E33" s="4"/>
      <c r="F33" s="4"/>
      <c r="G33" s="4" t="str">
        <f ca="1">IFERROR(__xludf.DUMMYFUNCTION("""COMPUTED_VALUE"""),"UNCONDITIONAL")</f>
        <v>UNCONDITIONAL</v>
      </c>
    </row>
    <row r="34" spans="1:7">
      <c r="A34" s="4">
        <f ca="1">IFERROR(__xludf.DUMMYFUNCTION("""COMPUTED_VALUE"""),215002560)</f>
        <v>215002560</v>
      </c>
      <c r="B34" s="4"/>
      <c r="C34" s="4"/>
      <c r="D34" s="4"/>
      <c r="E34" s="4"/>
      <c r="F34" s="4"/>
      <c r="G34" s="4" t="str">
        <f ca="1">IFERROR(__xludf.DUMMYFUNCTION("""COMPUTED_VALUE"""),"UNCONDITIONAL")</f>
        <v>UNCONDITIONAL</v>
      </c>
    </row>
    <row r="35" spans="1:7">
      <c r="A35" s="4">
        <f ca="1">IFERROR(__xludf.DUMMYFUNCTION("""COMPUTED_VALUE"""),215072983)</f>
        <v>215072983</v>
      </c>
      <c r="B35" s="4"/>
      <c r="C35" s="4"/>
      <c r="D35" s="4"/>
      <c r="E35" s="4"/>
      <c r="F35" s="4"/>
      <c r="G35" s="4" t="str">
        <f ca="1">IFERROR(__xludf.DUMMYFUNCTION("""COMPUTED_VALUE"""),"UNCONDITIONAL")</f>
        <v>UNCONDITIONAL</v>
      </c>
    </row>
    <row r="36" spans="1:7">
      <c r="A36" s="4">
        <f ca="1">IFERROR(__xludf.DUMMYFUNCTION("""COMPUTED_VALUE"""),215689573)</f>
        <v>215689573</v>
      </c>
      <c r="B36" s="4"/>
      <c r="C36" s="4"/>
      <c r="D36" s="4"/>
      <c r="E36" s="4"/>
      <c r="F36" s="4"/>
      <c r="G36" s="4"/>
    </row>
    <row r="37" spans="1:7">
      <c r="A37" s="4">
        <f ca="1">IFERROR(__xludf.DUMMYFUNCTION("""COMPUTED_VALUE"""),216063996)</f>
        <v>216063996</v>
      </c>
      <c r="B37" s="4" t="str">
        <f ca="1">IFERROR(__xludf.DUMMYFUNCTION("""COMPUTED_VALUE"""),"Makaringe ")</f>
        <v xml:space="preserve">Makaringe </v>
      </c>
      <c r="C37" s="4" t="str">
        <f ca="1">IFERROR(__xludf.DUMMYFUNCTION("""COMPUTED_VALUE"""),"EM")</f>
        <v>EM</v>
      </c>
      <c r="D37" s="4"/>
      <c r="E37" s="4" t="str">
        <f ca="1">IFERROR(__xludf.DUMMYFUNCTION("""COMPUTED_VALUE"""),"0676937921")</f>
        <v>0676937921</v>
      </c>
      <c r="F37" s="4" t="str">
        <f ca="1">IFERROR(__xludf.DUMMYFUNCTION("""COMPUTED_VALUE"""),"emakaringe65@gmail.com")</f>
        <v>emakaringe65@gmail.com</v>
      </c>
      <c r="G37" s="4"/>
    </row>
    <row r="38" spans="1:7">
      <c r="A38" s="4">
        <f ca="1">IFERROR(__xludf.DUMMYFUNCTION("""COMPUTED_VALUE"""),216156064)</f>
        <v>216156064</v>
      </c>
      <c r="B38" s="4" t="str">
        <f ca="1">IFERROR(__xludf.DUMMYFUNCTION("""COMPUTED_VALUE"""),"Memane")</f>
        <v>Memane</v>
      </c>
      <c r="C38" s="4" t="str">
        <f ca="1">IFERROR(__xludf.DUMMYFUNCTION("""COMPUTED_VALUE"""),"S")</f>
        <v>S</v>
      </c>
      <c r="D38" s="4"/>
      <c r="E38" s="4" t="str">
        <f ca="1">IFERROR(__xludf.DUMMYFUNCTION("""COMPUTED_VALUE"""),"0792890910")</f>
        <v>0792890910</v>
      </c>
      <c r="F38" s="4" t="str">
        <f ca="1">IFERROR(__xludf.DUMMYFUNCTION("""COMPUTED_VALUE"""),"sipho.memane@yahoo.co.za")</f>
        <v>sipho.memane@yahoo.co.za</v>
      </c>
      <c r="G38" s="4" t="str">
        <f ca="1">IFERROR(__xludf.DUMMYFUNCTION("""COMPUTED_VALUE"""),"UNCONDITIONAL")</f>
        <v>UNCONDITIONAL</v>
      </c>
    </row>
    <row r="39" spans="1:7">
      <c r="A39" s="4">
        <f ca="1">IFERROR(__xludf.DUMMYFUNCTION("""COMPUTED_VALUE"""),216291042)</f>
        <v>216291042</v>
      </c>
      <c r="B39" s="4"/>
      <c r="C39" s="4"/>
      <c r="D39" s="4"/>
      <c r="E39" s="4"/>
      <c r="F39" s="4"/>
      <c r="G39" s="4" t="str">
        <f ca="1">IFERROR(__xludf.DUMMYFUNCTION("""COMPUTED_VALUE"""),"STUDENT MUST PASS 5 SUBJECTS PER SEMESTER.")</f>
        <v>STUDENT MUST PASS 5 SUBJECTS PER SEMESTER.</v>
      </c>
    </row>
    <row r="40" spans="1:7">
      <c r="A40" s="4">
        <f ca="1">IFERROR(__xludf.DUMMYFUNCTION("""COMPUTED_VALUE"""),216579798)</f>
        <v>216579798</v>
      </c>
      <c r="B40" s="4"/>
      <c r="C40" s="4"/>
      <c r="D40" s="4"/>
      <c r="E40" s="4"/>
      <c r="F40" s="4"/>
      <c r="G40" s="4" t="str">
        <f ca="1">IFERROR(__xludf.DUMMYFUNCTION("""COMPUTED_VALUE"""),"UNCONDITIONAL")</f>
        <v>UNCONDITIONAL</v>
      </c>
    </row>
    <row r="41" spans="1:7" ht="39">
      <c r="A41" s="4">
        <f ca="1">IFERROR(__xludf.DUMMYFUNCTION("""COMPUTED_VALUE"""),216618262)</f>
        <v>216618262</v>
      </c>
      <c r="B41" s="4" t="str">
        <f ca="1">IFERROR(__xludf.DUMMYFUNCTION("""COMPUTED_VALUE"""),"Makena")</f>
        <v>Makena</v>
      </c>
      <c r="C41" s="4" t="str">
        <f ca="1">IFERROR(__xludf.DUMMYFUNCTION("""COMPUTED_VALUE"""),"TA")</f>
        <v>TA</v>
      </c>
      <c r="D41" s="4"/>
      <c r="E41" s="4" t="str">
        <f ca="1">IFERROR(__xludf.DUMMYFUNCTION("""COMPUTED_VALUE"""),"0827940818")</f>
        <v>0827940818</v>
      </c>
      <c r="F41" s="4" t="str">
        <f ca="1">IFERROR(__xludf.DUMMYFUNCTION("""COMPUTED_VALUE"""),"mrmakena1@gmail.com")</f>
        <v>mrmakena1@gmail.com</v>
      </c>
      <c r="G41" s="4" t="str">
        <f ca="1">IFERROR(__xludf.DUMMYFUNCTION("""COMPUTED_VALUE"""),"STUDENT MUST PASS 4 OUTSTANDING SUBJECTS DURING S1 2022 AND REPORT FOR ACADEMIC INTERVENTION.")</f>
        <v>STUDENT MUST PASS 4 OUTSTANDING SUBJECTS DURING S1 2022 AND REPORT FOR ACADEMIC INTERVENTION.</v>
      </c>
    </row>
    <row r="42" spans="1:7">
      <c r="A42" s="4">
        <f ca="1">IFERROR(__xludf.DUMMYFUNCTION("""COMPUTED_VALUE"""),216667905)</f>
        <v>216667905</v>
      </c>
      <c r="B42" s="4"/>
      <c r="C42" s="4"/>
      <c r="D42" s="4"/>
      <c r="E42" s="4"/>
      <c r="F42" s="4"/>
      <c r="G42" s="4" t="str">
        <f ca="1">IFERROR(__xludf.DUMMYFUNCTION("""COMPUTED_VALUE"""),"UNCONDITIONAL")</f>
        <v>UNCONDITIONAL</v>
      </c>
    </row>
    <row r="43" spans="1:7">
      <c r="A43" s="4">
        <f ca="1">IFERROR(__xludf.DUMMYFUNCTION("""COMPUTED_VALUE"""),216667905)</f>
        <v>216667905</v>
      </c>
      <c r="B43" s="4"/>
      <c r="C43" s="4"/>
      <c r="D43" s="4"/>
      <c r="E43" s="4"/>
      <c r="F43" s="4"/>
      <c r="G43" s="4" t="str">
        <f ca="1">IFERROR(__xludf.DUMMYFUNCTION("""COMPUTED_VALUE"""),"UNCONDITIONAL")</f>
        <v>UNCONDITIONAL</v>
      </c>
    </row>
    <row r="44" spans="1:7" ht="39">
      <c r="A44" s="4">
        <f ca="1">IFERROR(__xludf.DUMMYFUNCTION("""COMPUTED_VALUE"""),217387817)</f>
        <v>217387817</v>
      </c>
      <c r="B44" s="4" t="str">
        <f ca="1">IFERROR(__xludf.DUMMYFUNCTION("""COMPUTED_VALUE"""),"Mphaphuli ")</f>
        <v xml:space="preserve">Mphaphuli </v>
      </c>
      <c r="C44" s="4" t="str">
        <f ca="1">IFERROR(__xludf.DUMMYFUNCTION("""COMPUTED_VALUE"""),"NR")</f>
        <v>NR</v>
      </c>
      <c r="D44" s="4"/>
      <c r="E44" s="4" t="str">
        <f ca="1">IFERROR(__xludf.DUMMYFUNCTION("""COMPUTED_VALUE"""),"0798194520")</f>
        <v>0798194520</v>
      </c>
      <c r="F44" s="4" t="str">
        <f ca="1">IFERROR(__xludf.DUMMYFUNCTION("""COMPUTED_VALUE"""),"ndivhorevaldo@gmail.com")</f>
        <v>ndivhorevaldo@gmail.com</v>
      </c>
      <c r="G44" s="4" t="str">
        <f ca="1">IFERROR(__xludf.DUMMYFUNCTION("""COMPUTED_VALUE"""),"STUDENT MUST PASS ALL REMAINING SUBJECTS DURING S1 2022 AND REPORT FOR ACADEMIC INTERVENTION.")</f>
        <v>STUDENT MUST PASS ALL REMAINING SUBJECTS DURING S1 2022 AND REPORT FOR ACADEMIC INTERVENTION.</v>
      </c>
    </row>
    <row r="45" spans="1:7">
      <c r="A45" s="4">
        <f ca="1">IFERROR(__xludf.DUMMYFUNCTION("""COMPUTED_VALUE"""),217592615)</f>
        <v>217592615</v>
      </c>
      <c r="B45" s="4" t="str">
        <f ca="1">IFERROR(__xludf.DUMMYFUNCTION("""COMPUTED_VALUE"""),"Mokotsi ")</f>
        <v xml:space="preserve">Mokotsi </v>
      </c>
      <c r="C45" s="4" t="str">
        <f ca="1">IFERROR(__xludf.DUMMYFUNCTION("""COMPUTED_VALUE"""),"K")</f>
        <v>K</v>
      </c>
      <c r="D45" s="4"/>
      <c r="E45" s="4" t="str">
        <f ca="1">IFERROR(__xludf.DUMMYFUNCTION("""COMPUTED_VALUE"""),"657411103")</f>
        <v>657411103</v>
      </c>
      <c r="F45" s="4" t="str">
        <f ca="1">IFERROR(__xludf.DUMMYFUNCTION("""COMPUTED_VALUE"""),"koketso.6ix@gmail.com")</f>
        <v>koketso.6ix@gmail.com</v>
      </c>
    </row>
    <row r="46" spans="1:7">
      <c r="A46" s="4">
        <f ca="1">IFERROR(__xludf.DUMMYFUNCTION("""COMPUTED_VALUE"""),218016545)</f>
        <v>218016545</v>
      </c>
      <c r="B46" s="4"/>
      <c r="C46" s="4"/>
      <c r="D46" s="4"/>
      <c r="E46" s="4"/>
      <c r="F46" s="4"/>
      <c r="G46" s="4" t="str">
        <f ca="1">IFERROR(__xludf.DUMMYFUNCTION("""COMPUTED_VALUE"""),"STUDENT NEED TO MAKE AN APPOINTMENT WITH THE HOD.")</f>
        <v>STUDENT NEED TO MAKE AN APPOINTMENT WITH THE HOD.</v>
      </c>
    </row>
    <row r="47" spans="1:7">
      <c r="A47" s="4">
        <f ca="1">IFERROR(__xludf.DUMMYFUNCTION("""COMPUTED_VALUE"""),219888562)</f>
        <v>219888562</v>
      </c>
      <c r="B47" s="4"/>
      <c r="C47" s="4"/>
      <c r="D47" s="4"/>
      <c r="E47" s="4"/>
      <c r="F47" s="4"/>
      <c r="G47" s="4" t="str">
        <f ca="1">IFERROR(__xludf.DUMMYFUNCTION("""COMPUTED_VALUE"""),"UNCONDITIONAL")</f>
        <v>UNCONDITIONAL</v>
      </c>
    </row>
    <row r="48" spans="1:7">
      <c r="A48" s="4">
        <f ca="1">IFERROR(__xludf.DUMMYFUNCTION("""COMPUTED_VALUE"""),218317456)</f>
        <v>218317456</v>
      </c>
      <c r="B48" s="4"/>
      <c r="C48" s="4"/>
      <c r="D48" s="4"/>
      <c r="E48" s="4"/>
      <c r="F48" s="4"/>
      <c r="G48" s="4" t="str">
        <f ca="1">IFERROR(__xludf.DUMMYFUNCTION("""COMPUTED_VALUE"""),"UNCONDITIONAL")</f>
        <v>UNCONDITIONAL</v>
      </c>
    </row>
    <row r="49" spans="1:7">
      <c r="A49" s="4">
        <f ca="1">IFERROR(__xludf.DUMMYFUNCTION("""COMPUTED_VALUE"""),216697596)</f>
        <v>216697596</v>
      </c>
      <c r="B49" s="4" t="str">
        <f ca="1">IFERROR(__xludf.DUMMYFUNCTION("""COMPUTED_VALUE"""),"Mohlatlole")</f>
        <v>Mohlatlole</v>
      </c>
      <c r="C49" s="4" t="str">
        <f ca="1">IFERROR(__xludf.DUMMYFUNCTION("""COMPUTED_VALUE"""),"LC")</f>
        <v>LC</v>
      </c>
      <c r="D49" s="4"/>
      <c r="E49" s="4" t="str">
        <f ca="1">IFERROR(__xludf.DUMMYFUNCTION("""COMPUTED_VALUE"""),"0827524153")</f>
        <v>0827524153</v>
      </c>
      <c r="F49" s="4" t="str">
        <f ca="1">IFERROR(__xludf.DUMMYFUNCTION("""COMPUTED_VALUE"""),"mohlatlolecyril26@gmail.com")</f>
        <v>mohlatlolecyril26@gmail.com</v>
      </c>
      <c r="G49" s="4"/>
    </row>
    <row r="50" spans="1:7">
      <c r="A50" s="4">
        <f ca="1">IFERROR(__xludf.DUMMYFUNCTION("""COMPUTED_VALUE"""),218422330)</f>
        <v>218422330</v>
      </c>
      <c r="B50" s="4" t="str">
        <f ca="1">IFERROR(__xludf.DUMMYFUNCTION("""COMPUTED_VALUE"""),"Motloutse ")</f>
        <v xml:space="preserve">Motloutse </v>
      </c>
      <c r="C50" s="4" t="str">
        <f ca="1">IFERROR(__xludf.DUMMYFUNCTION("""COMPUTED_VALUE"""),"S")</f>
        <v>S</v>
      </c>
      <c r="D50" s="4"/>
      <c r="E50" s="4" t="str">
        <f ca="1">IFERROR(__xludf.DUMMYFUNCTION("""COMPUTED_VALUE"""),"0713316546")</f>
        <v>0713316546</v>
      </c>
      <c r="F50" s="4" t="str">
        <f ca="1">IFERROR(__xludf.DUMMYFUNCTION("""COMPUTED_VALUE"""),"218422330@tut4life.ac.za")</f>
        <v>218422330@tut4life.ac.za</v>
      </c>
      <c r="G50" s="4" t="str">
        <f ca="1">IFERROR(__xludf.DUMMYFUNCTION("""COMPUTED_VALUE"""),"UNCONDITIONAL")</f>
        <v>UNCONDITIONAL</v>
      </c>
    </row>
    <row r="51" spans="1:7">
      <c r="A51" s="4">
        <f ca="1">IFERROR(__xludf.DUMMYFUNCTION("""COMPUTED_VALUE"""),213121430)</f>
        <v>213121430</v>
      </c>
      <c r="B51" s="4" t="str">
        <f ca="1">IFERROR(__xludf.DUMMYFUNCTION("""COMPUTED_VALUE"""),"Baloyi")</f>
        <v>Baloyi</v>
      </c>
      <c r="C51" s="4" t="str">
        <f ca="1">IFERROR(__xludf.DUMMYFUNCTION("""COMPUTED_VALUE"""),"TN")</f>
        <v>TN</v>
      </c>
      <c r="D51" s="4"/>
      <c r="E51" s="4" t="str">
        <f ca="1">IFERROR(__xludf.DUMMYFUNCTION("""COMPUTED_VALUE"""),"0734857125")</f>
        <v>0734857125</v>
      </c>
      <c r="F51" s="4" t="str">
        <f ca="1">IFERROR(__xludf.DUMMYFUNCTION("""COMPUTED_VALUE"""),"troybaloyi@gmail.com")</f>
        <v>troybaloyi@gmail.com</v>
      </c>
      <c r="G51" s="4"/>
    </row>
    <row r="52" spans="1:7">
      <c r="A52" s="4">
        <f ca="1">IFERROR(__xludf.DUMMYFUNCTION("""COMPUTED_VALUE"""),206085592)</f>
        <v>206085592</v>
      </c>
      <c r="B52" s="4" t="str">
        <f ca="1">IFERROR(__xludf.DUMMYFUNCTION("""COMPUTED_VALUE"""),"Shabangu")</f>
        <v>Shabangu</v>
      </c>
      <c r="C52" s="4" t="str">
        <f ca="1">IFERROR(__xludf.DUMMYFUNCTION("""COMPUTED_VALUE"""),"MM")</f>
        <v>MM</v>
      </c>
      <c r="D52" s="4"/>
      <c r="E52" s="4" t="str">
        <f ca="1">IFERROR(__xludf.DUMMYFUNCTION("""COMPUTED_VALUE"""),"0844596171")</f>
        <v>0844596171</v>
      </c>
      <c r="F52" s="4" t="str">
        <f ca="1">IFERROR(__xludf.DUMMYFUNCTION("""COMPUTED_VALUE"""),"206085592@tut4life.ac.za")</f>
        <v>206085592@tut4life.ac.za</v>
      </c>
      <c r="G52" s="4"/>
    </row>
    <row r="53" spans="1:7">
      <c r="A53" s="4">
        <f ca="1">IFERROR(__xludf.DUMMYFUNCTION("""COMPUTED_VALUE"""),212143650)</f>
        <v>212143650</v>
      </c>
      <c r="B53" s="4" t="str">
        <f ca="1">IFERROR(__xludf.DUMMYFUNCTION("""COMPUTED_VALUE"""),"Mabotja")</f>
        <v>Mabotja</v>
      </c>
      <c r="C53" s="4" t="str">
        <f ca="1">IFERROR(__xludf.DUMMYFUNCTION("""COMPUTED_VALUE"""),"TR")</f>
        <v>TR</v>
      </c>
      <c r="D53" s="4"/>
      <c r="E53" s="4" t="str">
        <f ca="1">IFERROR(__xludf.DUMMYFUNCTION("""COMPUTED_VALUE"""),"0766184901")</f>
        <v>0766184901</v>
      </c>
      <c r="F53" s="4" t="str">
        <f ca="1">IFERROR(__xludf.DUMMYFUNCTION("""COMPUTED_VALUE"""),"mabotjatr@gmail.com")</f>
        <v>mabotjatr@gmail.com</v>
      </c>
      <c r="G53" s="4"/>
    </row>
    <row r="54" spans="1:7">
      <c r="A54" s="4">
        <f ca="1">IFERROR(__xludf.DUMMYFUNCTION("""COMPUTED_VALUE"""),212438138)</f>
        <v>212438138</v>
      </c>
      <c r="B54" s="4" t="str">
        <f ca="1">IFERROR(__xludf.DUMMYFUNCTION("""COMPUTED_VALUE"""),"Mphahlele")</f>
        <v>Mphahlele</v>
      </c>
      <c r="C54" s="4" t="str">
        <f ca="1">IFERROR(__xludf.DUMMYFUNCTION("""COMPUTED_VALUE"""),"MM")</f>
        <v>MM</v>
      </c>
      <c r="D54" s="4"/>
      <c r="E54" s="4" t="str">
        <f ca="1">IFERROR(__xludf.DUMMYFUNCTION("""COMPUTED_VALUE"""),"0787171486")</f>
        <v>0787171486</v>
      </c>
      <c r="F54" s="4" t="str">
        <f ca="1">IFERROR(__xludf.DUMMYFUNCTION("""COMPUTED_VALUE"""),"212438138@tut4life.ac.za")</f>
        <v>212438138@tut4life.ac.za</v>
      </c>
      <c r="G54" s="4"/>
    </row>
    <row r="55" spans="1:7" ht="26.25">
      <c r="A55" s="4">
        <f ca="1">IFERROR(__xludf.DUMMYFUNCTION("""COMPUTED_VALUE"""),210309632)</f>
        <v>210309632</v>
      </c>
      <c r="B55" s="4" t="str">
        <f ca="1">IFERROR(__xludf.DUMMYFUNCTION("""COMPUTED_VALUE"""),"Mahlare")</f>
        <v>Mahlare</v>
      </c>
      <c r="C55" s="4" t="str">
        <f ca="1">IFERROR(__xludf.DUMMYFUNCTION("""COMPUTED_VALUE"""),"LE")</f>
        <v>LE</v>
      </c>
      <c r="D55" s="4"/>
      <c r="E55" s="4" t="str">
        <f ca="1">IFERROR(__xludf.DUMMYFUNCTION("""COMPUTED_VALUE"""),"0791052623")</f>
        <v>0791052623</v>
      </c>
      <c r="F55" s="4" t="str">
        <f ca="1">IFERROR(__xludf.DUMMYFUNCTION("""COMPUTED_VALUE"""),"mahlare.ledike.ephraim12@gmail.com")</f>
        <v>mahlare.ledike.ephraim12@gmail.com</v>
      </c>
      <c r="G55" s="4"/>
    </row>
    <row r="56" spans="1:7">
      <c r="A56" s="4">
        <f ca="1">IFERROR(__xludf.DUMMYFUNCTION("""COMPUTED_VALUE"""),215197840)</f>
        <v>215197840</v>
      </c>
      <c r="B56" s="4" t="str">
        <f ca="1">IFERROR(__xludf.DUMMYFUNCTION("""COMPUTED_VALUE"""),"Thaba")</f>
        <v>Thaba</v>
      </c>
      <c r="C56" s="4" t="str">
        <f ca="1">IFERROR(__xludf.DUMMYFUNCTION("""COMPUTED_VALUE"""),"RR")</f>
        <v>RR</v>
      </c>
      <c r="D56" s="4"/>
      <c r="E56" s="4" t="str">
        <f ca="1">IFERROR(__xludf.DUMMYFUNCTION("""COMPUTED_VALUE"""),"0685203412")</f>
        <v>0685203412</v>
      </c>
      <c r="F56" s="4" t="str">
        <f ca="1">IFERROR(__xludf.DUMMYFUNCTION("""COMPUTED_VALUE"""),"resoketsweraisebe@gmail.com")</f>
        <v>resoketsweraisebe@gmail.com</v>
      </c>
      <c r="G56" s="4"/>
    </row>
    <row r="57" spans="1:7">
      <c r="A57" s="4">
        <f ca="1">IFERROR(__xludf.DUMMYFUNCTION("""COMPUTED_VALUE"""),216551907)</f>
        <v>216551907</v>
      </c>
      <c r="B57" s="4" t="str">
        <f ca="1">IFERROR(__xludf.DUMMYFUNCTION("""COMPUTED_VALUE"""),"Ndou")</f>
        <v>Ndou</v>
      </c>
      <c r="C57" s="4" t="str">
        <f ca="1">IFERROR(__xludf.DUMMYFUNCTION("""COMPUTED_VALUE"""),"N")</f>
        <v>N</v>
      </c>
      <c r="D57" s="4"/>
      <c r="E57" s="4" t="str">
        <f ca="1">IFERROR(__xludf.DUMMYFUNCTION("""COMPUTED_VALUE"""),"0711091940")</f>
        <v>0711091940</v>
      </c>
      <c r="F57" s="4" t="str">
        <f ca="1">IFERROR(__xludf.DUMMYFUNCTION("""COMPUTED_VALUE"""),"Ndile552@gmail.com")</f>
        <v>Ndile552@gmail.com</v>
      </c>
      <c r="G57" s="4" t="str">
        <f ca="1">IFERROR(__xludf.DUMMYFUNCTION("""COMPUTED_VALUE"""),"Credits")</f>
        <v>Credits</v>
      </c>
    </row>
    <row r="58" spans="1:7">
      <c r="A58" s="4">
        <f ca="1">IFERROR(__xludf.DUMMYFUNCTION("""COMPUTED_VALUE"""),219118082)</f>
        <v>219118082</v>
      </c>
      <c r="B58" s="4" t="str">
        <f ca="1">IFERROR(__xludf.DUMMYFUNCTION("""COMPUTED_VALUE"""),"Ntshwane")</f>
        <v>Ntshwane</v>
      </c>
      <c r="C58" s="4" t="str">
        <f ca="1">IFERROR(__xludf.DUMMYFUNCTION("""COMPUTED_VALUE"""),"K")</f>
        <v>K</v>
      </c>
      <c r="D58" s="4"/>
      <c r="E58" s="4" t="str">
        <f ca="1">IFERROR(__xludf.DUMMYFUNCTION("""COMPUTED_VALUE"""),"0718449123")</f>
        <v>0718449123</v>
      </c>
      <c r="F58" s="4" t="str">
        <f ca="1">IFERROR(__xludf.DUMMYFUNCTION("""COMPUTED_VALUE"""),"NtshwaneK99@gmail.com")</f>
        <v>NtshwaneK99@gmail.com</v>
      </c>
      <c r="G58" s="4"/>
    </row>
    <row r="59" spans="1:7">
      <c r="A59" s="4">
        <f ca="1">IFERROR(__xludf.DUMMYFUNCTION("""COMPUTED_VALUE"""),217021081)</f>
        <v>217021081</v>
      </c>
      <c r="B59" s="4" t="str">
        <f ca="1">IFERROR(__xludf.DUMMYFUNCTION("""COMPUTED_VALUE"""),"sekgobela")</f>
        <v>sekgobela</v>
      </c>
      <c r="C59" s="4" t="str">
        <f ca="1">IFERROR(__xludf.DUMMYFUNCTION("""COMPUTED_VALUE"""),"LC")</f>
        <v>LC</v>
      </c>
      <c r="D59" s="4"/>
      <c r="E59" s="4" t="str">
        <f ca="1">IFERROR(__xludf.DUMMYFUNCTION("""COMPUTED_VALUE"""),"0827543139")</f>
        <v>0827543139</v>
      </c>
      <c r="F59" s="4" t="str">
        <f ca="1">IFERROR(__xludf.DUMMYFUNCTION("""COMPUTED_VALUE"""),"leratocharity07@gmail.com")</f>
        <v>leratocharity07@gmail.com</v>
      </c>
      <c r="G59" s="4"/>
    </row>
    <row r="60" spans="1:7">
      <c r="A60" s="4">
        <f ca="1">IFERROR(__xludf.DUMMYFUNCTION("""COMPUTED_VALUE"""),219131429)</f>
        <v>219131429</v>
      </c>
      <c r="B60" s="4" t="str">
        <f ca="1">IFERROR(__xludf.DUMMYFUNCTION("""COMPUTED_VALUE"""),"Phetla")</f>
        <v>Phetla</v>
      </c>
      <c r="C60" s="4" t="str">
        <f ca="1">IFERROR(__xludf.DUMMYFUNCTION("""COMPUTED_VALUE"""),"Martin")</f>
        <v>Martin</v>
      </c>
      <c r="D60" s="4"/>
      <c r="E60" s="4" t="str">
        <f ca="1">IFERROR(__xludf.DUMMYFUNCTION("""COMPUTED_VALUE"""),"0674020646")</f>
        <v>0674020646</v>
      </c>
      <c r="F60" s="4" t="str">
        <f ca="1">IFERROR(__xludf.DUMMYFUNCTION("""COMPUTED_VALUE"""),"martinbuti10@Gmail.com")</f>
        <v>martinbuti10@Gmail.com</v>
      </c>
      <c r="G60" s="4" t="str">
        <f ca="1">IFERROR(__xludf.DUMMYFUNCTION("""COMPUTED_VALUE"""),"Unconditional.")</f>
        <v>Unconditional.</v>
      </c>
    </row>
    <row r="61" spans="1:7">
      <c r="A61" s="4">
        <f ca="1">IFERROR(__xludf.DUMMYFUNCTION("""COMPUTED_VALUE"""),214645130)</f>
        <v>214645130</v>
      </c>
      <c r="B61" s="4" t="str">
        <f ca="1">IFERROR(__xludf.DUMMYFUNCTION("""COMPUTED_VALUE"""),"Dilebo")</f>
        <v>Dilebo</v>
      </c>
      <c r="C61" s="4" t="str">
        <f ca="1">IFERROR(__xludf.DUMMYFUNCTION("""COMPUTED_VALUE"""),"KF")</f>
        <v>KF</v>
      </c>
      <c r="D61" s="4"/>
      <c r="E61" s="4" t="str">
        <f ca="1">IFERROR(__xludf.DUMMYFUNCTION("""COMPUTED_VALUE"""),"0716478512")</f>
        <v>0716478512</v>
      </c>
      <c r="F61" s="4" t="str">
        <f ca="1">IFERROR(__xludf.DUMMYFUNCTION("""COMPUTED_VALUE"""),"kgomotsodilebo@gmail.com")</f>
        <v>kgomotsodilebo@gmail.com</v>
      </c>
      <c r="G61" s="4"/>
    </row>
    <row r="62" spans="1:7">
      <c r="A62" s="4">
        <f ca="1">IFERROR(__xludf.DUMMYFUNCTION("""COMPUTED_VALUE"""),218720471)</f>
        <v>218720471</v>
      </c>
      <c r="B62" s="4" t="str">
        <f ca="1">IFERROR(__xludf.DUMMYFUNCTION("""COMPUTED_VALUE"""),"sehata")</f>
        <v>sehata</v>
      </c>
      <c r="C62" s="4" t="str">
        <f ca="1">IFERROR(__xludf.DUMMYFUNCTION("""COMPUTED_VALUE"""),"KG")</f>
        <v>KG</v>
      </c>
      <c r="D62" s="4"/>
      <c r="E62" s="4" t="str">
        <f ca="1">IFERROR(__xludf.DUMMYFUNCTION("""COMPUTED_VALUE"""),"0726661154")</f>
        <v>0726661154</v>
      </c>
      <c r="F62" s="4" t="str">
        <f ca="1">IFERROR(__xludf.DUMMYFUNCTION("""COMPUTED_VALUE"""),"giftkatlego108@gmail.com")</f>
        <v>giftkatlego108@gmail.com</v>
      </c>
      <c r="G62" s="4"/>
    </row>
    <row r="63" spans="1:7">
      <c r="A63" s="4">
        <f ca="1">IFERROR(__xludf.DUMMYFUNCTION("""COMPUTED_VALUE"""),215642992)</f>
        <v>215642992</v>
      </c>
      <c r="B63" s="4" t="str">
        <f ca="1">IFERROR(__xludf.DUMMYFUNCTION("""COMPUTED_VALUE"""),"Shaba ")</f>
        <v xml:space="preserve">Shaba </v>
      </c>
      <c r="C63" s="4" t="str">
        <f ca="1">IFERROR(__xludf.DUMMYFUNCTION("""COMPUTED_VALUE"""),"VW")</f>
        <v>VW</v>
      </c>
      <c r="D63" s="4"/>
      <c r="E63" s="4" t="str">
        <f ca="1">IFERROR(__xludf.DUMMYFUNCTION("""COMPUTED_VALUE"""),"0719504742")</f>
        <v>0719504742</v>
      </c>
      <c r="F63" s="4" t="str">
        <f ca="1">IFERROR(__xludf.DUMMYFUNCTION("""COMPUTED_VALUE"""),"vw.shaba@gmail.com")</f>
        <v>vw.shaba@gmail.com</v>
      </c>
      <c r="G63" s="4" t="str">
        <f ca="1">IFERROR(__xludf.DUMMYFUNCTION("""COMPUTED_VALUE"""),"Unconditional.")</f>
        <v>Unconditional.</v>
      </c>
    </row>
    <row r="64" spans="1:7">
      <c r="A64" s="4">
        <f ca="1">IFERROR(__xludf.DUMMYFUNCTION("""COMPUTED_VALUE"""),215642992)</f>
        <v>215642992</v>
      </c>
      <c r="B64" s="4" t="str">
        <f ca="1">IFERROR(__xludf.DUMMYFUNCTION("""COMPUTED_VALUE"""),"Shaba ")</f>
        <v xml:space="preserve">Shaba </v>
      </c>
      <c r="C64" s="4" t="str">
        <f ca="1">IFERROR(__xludf.DUMMYFUNCTION("""COMPUTED_VALUE"""),"VW")</f>
        <v>VW</v>
      </c>
      <c r="D64" s="4"/>
      <c r="E64" s="4" t="str">
        <f ca="1">IFERROR(__xludf.DUMMYFUNCTION("""COMPUTED_VALUE"""),"0719504742")</f>
        <v>0719504742</v>
      </c>
      <c r="F64" s="4" t="str">
        <f ca="1">IFERROR(__xludf.DUMMYFUNCTION("""COMPUTED_VALUE"""),"vw.shaba@gmail.com")</f>
        <v>vw.shaba@gmail.com</v>
      </c>
      <c r="G64" s="4" t="str">
        <f ca="1">IFERROR(__xludf.DUMMYFUNCTION("""COMPUTED_VALUE"""),"Student is already registered.")</f>
        <v>Student is already registered.</v>
      </c>
    </row>
    <row r="65" spans="1:7">
      <c r="A65" s="4">
        <f ca="1">IFERROR(__xludf.DUMMYFUNCTION("""COMPUTED_VALUE"""),218636357)</f>
        <v>218636357</v>
      </c>
      <c r="B65" s="4" t="str">
        <f ca="1">IFERROR(__xludf.DUMMYFUNCTION("""COMPUTED_VALUE"""),"Mazibuko")</f>
        <v>Mazibuko</v>
      </c>
      <c r="C65" s="4" t="str">
        <f ca="1">IFERROR(__xludf.DUMMYFUNCTION("""COMPUTED_VALUE"""),"NP")</f>
        <v>NP</v>
      </c>
      <c r="D65" s="4"/>
      <c r="E65" s="4" t="str">
        <f ca="1">IFERROR(__xludf.DUMMYFUNCTION("""COMPUTED_VALUE"""),"0761779438")</f>
        <v>0761779438</v>
      </c>
      <c r="F65" s="4" t="str">
        <f ca="1">IFERROR(__xludf.DUMMYFUNCTION("""COMPUTED_VALUE"""),"218636357@tut4life.ac.za")</f>
        <v>218636357@tut4life.ac.za</v>
      </c>
      <c r="G65" s="4" t="str">
        <f ca="1">IFERROR(__xludf.DUMMYFUNCTION("""COMPUTED_VALUE"""),"Unconditional.")</f>
        <v>Unconditional.</v>
      </c>
    </row>
    <row r="66" spans="1:7">
      <c r="A66" s="4">
        <f ca="1">IFERROR(__xludf.DUMMYFUNCTION("""COMPUTED_VALUE"""),216699785)</f>
        <v>216699785</v>
      </c>
      <c r="B66" s="4" t="str">
        <f ca="1">IFERROR(__xludf.DUMMYFUNCTION("""COMPUTED_VALUE"""),"Mtshali ")</f>
        <v xml:space="preserve">Mtshali </v>
      </c>
      <c r="C66" s="4" t="str">
        <f ca="1">IFERROR(__xludf.DUMMYFUNCTION("""COMPUTED_VALUE"""),"QS")</f>
        <v>QS</v>
      </c>
      <c r="D66" s="4"/>
      <c r="E66" s="4" t="str">
        <f ca="1">IFERROR(__xludf.DUMMYFUNCTION("""COMPUTED_VALUE"""),"0798111015")</f>
        <v>0798111015</v>
      </c>
      <c r="F66" s="4" t="str">
        <f ca="1">IFERROR(__xludf.DUMMYFUNCTION("""COMPUTED_VALUE"""),"216699785@tut4life.ac.za")</f>
        <v>216699785@tut4life.ac.za</v>
      </c>
      <c r="G66" s="4" t="str">
        <f ca="1">IFERROR(__xludf.DUMMYFUNCTION("""COMPUTED_VALUE"""),"Unconditional")</f>
        <v>Unconditional</v>
      </c>
    </row>
    <row r="67" spans="1:7">
      <c r="A67" s="11">
        <v>218317456</v>
      </c>
      <c r="B67" s="12" t="s">
        <v>10</v>
      </c>
      <c r="C67" s="12" t="s">
        <v>10</v>
      </c>
      <c r="D67" s="12" t="s">
        <v>10</v>
      </c>
      <c r="E67" s="12" t="s">
        <v>10</v>
      </c>
      <c r="F67" s="12" t="s">
        <v>10</v>
      </c>
      <c r="G67" s="12" t="s">
        <v>59</v>
      </c>
    </row>
    <row r="68" spans="1:7">
      <c r="A68" s="11">
        <v>211104996</v>
      </c>
      <c r="B68" s="12" t="s">
        <v>60</v>
      </c>
      <c r="C68" s="12" t="s">
        <v>61</v>
      </c>
      <c r="D68" s="12" t="s">
        <v>10</v>
      </c>
      <c r="E68" s="12">
        <v>738389558</v>
      </c>
      <c r="F68" s="12" t="s">
        <v>62</v>
      </c>
      <c r="G68" s="12" t="s">
        <v>63</v>
      </c>
    </row>
    <row r="69" spans="1:7">
      <c r="A69" s="11">
        <v>206212047</v>
      </c>
      <c r="B69" s="12" t="s">
        <v>64</v>
      </c>
      <c r="C69" s="12" t="s">
        <v>65</v>
      </c>
      <c r="D69" s="12" t="s">
        <v>10</v>
      </c>
      <c r="E69" s="12">
        <v>820631980</v>
      </c>
      <c r="F69" s="12" t="s">
        <v>66</v>
      </c>
      <c r="G69" s="12" t="s">
        <v>67</v>
      </c>
    </row>
    <row r="70" spans="1:7">
      <c r="A70" s="13">
        <v>207200387</v>
      </c>
      <c r="B70" s="14" t="s">
        <v>68</v>
      </c>
      <c r="C70" s="14" t="s">
        <v>69</v>
      </c>
      <c r="D70" s="14" t="s">
        <v>10</v>
      </c>
      <c r="E70" s="14">
        <v>663221147</v>
      </c>
      <c r="F70" s="14" t="s">
        <v>70</v>
      </c>
      <c r="G70" s="14" t="s">
        <v>67</v>
      </c>
    </row>
    <row r="71" spans="1:7">
      <c r="A71" s="13">
        <v>208004328</v>
      </c>
      <c r="B71" s="14" t="s">
        <v>71</v>
      </c>
      <c r="C71" s="14" t="s">
        <v>72</v>
      </c>
      <c r="D71" s="14" t="s">
        <v>10</v>
      </c>
      <c r="E71" s="14">
        <v>729318089</v>
      </c>
      <c r="F71" s="14" t="s">
        <v>73</v>
      </c>
      <c r="G71" s="14" t="s">
        <v>67</v>
      </c>
    </row>
    <row r="72" spans="1:7">
      <c r="A72" s="13">
        <v>208250132</v>
      </c>
      <c r="B72" s="14" t="s">
        <v>74</v>
      </c>
      <c r="C72" s="14" t="s">
        <v>75</v>
      </c>
      <c r="D72" s="14" t="s">
        <v>10</v>
      </c>
      <c r="E72" s="14">
        <v>839296896</v>
      </c>
      <c r="F72" s="14" t="s">
        <v>76</v>
      </c>
      <c r="G72" s="14" t="s">
        <v>67</v>
      </c>
    </row>
    <row r="73" spans="1:7" ht="39">
      <c r="A73" s="11">
        <v>212017957</v>
      </c>
      <c r="B73" s="12" t="s">
        <v>77</v>
      </c>
      <c r="C73" s="12" t="s">
        <v>78</v>
      </c>
      <c r="D73" s="12" t="s">
        <v>10</v>
      </c>
      <c r="E73" s="12">
        <v>604216222</v>
      </c>
      <c r="F73" s="12" t="s">
        <v>79</v>
      </c>
      <c r="G73" s="12" t="s">
        <v>80</v>
      </c>
    </row>
    <row r="74" spans="1:7" ht="39">
      <c r="A74" s="13">
        <v>212124826</v>
      </c>
      <c r="B74" s="14" t="s">
        <v>81</v>
      </c>
      <c r="C74" s="14" t="s">
        <v>82</v>
      </c>
      <c r="D74" s="14" t="s">
        <v>10</v>
      </c>
      <c r="E74" s="14">
        <v>723807397</v>
      </c>
      <c r="F74" s="14" t="s">
        <v>83</v>
      </c>
      <c r="G74" s="14" t="s">
        <v>84</v>
      </c>
    </row>
    <row r="75" spans="1:7">
      <c r="A75" s="11">
        <v>213037137</v>
      </c>
      <c r="B75" s="12" t="s">
        <v>85</v>
      </c>
      <c r="C75" s="12" t="s">
        <v>86</v>
      </c>
      <c r="D75" s="12" t="s">
        <v>10</v>
      </c>
      <c r="E75" s="12">
        <v>607904295</v>
      </c>
      <c r="F75" s="12" t="s">
        <v>87</v>
      </c>
      <c r="G75" s="12" t="s">
        <v>10</v>
      </c>
    </row>
    <row r="76" spans="1:7" ht="39">
      <c r="A76" s="11">
        <v>214274540</v>
      </c>
      <c r="B76" s="12" t="s">
        <v>88</v>
      </c>
      <c r="C76" s="12" t="s">
        <v>89</v>
      </c>
      <c r="D76" s="12" t="s">
        <v>10</v>
      </c>
      <c r="E76" s="12">
        <v>632891905</v>
      </c>
      <c r="F76" s="12" t="s">
        <v>90</v>
      </c>
      <c r="G76" s="12" t="s">
        <v>91</v>
      </c>
    </row>
    <row r="77" spans="1:7">
      <c r="A77" s="11">
        <v>216820835</v>
      </c>
      <c r="B77" s="12" t="s">
        <v>92</v>
      </c>
      <c r="C77" s="12" t="s">
        <v>93</v>
      </c>
      <c r="D77" s="12" t="s">
        <v>10</v>
      </c>
      <c r="E77" s="12">
        <v>818436285</v>
      </c>
      <c r="F77" s="12" t="s">
        <v>94</v>
      </c>
      <c r="G77" s="12" t="s">
        <v>95</v>
      </c>
    </row>
    <row r="78" spans="1:7" ht="26.25">
      <c r="A78" s="11">
        <v>217237742</v>
      </c>
      <c r="B78" s="12" t="s">
        <v>96</v>
      </c>
      <c r="C78" s="12" t="s">
        <v>97</v>
      </c>
      <c r="D78" s="12" t="s">
        <v>10</v>
      </c>
      <c r="E78" s="12">
        <v>720957275</v>
      </c>
      <c r="F78" s="12" t="s">
        <v>98</v>
      </c>
      <c r="G78" s="12" t="s">
        <v>99</v>
      </c>
    </row>
    <row r="79" spans="1:7" ht="26.25">
      <c r="A79" s="11">
        <v>217607698</v>
      </c>
      <c r="B79" s="12" t="s">
        <v>100</v>
      </c>
      <c r="C79" s="12" t="s">
        <v>101</v>
      </c>
      <c r="D79" s="12" t="s">
        <v>10</v>
      </c>
      <c r="E79" s="12">
        <v>762853626</v>
      </c>
      <c r="F79" s="12" t="s">
        <v>102</v>
      </c>
      <c r="G79" s="12" t="s">
        <v>103</v>
      </c>
    </row>
    <row r="80" spans="1:7" ht="26.25">
      <c r="A80" s="13">
        <v>217609399</v>
      </c>
      <c r="B80" s="14" t="s">
        <v>104</v>
      </c>
      <c r="C80" s="14" t="s">
        <v>105</v>
      </c>
      <c r="D80" s="14" t="s">
        <v>10</v>
      </c>
      <c r="E80" s="14">
        <v>726399972</v>
      </c>
      <c r="F80" s="14" t="s">
        <v>106</v>
      </c>
      <c r="G80" s="14" t="s">
        <v>107</v>
      </c>
    </row>
    <row r="81" spans="1:7">
      <c r="A81" s="11">
        <v>218064027</v>
      </c>
      <c r="B81" s="12" t="s">
        <v>108</v>
      </c>
      <c r="C81" s="12" t="s">
        <v>109</v>
      </c>
      <c r="D81" s="12" t="s">
        <v>10</v>
      </c>
      <c r="E81" s="12">
        <v>638438684</v>
      </c>
      <c r="F81" s="12" t="s">
        <v>110</v>
      </c>
      <c r="G81" s="12" t="s">
        <v>111</v>
      </c>
    </row>
    <row r="82" spans="1:7">
      <c r="A82" s="11">
        <v>218128742</v>
      </c>
      <c r="B82" s="12" t="s">
        <v>112</v>
      </c>
      <c r="C82" s="12" t="s">
        <v>113</v>
      </c>
      <c r="D82" s="12" t="s">
        <v>10</v>
      </c>
      <c r="E82" s="12">
        <v>637468040</v>
      </c>
      <c r="F82" s="12" t="s">
        <v>114</v>
      </c>
      <c r="G82" s="12" t="s">
        <v>10</v>
      </c>
    </row>
    <row r="83" spans="1:7">
      <c r="A83" s="11">
        <v>218289568</v>
      </c>
      <c r="B83" s="12" t="s">
        <v>115</v>
      </c>
      <c r="C83" s="12" t="s">
        <v>116</v>
      </c>
      <c r="D83" s="12" t="s">
        <v>10</v>
      </c>
      <c r="E83" s="12">
        <v>733654817</v>
      </c>
      <c r="F83" s="12" t="s">
        <v>117</v>
      </c>
      <c r="G83" s="12" t="s">
        <v>63</v>
      </c>
    </row>
    <row r="84" spans="1:7">
      <c r="A84" s="11">
        <v>218415520</v>
      </c>
      <c r="B84" s="12" t="s">
        <v>118</v>
      </c>
      <c r="C84" s="12" t="s">
        <v>119</v>
      </c>
      <c r="D84" s="12" t="s">
        <v>10</v>
      </c>
      <c r="E84" s="12">
        <v>624710482</v>
      </c>
      <c r="F84" s="12" t="s">
        <v>120</v>
      </c>
      <c r="G84" s="12" t="s">
        <v>10</v>
      </c>
    </row>
    <row r="85" spans="1:7" ht="51.75">
      <c r="A85" s="11">
        <v>218540520</v>
      </c>
      <c r="B85" s="12" t="s">
        <v>121</v>
      </c>
      <c r="C85" s="12" t="s">
        <v>122</v>
      </c>
      <c r="D85" s="12" t="s">
        <v>10</v>
      </c>
      <c r="E85" s="12">
        <v>720892049</v>
      </c>
      <c r="F85" s="12" t="s">
        <v>123</v>
      </c>
      <c r="G85" s="12" t="s">
        <v>124</v>
      </c>
    </row>
    <row r="86" spans="1:7" ht="51.75">
      <c r="A86" s="13">
        <v>218736297</v>
      </c>
      <c r="B86" s="14" t="s">
        <v>125</v>
      </c>
      <c r="C86" s="14" t="s">
        <v>126</v>
      </c>
      <c r="D86" s="14" t="s">
        <v>10</v>
      </c>
      <c r="E86" s="14">
        <v>671151059</v>
      </c>
      <c r="F86" s="14" t="s">
        <v>127</v>
      </c>
      <c r="G86" s="14" t="s">
        <v>128</v>
      </c>
    </row>
    <row r="87" spans="1:7">
      <c r="A87" s="11">
        <v>219723857</v>
      </c>
      <c r="B87" s="12" t="s">
        <v>129</v>
      </c>
      <c r="C87" s="12" t="s">
        <v>130</v>
      </c>
      <c r="D87" s="12" t="s">
        <v>10</v>
      </c>
      <c r="E87" s="12">
        <v>745576589</v>
      </c>
      <c r="F87" s="12" t="s">
        <v>131</v>
      </c>
      <c r="G87" s="12" t="s">
        <v>132</v>
      </c>
    </row>
    <row r="88" spans="1:7">
      <c r="A88" s="11">
        <v>219968540</v>
      </c>
      <c r="B88" s="12" t="s">
        <v>133</v>
      </c>
      <c r="C88" s="12" t="s">
        <v>134</v>
      </c>
      <c r="D88" s="12" t="s">
        <v>10</v>
      </c>
      <c r="E88" s="12">
        <v>793662774</v>
      </c>
      <c r="F88" s="12" t="s">
        <v>135</v>
      </c>
      <c r="G88" s="12" t="s">
        <v>63</v>
      </c>
    </row>
    <row r="89" spans="1:7">
      <c r="A89" s="13">
        <v>220252140</v>
      </c>
      <c r="B89" s="14" t="s">
        <v>136</v>
      </c>
      <c r="C89" s="14" t="s">
        <v>137</v>
      </c>
      <c r="D89" s="14" t="s">
        <v>10</v>
      </c>
      <c r="E89" s="14" t="s">
        <v>138</v>
      </c>
      <c r="F89" s="14" t="s">
        <v>139</v>
      </c>
      <c r="G89" s="14" t="s">
        <v>140</v>
      </c>
    </row>
    <row r="90" spans="1:7">
      <c r="A90" s="13">
        <v>220874303</v>
      </c>
      <c r="B90" s="14" t="s">
        <v>141</v>
      </c>
      <c r="C90" s="14" t="s">
        <v>142</v>
      </c>
      <c r="D90" s="14" t="s">
        <v>10</v>
      </c>
      <c r="E90" s="14">
        <v>721104846</v>
      </c>
      <c r="F90" s="14" t="s">
        <v>143</v>
      </c>
      <c r="G90" s="14" t="s">
        <v>144</v>
      </c>
    </row>
    <row r="91" spans="1:7">
      <c r="A91" s="13">
        <v>221068602</v>
      </c>
      <c r="B91" s="14" t="s">
        <v>145</v>
      </c>
      <c r="C91" s="14" t="s">
        <v>146</v>
      </c>
      <c r="D91" s="14" t="s">
        <v>10</v>
      </c>
      <c r="E91" s="14">
        <v>714306293</v>
      </c>
      <c r="F91" s="14" t="s">
        <v>147</v>
      </c>
      <c r="G91" s="14" t="s">
        <v>144</v>
      </c>
    </row>
    <row r="92" spans="1:7">
      <c r="A92" s="11">
        <v>216699785</v>
      </c>
      <c r="B92" s="12" t="s">
        <v>148</v>
      </c>
      <c r="C92" s="12" t="s">
        <v>149</v>
      </c>
      <c r="D92" s="12" t="s">
        <v>10</v>
      </c>
      <c r="E92" s="12">
        <v>798111015</v>
      </c>
      <c r="F92" s="12" t="s">
        <v>150</v>
      </c>
      <c r="G92" s="12" t="s">
        <v>10</v>
      </c>
    </row>
    <row r="93" spans="1:7">
      <c r="A93" s="13">
        <v>219999470</v>
      </c>
      <c r="B93" s="14" t="s">
        <v>151</v>
      </c>
      <c r="C93" s="14" t="s">
        <v>152</v>
      </c>
      <c r="D93" s="14" t="s">
        <v>10</v>
      </c>
      <c r="E93" s="14">
        <v>761981783</v>
      </c>
      <c r="F93" s="14" t="s">
        <v>153</v>
      </c>
      <c r="G93" s="14" t="s">
        <v>63</v>
      </c>
    </row>
    <row r="94" spans="1:7">
      <c r="A94" s="11">
        <v>218636357</v>
      </c>
      <c r="B94" s="12" t="s">
        <v>154</v>
      </c>
      <c r="C94" s="12" t="s">
        <v>36</v>
      </c>
      <c r="D94" s="12" t="s">
        <v>10</v>
      </c>
      <c r="E94" s="12">
        <v>761779438</v>
      </c>
      <c r="F94" s="12" t="s">
        <v>155</v>
      </c>
      <c r="G94" s="12" t="s">
        <v>63</v>
      </c>
    </row>
    <row r="95" spans="1:7">
      <c r="A95" s="11">
        <v>214794950</v>
      </c>
      <c r="B95" s="12" t="s">
        <v>156</v>
      </c>
      <c r="C95" s="12" t="s">
        <v>157</v>
      </c>
      <c r="D95" s="12" t="s">
        <v>10</v>
      </c>
      <c r="E95" s="12">
        <v>728241617</v>
      </c>
      <c r="F95" s="12" t="s">
        <v>158</v>
      </c>
      <c r="G95" s="12" t="s">
        <v>10</v>
      </c>
    </row>
    <row r="96" spans="1:7">
      <c r="A96" s="13">
        <v>215132315</v>
      </c>
      <c r="B96" s="14" t="s">
        <v>159</v>
      </c>
      <c r="C96" s="14" t="s">
        <v>7</v>
      </c>
      <c r="D96" s="14" t="s">
        <v>10</v>
      </c>
      <c r="E96" s="14">
        <v>720661687</v>
      </c>
      <c r="F96" s="14" t="s">
        <v>160</v>
      </c>
      <c r="G96" s="14" t="s">
        <v>10</v>
      </c>
    </row>
    <row r="97" spans="1:7">
      <c r="A97" s="13">
        <v>215303683</v>
      </c>
      <c r="B97" s="14" t="s">
        <v>161</v>
      </c>
      <c r="C97" s="14" t="s">
        <v>101</v>
      </c>
      <c r="D97" s="14" t="s">
        <v>10</v>
      </c>
      <c r="E97" s="14">
        <v>710972847</v>
      </c>
      <c r="F97" s="14" t="s">
        <v>162</v>
      </c>
      <c r="G97" s="14" t="s">
        <v>10</v>
      </c>
    </row>
    <row r="98" spans="1:7">
      <c r="A98" s="13">
        <v>215397637</v>
      </c>
      <c r="B98" s="14" t="s">
        <v>163</v>
      </c>
      <c r="C98" s="14" t="s">
        <v>164</v>
      </c>
      <c r="D98" s="14" t="s">
        <v>10</v>
      </c>
      <c r="E98" s="14">
        <v>744307480</v>
      </c>
      <c r="F98" s="14" t="s">
        <v>165</v>
      </c>
      <c r="G98" s="14" t="s">
        <v>10</v>
      </c>
    </row>
    <row r="99" spans="1:7">
      <c r="A99" s="13">
        <v>215413713</v>
      </c>
      <c r="B99" s="14" t="s">
        <v>166</v>
      </c>
      <c r="C99" s="14" t="s">
        <v>36</v>
      </c>
      <c r="D99" s="14" t="s">
        <v>10</v>
      </c>
      <c r="E99" s="14">
        <v>780444395</v>
      </c>
      <c r="F99" s="14" t="s">
        <v>167</v>
      </c>
      <c r="G99" s="14" t="s">
        <v>10</v>
      </c>
    </row>
    <row r="100" spans="1:7">
      <c r="A100" s="13">
        <v>215525872</v>
      </c>
      <c r="B100" s="14" t="s">
        <v>168</v>
      </c>
      <c r="C100" s="14" t="s">
        <v>7</v>
      </c>
      <c r="D100" s="14" t="s">
        <v>10</v>
      </c>
      <c r="E100" s="14">
        <v>844893195</v>
      </c>
      <c r="F100" s="14" t="s">
        <v>169</v>
      </c>
      <c r="G100" s="14" t="s">
        <v>10</v>
      </c>
    </row>
    <row r="101" spans="1:7">
      <c r="A101" s="13">
        <v>215550362</v>
      </c>
      <c r="B101" s="14" t="s">
        <v>170</v>
      </c>
      <c r="C101" s="14" t="s">
        <v>171</v>
      </c>
      <c r="D101" s="14" t="s">
        <v>10</v>
      </c>
      <c r="E101" s="14">
        <v>768736620</v>
      </c>
      <c r="F101" s="14" t="s">
        <v>172</v>
      </c>
      <c r="G101" s="14" t="s">
        <v>10</v>
      </c>
    </row>
    <row r="102" spans="1:7">
      <c r="A102" s="13">
        <v>215554406</v>
      </c>
      <c r="B102" s="14" t="s">
        <v>173</v>
      </c>
      <c r="C102" s="14" t="s">
        <v>69</v>
      </c>
      <c r="D102" s="14" t="s">
        <v>10</v>
      </c>
      <c r="E102" s="14">
        <v>637695438</v>
      </c>
      <c r="F102" s="14" t="s">
        <v>174</v>
      </c>
      <c r="G102" s="14" t="s">
        <v>10</v>
      </c>
    </row>
    <row r="103" spans="1:7">
      <c r="A103" s="13">
        <v>215588408</v>
      </c>
      <c r="B103" s="14" t="s">
        <v>175</v>
      </c>
      <c r="C103" s="14" t="s">
        <v>176</v>
      </c>
      <c r="D103" s="14" t="s">
        <v>10</v>
      </c>
      <c r="E103" s="14">
        <v>658830243</v>
      </c>
      <c r="F103" s="14" t="s">
        <v>177</v>
      </c>
      <c r="G103" s="14" t="s">
        <v>10</v>
      </c>
    </row>
    <row r="104" spans="1:7">
      <c r="A104" s="13">
        <v>215758818</v>
      </c>
      <c r="B104" s="14" t="s">
        <v>178</v>
      </c>
      <c r="C104" s="14" t="s">
        <v>24</v>
      </c>
      <c r="D104" s="14" t="s">
        <v>10</v>
      </c>
      <c r="E104" s="14">
        <v>672610742</v>
      </c>
      <c r="F104" s="14" t="s">
        <v>179</v>
      </c>
      <c r="G104" s="14" t="s">
        <v>10</v>
      </c>
    </row>
    <row r="105" spans="1:7">
      <c r="A105" s="13">
        <v>215778002</v>
      </c>
      <c r="B105" s="14" t="s">
        <v>180</v>
      </c>
      <c r="C105" s="14" t="s">
        <v>181</v>
      </c>
      <c r="D105" s="14" t="s">
        <v>10</v>
      </c>
      <c r="E105" s="14">
        <v>729708110</v>
      </c>
      <c r="F105" s="14" t="s">
        <v>182</v>
      </c>
      <c r="G105" s="14" t="s">
        <v>10</v>
      </c>
    </row>
    <row r="106" spans="1:7">
      <c r="A106" s="11">
        <v>216253000</v>
      </c>
      <c r="B106" s="12" t="s">
        <v>183</v>
      </c>
      <c r="C106" s="12" t="s">
        <v>184</v>
      </c>
      <c r="D106" s="12" t="s">
        <v>10</v>
      </c>
      <c r="E106" s="12">
        <v>748342643</v>
      </c>
      <c r="F106" s="12" t="s">
        <v>185</v>
      </c>
      <c r="G106" s="12" t="s">
        <v>10</v>
      </c>
    </row>
    <row r="107" spans="1:7">
      <c r="A107" s="13">
        <v>216508238</v>
      </c>
      <c r="B107" s="14" t="s">
        <v>186</v>
      </c>
      <c r="C107" s="14" t="s">
        <v>187</v>
      </c>
      <c r="D107" s="14" t="s">
        <v>10</v>
      </c>
      <c r="E107" s="14">
        <v>765027932</v>
      </c>
      <c r="F107" s="14" t="s">
        <v>188</v>
      </c>
      <c r="G107" s="14" t="s">
        <v>10</v>
      </c>
    </row>
    <row r="108" spans="1:7">
      <c r="A108" s="11">
        <v>217404444</v>
      </c>
      <c r="B108" s="12" t="s">
        <v>189</v>
      </c>
      <c r="C108" s="12" t="s">
        <v>190</v>
      </c>
      <c r="D108" s="12" t="s">
        <v>10</v>
      </c>
      <c r="E108" s="12">
        <v>729953159</v>
      </c>
      <c r="F108" s="12" t="s">
        <v>191</v>
      </c>
      <c r="G108" s="12" t="s">
        <v>10</v>
      </c>
    </row>
    <row r="109" spans="1:7">
      <c r="A109" s="11">
        <v>220838579</v>
      </c>
      <c r="B109" s="12" t="s">
        <v>192</v>
      </c>
      <c r="C109" s="12" t="s">
        <v>193</v>
      </c>
      <c r="D109" s="12" t="s">
        <v>10</v>
      </c>
      <c r="E109" s="12">
        <v>27639266847</v>
      </c>
      <c r="F109" s="12" t="s">
        <v>194</v>
      </c>
      <c r="G109" s="12" t="s">
        <v>10</v>
      </c>
    </row>
    <row r="110" spans="1:7">
      <c r="A110" s="11">
        <v>222755379</v>
      </c>
      <c r="B110" s="12" t="s">
        <v>195</v>
      </c>
      <c r="C110" s="12" t="s">
        <v>196</v>
      </c>
      <c r="D110" s="12" t="s">
        <v>10</v>
      </c>
      <c r="E110" s="12">
        <v>27636562178</v>
      </c>
      <c r="F110" s="12" t="s">
        <v>197</v>
      </c>
      <c r="G110" s="12" t="s">
        <v>10</v>
      </c>
    </row>
    <row r="111" spans="1:7">
      <c r="A111" s="15">
        <v>212440205</v>
      </c>
      <c r="B111" s="15" t="s">
        <v>198</v>
      </c>
      <c r="C111" t="s">
        <v>199</v>
      </c>
      <c r="E111" s="15">
        <v>846768794</v>
      </c>
      <c r="F111" s="16" t="s">
        <v>200</v>
      </c>
      <c r="G111" s="17" t="s">
        <v>201</v>
      </c>
    </row>
    <row r="112" spans="1:7">
      <c r="A112" s="15">
        <v>215812880</v>
      </c>
      <c r="B112" s="28" t="s">
        <v>202</v>
      </c>
      <c r="C112" s="28" t="s">
        <v>203</v>
      </c>
      <c r="E112" s="15">
        <v>799829659</v>
      </c>
      <c r="F112" s="29" t="s">
        <v>204</v>
      </c>
      <c r="G112" s="30" t="s">
        <v>10</v>
      </c>
    </row>
    <row r="113" spans="1:7" ht="26.25">
      <c r="A113" s="18">
        <v>218472656</v>
      </c>
      <c r="B113" s="31" t="s">
        <v>205</v>
      </c>
      <c r="C113" s="31" t="s">
        <v>206</v>
      </c>
      <c r="E113" s="18">
        <v>818310974</v>
      </c>
      <c r="F113" s="24" t="s">
        <v>207</v>
      </c>
      <c r="G113" s="25" t="s">
        <v>208</v>
      </c>
    </row>
    <row r="114" spans="1:7" ht="26.25">
      <c r="A114" s="18">
        <v>218126154</v>
      </c>
      <c r="B114" s="31" t="s">
        <v>209</v>
      </c>
      <c r="C114" s="31" t="s">
        <v>65</v>
      </c>
      <c r="E114" s="18">
        <v>795995235</v>
      </c>
      <c r="F114" s="24" t="s">
        <v>210</v>
      </c>
      <c r="G114" s="25" t="s">
        <v>208</v>
      </c>
    </row>
    <row r="115" spans="1:7" ht="26.25">
      <c r="A115" s="18">
        <v>218732275</v>
      </c>
      <c r="B115" s="31" t="s">
        <v>211</v>
      </c>
      <c r="C115" s="31" t="s">
        <v>212</v>
      </c>
      <c r="E115" s="18">
        <v>823593612</v>
      </c>
      <c r="F115" s="24" t="s">
        <v>213</v>
      </c>
      <c r="G115" s="25" t="s">
        <v>214</v>
      </c>
    </row>
    <row r="116" spans="1:7">
      <c r="A116" s="32">
        <v>213300172</v>
      </c>
      <c r="B116" s="33" t="s">
        <v>215</v>
      </c>
      <c r="C116" s="33" t="s">
        <v>216</v>
      </c>
      <c r="E116" s="32">
        <v>763410670</v>
      </c>
      <c r="F116" s="34" t="s">
        <v>217</v>
      </c>
      <c r="G116" s="35" t="s">
        <v>218</v>
      </c>
    </row>
    <row r="117" spans="1:7" ht="26.25">
      <c r="A117" s="18">
        <v>214460602</v>
      </c>
      <c r="B117" s="31" t="s">
        <v>219</v>
      </c>
      <c r="C117" s="31" t="s">
        <v>220</v>
      </c>
      <c r="D117" s="22"/>
      <c r="E117" s="18">
        <v>783460637</v>
      </c>
      <c r="F117" s="24" t="s">
        <v>221</v>
      </c>
      <c r="G117" s="25" t="s">
        <v>222</v>
      </c>
    </row>
    <row r="118" spans="1:7">
      <c r="A118" s="15">
        <v>215412067</v>
      </c>
      <c r="B118" s="28" t="s">
        <v>223</v>
      </c>
      <c r="C118" s="28" t="s">
        <v>28</v>
      </c>
      <c r="D118" s="22"/>
      <c r="E118" s="15">
        <v>826471040</v>
      </c>
      <c r="F118" s="29" t="s">
        <v>224</v>
      </c>
      <c r="G118" s="30" t="s">
        <v>10</v>
      </c>
    </row>
    <row r="119" spans="1:7">
      <c r="A119" s="18">
        <v>215584429</v>
      </c>
      <c r="B119" s="31" t="s">
        <v>225</v>
      </c>
      <c r="C119" s="31" t="s">
        <v>226</v>
      </c>
      <c r="D119" s="22"/>
      <c r="E119" s="18">
        <v>792833973</v>
      </c>
      <c r="F119" s="24" t="s">
        <v>227</v>
      </c>
      <c r="G119" s="33" t="s">
        <v>228</v>
      </c>
    </row>
    <row r="120" spans="1:7">
      <c r="A120" s="15">
        <v>216765095</v>
      </c>
      <c r="B120" s="28" t="s">
        <v>229</v>
      </c>
      <c r="C120" s="28" t="s">
        <v>230</v>
      </c>
      <c r="D120" s="22"/>
      <c r="E120" s="15">
        <v>710644853</v>
      </c>
      <c r="F120" s="29" t="s">
        <v>231</v>
      </c>
      <c r="G120" s="30" t="s">
        <v>10</v>
      </c>
    </row>
    <row r="121" spans="1:7">
      <c r="A121" s="15">
        <v>217049342</v>
      </c>
      <c r="B121" s="28" t="s">
        <v>81</v>
      </c>
      <c r="C121" s="28" t="s">
        <v>232</v>
      </c>
      <c r="D121" s="22"/>
      <c r="E121" s="15">
        <v>826166899</v>
      </c>
      <c r="F121" s="29" t="s">
        <v>233</v>
      </c>
      <c r="G121" s="30" t="s">
        <v>10</v>
      </c>
    </row>
    <row r="122" spans="1:7">
      <c r="A122" s="15">
        <v>217476127</v>
      </c>
      <c r="B122" s="28" t="s">
        <v>234</v>
      </c>
      <c r="C122" s="28" t="s">
        <v>235</v>
      </c>
      <c r="D122" s="22"/>
      <c r="E122" s="15">
        <v>766523172</v>
      </c>
      <c r="F122" s="29" t="s">
        <v>236</v>
      </c>
      <c r="G122" s="30" t="s">
        <v>10</v>
      </c>
    </row>
    <row r="123" spans="1:7" ht="39">
      <c r="A123" s="18">
        <v>218022308</v>
      </c>
      <c r="B123" s="31" t="s">
        <v>237</v>
      </c>
      <c r="C123" s="31" t="s">
        <v>238</v>
      </c>
      <c r="D123" s="22"/>
      <c r="E123" s="18">
        <v>782431590</v>
      </c>
      <c r="F123" s="24" t="s">
        <v>239</v>
      </c>
      <c r="G123" s="25" t="s">
        <v>240</v>
      </c>
    </row>
    <row r="124" spans="1:7" ht="51.75">
      <c r="A124" s="18">
        <v>218130780</v>
      </c>
      <c r="B124" s="31" t="s">
        <v>241</v>
      </c>
      <c r="C124" s="31" t="s">
        <v>242</v>
      </c>
      <c r="D124" s="22"/>
      <c r="E124" s="18">
        <v>617515608</v>
      </c>
      <c r="F124" s="24" t="s">
        <v>243</v>
      </c>
      <c r="G124" s="25" t="s">
        <v>244</v>
      </c>
    </row>
    <row r="125" spans="1:7">
      <c r="A125" s="18">
        <v>218232388</v>
      </c>
      <c r="B125" s="31" t="s">
        <v>245</v>
      </c>
      <c r="C125" s="31" t="s">
        <v>246</v>
      </c>
      <c r="D125" s="22"/>
      <c r="E125" s="18">
        <v>619245637</v>
      </c>
      <c r="F125" s="24" t="s">
        <v>247</v>
      </c>
      <c r="G125" s="35" t="s">
        <v>248</v>
      </c>
    </row>
    <row r="126" spans="1:7">
      <c r="A126" s="15">
        <v>218749194</v>
      </c>
      <c r="B126" s="28" t="s">
        <v>170</v>
      </c>
      <c r="C126" s="28" t="s">
        <v>249</v>
      </c>
      <c r="D126" s="22"/>
      <c r="E126" s="15">
        <v>818031070</v>
      </c>
      <c r="F126" s="29" t="s">
        <v>250</v>
      </c>
      <c r="G126" s="30" t="s">
        <v>10</v>
      </c>
    </row>
    <row r="127" spans="1:7">
      <c r="A127" s="18">
        <v>219145217</v>
      </c>
      <c r="B127" s="31" t="s">
        <v>251</v>
      </c>
      <c r="C127" s="31" t="s">
        <v>252</v>
      </c>
      <c r="D127" s="22"/>
      <c r="E127" s="18">
        <v>796617859</v>
      </c>
      <c r="F127" s="24" t="s">
        <v>253</v>
      </c>
      <c r="G127" s="39" t="s">
        <v>10</v>
      </c>
    </row>
    <row r="128" spans="1:7">
      <c r="A128" s="18">
        <v>219193920</v>
      </c>
      <c r="B128" s="31" t="s">
        <v>254</v>
      </c>
      <c r="C128" s="31" t="s">
        <v>255</v>
      </c>
      <c r="D128" s="22"/>
      <c r="E128" s="18">
        <v>720829888</v>
      </c>
      <c r="F128" s="24" t="s">
        <v>256</v>
      </c>
      <c r="G128" s="40" t="s">
        <v>10</v>
      </c>
    </row>
    <row r="129" spans="1:8">
      <c r="A129" s="15">
        <v>220272125</v>
      </c>
      <c r="B129" s="28" t="s">
        <v>257</v>
      </c>
      <c r="C129" s="28" t="s">
        <v>53</v>
      </c>
      <c r="D129" s="22"/>
      <c r="E129" s="15">
        <v>716018173</v>
      </c>
      <c r="F129" s="29" t="s">
        <v>258</v>
      </c>
      <c r="G129" s="30" t="s">
        <v>10</v>
      </c>
    </row>
    <row r="130" spans="1:8">
      <c r="A130" s="18">
        <v>220481670</v>
      </c>
      <c r="B130" s="31" t="s">
        <v>259</v>
      </c>
      <c r="C130" s="31" t="s">
        <v>260</v>
      </c>
      <c r="D130" s="22"/>
      <c r="E130" s="18">
        <v>720665444</v>
      </c>
      <c r="F130" s="24" t="s">
        <v>261</v>
      </c>
      <c r="G130" s="33" t="s">
        <v>262</v>
      </c>
    </row>
    <row r="131" spans="1:8">
      <c r="A131" s="18">
        <v>220677273</v>
      </c>
      <c r="B131" s="31" t="s">
        <v>263</v>
      </c>
      <c r="C131" s="31" t="s">
        <v>203</v>
      </c>
      <c r="D131" s="22"/>
      <c r="E131" s="18" t="s">
        <v>264</v>
      </c>
      <c r="F131" s="24" t="s">
        <v>265</v>
      </c>
      <c r="G131" s="33" t="s">
        <v>262</v>
      </c>
    </row>
    <row r="132" spans="1:8">
      <c r="A132" s="18">
        <v>221035208</v>
      </c>
      <c r="B132" s="31" t="s">
        <v>170</v>
      </c>
      <c r="C132" s="31" t="s">
        <v>238</v>
      </c>
      <c r="D132" s="22"/>
      <c r="E132" s="18">
        <v>726122797</v>
      </c>
      <c r="F132" s="24" t="s">
        <v>266</v>
      </c>
      <c r="G132" s="33" t="s">
        <v>267</v>
      </c>
    </row>
    <row r="133" spans="1:8">
      <c r="A133" s="15">
        <v>219293135</v>
      </c>
      <c r="B133" s="30" t="s">
        <v>10</v>
      </c>
      <c r="C133" s="30" t="s">
        <v>10</v>
      </c>
      <c r="D133" s="22"/>
      <c r="E133" s="41" t="s">
        <v>10</v>
      </c>
      <c r="F133" s="30" t="s">
        <v>10</v>
      </c>
      <c r="G133" s="35" t="s">
        <v>268</v>
      </c>
    </row>
    <row r="134" spans="1:8">
      <c r="A134" s="18">
        <v>220494594</v>
      </c>
      <c r="B134" s="39" t="s">
        <v>10</v>
      </c>
      <c r="C134" s="39" t="s">
        <v>10</v>
      </c>
      <c r="D134" s="22"/>
      <c r="E134" s="42" t="s">
        <v>10</v>
      </c>
      <c r="F134" s="39" t="s">
        <v>10</v>
      </c>
      <c r="G134" s="31" t="s">
        <v>268</v>
      </c>
    </row>
    <row r="135" spans="1:8">
      <c r="A135" s="18">
        <v>221110722</v>
      </c>
      <c r="B135" s="39" t="s">
        <v>10</v>
      </c>
      <c r="C135" s="39" t="s">
        <v>10</v>
      </c>
      <c r="D135" s="22"/>
      <c r="E135" s="42" t="s">
        <v>10</v>
      </c>
      <c r="F135" s="39" t="s">
        <v>10</v>
      </c>
      <c r="G135" s="31" t="s">
        <v>268</v>
      </c>
    </row>
    <row r="136" spans="1:8" ht="51.75">
      <c r="A136" s="18">
        <v>219302673</v>
      </c>
      <c r="B136" s="21" t="s">
        <v>10</v>
      </c>
      <c r="C136" s="21" t="s">
        <v>10</v>
      </c>
      <c r="D136" s="22"/>
      <c r="E136" s="23" t="s">
        <v>10</v>
      </c>
      <c r="F136" s="21" t="s">
        <v>10</v>
      </c>
      <c r="G136" s="38" t="s">
        <v>269</v>
      </c>
    </row>
    <row r="137" spans="1:8">
      <c r="A137" s="15">
        <v>215483835</v>
      </c>
      <c r="B137" s="30" t="s">
        <v>10</v>
      </c>
      <c r="C137" s="30" t="s">
        <v>10</v>
      </c>
      <c r="D137" s="22"/>
      <c r="E137" s="41" t="s">
        <v>10</v>
      </c>
      <c r="F137" s="30" t="s">
        <v>10</v>
      </c>
      <c r="G137" s="35" t="s">
        <v>270</v>
      </c>
    </row>
    <row r="138" spans="1:8" ht="26.25">
      <c r="A138" s="18">
        <v>220270769</v>
      </c>
      <c r="B138" s="21" t="s">
        <v>10</v>
      </c>
      <c r="C138" s="21" t="s">
        <v>10</v>
      </c>
      <c r="D138" s="22"/>
      <c r="E138" s="23" t="s">
        <v>10</v>
      </c>
      <c r="F138" s="21" t="s">
        <v>10</v>
      </c>
      <c r="G138" s="38" t="s">
        <v>271</v>
      </c>
    </row>
    <row r="139" spans="1:8">
      <c r="A139" s="43">
        <v>215070573</v>
      </c>
      <c r="B139" s="44" t="s">
        <v>234</v>
      </c>
      <c r="C139" s="44" t="s">
        <v>272</v>
      </c>
      <c r="D139" s="22"/>
      <c r="E139" s="45">
        <v>761205342</v>
      </c>
      <c r="F139" s="46" t="s">
        <v>273</v>
      </c>
      <c r="G139" s="47" t="s">
        <v>10</v>
      </c>
      <c r="H139" s="48" t="s">
        <v>274</v>
      </c>
    </row>
    <row r="140" spans="1:8" ht="51.75">
      <c r="A140" s="43">
        <v>217607531</v>
      </c>
      <c r="B140" s="44" t="s">
        <v>275</v>
      </c>
      <c r="C140" s="44" t="s">
        <v>276</v>
      </c>
      <c r="D140" s="22"/>
      <c r="E140" s="45">
        <v>631486060</v>
      </c>
      <c r="F140" s="46" t="s">
        <v>277</v>
      </c>
      <c r="G140" s="49" t="s">
        <v>278</v>
      </c>
    </row>
    <row r="141" spans="1:8">
      <c r="A141" s="43">
        <v>218307930</v>
      </c>
      <c r="B141" s="44" t="s">
        <v>279</v>
      </c>
      <c r="C141" s="44" t="s">
        <v>280</v>
      </c>
      <c r="D141" s="22"/>
      <c r="E141" s="45">
        <v>825099233</v>
      </c>
      <c r="F141" s="46" t="s">
        <v>281</v>
      </c>
      <c r="G141" s="47" t="s">
        <v>10</v>
      </c>
    </row>
    <row r="142" spans="1:8">
      <c r="A142" s="26">
        <v>219000960</v>
      </c>
      <c r="B142" s="50" t="s">
        <v>282</v>
      </c>
      <c r="C142" s="50" t="s">
        <v>283</v>
      </c>
      <c r="D142" s="22"/>
      <c r="E142" s="52">
        <v>608114618</v>
      </c>
      <c r="F142" s="29" t="s">
        <v>284</v>
      </c>
      <c r="G142" s="61" t="s">
        <v>285</v>
      </c>
    </row>
    <row r="143" spans="1:8">
      <c r="A143" s="23">
        <v>219982623</v>
      </c>
      <c r="B143" s="21" t="s">
        <v>286</v>
      </c>
      <c r="C143" s="21" t="s">
        <v>86</v>
      </c>
      <c r="D143" s="22"/>
      <c r="E143" s="53">
        <v>647754940</v>
      </c>
      <c r="F143" s="24" t="s">
        <v>287</v>
      </c>
      <c r="G143" s="39" t="s">
        <v>10</v>
      </c>
    </row>
    <row r="144" spans="1:8" ht="294">
      <c r="A144" s="52">
        <v>221046200</v>
      </c>
      <c r="B144" s="61" t="s">
        <v>170</v>
      </c>
      <c r="C144" s="61" t="s">
        <v>288</v>
      </c>
      <c r="D144" s="22"/>
      <c r="E144" s="52">
        <v>678797916</v>
      </c>
      <c r="F144" s="29" t="s">
        <v>289</v>
      </c>
      <c r="G144" s="51" t="s">
        <v>290</v>
      </c>
    </row>
    <row r="145" spans="1:7" ht="51.75">
      <c r="A145" s="52">
        <v>219675771</v>
      </c>
      <c r="B145" s="30" t="s">
        <v>10</v>
      </c>
      <c r="C145" s="30" t="s">
        <v>10</v>
      </c>
      <c r="D145" s="22"/>
      <c r="E145" s="41" t="s">
        <v>10</v>
      </c>
      <c r="F145" s="30" t="s">
        <v>10</v>
      </c>
      <c r="G145" s="51" t="s">
        <v>291</v>
      </c>
    </row>
    <row r="146" spans="1:7" ht="26.25">
      <c r="A146" s="52">
        <v>212167053</v>
      </c>
      <c r="B146" s="30" t="s">
        <v>10</v>
      </c>
      <c r="C146" s="30" t="s">
        <v>10</v>
      </c>
      <c r="D146" s="22"/>
      <c r="E146" s="41" t="s">
        <v>10</v>
      </c>
      <c r="F146" s="30" t="s">
        <v>10</v>
      </c>
      <c r="G146" s="51" t="s">
        <v>292</v>
      </c>
    </row>
    <row r="147" spans="1:7">
      <c r="A147" s="52">
        <v>216836529</v>
      </c>
      <c r="B147" s="30" t="s">
        <v>10</v>
      </c>
      <c r="C147" s="30" t="s">
        <v>10</v>
      </c>
      <c r="D147" s="22"/>
      <c r="E147" s="41" t="s">
        <v>10</v>
      </c>
      <c r="F147" s="30" t="s">
        <v>10</v>
      </c>
      <c r="G147" s="61" t="s">
        <v>293</v>
      </c>
    </row>
    <row r="148" spans="1:7" ht="26.25">
      <c r="A148" s="26">
        <v>217119049</v>
      </c>
      <c r="B148" s="50" t="s">
        <v>294</v>
      </c>
      <c r="C148" s="50" t="s">
        <v>295</v>
      </c>
      <c r="D148" s="22"/>
      <c r="E148" s="52">
        <v>760562093</v>
      </c>
      <c r="F148" s="29" t="s">
        <v>296</v>
      </c>
      <c r="G148" s="51" t="s">
        <v>297</v>
      </c>
    </row>
  </sheetData>
  <hyperlinks>
    <hyperlink ref="F111" r:id="rId1"/>
    <hyperlink ref="F112" r:id="rId2"/>
    <hyperlink ref="F113" r:id="rId3"/>
    <hyperlink ref="F114" r:id="rId4"/>
    <hyperlink ref="F115" r:id="rId5"/>
    <hyperlink ref="F116" r:id="rId6"/>
    <hyperlink ref="F117" r:id="rId7"/>
    <hyperlink ref="F118" r:id="rId8"/>
    <hyperlink ref="F119" r:id="rId9"/>
    <hyperlink ref="F120" r:id="rId10"/>
    <hyperlink ref="F121" r:id="rId11"/>
    <hyperlink ref="F122" r:id="rId12"/>
    <hyperlink ref="F123" r:id="rId13"/>
    <hyperlink ref="F124" r:id="rId14"/>
    <hyperlink ref="F125" r:id="rId15"/>
    <hyperlink ref="F126" r:id="rId16"/>
    <hyperlink ref="F127" r:id="rId17"/>
    <hyperlink ref="F128" r:id="rId18"/>
    <hyperlink ref="F129" r:id="rId19"/>
    <hyperlink ref="F130" r:id="rId20"/>
    <hyperlink ref="F131" r:id="rId21"/>
    <hyperlink ref="F132" r:id="rId22"/>
    <hyperlink ref="F139" r:id="rId23"/>
    <hyperlink ref="F140" r:id="rId24"/>
    <hyperlink ref="F141" r:id="rId25"/>
    <hyperlink ref="F142" r:id="rId26"/>
    <hyperlink ref="F143" r:id="rId27"/>
    <hyperlink ref="F144" r:id="rId28"/>
    <hyperlink ref="F148" r:id="rId2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7" customWidth="1"/>
    <col min="2" max="2" width="19.85546875" customWidth="1"/>
    <col min="3" max="3" width="9.140625" customWidth="1"/>
    <col min="4" max="4" width="15.42578125" customWidth="1"/>
    <col min="5" max="5" width="19.7109375" customWidth="1"/>
    <col min="6" max="6" width="24.28515625" customWidth="1"/>
    <col min="7" max="7" width="27.5703125" customWidth="1"/>
  </cols>
  <sheetData>
    <row r="1" spans="1:7">
      <c r="A1" s="1" t="s">
        <v>0</v>
      </c>
      <c r="B1" s="1" t="s">
        <v>1</v>
      </c>
      <c r="C1" s="1" t="s">
        <v>2</v>
      </c>
      <c r="D1" s="1" t="s">
        <v>3</v>
      </c>
      <c r="E1" s="1" t="s">
        <v>4</v>
      </c>
      <c r="F1" s="1" t="s">
        <v>5</v>
      </c>
      <c r="G1" s="1" t="s">
        <v>6</v>
      </c>
    </row>
    <row r="2" spans="1:7" ht="51.75">
      <c r="A2" s="4">
        <f ca="1">IFERROR(__xludf.DUMMYFUNCTION("""COMPUTED_VALUE"""),214352931)</f>
        <v>214352931</v>
      </c>
      <c r="B2" s="4" t="str">
        <f ca="1">IFERROR(__xludf.DUMMYFUNCTION("""COMPUTED_VALUE"""),"Muleya")</f>
        <v>Muleya</v>
      </c>
      <c r="C2" s="4" t="str">
        <f ca="1">IFERROR(__xludf.DUMMYFUNCTION("""COMPUTED_VALUE"""),"M")</f>
        <v>M</v>
      </c>
      <c r="D2" s="4"/>
      <c r="E2" s="4" t="str">
        <f ca="1">IFERROR(__xludf.DUMMYFUNCTION("""COMPUTED_VALUE"""),"0724151779")</f>
        <v>0724151779</v>
      </c>
      <c r="F2" s="4" t="str">
        <f ca="1">IFERROR(__xludf.DUMMYFUNCTION("""COMPUTED_VALUE"""),"Muleyamn@gmail.com")</f>
        <v>Muleyamn@gmail.com</v>
      </c>
      <c r="G2" s="4" t="str">
        <f ca="1">IFERROR(__xludf.DUMMYFUNCTION("""COMPUTED_VALUE"""),"Student should register and pass the following modules i.e. ISY34AB and IDC30BE in 2022 Academic Year.")</f>
        <v>Student should register and pass the following modules i.e. ISY34AB and IDC30BE in 2022 Academic Year.</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opLeftCell="A2" workbookViewId="0">
      <selection activeCell="I4" sqref="I4"/>
    </sheetView>
  </sheetViews>
  <sheetFormatPr defaultRowHeight="15"/>
  <cols>
    <col min="1" max="1" width="18.7109375" customWidth="1"/>
    <col min="2" max="2" width="16.5703125" customWidth="1"/>
    <col min="4" max="4" width="18.85546875" customWidth="1"/>
    <col min="5" max="5" width="17.42578125" customWidth="1"/>
    <col min="6" max="6" width="24.140625" customWidth="1"/>
    <col min="7" max="7" width="38.28515625" customWidth="1"/>
    <col min="8" max="8" width="18.42578125" customWidth="1"/>
    <col min="9" max="9" width="29.28515625" customWidth="1"/>
    <col min="10" max="10" width="16.7109375" customWidth="1"/>
    <col min="11" max="11" width="18.28515625" customWidth="1"/>
    <col min="12" max="12" width="22.42578125" customWidth="1"/>
    <col min="13" max="13" width="19.5703125" customWidth="1"/>
  </cols>
  <sheetData>
    <row r="1" spans="1:13" ht="45.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5.75" customHeight="1">
      <c r="A2" s="234">
        <f ca="1">IFERROR(__xludf.DUMMYFUNCTION("""COMPUTED_VALUE"""),219516681)</f>
        <v>219516681</v>
      </c>
      <c r="B2" s="234" t="str">
        <f ca="1">IFERROR(__xludf.DUMMYFUNCTION("""COMPUTED_VALUE"""),"Balazi")</f>
        <v>Balazi</v>
      </c>
      <c r="C2" s="234" t="s">
        <v>551</v>
      </c>
      <c r="D2" s="82" t="s">
        <v>367</v>
      </c>
      <c r="E2" s="234" t="str">
        <f ca="1">IFERROR(__xludf.DUMMYFUNCTION("""COMPUTED_VALUE"""),"0637021767")</f>
        <v>0637021767</v>
      </c>
      <c r="F2" s="234" t="str">
        <f ca="1">IFERROR(__xludf.DUMMYFUNCTION("""COMPUTED_VALUE"""),"219516681@tut4life.ac.za")</f>
        <v>219516681@tut4life.ac.za</v>
      </c>
      <c r="G2" s="234" t="s">
        <v>552</v>
      </c>
      <c r="H2" t="s">
        <v>401</v>
      </c>
    </row>
    <row r="3" spans="1:13" ht="77.25">
      <c r="A3" s="88">
        <v>216127102</v>
      </c>
      <c r="B3" s="88" t="str">
        <f ca="1">IFERROR(__xludf.DUMMYFUNCTION("""COMPUTED_VALUE"""),"Segafa")</f>
        <v>Segafa</v>
      </c>
      <c r="C3" s="88" t="str">
        <f ca="1">IFERROR(__xludf.DUMMYFUNCTION("""COMPUTED_VALUE"""),"ME")</f>
        <v>ME</v>
      </c>
      <c r="D3" s="88"/>
      <c r="E3" s="88" t="str">
        <f ca="1">IFERROR(__xludf.DUMMYFUNCTION("""COMPUTED_VALUE"""),"082 095 1689 ")</f>
        <v xml:space="preserve">082 095 1689 </v>
      </c>
      <c r="F3" s="88" t="str">
        <f ca="1">IFERROR(__xludf.DUMMYFUNCTION("""COMPUTED_VALUE"""),"ellenmatshele@gmail.com")</f>
        <v>ellenmatshele@gmail.com</v>
      </c>
      <c r="G3" s="88"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t="s">
        <v>401</v>
      </c>
    </row>
    <row r="4" spans="1:13" ht="77.25">
      <c r="A4" s="86">
        <f ca="1">IFERROR(__xludf.DUMMYFUNCTION("""COMPUTED_VALUE"""),216628322)</f>
        <v>216628322</v>
      </c>
      <c r="B4" s="86" t="str">
        <f ca="1">IFERROR(__xludf.DUMMYFUNCTION("""COMPUTED_VALUE"""),"mdaka")</f>
        <v>mdaka</v>
      </c>
      <c r="C4" s="86" t="str">
        <f ca="1">IFERROR(__xludf.DUMMYFUNCTION("""COMPUTED_VALUE"""),"ns")</f>
        <v>ns</v>
      </c>
      <c r="D4" s="86"/>
      <c r="E4" s="86" t="str">
        <f ca="1">IFERROR(__xludf.DUMMYFUNCTION("""COMPUTED_VALUE"""),"0678326413")</f>
        <v>0678326413</v>
      </c>
      <c r="F4" s="86" t="str">
        <f ca="1">IFERROR(__xludf.DUMMYFUNCTION("""COMPUTED_VALUE"""),"ngobsberry@gmail.com")</f>
        <v>ngobsberry@gmail.com</v>
      </c>
      <c r="G4" s="86"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4" t="s">
        <v>401</v>
      </c>
    </row>
    <row r="5" spans="1:13" ht="64.5">
      <c r="A5" s="86">
        <f ca="1">IFERROR(__xludf.DUMMYFUNCTION("""COMPUTED_VALUE"""),218121519)</f>
        <v>218121519</v>
      </c>
      <c r="B5" s="86" t="str">
        <f ca="1">IFERROR(__xludf.DUMMYFUNCTION("""COMPUTED_VALUE"""),"Ntapane")</f>
        <v>Ntapane</v>
      </c>
      <c r="C5" s="86" t="str">
        <f ca="1">IFERROR(__xludf.DUMMYFUNCTION("""COMPUTED_VALUE"""),"L")</f>
        <v>L</v>
      </c>
      <c r="D5" s="86"/>
      <c r="E5" s="86" t="str">
        <f ca="1">IFERROR(__xludf.DUMMYFUNCTION("""COMPUTED_VALUE"""),"0655942592")</f>
        <v>0655942592</v>
      </c>
      <c r="F5" s="86" t="str">
        <f ca="1">IFERROR(__xludf.DUMMYFUNCTION("""COMPUTED_VALUE"""),"218121519@tut4life.ac.za")</f>
        <v>218121519@tut4life.ac.za</v>
      </c>
      <c r="G5"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5" t="s">
        <v>401</v>
      </c>
    </row>
    <row r="6" spans="1:13" ht="39">
      <c r="A6" s="26">
        <v>218499228</v>
      </c>
      <c r="B6" s="50" t="s">
        <v>10</v>
      </c>
      <c r="C6" s="50" t="s">
        <v>10</v>
      </c>
      <c r="D6" s="22"/>
      <c r="E6" s="26" t="s">
        <v>10</v>
      </c>
      <c r="F6" s="50" t="s">
        <v>10</v>
      </c>
      <c r="G6" s="51" t="s">
        <v>473</v>
      </c>
      <c r="H6" t="s">
        <v>411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D1" workbookViewId="0">
      <selection activeCell="I1" sqref="I1:N1"/>
    </sheetView>
  </sheetViews>
  <sheetFormatPr defaultRowHeight="15"/>
  <cols>
    <col min="1" max="1" width="19.85546875" customWidth="1"/>
    <col min="2" max="2" width="15.85546875" customWidth="1"/>
    <col min="4" max="4" width="18" customWidth="1"/>
    <col min="5" max="5" width="16.140625" customWidth="1"/>
    <col min="6" max="6" width="25.140625" customWidth="1"/>
    <col min="7" max="8" width="42.42578125" customWidth="1"/>
    <col min="9" max="9" width="22.28515625" customWidth="1"/>
    <col min="10" max="10" width="30.28515625" customWidth="1"/>
    <col min="11" max="11" width="19" customWidth="1"/>
    <col min="12" max="12" width="18.7109375" customWidth="1"/>
    <col min="13" max="13" width="23.140625" customWidth="1"/>
    <col min="14" max="14" width="16.5703125" customWidth="1"/>
  </cols>
  <sheetData>
    <row r="1" spans="1:14" ht="47.25" customHeight="1">
      <c r="A1" s="1" t="s">
        <v>0</v>
      </c>
      <c r="B1" s="1" t="s">
        <v>1</v>
      </c>
      <c r="C1" s="1" t="s">
        <v>2</v>
      </c>
      <c r="D1" s="1" t="s">
        <v>3</v>
      </c>
      <c r="E1" s="1" t="s">
        <v>4</v>
      </c>
      <c r="F1" s="1" t="s">
        <v>5</v>
      </c>
      <c r="G1" s="1" t="s">
        <v>6</v>
      </c>
      <c r="H1" s="67" t="s">
        <v>595</v>
      </c>
      <c r="I1" s="202" t="s">
        <v>391</v>
      </c>
      <c r="J1" s="202" t="s">
        <v>392</v>
      </c>
      <c r="K1" s="202" t="s">
        <v>393</v>
      </c>
      <c r="L1" s="202" t="s">
        <v>394</v>
      </c>
      <c r="M1" s="227" t="s">
        <v>395</v>
      </c>
      <c r="N1" s="202" t="s">
        <v>396</v>
      </c>
    </row>
    <row r="2" spans="1:14" ht="99.75" customHeight="1">
      <c r="A2" s="2">
        <f ca="1">IFERROR(__xludf.DUMMYFUNCTION("""COMPUTED_VALUE"""),219516681)</f>
        <v>219516681</v>
      </c>
      <c r="B2" s="2" t="str">
        <f ca="1">IFERROR(__xludf.DUMMYFUNCTION("""COMPUTED_VALUE"""),"Balazi")</f>
        <v>Balazi</v>
      </c>
      <c r="C2" s="2" t="s">
        <v>551</v>
      </c>
      <c r="D2" s="3" t="s">
        <v>357</v>
      </c>
      <c r="E2" s="2" t="str">
        <f ca="1">IFERROR(__xludf.DUMMYFUNCTION("""COMPUTED_VALUE"""),"0637021767")</f>
        <v>0637021767</v>
      </c>
      <c r="F2" s="2" t="str">
        <f ca="1">IFERROR(__xludf.DUMMYFUNCTION("""COMPUTED_VALUE"""),"219516681@tut4life.ac.za")</f>
        <v>219516681@tut4life.ac.za</v>
      </c>
      <c r="G2" s="2" t="s">
        <v>552</v>
      </c>
      <c r="H2" s="5"/>
      <c r="I2" t="s">
        <v>596</v>
      </c>
      <c r="K2" t="s">
        <v>597</v>
      </c>
    </row>
    <row r="3" spans="1:14" s="87" customFormat="1" ht="64.5">
      <c r="A3" s="86">
        <f ca="1">IFERROR(__xludf.DUMMYFUNCTION("""COMPUTED_VALUE"""),217334861)</f>
        <v>217334861</v>
      </c>
      <c r="B3" s="86" t="str">
        <f ca="1">IFERROR(__xludf.DUMMYFUNCTION("""COMPUTED_VALUE"""),"Nyawo")</f>
        <v>Nyawo</v>
      </c>
      <c r="C3" s="86" t="str">
        <f ca="1">IFERROR(__xludf.DUMMYFUNCTION("""COMPUTED_VALUE"""),"AP")</f>
        <v>AP</v>
      </c>
      <c r="D3" s="86"/>
      <c r="E3" s="86" t="str">
        <f ca="1">IFERROR(__xludf.DUMMYFUNCTION("""COMPUTED_VALUE"""),"0721965595")</f>
        <v>0721965595</v>
      </c>
      <c r="F3" s="86" t="str">
        <f ca="1">IFERROR(__xludf.DUMMYFUNCTION("""COMPUTED_VALUE"""),"phumelele013@gmail.com")</f>
        <v>phumelele013@gmail.com</v>
      </c>
      <c r="G3"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3" s="156" t="s">
        <v>598</v>
      </c>
      <c r="I3" s="87" t="s">
        <v>599</v>
      </c>
      <c r="K3" s="87" t="s">
        <v>597</v>
      </c>
    </row>
    <row r="4" spans="1:14" ht="64.5">
      <c r="A4" s="4">
        <f ca="1">IFERROR(__xludf.DUMMYFUNCTION("""COMPUTED_VALUE"""),218597130)</f>
        <v>218597130</v>
      </c>
      <c r="B4" s="4" t="str">
        <f ca="1">IFERROR(__xludf.DUMMYFUNCTION("""COMPUTED_VALUE"""),"TSHIHATU ")</f>
        <v xml:space="preserve">TSHIHATU </v>
      </c>
      <c r="C4" s="4" t="str">
        <f ca="1">IFERROR(__xludf.DUMMYFUNCTION("""COMPUTED_VALUE"""),"P")</f>
        <v>P</v>
      </c>
      <c r="D4" s="4"/>
      <c r="E4" s="4" t="str">
        <f ca="1">IFERROR(__xludf.DUMMYFUNCTION("""COMPUTED_VALUE"""),"0788736430")</f>
        <v>0788736430</v>
      </c>
      <c r="F4" s="4" t="str">
        <f ca="1">IFERROR(__xludf.DUMMYFUNCTION("""COMPUTED_VALUE"""),"pfarelotshihatu@gmail.com")</f>
        <v>pfarelotshihatu@gmail.com</v>
      </c>
      <c r="G4"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4" s="5"/>
      <c r="I4" t="s">
        <v>596</v>
      </c>
      <c r="K4" t="s">
        <v>597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H1" sqref="H1:M1"/>
    </sheetView>
  </sheetViews>
  <sheetFormatPr defaultRowHeight="15"/>
  <cols>
    <col min="1" max="1" width="16.140625" customWidth="1"/>
    <col min="2" max="2" width="18.85546875" customWidth="1"/>
    <col min="3" max="3" width="10.7109375" customWidth="1"/>
    <col min="4" max="4" width="18.140625" customWidth="1"/>
    <col min="5" max="5" width="18.85546875" customWidth="1"/>
    <col min="6" max="6" width="23.42578125" customWidth="1"/>
    <col min="7" max="7" width="38.7109375" customWidth="1"/>
    <col min="8" max="8" width="20.42578125" customWidth="1"/>
    <col min="9" max="9" width="28.5703125" customWidth="1"/>
    <col min="10" max="11" width="20.140625" customWidth="1"/>
    <col min="12" max="12" width="23.42578125" customWidth="1"/>
    <col min="13" max="13" width="18.85546875" customWidth="1"/>
  </cols>
  <sheetData>
    <row r="1" spans="1:13" ht="46.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9.5" customHeight="1">
      <c r="A2" s="2">
        <f ca="1">IFERROR(__xludf.DUMMYFUNCTION("""COMPUTED_VALUE"""),219516681)</f>
        <v>219516681</v>
      </c>
      <c r="B2" s="2" t="str">
        <f ca="1">IFERROR(__xludf.DUMMYFUNCTION("""COMPUTED_VALUE"""),"Balazi")</f>
        <v>Balazi</v>
      </c>
      <c r="C2" s="2" t="s">
        <v>551</v>
      </c>
      <c r="D2" s="3" t="s">
        <v>333</v>
      </c>
      <c r="E2" s="2" t="str">
        <f ca="1">IFERROR(__xludf.DUMMYFUNCTION("""COMPUTED_VALUE"""),"0637021767")</f>
        <v>0637021767</v>
      </c>
      <c r="F2" s="2" t="str">
        <f ca="1">IFERROR(__xludf.DUMMYFUNCTION("""COMPUTED_VALUE"""),"219516681@tut4life.ac.za")</f>
        <v>219516681@tut4life.ac.za</v>
      </c>
      <c r="G2" s="2" t="s">
        <v>552</v>
      </c>
    </row>
    <row r="3" spans="1:13" ht="77.25">
      <c r="A3" s="86">
        <v>216127102</v>
      </c>
      <c r="B3" s="88" t="str">
        <f ca="1">IFERROR(__xludf.DUMMYFUNCTION("""COMPUTED_VALUE"""),"Segafa")</f>
        <v>Segafa</v>
      </c>
      <c r="C3" s="88" t="str">
        <f ca="1">IFERROR(__xludf.DUMMYFUNCTION("""COMPUTED_VALUE"""),"ME")</f>
        <v>ME</v>
      </c>
      <c r="D3" s="88"/>
      <c r="E3" s="88" t="str">
        <f ca="1">IFERROR(__xludf.DUMMYFUNCTION("""COMPUTED_VALUE"""),"082 095 1689 ")</f>
        <v xml:space="preserve">082 095 1689 </v>
      </c>
      <c r="F3" s="88" t="str">
        <f ca="1">IFERROR(__xludf.DUMMYFUNCTION("""COMPUTED_VALUE"""),"ellenmatshele@gmail.com")</f>
        <v>ellenmatshele@gmail.com</v>
      </c>
      <c r="G3" s="88"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row>
    <row r="4" spans="1:13" ht="77.25">
      <c r="A4" s="4">
        <f ca="1">IFERROR(__xludf.DUMMYFUNCTION("""COMPUTED_VALUE"""),216628322)</f>
        <v>216628322</v>
      </c>
      <c r="B4" s="4" t="str">
        <f ca="1">IFERROR(__xludf.DUMMYFUNCTION("""COMPUTED_VALUE"""),"mdaka")</f>
        <v>mdaka</v>
      </c>
      <c r="C4" s="4" t="str">
        <f ca="1">IFERROR(__xludf.DUMMYFUNCTION("""COMPUTED_VALUE"""),"ns")</f>
        <v>ns</v>
      </c>
      <c r="D4" s="4"/>
      <c r="E4" s="4" t="str">
        <f ca="1">IFERROR(__xludf.DUMMYFUNCTION("""COMPUTED_VALUE"""),"0678326413")</f>
        <v>0678326413</v>
      </c>
      <c r="F4" s="4" t="str">
        <f ca="1">IFERROR(__xludf.DUMMYFUNCTION("""COMPUTED_VALUE"""),"ngobsberry@gmail.com")</f>
        <v>ngobsberry@gmail.com</v>
      </c>
      <c r="G4"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5" spans="1:13" ht="51.75">
      <c r="A5" s="86">
        <f ca="1">IFERROR(__xludf.DUMMYFUNCTION("""COMPUTED_VALUE"""),218205917)</f>
        <v>218205917</v>
      </c>
      <c r="B5" s="86" t="str">
        <f ca="1">IFERROR(__xludf.DUMMYFUNCTION("""COMPUTED_VALUE"""),"Majalle")</f>
        <v>Majalle</v>
      </c>
      <c r="C5" s="86" t="str">
        <f ca="1">IFERROR(__xludf.DUMMYFUNCTION("""COMPUTED_VALUE"""),"LG")</f>
        <v>LG</v>
      </c>
      <c r="D5" s="86"/>
      <c r="E5" s="86" t="str">
        <f ca="1">IFERROR(__xludf.DUMMYFUNCTION("""COMPUTED_VALUE"""),"0737074314")</f>
        <v>0737074314</v>
      </c>
      <c r="F5" s="86" t="str">
        <f ca="1">IFERROR(__xludf.DUMMYFUNCTION("""COMPUTED_VALUE"""),"lgmajalle@gmail.com")</f>
        <v>lgmajalle@gmail.com</v>
      </c>
      <c r="G5" s="86"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row>
    <row r="6" spans="1:13" ht="51.75">
      <c r="A6" s="4">
        <f ca="1">IFERROR(__xludf.DUMMYFUNCTION("""COMPUTED_VALUE"""),219159137)</f>
        <v>219159137</v>
      </c>
      <c r="B6" s="4" t="str">
        <f ca="1">IFERROR(__xludf.DUMMYFUNCTION("""COMPUTED_VALUE"""),"Nontsibongo")</f>
        <v>Nontsibongo</v>
      </c>
      <c r="C6" s="4" t="str">
        <f ca="1">IFERROR(__xludf.DUMMYFUNCTION("""COMPUTED_VALUE"""),"S")</f>
        <v>S</v>
      </c>
      <c r="D6" s="4"/>
      <c r="E6" s="4" t="str">
        <f ca="1">IFERROR(__xludf.DUMMYFUNCTION("""COMPUTED_VALUE"""),"0785221806")</f>
        <v>0785221806</v>
      </c>
      <c r="F6" s="4" t="str">
        <f ca="1">IFERROR(__xludf.DUMMYFUNCTION("""COMPUTED_VALUE"""),"sinovuyondlela98@gmail.com")</f>
        <v>sinovuyondlela98@gmail.com</v>
      </c>
      <c r="G6"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row>
    <row r="7" spans="1:13" ht="64.5">
      <c r="A7" s="86">
        <f ca="1">IFERROR(__xludf.DUMMYFUNCTION("""COMPUTED_VALUE"""),219114648)</f>
        <v>219114648</v>
      </c>
      <c r="B7" s="86" t="str">
        <f ca="1">IFERROR(__xludf.DUMMYFUNCTION("""COMPUTED_VALUE"""),"Ramango ")</f>
        <v xml:space="preserve">Ramango </v>
      </c>
      <c r="C7" s="86" t="str">
        <f ca="1">IFERROR(__xludf.DUMMYFUNCTION("""COMPUTED_VALUE"""),"T.U")</f>
        <v>T.U</v>
      </c>
      <c r="D7" s="86"/>
      <c r="E7" s="86" t="str">
        <f ca="1">IFERROR(__xludf.DUMMYFUNCTION("""COMPUTED_VALUE"""),"0762384765")</f>
        <v>0762384765</v>
      </c>
      <c r="F7" s="86" t="str">
        <f ca="1">IFERROR(__xludf.DUMMYFUNCTION("""COMPUTED_VALUE"""),"unitymessina@gmail.com")</f>
        <v>unitymessina@gmail.com</v>
      </c>
      <c r="G7"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row>
    <row r="8" spans="1:13" ht="64.5">
      <c r="A8" s="4">
        <f ca="1">IFERROR(__xludf.DUMMYFUNCTION("""COMPUTED_VALUE"""),219502028)</f>
        <v>219502028</v>
      </c>
      <c r="B8" s="4" t="str">
        <f ca="1">IFERROR(__xludf.DUMMYFUNCTION("""COMPUTED_VALUE"""),"Khange")</f>
        <v>Khange</v>
      </c>
      <c r="C8" s="4" t="str">
        <f ca="1">IFERROR(__xludf.DUMMYFUNCTION("""COMPUTED_VALUE"""),"Ndugiselo")</f>
        <v>Ndugiselo</v>
      </c>
      <c r="D8" s="4"/>
      <c r="E8" s="4" t="str">
        <f ca="1">IFERROR(__xludf.DUMMYFUNCTION("""COMPUTED_VALUE"""),"+27725623726")</f>
        <v>+27725623726</v>
      </c>
      <c r="F8" s="4" t="str">
        <f ca="1">IFERROR(__xludf.DUMMYFUNCTION("""COMPUTED_VALUE"""),"ndugiseloaustin@gmail.com")</f>
        <v>ndugiseloaustin@gmail.com</v>
      </c>
      <c r="G8" s="4"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row>
    <row r="9" spans="1:13" ht="64.5">
      <c r="A9" s="4">
        <f ca="1">IFERROR(__xludf.DUMMYFUNCTION("""COMPUTED_VALUE"""),218315780)</f>
        <v>218315780</v>
      </c>
      <c r="B9" s="4" t="str">
        <f ca="1">IFERROR(__xludf.DUMMYFUNCTION("""COMPUTED_VALUE"""),"Mashwama ")</f>
        <v xml:space="preserve">Mashwama </v>
      </c>
      <c r="C9" s="4" t="str">
        <f ca="1">IFERROR(__xludf.DUMMYFUNCTION("""COMPUTED_VALUE"""),"BH")</f>
        <v>BH</v>
      </c>
      <c r="D9" s="4"/>
      <c r="E9" s="4" t="str">
        <f ca="1">IFERROR(__xludf.DUMMYFUNCTION("""COMPUTED_VALUE"""),"714609774")</f>
        <v>714609774</v>
      </c>
      <c r="F9" s="4" t="str">
        <f ca="1">IFERROR(__xludf.DUMMYFUNCTION("""COMPUTED_VALUE"""),"218315780@tut4life.ac.za")</f>
        <v>218315780@tut4life.ac.za</v>
      </c>
      <c r="G9" s="4"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row>
    <row r="10" spans="1:13" ht="64.5">
      <c r="A10" s="85">
        <f ca="1">IFERROR(__xludf.DUMMYFUNCTION("""COMPUTED_VALUE"""),218595782)</f>
        <v>218595782</v>
      </c>
      <c r="B10" s="85" t="str">
        <f ca="1">IFERROR(__xludf.DUMMYFUNCTION("""COMPUTED_VALUE"""),"Masingi ")</f>
        <v xml:space="preserve">Masingi </v>
      </c>
      <c r="C10" s="85" t="str">
        <f ca="1">IFERROR(__xludf.DUMMYFUNCTION("""COMPUTED_VALUE"""),"A")</f>
        <v>A</v>
      </c>
      <c r="D10" s="85"/>
      <c r="E10" s="85" t="str">
        <f ca="1">IFERROR(__xludf.DUMMYFUNCTION("""COMPUTED_VALUE"""),"0603364048")</f>
        <v>0603364048</v>
      </c>
      <c r="F10" s="85" t="str">
        <f ca="1">IFERROR(__xludf.DUMMYFUNCTION("""COMPUTED_VALUE"""),"auberdinho11@gmail.com")</f>
        <v>auberdinho11@gmail.com</v>
      </c>
      <c r="G10"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row>
    <row r="11" spans="1:13" ht="64.5">
      <c r="A11" s="4">
        <f ca="1">IFERROR(__xludf.DUMMYFUNCTION("""COMPUTED_VALUE"""),218672094)</f>
        <v>218672094</v>
      </c>
      <c r="B11" s="4" t="str">
        <f ca="1">IFERROR(__xludf.DUMMYFUNCTION("""COMPUTED_VALUE"""),"Sibisi")</f>
        <v>Sibisi</v>
      </c>
      <c r="C11" s="4" t="str">
        <f ca="1">IFERROR(__xludf.DUMMYFUNCTION("""COMPUTED_VALUE"""),"Q")</f>
        <v>Q</v>
      </c>
      <c r="D11" s="4"/>
      <c r="E11" s="4" t="str">
        <f ca="1">IFERROR(__xludf.DUMMYFUNCTION("""COMPUTED_VALUE"""),"0818206858")</f>
        <v>0818206858</v>
      </c>
      <c r="F11" s="4" t="str">
        <f ca="1">IFERROR(__xludf.DUMMYFUNCTION("""COMPUTED_VALUE"""),"qinisani97@gmail.com")</f>
        <v>qinisani97@gmail.com</v>
      </c>
      <c r="G11"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1" sqref="H1:M1"/>
    </sheetView>
  </sheetViews>
  <sheetFormatPr defaultRowHeight="15"/>
  <cols>
    <col min="1" max="1" width="19.5703125" customWidth="1"/>
    <col min="2" max="2" width="13.28515625" customWidth="1"/>
    <col min="4" max="4" width="17.42578125" customWidth="1"/>
    <col min="5" max="5" width="19.42578125" customWidth="1"/>
    <col min="6" max="6" width="24.5703125" customWidth="1"/>
    <col min="7" max="7" width="45.42578125" customWidth="1"/>
    <col min="8" max="8" width="18.85546875" customWidth="1"/>
    <col min="9" max="9" width="28.85546875" customWidth="1"/>
    <col min="10" max="11" width="19.42578125" customWidth="1"/>
    <col min="12" max="12" width="25.7109375" customWidth="1"/>
    <col min="13" max="13" width="17.5703125" customWidth="1"/>
  </cols>
  <sheetData>
    <row r="1" spans="1:13" ht="47.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4.5" customHeight="1">
      <c r="A2" s="2">
        <f ca="1">IFERROR(__xludf.DUMMYFUNCTION("""COMPUTED_VALUE"""),219516681)</f>
        <v>219516681</v>
      </c>
      <c r="B2" s="2" t="str">
        <f ca="1">IFERROR(__xludf.DUMMYFUNCTION("""COMPUTED_VALUE"""),"Balazi")</f>
        <v>Balazi</v>
      </c>
      <c r="C2" s="2" t="s">
        <v>551</v>
      </c>
      <c r="D2" s="3" t="s">
        <v>315</v>
      </c>
      <c r="E2" s="2" t="str">
        <f ca="1">IFERROR(__xludf.DUMMYFUNCTION("""COMPUTED_VALUE"""),"0637021767")</f>
        <v>0637021767</v>
      </c>
      <c r="F2" s="2" t="str">
        <f ca="1">IFERROR(__xludf.DUMMYFUNCTION("""COMPUTED_VALUE"""),"219516681@tut4life.ac.za")</f>
        <v>219516681@tut4life.ac.za</v>
      </c>
      <c r="G2" s="2" t="s">
        <v>552</v>
      </c>
    </row>
    <row r="3" spans="1:13" ht="64.5">
      <c r="A3" s="4">
        <f ca="1">IFERROR(__xludf.DUMMYFUNCTION("""COMPUTED_VALUE"""),216628322)</f>
        <v>216628322</v>
      </c>
      <c r="B3" s="4" t="str">
        <f ca="1">IFERROR(__xludf.DUMMYFUNCTION("""COMPUTED_VALUE"""),"mdaka")</f>
        <v>mdaka</v>
      </c>
      <c r="C3" s="4" t="str">
        <f ca="1">IFERROR(__xludf.DUMMYFUNCTION("""COMPUTED_VALUE"""),"ns")</f>
        <v>ns</v>
      </c>
      <c r="D3" s="4"/>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4" spans="1:13" ht="64.5">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row>
    <row r="5" spans="1:13" ht="39">
      <c r="A5" s="86">
        <f ca="1">IFERROR(__xludf.DUMMYFUNCTION("""COMPUTED_VALUE"""),218205917)</f>
        <v>218205917</v>
      </c>
      <c r="B5" s="86" t="str">
        <f ca="1">IFERROR(__xludf.DUMMYFUNCTION("""COMPUTED_VALUE"""),"Majalle")</f>
        <v>Majalle</v>
      </c>
      <c r="C5" s="86" t="str">
        <f ca="1">IFERROR(__xludf.DUMMYFUNCTION("""COMPUTED_VALUE"""),"LG")</f>
        <v>LG</v>
      </c>
      <c r="D5" s="86"/>
      <c r="E5" s="86" t="str">
        <f ca="1">IFERROR(__xludf.DUMMYFUNCTION("""COMPUTED_VALUE"""),"0737074314")</f>
        <v>0737074314</v>
      </c>
      <c r="F5" s="86" t="str">
        <f ca="1">IFERROR(__xludf.DUMMYFUNCTION("""COMPUTED_VALUE"""),"lgmajalle@gmail.com")</f>
        <v>lgmajalle@gmail.com</v>
      </c>
      <c r="G5" s="86"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row>
    <row r="6" spans="1:13" ht="51.75">
      <c r="A6" s="86">
        <f ca="1">IFERROR(__xludf.DUMMYFUNCTION("""COMPUTED_VALUE"""),219114648)</f>
        <v>219114648</v>
      </c>
      <c r="B6" s="86" t="str">
        <f ca="1">IFERROR(__xludf.DUMMYFUNCTION("""COMPUTED_VALUE"""),"Ramango ")</f>
        <v xml:space="preserve">Ramango </v>
      </c>
      <c r="C6" s="86" t="str">
        <f ca="1">IFERROR(__xludf.DUMMYFUNCTION("""COMPUTED_VALUE"""),"T.U")</f>
        <v>T.U</v>
      </c>
      <c r="D6" s="86"/>
      <c r="E6" s="86" t="str">
        <f ca="1">IFERROR(__xludf.DUMMYFUNCTION("""COMPUTED_VALUE"""),"0762384765")</f>
        <v>0762384765</v>
      </c>
      <c r="F6" s="86" t="str">
        <f ca="1">IFERROR(__xludf.DUMMYFUNCTION("""COMPUTED_VALUE"""),"unitymessina@gmail.com")</f>
        <v>unitymessina@gmail.com</v>
      </c>
      <c r="G6"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row>
    <row r="7" spans="1:13" ht="90">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8" spans="1:13" ht="51.75">
      <c r="A8" s="86">
        <f ca="1">IFERROR(__xludf.DUMMYFUNCTION("""COMPUTED_VALUE"""),219205902)</f>
        <v>219205902</v>
      </c>
      <c r="B8" s="86" t="str">
        <f ca="1">IFERROR(__xludf.DUMMYFUNCTION("""COMPUTED_VALUE"""),"Mafologelo")</f>
        <v>Mafologelo</v>
      </c>
      <c r="C8" s="86" t="str">
        <f ca="1">IFERROR(__xludf.DUMMYFUNCTION("""COMPUTED_VALUE"""),"P")</f>
        <v>P</v>
      </c>
      <c r="D8" s="86"/>
      <c r="E8" s="86" t="str">
        <f ca="1">IFERROR(__xludf.DUMMYFUNCTION("""COMPUTED_VALUE"""),"0714515056")</f>
        <v>0714515056</v>
      </c>
      <c r="F8" s="86" t="str">
        <f ca="1">IFERROR(__xludf.DUMMYFUNCTION("""COMPUTED_VALUE"""),"pontsho5597@gmail.com")</f>
        <v>pontsho5597@gmail.com</v>
      </c>
      <c r="G8" s="86"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9" spans="1:13" ht="51.75">
      <c r="A9" s="4">
        <f ca="1">IFERROR(__xludf.DUMMYFUNCTION("""COMPUTED_VALUE"""),218597130)</f>
        <v>218597130</v>
      </c>
      <c r="B9" s="4" t="str">
        <f ca="1">IFERROR(__xludf.DUMMYFUNCTION("""COMPUTED_VALUE"""),"TSHIHATU ")</f>
        <v xml:space="preserve">TSHIHATU </v>
      </c>
      <c r="C9" s="4" t="str">
        <f ca="1">IFERROR(__xludf.DUMMYFUNCTION("""COMPUTED_VALUE"""),"P")</f>
        <v>P</v>
      </c>
      <c r="D9" s="4"/>
      <c r="E9" s="4" t="str">
        <f ca="1">IFERROR(__xludf.DUMMYFUNCTION("""COMPUTED_VALUE"""),"0788736430")</f>
        <v>0788736430</v>
      </c>
      <c r="F9" s="4" t="str">
        <f ca="1">IFERROR(__xludf.DUMMYFUNCTION("""COMPUTED_VALUE"""),"pfarelotshihatu@gmail.com")</f>
        <v>pfarelotshihatu@gmail.com</v>
      </c>
      <c r="G9"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row>
    <row r="10" spans="1:13" ht="51.75">
      <c r="A10" s="86">
        <f ca="1">IFERROR(__xludf.DUMMYFUNCTION("""COMPUTED_VALUE"""),219502028)</f>
        <v>219502028</v>
      </c>
      <c r="B10" s="86" t="str">
        <f ca="1">IFERROR(__xludf.DUMMYFUNCTION("""COMPUTED_VALUE"""),"Khange")</f>
        <v>Khange</v>
      </c>
      <c r="C10" s="86" t="str">
        <f ca="1">IFERROR(__xludf.DUMMYFUNCTION("""COMPUTED_VALUE"""),"Ndugiselo")</f>
        <v>Ndugiselo</v>
      </c>
      <c r="D10" s="86"/>
      <c r="E10" s="86" t="str">
        <f ca="1">IFERROR(__xludf.DUMMYFUNCTION("""COMPUTED_VALUE"""),"+27725623726")</f>
        <v>+27725623726</v>
      </c>
      <c r="F10" s="86" t="str">
        <f ca="1">IFERROR(__xludf.DUMMYFUNCTION("""COMPUTED_VALUE"""),"ndugiseloaustin@gmail.com")</f>
        <v>ndugiseloaustin@gmail.com</v>
      </c>
      <c r="G10" s="86"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row>
    <row r="11" spans="1:13" ht="51.75">
      <c r="A11" s="4">
        <f ca="1">IFERROR(__xludf.DUMMYFUNCTION("""COMPUTED_VALUE"""),220034372)</f>
        <v>220034372</v>
      </c>
      <c r="B11" s="4" t="str">
        <f ca="1">IFERROR(__xludf.DUMMYFUNCTION("""COMPUTED_VALUE"""),"Kekana")</f>
        <v>Kekana</v>
      </c>
      <c r="C11" s="4" t="str">
        <f ca="1">IFERROR(__xludf.DUMMYFUNCTION("""COMPUTED_VALUE"""),"L.P")</f>
        <v>L.P</v>
      </c>
      <c r="D11" s="4"/>
      <c r="E11" s="4" t="str">
        <f ca="1">IFERROR(__xludf.DUMMYFUNCTION("""COMPUTED_VALUE"""),"0607997164")</f>
        <v>0607997164</v>
      </c>
      <c r="F11" s="4" t="str">
        <f ca="1">IFERROR(__xludf.DUMMYFUNCTION("""COMPUTED_VALUE"""),"plesego334@gmail.com")</f>
        <v>plesego334@gmail.com</v>
      </c>
      <c r="G11"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row>
    <row r="12" spans="1:13" ht="51.75">
      <c r="A12" s="4">
        <f ca="1">IFERROR(__xludf.DUMMYFUNCTION("""COMPUTED_VALUE"""),218152155)</f>
        <v>218152155</v>
      </c>
      <c r="B12" s="4" t="str">
        <f ca="1">IFERROR(__xludf.DUMMYFUNCTION("""COMPUTED_VALUE"""),"Komape ")</f>
        <v xml:space="preserve">Komape </v>
      </c>
      <c r="C12" s="4" t="str">
        <f ca="1">IFERROR(__xludf.DUMMYFUNCTION("""COMPUTED_VALUE"""),"U")</f>
        <v>U</v>
      </c>
      <c r="D12" s="4"/>
      <c r="E12" s="4" t="str">
        <f ca="1">IFERROR(__xludf.DUMMYFUNCTION("""COMPUTED_VALUE"""),"0792765450")</f>
        <v>0792765450</v>
      </c>
      <c r="F12" s="4" t="str">
        <f ca="1">IFERROR(__xludf.DUMMYFUNCTION("""COMPUTED_VALUE"""),"218152155@tut4life.ac.za")</f>
        <v>218152155@tut4life.ac.za</v>
      </c>
      <c r="G12"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13" spans="1:13" ht="51.75">
      <c r="A13" s="86">
        <f ca="1">IFERROR(__xludf.DUMMYFUNCTION("""COMPUTED_VALUE"""),218315780)</f>
        <v>218315780</v>
      </c>
      <c r="B13" s="86" t="str">
        <f ca="1">IFERROR(__xludf.DUMMYFUNCTION("""COMPUTED_VALUE"""),"Mashwama ")</f>
        <v xml:space="preserve">Mashwama </v>
      </c>
      <c r="C13" s="86" t="str">
        <f ca="1">IFERROR(__xludf.DUMMYFUNCTION("""COMPUTED_VALUE"""),"BH")</f>
        <v>BH</v>
      </c>
      <c r="D13" s="86"/>
      <c r="E13" s="86" t="str">
        <f ca="1">IFERROR(__xludf.DUMMYFUNCTION("""COMPUTED_VALUE"""),"714609774")</f>
        <v>714609774</v>
      </c>
      <c r="F13" s="86" t="str">
        <f ca="1">IFERROR(__xludf.DUMMYFUNCTION("""COMPUTED_VALUE"""),"218315780@tut4life.ac.za")</f>
        <v>218315780@tut4life.ac.za</v>
      </c>
      <c r="G13"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row>
    <row r="14" spans="1:13" ht="51.75">
      <c r="A14" s="85">
        <f ca="1">IFERROR(__xludf.DUMMYFUNCTION("""COMPUTED_VALUE"""),218595782)</f>
        <v>218595782</v>
      </c>
      <c r="B14" s="85" t="str">
        <f ca="1">IFERROR(__xludf.DUMMYFUNCTION("""COMPUTED_VALUE"""),"Masingi ")</f>
        <v xml:space="preserve">Masingi </v>
      </c>
      <c r="C14" s="85" t="str">
        <f ca="1">IFERROR(__xludf.DUMMYFUNCTION("""COMPUTED_VALUE"""),"A")</f>
        <v>A</v>
      </c>
      <c r="D14" s="85"/>
      <c r="E14" s="85" t="str">
        <f ca="1">IFERROR(__xludf.DUMMYFUNCTION("""COMPUTED_VALUE"""),"0603364048")</f>
        <v>0603364048</v>
      </c>
      <c r="F14" s="85" t="str">
        <f ca="1">IFERROR(__xludf.DUMMYFUNCTION("""COMPUTED_VALUE"""),"auberdinho11@gmail.com")</f>
        <v>auberdinho11@gmail.com</v>
      </c>
      <c r="G14"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row>
    <row r="15" spans="1:13" ht="51.75">
      <c r="A15" s="4">
        <f ca="1">IFERROR(__xludf.DUMMYFUNCTION("""COMPUTED_VALUE"""),210237828)</f>
        <v>210237828</v>
      </c>
      <c r="B15" s="4" t="str">
        <f ca="1">IFERROR(__xludf.DUMMYFUNCTION("""COMPUTED_VALUE"""),"Mathabatha ")</f>
        <v xml:space="preserve">Mathabatha </v>
      </c>
      <c r="C15" s="4" t="str">
        <f ca="1">IFERROR(__xludf.DUMMYFUNCTION("""COMPUTED_VALUE"""),"MR")</f>
        <v>MR</v>
      </c>
      <c r="D15" s="4"/>
      <c r="E15" s="4" t="str">
        <f ca="1">IFERROR(__xludf.DUMMYFUNCTION("""COMPUTED_VALUE"""),"0826761645")</f>
        <v>0826761645</v>
      </c>
      <c r="F15" s="4" t="str">
        <f ca="1">IFERROR(__xludf.DUMMYFUNCTION("""COMPUTED_VALUE"""),"rhinemathabatha@gmail.com")</f>
        <v>rhinemathabatha@gmail.com</v>
      </c>
      <c r="G15"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16" spans="1:13" ht="51.75">
      <c r="A16" s="4">
        <f ca="1">IFERROR(__xludf.DUMMYFUNCTION("""COMPUTED_VALUE"""),214645971)</f>
        <v>214645971</v>
      </c>
      <c r="B16" s="4" t="str">
        <f ca="1">IFERROR(__xludf.DUMMYFUNCTION("""COMPUTED_VALUE"""),"Mncube ")</f>
        <v xml:space="preserve">Mncube </v>
      </c>
      <c r="C16" s="4" t="str">
        <f ca="1">IFERROR(__xludf.DUMMYFUNCTION("""COMPUTED_VALUE"""),"Z.A")</f>
        <v>Z.A</v>
      </c>
      <c r="D16" s="4"/>
      <c r="E16" s="4" t="str">
        <f ca="1">IFERROR(__xludf.DUMMYFUNCTION("""COMPUTED_VALUE"""),"0736580359")</f>
        <v>0736580359</v>
      </c>
      <c r="F16" s="4" t="str">
        <f ca="1">IFERROR(__xludf.DUMMYFUNCTION("""COMPUTED_VALUE"""),"214645971@tut4life.ac.za")</f>
        <v>214645971@tut4life.ac.za</v>
      </c>
      <c r="G16"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17" spans="1:7" ht="51.75">
      <c r="A17" s="4">
        <f ca="1">IFERROR(__xludf.DUMMYFUNCTION("""COMPUTED_VALUE"""),219390920)</f>
        <v>219390920</v>
      </c>
      <c r="B17" s="4" t="str">
        <f ca="1">IFERROR(__xludf.DUMMYFUNCTION("""COMPUTED_VALUE"""),"Rasemana")</f>
        <v>Rasemana</v>
      </c>
      <c r="C17" s="4" t="str">
        <f ca="1">IFERROR(__xludf.DUMMYFUNCTION("""COMPUTED_VALUE"""),"np")</f>
        <v>np</v>
      </c>
      <c r="D17" s="4"/>
      <c r="E17" s="4" t="str">
        <f ca="1">IFERROR(__xludf.DUMMYFUNCTION("""COMPUTED_VALUE"""),"0715849487")</f>
        <v>0715849487</v>
      </c>
      <c r="F17" s="4" t="str">
        <f ca="1">IFERROR(__xludf.DUMMYFUNCTION("""COMPUTED_VALUE"""),"penelopenkateko72@gmail.com")</f>
        <v>penelopenkateko72@gmail.com</v>
      </c>
      <c r="G17" s="4"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row>
    <row r="18" spans="1:7" ht="51.75">
      <c r="A18" s="4">
        <f ca="1">IFERROR(__xludf.DUMMYFUNCTION("""COMPUTED_VALUE"""),218672094)</f>
        <v>218672094</v>
      </c>
      <c r="B18" s="4" t="str">
        <f ca="1">IFERROR(__xludf.DUMMYFUNCTION("""COMPUTED_VALUE"""),"Sibisi")</f>
        <v>Sibisi</v>
      </c>
      <c r="C18" s="4" t="str">
        <f ca="1">IFERROR(__xludf.DUMMYFUNCTION("""COMPUTED_VALUE"""),"Q")</f>
        <v>Q</v>
      </c>
      <c r="D18" s="4"/>
      <c r="E18" s="4" t="str">
        <f ca="1">IFERROR(__xludf.DUMMYFUNCTION("""COMPUTED_VALUE"""),"0818206858")</f>
        <v>0818206858</v>
      </c>
      <c r="F18" s="4" t="str">
        <f ca="1">IFERROR(__xludf.DUMMYFUNCTION("""COMPUTED_VALUE"""),"qinisani97@gmail.com")</f>
        <v>qinisani97@gmail.com</v>
      </c>
      <c r="G18"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row r="19" spans="1:7" ht="39">
      <c r="A19" s="86">
        <f ca="1">IFERROR(__xludf.DUMMYFUNCTION("""COMPUTED_VALUE"""),216131550)</f>
        <v>216131550</v>
      </c>
      <c r="B19" s="86" t="str">
        <f ca="1">IFERROR(__xludf.DUMMYFUNCTION("""COMPUTED_VALUE"""),"Mafitshe")</f>
        <v>Mafitshe</v>
      </c>
      <c r="C19" s="86" t="str">
        <f ca="1">IFERROR(__xludf.DUMMYFUNCTION("""COMPUTED_VALUE"""),"NS")</f>
        <v>NS</v>
      </c>
      <c r="D19" s="86"/>
      <c r="E19" s="86" t="str">
        <f ca="1">IFERROR(__xludf.DUMMYFUNCTION("""COMPUTED_VALUE"""),"833905935")</f>
        <v>833905935</v>
      </c>
      <c r="F19" s="86" t="str">
        <f ca="1">IFERROR(__xludf.DUMMYFUNCTION("""COMPUTED_VALUE"""),"selby196@gmail.com")</f>
        <v>selby196@gmail.com</v>
      </c>
      <c r="G19" s="86" t="str">
        <f ca="1">IFERROR(__xludf.DUMMYFUNCTION("""COMPUTED_VALUE"""),"Student should register and pass the following modules i.e.  DSA20BT, IDC30AT and some 3rd year modules in 2022 Academic Year.")</f>
        <v>Student should register and pass the following modules i.e.  DSA20BT, IDC30AT and some 3rd year modules in 2022 Academic Year.</v>
      </c>
    </row>
    <row r="20" spans="1:7" ht="64.5">
      <c r="A20" s="4">
        <f ca="1">IFERROR(__xludf.DUMMYFUNCTION("""COMPUTED_VALUE"""),218412432)</f>
        <v>218412432</v>
      </c>
      <c r="B20" s="4" t="str">
        <f ca="1">IFERROR(__xludf.DUMMYFUNCTION("""COMPUTED_VALUE"""),"SEGOLOANE")</f>
        <v>SEGOLOANE</v>
      </c>
      <c r="C20" s="4" t="str">
        <f ca="1">IFERROR(__xludf.DUMMYFUNCTION("""COMPUTED_VALUE"""),"M")</f>
        <v>M</v>
      </c>
      <c r="D20" s="4"/>
      <c r="E20" s="4" t="str">
        <f ca="1">IFERROR(__xludf.DUMMYFUNCTION("""COMPUTED_VALUE"""),"+27793148421")</f>
        <v>+27793148421</v>
      </c>
      <c r="F20" s="4" t="str">
        <f ca="1">IFERROR(__xludf.DUMMYFUNCTION("""COMPUTED_VALUE"""),"Segoloanei@gmail.com")</f>
        <v>Segoloanei@gmail.com</v>
      </c>
      <c r="G20"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21" spans="1:7" ht="39">
      <c r="A21" s="18">
        <v>219939108</v>
      </c>
      <c r="B21" s="21" t="s">
        <v>10</v>
      </c>
      <c r="C21" s="21" t="s">
        <v>10</v>
      </c>
      <c r="D21" s="22"/>
      <c r="E21" s="23" t="s">
        <v>10</v>
      </c>
      <c r="F21" s="24" t="s">
        <v>495</v>
      </c>
      <c r="G21" s="25" t="s">
        <v>496</v>
      </c>
    </row>
    <row r="22" spans="1:7" ht="128.25">
      <c r="A22" s="52">
        <v>218086845</v>
      </c>
      <c r="B22" s="30" t="s">
        <v>10</v>
      </c>
      <c r="C22" s="30" t="s">
        <v>10</v>
      </c>
      <c r="D22" s="22"/>
      <c r="E22" s="41" t="s">
        <v>10</v>
      </c>
      <c r="F22" s="30" t="s">
        <v>10</v>
      </c>
      <c r="G22" s="51" t="s">
        <v>541</v>
      </c>
    </row>
    <row r="23" spans="1:7" ht="64.5">
      <c r="A23" s="52">
        <v>219548915</v>
      </c>
      <c r="B23" s="30" t="s">
        <v>10</v>
      </c>
      <c r="C23" s="30" t="s">
        <v>10</v>
      </c>
      <c r="D23" s="22"/>
      <c r="E23" s="41" t="s">
        <v>10</v>
      </c>
      <c r="F23" s="30" t="s">
        <v>10</v>
      </c>
      <c r="G23" s="51" t="s">
        <v>542</v>
      </c>
    </row>
  </sheetData>
  <hyperlinks>
    <hyperlink ref="F21"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sqref="A1:XFD1048576"/>
    </sheetView>
  </sheetViews>
  <sheetFormatPr defaultRowHeight="15"/>
  <cols>
    <col min="1" max="1" width="16.5703125" customWidth="1"/>
    <col min="2" max="2" width="15.7109375" customWidth="1"/>
    <col min="4" max="4" width="13" customWidth="1"/>
    <col min="5" max="5" width="16.7109375" customWidth="1"/>
    <col min="6" max="6" width="30.140625" customWidth="1"/>
    <col min="7" max="7" width="32.42578125" customWidth="1"/>
    <col min="8" max="8" width="24.140625" style="159" customWidth="1"/>
    <col min="9" max="9" width="21.7109375" style="159" customWidth="1"/>
    <col min="10" max="10" width="34.28515625" style="159" customWidth="1"/>
    <col min="11" max="11" width="18.28515625" style="159" customWidth="1"/>
    <col min="12" max="12" width="21.140625" customWidth="1"/>
    <col min="13" max="13" width="22" customWidth="1"/>
    <col min="14" max="14" width="21.140625" customWidth="1"/>
  </cols>
  <sheetData>
    <row r="1" spans="1:14" ht="42" customHeight="1">
      <c r="A1" s="1" t="s">
        <v>0</v>
      </c>
      <c r="B1" s="1" t="s">
        <v>1</v>
      </c>
      <c r="C1" s="1" t="s">
        <v>2</v>
      </c>
      <c r="D1" s="1" t="s">
        <v>3</v>
      </c>
      <c r="E1" s="1" t="s">
        <v>4</v>
      </c>
      <c r="F1" s="1" t="s">
        <v>5</v>
      </c>
      <c r="G1" s="166" t="s">
        <v>6</v>
      </c>
      <c r="H1" s="215" t="s">
        <v>600</v>
      </c>
      <c r="I1" s="202" t="s">
        <v>391</v>
      </c>
      <c r="J1" s="202" t="s">
        <v>392</v>
      </c>
      <c r="K1" s="202" t="s">
        <v>393</v>
      </c>
      <c r="L1" s="202" t="s">
        <v>394</v>
      </c>
      <c r="M1" s="227" t="s">
        <v>395</v>
      </c>
      <c r="N1" s="202" t="s">
        <v>396</v>
      </c>
    </row>
    <row r="2" spans="1:14" ht="96.75" customHeight="1">
      <c r="A2" s="4">
        <f ca="1">IFERROR(__xludf.DUMMYFUNCTION("""COMPUTED_VALUE"""),216842804)</f>
        <v>216842804</v>
      </c>
      <c r="B2" s="4" t="str">
        <f ca="1">IFERROR(__xludf.DUMMYFUNCTION("""COMPUTED_VALUE"""),"Mlahleki ")</f>
        <v xml:space="preserve">Mlahleki </v>
      </c>
      <c r="C2" s="4" t="str">
        <f ca="1">IFERROR(__xludf.DUMMYFUNCTION("""COMPUTED_VALUE"""),"AN")</f>
        <v>AN</v>
      </c>
      <c r="D2" s="3" t="s">
        <v>320</v>
      </c>
      <c r="E2" s="4" t="str">
        <f ca="1">IFERROR(__xludf.DUMMYFUNCTION("""COMPUTED_VALUE"""),"0723348630")</f>
        <v>0723348630</v>
      </c>
      <c r="F2" s="4" t="str">
        <f ca="1">IFERROR(__xludf.DUMMYFUNCTION("""COMPUTED_VALUE"""),"nhlanhlaauthority009@gmail.com")</f>
        <v>nhlanhlaauthority009@gmail.com</v>
      </c>
      <c r="G2" s="188" t="s">
        <v>404</v>
      </c>
      <c r="H2" s="169"/>
      <c r="I2" s="169" t="s">
        <v>403</v>
      </c>
      <c r="J2" s="169"/>
      <c r="K2" s="159" t="s">
        <v>401</v>
      </c>
    </row>
    <row r="3" spans="1:14" s="87" customFormat="1" ht="58.5" customHeight="1">
      <c r="A3" s="86">
        <f ca="1">IFERROR(__xludf.DUMMYFUNCTION("""COMPUTED_VALUE"""),217525357)</f>
        <v>217525357</v>
      </c>
      <c r="B3" s="86" t="str">
        <f ca="1">IFERROR(__xludf.DUMMYFUNCTION("""COMPUTED_VALUE"""),"ZULU")</f>
        <v>ZULU</v>
      </c>
      <c r="C3" s="86" t="str">
        <f ca="1">IFERROR(__xludf.DUMMYFUNCTION("""COMPUTED_VALUE"""),"VD")</f>
        <v>VD</v>
      </c>
      <c r="D3" s="82" t="s">
        <v>320</v>
      </c>
      <c r="E3" s="86" t="str">
        <f ca="1">IFERROR(__xludf.DUMMYFUNCTION("""COMPUTED_VALUE"""),"0796896541")</f>
        <v>0796896541</v>
      </c>
      <c r="F3" s="86" t="str">
        <f ca="1">IFERROR(__xludf.DUMMYFUNCTION("""COMPUTED_VALUE"""),"diploma.zulu@gmail.com")</f>
        <v>diploma.zulu@gmail.com</v>
      </c>
      <c r="G3" s="185" t="str">
        <f ca="1">IFERROR(__xludf.DUMMYFUNCTION("""COMPUTED_VALUE"""),"DSO23AT TPG201T ISY23BT SSF24BT  PASS S1 2022 + ACADEMIC INTERVENTION")</f>
        <v>DSO23AT TPG201T ISY23BT SSF24BT  PASS S1 2022 + ACADEMIC INTERVENTION</v>
      </c>
      <c r="H3" s="180"/>
      <c r="I3" s="180" t="s">
        <v>400</v>
      </c>
      <c r="J3" s="182"/>
      <c r="K3" s="181" t="s">
        <v>601</v>
      </c>
    </row>
    <row r="4" spans="1:14" ht="26.25">
      <c r="A4" s="4">
        <f ca="1">IFERROR(__xludf.DUMMYFUNCTION("""COMPUTED_VALUE"""),217459842)</f>
        <v>217459842</v>
      </c>
      <c r="B4" s="4" t="str">
        <f ca="1">IFERROR(__xludf.DUMMYFUNCTION("""COMPUTED_VALUE"""),"Mabasa")</f>
        <v>Mabasa</v>
      </c>
      <c r="C4" s="4" t="s">
        <v>423</v>
      </c>
      <c r="D4" s="3" t="s">
        <v>320</v>
      </c>
      <c r="E4" s="8">
        <v>649923560</v>
      </c>
      <c r="F4" s="4" t="str">
        <f ca="1">IFERROR(__xludf.DUMMYFUNCTION("""COMPUTED_VALUE"""),"eliasrhandzu7@gmail.com")</f>
        <v>eliasrhandzu7@gmail.com</v>
      </c>
      <c r="G4" s="188" t="str">
        <f ca="1">IFERROR(__xludf.DUMMYFUNCTION("""COMPUTED_VALUE"""),"Student must pass DSO23AT, TPG201T, and ISY23AT.")</f>
        <v>Student must pass DSO23AT, TPG201T, and ISY23AT.</v>
      </c>
      <c r="H4" s="170"/>
      <c r="I4" s="170" t="s">
        <v>403</v>
      </c>
      <c r="J4" s="170"/>
      <c r="K4" s="159" t="s">
        <v>401</v>
      </c>
    </row>
    <row r="5" spans="1:14" ht="39">
      <c r="A5" s="4">
        <f ca="1">IFERROR(__xludf.DUMMYFUNCTION("""COMPUTED_VALUE"""),216451481)</f>
        <v>216451481</v>
      </c>
      <c r="B5" s="4" t="s">
        <v>424</v>
      </c>
      <c r="C5" s="4" t="str">
        <f ca="1">IFERROR(__xludf.DUMMYFUNCTION("""COMPUTED_VALUE"""),"IL")</f>
        <v>IL</v>
      </c>
      <c r="D5" s="3" t="s">
        <v>320</v>
      </c>
      <c r="E5" s="4" t="str">
        <f ca="1">IFERROR(__xludf.DUMMYFUNCTION("""COMPUTED_VALUE"""),"761996323")</f>
        <v>761996323</v>
      </c>
      <c r="F5" s="4" t="str">
        <f ca="1">IFERROR(__xludf.DUMMYFUNCTION("""COMPUTED_VALUE"""),"lynnetteinnocentia35@gmail.com")</f>
        <v>lynnetteinnocentia35@gmail.com</v>
      </c>
      <c r="G5" s="188" t="str">
        <f ca="1">IFERROR(__xludf.DUMMYFUNCTION("""COMPUTED_VALUE"""),"Student must pass DSO23AT, TPG201T, ISY23BT and student must attend trauma counseling.")</f>
        <v>Student must pass DSO23AT, TPG201T, ISY23BT and student must attend trauma counseling.</v>
      </c>
      <c r="H5" s="169"/>
      <c r="I5" s="170" t="s">
        <v>403</v>
      </c>
      <c r="J5" s="164"/>
      <c r="K5" s="195" t="s">
        <v>401</v>
      </c>
    </row>
    <row r="6" spans="1:14" ht="39">
      <c r="A6" s="4">
        <f ca="1">IFERROR(__xludf.DUMMYFUNCTION("""COMPUTED_VALUE"""),216569270)</f>
        <v>216569270</v>
      </c>
      <c r="B6" s="4" t="str">
        <f ca="1">IFERROR(__xludf.DUMMYFUNCTION("""COMPUTED_VALUE"""),"Makhoba")</f>
        <v>Makhoba</v>
      </c>
      <c r="C6" s="4" t="str">
        <f ca="1">IFERROR(__xludf.DUMMYFUNCTION("""COMPUTED_VALUE"""),"Pn")</f>
        <v>Pn</v>
      </c>
      <c r="D6" s="3" t="s">
        <v>320</v>
      </c>
      <c r="E6" s="4" t="str">
        <f ca="1">IFERROR(__xludf.DUMMYFUNCTION("""COMPUTED_VALUE"""),"0749724292")</f>
        <v>0749724292</v>
      </c>
      <c r="F6" s="4" t="str">
        <f ca="1">IFERROR(__xludf.DUMMYFUNCTION("""COMPUTED_VALUE"""),"paumimakhoba1@gmail.com")</f>
        <v>paumimakhoba1@gmail.com</v>
      </c>
      <c r="G6" s="188" t="str">
        <f ca="1">IFERROR(__xludf.DUMMYFUNCTION("""COMPUTED_VALUE"""),"Student need to pass TPG201T, DSO23AT, and ISY34AT attend 85% full time, and attend all interventions.")</f>
        <v>Student need to pass TPG201T, DSO23AT, and ISY34AT attend 85% full time, and attend all interventions.</v>
      </c>
      <c r="H6" s="187"/>
      <c r="I6" s="159" t="s">
        <v>403</v>
      </c>
      <c r="J6" s="196"/>
      <c r="K6" s="186" t="s">
        <v>401</v>
      </c>
    </row>
    <row r="7" spans="1:14" s="87" customFormat="1" ht="39">
      <c r="A7" s="86">
        <f ca="1">IFERROR(__xludf.DUMMYFUNCTION("""COMPUTED_VALUE"""),216874587)</f>
        <v>216874587</v>
      </c>
      <c r="B7" s="86" t="str">
        <f ca="1">IFERROR(__xludf.DUMMYFUNCTION("""COMPUTED_VALUE"""),"MOTHIBA")</f>
        <v>MOTHIBA</v>
      </c>
      <c r="C7" s="86" t="str">
        <f ca="1">IFERROR(__xludf.DUMMYFUNCTION("""COMPUTED_VALUE"""),"KM")</f>
        <v>KM</v>
      </c>
      <c r="D7" s="82" t="s">
        <v>320</v>
      </c>
      <c r="E7" s="86" t="str">
        <f ca="1">IFERROR(__xludf.DUMMYFUNCTION("""COMPUTED_VALUE"""),"0762717708")</f>
        <v>0762717708</v>
      </c>
      <c r="F7" s="86" t="str">
        <f ca="1">IFERROR(__xludf.DUMMYFUNCTION("""COMPUTED_VALUE"""),"216874587@tut4life.ac.za")</f>
        <v>216874587@tut4life.ac.za</v>
      </c>
      <c r="G7" s="185" t="str">
        <f ca="1">IFERROR(__xludf.DUMMYFUNCTION("""COMPUTED_VALUE"""),"Student need to pass DSO23AT and TPG201T, attend 85% full time, and attend all interventions.")</f>
        <v>Student need to pass DSO23AT and TPG201T, attend 85% full time, and attend all interventions.</v>
      </c>
      <c r="H7" s="183"/>
      <c r="I7" s="115" t="s">
        <v>400</v>
      </c>
      <c r="J7" s="180"/>
      <c r="K7" s="183" t="s">
        <v>401</v>
      </c>
    </row>
    <row r="8" spans="1:14" s="132" customFormat="1" ht="51.75">
      <c r="A8" s="85">
        <f ca="1">IFERROR(__xludf.DUMMYFUNCTION("""COMPUTED_VALUE"""),217593654)</f>
        <v>217593654</v>
      </c>
      <c r="B8" s="85" t="str">
        <f ca="1">IFERROR(__xludf.DUMMYFUNCTION("""COMPUTED_VALUE"""),"Nakedi")</f>
        <v>Nakedi</v>
      </c>
      <c r="C8" s="85" t="str">
        <f ca="1">IFERROR(__xludf.DUMMYFUNCTION("""COMPUTED_VALUE"""),"KRJ")</f>
        <v>KRJ</v>
      </c>
      <c r="D8" s="84" t="s">
        <v>320</v>
      </c>
      <c r="E8" s="85" t="str">
        <f ca="1">IFERROR(__xludf.DUMMYFUNCTION("""COMPUTED_VALUE"""),"0712059921")</f>
        <v>0712059921</v>
      </c>
      <c r="F8" s="85" t="str">
        <f ca="1">IFERROR(__xludf.DUMMYFUNCTION("""COMPUTED_VALUE"""),"kamogelot96@gmail.com")</f>
        <v>kamogelot96@gmail.com</v>
      </c>
      <c r="G8" s="189" t="str">
        <f ca="1">IFERROR(__xludf.DUMMYFUNCTION("""COMPUTED_VALUE"""),"Student need to pass DSO23AT,ISY23BT, and TPG201T, attend 85% full time, and attend all interventions.")</f>
        <v>Student need to pass DSO23AT,ISY23BT, and TPG201T, attend 85% full time, and attend all interventions.</v>
      </c>
      <c r="H8" s="179"/>
      <c r="I8" s="184" t="s">
        <v>403</v>
      </c>
      <c r="J8" s="184"/>
      <c r="K8" s="178" t="s">
        <v>401</v>
      </c>
    </row>
    <row r="9" spans="1:14" s="87" customFormat="1" ht="51.75">
      <c r="A9" s="86">
        <f ca="1">IFERROR(__xludf.DUMMYFUNCTION("""COMPUTED_VALUE"""),218014739)</f>
        <v>218014739</v>
      </c>
      <c r="B9" s="86" t="str">
        <f ca="1">IFERROR(__xludf.DUMMYFUNCTION("""COMPUTED_VALUE"""),"ngobeni")</f>
        <v>ngobeni</v>
      </c>
      <c r="C9" s="86" t="str">
        <f ca="1">IFERROR(__xludf.DUMMYFUNCTION("""COMPUTED_VALUE"""),"c")</f>
        <v>c</v>
      </c>
      <c r="D9" s="82" t="s">
        <v>320</v>
      </c>
      <c r="E9" s="86" t="str">
        <f ca="1">IFERROR(__xludf.DUMMYFUNCTION("""COMPUTED_VALUE"""),"+27790674457")</f>
        <v>+27790674457</v>
      </c>
      <c r="F9" s="86" t="str">
        <f ca="1">IFERROR(__xludf.DUMMYFUNCTION("""COMPUTED_VALUE"""),"218014739@tut4life.ac.za")</f>
        <v>218014739@tut4life.ac.za</v>
      </c>
      <c r="G9" s="185" t="str">
        <f ca="1">IFERROR(__xludf.DUMMYFUNCTION("""COMPUTED_VALUE"""),"Student must pass PASS TPG201T, DSO23AT, ISY23AT, and ISY23BT, attend 85% full time, and attend all interventions.")</f>
        <v>Student must pass PASS TPG201T, DSO23AT, ISY23AT, and ISY23BT, attend 85% full time, and attend all interventions.</v>
      </c>
      <c r="H9" s="179"/>
      <c r="I9" s="180" t="s">
        <v>400</v>
      </c>
      <c r="J9" s="180"/>
      <c r="K9" s="182" t="s">
        <v>401</v>
      </c>
    </row>
    <row r="10" spans="1:14" s="87" customFormat="1" ht="39">
      <c r="A10" s="86">
        <f ca="1">IFERROR(__xludf.DUMMYFUNCTION("""COMPUTED_VALUE"""),215758800)</f>
        <v>215758800</v>
      </c>
      <c r="B10" s="86" t="str">
        <f ca="1">IFERROR(__xludf.DUMMYFUNCTION("""COMPUTED_VALUE"""),"Mbevhana")</f>
        <v>Mbevhana</v>
      </c>
      <c r="C10" s="86" t="str">
        <f ca="1">IFERROR(__xludf.DUMMYFUNCTION("""COMPUTED_VALUE"""),"M")</f>
        <v>M</v>
      </c>
      <c r="D10" s="86"/>
      <c r="E10" s="86" t="str">
        <f ca="1">IFERROR(__xludf.DUMMYFUNCTION("""COMPUTED_VALUE"""),"0606299792")</f>
        <v>0606299792</v>
      </c>
      <c r="F10" s="86" t="str">
        <f ca="1">IFERROR(__xludf.DUMMYFUNCTION("""COMPUTED_VALUE"""),"masalambevhana02@gmail.com")</f>
        <v>masalambevhana02@gmail.com</v>
      </c>
      <c r="G10" s="185" t="str">
        <f ca="1">IFERROR(__xludf.DUMMYFUNCTION("""COMPUTED_VALUE"""),"Student need to pass TPG111T and DSO23AT, attend 85% full time, and attend all interventions.")</f>
        <v>Student need to pass TPG111T and DSO23AT, attend 85% full time, and attend all interventions.</v>
      </c>
      <c r="H10" s="179"/>
      <c r="I10" s="179" t="s">
        <v>400</v>
      </c>
      <c r="J10" s="179"/>
      <c r="K10" s="178" t="s">
        <v>401</v>
      </c>
    </row>
    <row r="11" spans="1:14" s="87" customFormat="1" ht="26.25">
      <c r="A11" s="86">
        <f ca="1">IFERROR(__xludf.DUMMYFUNCTION("""COMPUTED_VALUE"""),216659350)</f>
        <v>216659350</v>
      </c>
      <c r="B11" s="86" t="str">
        <f ca="1">IFERROR(__xludf.DUMMYFUNCTION("""COMPUTED_VALUE"""),"Lusenga")</f>
        <v>Lusenga</v>
      </c>
      <c r="C11" s="86" t="str">
        <f ca="1">IFERROR(__xludf.DUMMYFUNCTION("""COMPUTED_VALUE"""),"BM")</f>
        <v>BM</v>
      </c>
      <c r="D11" s="86"/>
      <c r="E11" s="86" t="str">
        <f ca="1">IFERROR(__xludf.DUMMYFUNCTION("""COMPUTED_VALUE"""),"0665829335")</f>
        <v>0665829335</v>
      </c>
      <c r="F11" s="86" t="str">
        <f ca="1">IFERROR(__xludf.DUMMYFUNCTION("""COMPUTED_VALUE"""),"216659350@tut4life.ac.za")</f>
        <v>216659350@tut4life.ac.za</v>
      </c>
      <c r="G11" s="185" t="str">
        <f ca="1">IFERROR(__xludf.DUMMYFUNCTION("""COMPUTED_VALUE"""),"Student need to pass TPG111T and DSO23AT.")</f>
        <v>Student need to pass TPG111T and DSO23AT.</v>
      </c>
      <c r="H11" s="184"/>
      <c r="I11" s="184" t="s">
        <v>400</v>
      </c>
      <c r="J11" s="178"/>
      <c r="K11" s="181" t="s">
        <v>401</v>
      </c>
    </row>
    <row r="12" spans="1:14" s="132" customFormat="1" ht="39">
      <c r="A12" s="85">
        <f ca="1">IFERROR(__xludf.DUMMYFUNCTION("""COMPUTED_VALUE"""),216863038)</f>
        <v>216863038</v>
      </c>
      <c r="B12" s="85" t="str">
        <f ca="1">IFERROR(__xludf.DUMMYFUNCTION("""COMPUTED_VALUE"""),"Zucula")</f>
        <v>Zucula</v>
      </c>
      <c r="C12" s="85" t="str">
        <f ca="1">IFERROR(__xludf.DUMMYFUNCTION("""COMPUTED_VALUE"""),"T.F")</f>
        <v>T.F</v>
      </c>
      <c r="D12" s="85"/>
      <c r="E12" s="85" t="str">
        <f ca="1">IFERROR(__xludf.DUMMYFUNCTION("""COMPUTED_VALUE"""),"0797033143")</f>
        <v>0797033143</v>
      </c>
      <c r="F12" s="85" t="str">
        <f ca="1">IFERROR(__xludf.DUMMYFUNCTION("""COMPUTED_VALUE"""),"tfikizucula@gmail.com")</f>
        <v>tfikizucula@gmail.com</v>
      </c>
      <c r="G12" s="189" t="str">
        <f ca="1">IFERROR(__xludf.DUMMYFUNCTION("""COMPUTED_VALUE"""),"Need to pass DSO23AT, TPG111T, and ISY23ATattend 85% full time, and attend all interventions.")</f>
        <v>Need to pass DSO23AT, TPG111T, and ISY23ATattend 85% full time, and attend all interventions.</v>
      </c>
      <c r="H12" s="199"/>
      <c r="I12" s="199" t="s">
        <v>403</v>
      </c>
      <c r="J12" s="199"/>
      <c r="K12" s="178" t="s">
        <v>401</v>
      </c>
    </row>
    <row r="13" spans="1:14" ht="105">
      <c r="A13" s="86">
        <f ca="1">IFERROR(__xludf.DUMMYFUNCTION("""COMPUTED_VALUE"""),216874803)</f>
        <v>216874803</v>
      </c>
      <c r="B13" s="86" t="str">
        <f ca="1">IFERROR(__xludf.DUMMYFUNCTION("""COMPUTED_VALUE"""),"Mashigo")</f>
        <v>Mashigo</v>
      </c>
      <c r="C13" s="86" t="str">
        <f ca="1">IFERROR(__xludf.DUMMYFUNCTION("""COMPUTED_VALUE"""),"KB")</f>
        <v>KB</v>
      </c>
      <c r="D13" s="86"/>
      <c r="E13" s="86" t="str">
        <f ca="1">IFERROR(__xludf.DUMMYFUNCTION("""COMPUTED_VALUE"""),"0825444425")</f>
        <v>0825444425</v>
      </c>
      <c r="F13" s="86" t="str">
        <f ca="1">IFERROR(__xludf.DUMMYFUNCTION("""COMPUTED_VALUE"""),"kabelomashigo19@gmail.com")</f>
        <v>kabelomashigo19@gmail.com</v>
      </c>
      <c r="G13" s="185" t="str">
        <f ca="1">IFERROR(__xludf.DUMMYFUNCTION("""COMPUTED_VALUE"""),"NEED TO PASS TPG111T and DSO23AT, attend 85% full time, and attend all interventions.")</f>
        <v>NEED TO PASS TPG111T and DSO23AT, attend 85% full time, and attend all interventions.</v>
      </c>
      <c r="H13" s="165"/>
      <c r="I13" s="165" t="s">
        <v>400</v>
      </c>
      <c r="J13" s="165"/>
      <c r="K13" s="165" t="s">
        <v>401</v>
      </c>
      <c r="L13" s="233" t="s">
        <v>602</v>
      </c>
      <c r="N13" s="233" t="s">
        <v>603</v>
      </c>
    </row>
    <row r="14" spans="1:14" ht="51.75">
      <c r="A14" s="4">
        <v>218014810</v>
      </c>
      <c r="B14" s="4" t="str">
        <f ca="1">IFERROR(__xludf.DUMMYFUNCTION("""COMPUTED_VALUE"""),"MNCUBE")</f>
        <v>MNCUBE</v>
      </c>
      <c r="C14" s="4" t="str">
        <f ca="1">IFERROR(__xludf.DUMMYFUNCTION("""COMPUTED_VALUE"""),"BJ")</f>
        <v>BJ</v>
      </c>
      <c r="D14" s="4"/>
      <c r="E14" s="4" t="str">
        <f ca="1">IFERROR(__xludf.DUMMYFUNCTION("""COMPUTED_VALUE"""),"0717699979")</f>
        <v>0717699979</v>
      </c>
      <c r="F14" s="4" t="str">
        <f ca="1">IFERROR(__xludf.DUMMYFUNCTION("""COMPUTED_VALUE"""),"bongz5839@gmail.com")</f>
        <v>bongz5839@gmail.com</v>
      </c>
      <c r="G14" s="188" t="str">
        <f ca="1">IFERROR(__xludf.DUMMYFUNCTION("""COMPUTED_VALUE"""),"Student must pass DSO23AT, TPG111T, and ISY23BT, and ISY23BT, attend 85% full time, and attend all interventions.")</f>
        <v>Student must pass DSO23AT, TPG111T, and ISY23BT, and ISY23BT, attend 85% full time, and attend all interventions.</v>
      </c>
      <c r="H14" s="164"/>
      <c r="I14" s="164" t="s">
        <v>403</v>
      </c>
      <c r="J14" s="164"/>
      <c r="K14" s="164" t="s">
        <v>401</v>
      </c>
    </row>
    <row r="15" spans="1:14" s="149" customFormat="1" ht="64.5">
      <c r="A15" s="98">
        <f ca="1">IFERROR(__xludf.DUMMYFUNCTION("""COMPUTED_VALUE"""),218748562)</f>
        <v>218748562</v>
      </c>
      <c r="B15" s="98" t="str">
        <f ca="1">IFERROR(__xludf.DUMMYFUNCTION("""COMPUTED_VALUE"""),"Msomi")</f>
        <v>Msomi</v>
      </c>
      <c r="C15" s="98" t="str">
        <f ca="1">IFERROR(__xludf.DUMMYFUNCTION("""COMPUTED_VALUE"""),"S")</f>
        <v>S</v>
      </c>
      <c r="D15" s="98"/>
      <c r="E15" s="98" t="str">
        <f ca="1">IFERROR(__xludf.DUMMYFUNCTION("""COMPUTED_VALUE"""),"0663251353")</f>
        <v>0663251353</v>
      </c>
      <c r="F15" s="98" t="str">
        <f ca="1">IFERROR(__xludf.DUMMYFUNCTION("""COMPUTED_VALUE"""),"218748562@tut4life.ac.za")</f>
        <v>218748562@tut4life.ac.za</v>
      </c>
      <c r="G15" s="190"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c r="H15" s="200"/>
      <c r="I15" s="200" t="s">
        <v>403</v>
      </c>
      <c r="J15" s="200"/>
      <c r="K15" s="198" t="s">
        <v>401</v>
      </c>
    </row>
    <row r="16" spans="1:14" s="87" customFormat="1" ht="90">
      <c r="A16" s="86">
        <f ca="1">IFERROR(__xludf.DUMMYFUNCTION("""COMPUTED_VALUE"""),219529198)</f>
        <v>219529198</v>
      </c>
      <c r="B16" s="86" t="str">
        <f ca="1">IFERROR(__xludf.DUMMYFUNCTION("""COMPUTED_VALUE"""),"Khoza")</f>
        <v>Khoza</v>
      </c>
      <c r="C16" s="86" t="str">
        <f ca="1">IFERROR(__xludf.DUMMYFUNCTION("""COMPUTED_VALUE"""),"A.A")</f>
        <v>A.A</v>
      </c>
      <c r="D16" s="86"/>
      <c r="E16" s="86" t="str">
        <f ca="1">IFERROR(__xludf.DUMMYFUNCTION("""COMPUTED_VALUE"""),"766580536")</f>
        <v>766580536</v>
      </c>
      <c r="F16" s="86" t="str">
        <f ca="1">IFERROR(__xludf.DUMMYFUNCTION("""COMPUTED_VALUE"""),"amazingkhoza4569@gmail.com")</f>
        <v>amazingkhoza4569@gmail.com</v>
      </c>
      <c r="G16" s="185"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H16" s="179"/>
      <c r="I16" s="179" t="s">
        <v>400</v>
      </c>
      <c r="J16" s="178"/>
      <c r="K16" s="181" t="s">
        <v>401</v>
      </c>
      <c r="L16" t="s">
        <v>604</v>
      </c>
      <c r="M16" s="233" t="s">
        <v>605</v>
      </c>
      <c r="N16" s="232" t="s">
        <v>606</v>
      </c>
    </row>
    <row r="17" spans="1:11" s="115" customFormat="1" ht="39">
      <c r="A17" s="150">
        <f ca="1">IFERROR(__xludf.DUMMYFUNCTION("""COMPUTED_VALUE"""),217077001)</f>
        <v>217077001</v>
      </c>
      <c r="B17" s="150" t="str">
        <f ca="1">IFERROR(__xludf.DUMMYFUNCTION("""COMPUTED_VALUE"""),"Nsibande ")</f>
        <v xml:space="preserve">Nsibande </v>
      </c>
      <c r="C17" s="150" t="str">
        <f ca="1">IFERROR(__xludf.DUMMYFUNCTION("""COMPUTED_VALUE"""),"SJ ")</f>
        <v xml:space="preserve">SJ </v>
      </c>
      <c r="D17" s="150"/>
      <c r="E17" s="150" t="str">
        <f ca="1">IFERROR(__xludf.DUMMYFUNCTION("""COMPUTED_VALUE"""),"712841707")</f>
        <v>712841707</v>
      </c>
      <c r="F17" s="150" t="str">
        <f ca="1">IFERROR(__xludf.DUMMYFUNCTION("""COMPUTED_VALUE"""),"siyabongajacob26@gmail.com")</f>
        <v>siyabongajacob26@gmail.com</v>
      </c>
      <c r="G17" s="191" t="str">
        <f ca="1">IFERROR(__xludf.DUMMYFUNCTION("""COMPUTED_VALUE"""),"DSO23AT, BUA20BT AND MIS22AT PASS S1 2022 + ACADEMIC INTERVENTION")</f>
        <v>DSO23AT, BUA20BT AND MIS22AT PASS S1 2022 + ACADEMIC INTERVENTION</v>
      </c>
      <c r="H17" s="179"/>
      <c r="I17" s="183" t="s">
        <v>403</v>
      </c>
      <c r="K17" s="178" t="s">
        <v>401</v>
      </c>
    </row>
    <row r="18" spans="1:11" s="115" customFormat="1" ht="43.5" customHeight="1">
      <c r="A18" s="150">
        <f ca="1">IFERROR(__xludf.DUMMYFUNCTION("""COMPUTED_VALUE"""),218187021)</f>
        <v>218187021</v>
      </c>
      <c r="B18" s="150" t="str">
        <f ca="1">IFERROR(__xludf.DUMMYFUNCTION("""COMPUTED_VALUE"""),"Rapholo")</f>
        <v>Rapholo</v>
      </c>
      <c r="C18" s="150" t="str">
        <f ca="1">IFERROR(__xludf.DUMMYFUNCTION("""COMPUTED_VALUE"""),"Kwj")</f>
        <v>Kwj</v>
      </c>
      <c r="D18" s="150"/>
      <c r="E18" s="150" t="str">
        <f ca="1">IFERROR(__xludf.DUMMYFUNCTION("""COMPUTED_VALUE"""),"0795361936")</f>
        <v>0795361936</v>
      </c>
      <c r="F18" s="150" t="str">
        <f ca="1">IFERROR(__xludf.DUMMYFUNCTION("""COMPUTED_VALUE"""),"alkamorjunior@gmail.com")</f>
        <v>alkamorjunior@gmail.com</v>
      </c>
      <c r="G18" s="191" t="str">
        <f ca="1">IFERROR(__xludf.DUMMYFUNCTION("""COMPUTED_VALUE"""),"Student must pass DSO23AT, ISY23AT")</f>
        <v>Student must pass DSO23AT, ISY23AT</v>
      </c>
      <c r="H18" s="184"/>
      <c r="I18" s="179" t="s">
        <v>403</v>
      </c>
      <c r="J18" s="183"/>
      <c r="K18" s="197" t="s">
        <v>401</v>
      </c>
    </row>
    <row r="19" spans="1:11" s="115" customFormat="1" ht="39">
      <c r="A19" s="151">
        <v>217202809</v>
      </c>
      <c r="B19" s="152" t="s">
        <v>607</v>
      </c>
      <c r="C19" s="152" t="s">
        <v>608</v>
      </c>
      <c r="D19" s="153"/>
      <c r="E19" s="151">
        <v>634957786</v>
      </c>
      <c r="F19" s="154" t="s">
        <v>609</v>
      </c>
      <c r="G19" s="192" t="s">
        <v>610</v>
      </c>
      <c r="H19" s="180"/>
      <c r="I19" s="184" t="s">
        <v>403</v>
      </c>
      <c r="J19" s="178"/>
      <c r="K19" s="181" t="s">
        <v>401</v>
      </c>
    </row>
    <row r="20" spans="1:11" ht="64.5">
      <c r="A20" s="18">
        <v>218474624</v>
      </c>
      <c r="B20" s="31" t="s">
        <v>611</v>
      </c>
      <c r="C20" s="31" t="s">
        <v>612</v>
      </c>
      <c r="D20" s="22"/>
      <c r="E20" s="18">
        <v>842675559</v>
      </c>
      <c r="F20" s="24" t="s">
        <v>613</v>
      </c>
      <c r="G20" s="193" t="s">
        <v>614</v>
      </c>
      <c r="I20" s="195" t="s">
        <v>403</v>
      </c>
      <c r="J20" s="201"/>
      <c r="K20" s="159" t="s">
        <v>401</v>
      </c>
    </row>
    <row r="21" spans="1:11">
      <c r="H21" s="165"/>
      <c r="I21" s="165"/>
      <c r="K21" s="165"/>
    </row>
  </sheetData>
  <hyperlinks>
    <hyperlink ref="F19" r:id="rId1"/>
    <hyperlink ref="F20" r:id="rId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activeCell="F1" sqref="A1:XFD1048576"/>
    </sheetView>
  </sheetViews>
  <sheetFormatPr defaultRowHeight="15"/>
  <cols>
    <col min="1" max="1" width="21.140625" customWidth="1"/>
    <col min="2" max="2" width="12.85546875" customWidth="1"/>
    <col min="3" max="3" width="12.28515625" customWidth="1"/>
    <col min="4" max="4" width="21" customWidth="1"/>
    <col min="5" max="5" width="19.140625" customWidth="1"/>
    <col min="6" max="6" width="28.42578125" customWidth="1"/>
    <col min="7" max="7" width="41.140625" customWidth="1"/>
    <col min="8" max="8" width="28.28515625" customWidth="1"/>
    <col min="9" max="9" width="21.28515625" customWidth="1"/>
    <col min="10" max="10" width="34.7109375" customWidth="1"/>
    <col min="11" max="11" width="31.7109375" customWidth="1"/>
    <col min="12" max="12" width="23" customWidth="1"/>
    <col min="13" max="14" width="19.7109375" customWidth="1"/>
    <col min="17" max="17" width="17" customWidth="1"/>
    <col min="18" max="19" width="9.140625" bestFit="1" customWidth="1"/>
  </cols>
  <sheetData>
    <row r="1" spans="1:14" ht="42.75" customHeight="1">
      <c r="A1" s="1" t="s">
        <v>0</v>
      </c>
      <c r="B1" s="1" t="s">
        <v>1</v>
      </c>
      <c r="C1" s="1" t="s">
        <v>2</v>
      </c>
      <c r="D1" s="1" t="s">
        <v>3</v>
      </c>
      <c r="E1" s="1" t="s">
        <v>4</v>
      </c>
      <c r="F1" s="1" t="s">
        <v>5</v>
      </c>
      <c r="G1" s="166" t="s">
        <v>6</v>
      </c>
      <c r="H1" s="215" t="s">
        <v>600</v>
      </c>
      <c r="I1" s="202" t="s">
        <v>391</v>
      </c>
      <c r="J1" s="202" t="s">
        <v>392</v>
      </c>
      <c r="K1" s="202" t="s">
        <v>393</v>
      </c>
      <c r="L1" s="202" t="s">
        <v>394</v>
      </c>
      <c r="M1" s="227" t="s">
        <v>395</v>
      </c>
      <c r="N1" s="202" t="s">
        <v>396</v>
      </c>
    </row>
    <row r="2" spans="1:14" ht="108.75" customHeight="1">
      <c r="A2" s="4">
        <f ca="1">IFERROR(__xludf.DUMMYFUNCTION("""COMPUTED_VALUE"""),213516922)</f>
        <v>213516922</v>
      </c>
      <c r="B2" s="4" t="str">
        <f ca="1">IFERROR(__xludf.DUMMYFUNCTION("""COMPUTED_VALUE"""),"Dube")</f>
        <v>Dube</v>
      </c>
      <c r="C2" s="6" t="str">
        <f ca="1">IFERROR(__xludf.DUMMYFUNCTION("""COMPUTED_VALUE"""),"PC")</f>
        <v>PC</v>
      </c>
      <c r="D2" s="3" t="s">
        <v>318</v>
      </c>
      <c r="E2" s="7" t="str">
        <f ca="1">IFERROR(__xludf.DUMMYFUNCTION("""COMPUTED_VALUE"""),"0791477046")</f>
        <v>0791477046</v>
      </c>
      <c r="F2" s="4" t="str">
        <f ca="1">IFERROR(__xludf.DUMMYFUNCTION("""COMPUTED_VALUE"""),"cphepsile@icloud.com")</f>
        <v>cphepsile@icloud.com</v>
      </c>
      <c r="G2" s="6" t="s">
        <v>615</v>
      </c>
      <c r="H2" s="5"/>
      <c r="K2" t="s">
        <v>401</v>
      </c>
    </row>
    <row r="3" spans="1:14" ht="39">
      <c r="A3" s="4">
        <f ca="1">IFERROR(__xludf.DUMMYFUNCTION("""COMPUTED_VALUE"""),216876202)</f>
        <v>216876202</v>
      </c>
      <c r="B3" s="4" t="s">
        <v>410</v>
      </c>
      <c r="C3" s="4" t="str">
        <f ca="1">IFERROR(__xludf.DUMMYFUNCTION("""COMPUTED_VALUE"""),"mn ")</f>
        <v xml:space="preserve">mn </v>
      </c>
      <c r="D3" s="3" t="s">
        <v>318</v>
      </c>
      <c r="E3" s="4" t="str">
        <f ca="1">IFERROR(__xludf.DUMMYFUNCTION("""COMPUTED_VALUE"""),"0713063986")</f>
        <v>0713063986</v>
      </c>
      <c r="F3" s="4" t="str">
        <f ca="1">IFERROR(__xludf.DUMMYFUNCTION("""COMPUTED_VALUE"""),"mabuzamuzikayifani@gmail.com")</f>
        <v>mabuzamuzikayifani@gmail.com</v>
      </c>
      <c r="G3" s="4" t="str">
        <f ca="1">IFERROR(__xludf.DUMMYFUNCTION("""COMPUTED_VALUE"""),"PASS TPG201T ISY23AT/BT  DSO23BT DURING S1 2022. STUDENT HAS TO REPORT FOR ACADEMIC INTERVENTION. ")</f>
        <v xml:space="preserve">PASS TPG201T ISY23AT/BT  DSO23BT DURING S1 2022. STUDENT HAS TO REPORT FOR ACADEMIC INTERVENTION. </v>
      </c>
      <c r="K3" t="s">
        <v>401</v>
      </c>
    </row>
    <row r="4" spans="1:14" ht="60">
      <c r="A4" s="4">
        <f ca="1">IFERROR(__xludf.DUMMYFUNCTION("""COMPUTED_VALUE"""),219631014)</f>
        <v>219631014</v>
      </c>
      <c r="B4" s="4" t="str">
        <f ca="1">IFERROR(__xludf.DUMMYFUNCTION("""COMPUTED_VALUE"""),"Malatji ")</f>
        <v xml:space="preserve">Malatji </v>
      </c>
      <c r="C4" s="4" t="str">
        <f ca="1">IFERROR(__xludf.DUMMYFUNCTION("""COMPUTED_VALUE"""),"W")</f>
        <v>W</v>
      </c>
      <c r="D4" s="3" t="s">
        <v>318</v>
      </c>
      <c r="E4" s="4" t="str">
        <f ca="1">IFERROR(__xludf.DUMMYFUNCTION("""COMPUTED_VALUE"""),"606386534")</f>
        <v>606386534</v>
      </c>
      <c r="F4" s="4" t="str">
        <f ca="1">IFERROR(__xludf.DUMMYFUNCTION("""COMPUTED_VALUE"""),"219631014@tut4life.ac.za")</f>
        <v>219631014@tut4life.ac.za</v>
      </c>
      <c r="G4" s="4"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K4" t="s">
        <v>401</v>
      </c>
      <c r="L4" s="240" t="s">
        <v>616</v>
      </c>
      <c r="N4" s="233" t="s">
        <v>617</v>
      </c>
    </row>
    <row r="5" spans="1:14" ht="60">
      <c r="A5" s="4">
        <f ca="1">IFERROR(__xludf.DUMMYFUNCTION("""COMPUTED_VALUE"""),214770270)</f>
        <v>214770270</v>
      </c>
      <c r="B5" s="4" t="str">
        <f ca="1">IFERROR(__xludf.DUMMYFUNCTION("""COMPUTED_VALUE"""),"Mohlaba")</f>
        <v>Mohlaba</v>
      </c>
      <c r="C5" s="4" t="str">
        <f ca="1">IFERROR(__xludf.DUMMYFUNCTION("""COMPUTED_VALUE"""),"PM")</f>
        <v>PM</v>
      </c>
      <c r="D5" s="3" t="s">
        <v>318</v>
      </c>
      <c r="E5" s="4" t="str">
        <f ca="1">IFERROR(__xludf.DUMMYFUNCTION("""COMPUTED_VALUE"""),"0671317748")</f>
        <v>0671317748</v>
      </c>
      <c r="F5" s="4" t="str">
        <f ca="1">IFERROR(__xludf.DUMMYFUNCTION("""COMPUTED_VALUE"""),"mohlabapm68@gmail.com")</f>
        <v>mohlabapm68@gmail.com</v>
      </c>
      <c r="G5" s="4" t="str">
        <f ca="1">IFERROR(__xludf.DUMMYFUNCTION("""COMPUTED_VALUE"""),"Student need to pass DSO23BT, TPG201T, and ISY23BT.")</f>
        <v>Student need to pass DSO23BT, TPG201T, and ISY23BT.</v>
      </c>
      <c r="J5" t="s">
        <v>405</v>
      </c>
      <c r="K5" t="s">
        <v>401</v>
      </c>
      <c r="L5" s="233" t="s">
        <v>618</v>
      </c>
      <c r="N5" s="233" t="s">
        <v>619</v>
      </c>
    </row>
    <row r="6" spans="1:14" ht="26.25">
      <c r="A6" s="4">
        <f ca="1">IFERROR(__xludf.DUMMYFUNCTION("""COMPUTED_VALUE"""),215259943)</f>
        <v>215259943</v>
      </c>
      <c r="B6" s="4" t="str">
        <f ca="1">IFERROR(__xludf.DUMMYFUNCTION("""COMPUTED_VALUE"""),"Mahlangu")</f>
        <v>Mahlangu</v>
      </c>
      <c r="C6" s="4" t="str">
        <f ca="1">IFERROR(__xludf.DUMMYFUNCTION("""COMPUTED_VALUE"""),"BH")</f>
        <v>BH</v>
      </c>
      <c r="D6" s="3" t="s">
        <v>318</v>
      </c>
      <c r="E6" s="4" t="str">
        <f ca="1">IFERROR(__xludf.DUMMYFUNCTION("""COMPUTED_VALUE"""),"071 928 1870")</f>
        <v>071 928 1870</v>
      </c>
      <c r="F6" s="4" t="str">
        <f ca="1">IFERROR(__xludf.DUMMYFUNCTION("""COMPUTED_VALUE"""),"hereathmahlangu91@gmail.com")</f>
        <v>hereathmahlangu91@gmail.com</v>
      </c>
      <c r="G6" s="4" t="str">
        <f ca="1">IFERROR(__xludf.DUMMYFUNCTION("""COMPUTED_VALUE"""),"Student need to pass DSO23BT, and TPG201T.")</f>
        <v>Student need to pass DSO23BT, and TPG201T.</v>
      </c>
      <c r="K6" t="s">
        <v>411</v>
      </c>
    </row>
    <row r="7" spans="1:14" ht="39">
      <c r="A7" s="4">
        <f ca="1">IFERROR(__xludf.DUMMYFUNCTION("""COMPUTED_VALUE"""),215650820)</f>
        <v>215650820</v>
      </c>
      <c r="B7" s="4" t="str">
        <f ca="1">IFERROR(__xludf.DUMMYFUNCTION("""COMPUTED_VALUE"""),"khoza")</f>
        <v>khoza</v>
      </c>
      <c r="C7" s="4" t="str">
        <f ca="1">IFERROR(__xludf.DUMMYFUNCTION("""COMPUTED_VALUE"""),"TK")</f>
        <v>TK</v>
      </c>
      <c r="D7" s="3" t="s">
        <v>318</v>
      </c>
      <c r="E7" s="4" t="str">
        <f ca="1">IFERROR(__xludf.DUMMYFUNCTION("""COMPUTED_VALUE"""),"0604061400")</f>
        <v>0604061400</v>
      </c>
      <c r="F7" s="4" t="str">
        <f ca="1">IFERROR(__xludf.DUMMYFUNCTION("""COMPUTED_VALUE"""),"kenneth.kk38@gmail.com")</f>
        <v>kenneth.kk38@gmail.com</v>
      </c>
      <c r="G7" s="4" t="str">
        <f ca="1">IFERROR(__xludf.DUMMYFUNCTION("""COMPUTED_VALUE"""),"Student need to pass TPG201T, ISY23AT, and DSO23BT, attend 85% full time, and attend all interventions.")</f>
        <v>Student need to pass TPG201T, ISY23AT, and DSO23BT, attend 85% full time, and attend all interventions.</v>
      </c>
      <c r="K7" t="s">
        <v>401</v>
      </c>
    </row>
    <row r="8" spans="1:14" ht="39">
      <c r="A8" s="4">
        <f ca="1">IFERROR(__xludf.DUMMYFUNCTION("""COMPUTED_VALUE"""),215708152)</f>
        <v>215708152</v>
      </c>
      <c r="B8" s="4" t="str">
        <f ca="1">IFERROR(__xludf.DUMMYFUNCTION("""COMPUTED_VALUE"""),"Baloyi")</f>
        <v>Baloyi</v>
      </c>
      <c r="C8" s="4" t="str">
        <f ca="1">IFERROR(__xludf.DUMMYFUNCTION("""COMPUTED_VALUE"""),"VW")</f>
        <v>VW</v>
      </c>
      <c r="D8" s="3" t="s">
        <v>318</v>
      </c>
      <c r="E8" s="4" t="str">
        <f ca="1">IFERROR(__xludf.DUMMYFUNCTION("""COMPUTED_VALUE"""),"0607033959")</f>
        <v>0607033959</v>
      </c>
      <c r="F8" s="4" t="str">
        <f ca="1">IFERROR(__xludf.DUMMYFUNCTION("""COMPUTED_VALUE"""),"215708152@tut4life.ac.za")</f>
        <v>215708152@tut4life.ac.za</v>
      </c>
      <c r="G8" s="4" t="str">
        <f ca="1">IFERROR(__xludf.DUMMYFUNCTION("""COMPUTED_VALUE"""),"Student need to pass DSO23BT and TPG201T, attend 85% full time, and attend all interventions.")</f>
        <v>Student need to pass DSO23BT and TPG201T, attend 85% full time, and attend all interventions.</v>
      </c>
      <c r="K8" t="s">
        <v>401</v>
      </c>
    </row>
    <row r="9" spans="1:14" ht="39">
      <c r="A9" s="4">
        <f ca="1">IFERROR(__xludf.DUMMYFUNCTION("""COMPUTED_VALUE"""),216583485)</f>
        <v>216583485</v>
      </c>
      <c r="B9" s="4" t="str">
        <f ca="1">IFERROR(__xludf.DUMMYFUNCTION("""COMPUTED_VALUE"""),"Magaela")</f>
        <v>Magaela</v>
      </c>
      <c r="C9" s="4" t="str">
        <f ca="1">IFERROR(__xludf.DUMMYFUNCTION("""COMPUTED_VALUE"""),"MF")</f>
        <v>MF</v>
      </c>
      <c r="D9" s="3" t="s">
        <v>318</v>
      </c>
      <c r="E9" s="4" t="str">
        <f ca="1">IFERROR(__xludf.DUMMYFUNCTION("""COMPUTED_VALUE"""),"0769053674")</f>
        <v>0769053674</v>
      </c>
      <c r="F9" s="4" t="str">
        <f ca="1">IFERROR(__xludf.DUMMYFUNCTION("""COMPUTED_VALUE"""),"216583485@tut4life.ac.za")</f>
        <v>216583485@tut4life.ac.za</v>
      </c>
      <c r="G9" s="4" t="str">
        <f ca="1">IFERROR(__xludf.DUMMYFUNCTION("""COMPUTED_VALUE"""),"Student need to pass TPG201T, DSO23BT, and ISY34AT, attend 85% full time, and attend all interventions.")</f>
        <v>Student need to pass TPG201T, DSO23BT, and ISY34AT, attend 85% full time, and attend all interventions.</v>
      </c>
      <c r="K9" t="s">
        <v>401</v>
      </c>
    </row>
    <row r="10" spans="1:14" ht="39">
      <c r="A10" s="4">
        <f ca="1">IFERROR(__xludf.DUMMYFUNCTION("""COMPUTED_VALUE"""),216973992)</f>
        <v>216973992</v>
      </c>
      <c r="B10" s="4" t="str">
        <f ca="1">IFERROR(__xludf.DUMMYFUNCTION("""COMPUTED_VALUE"""),"Mkhize")</f>
        <v>Mkhize</v>
      </c>
      <c r="C10" s="4" t="str">
        <f ca="1">IFERROR(__xludf.DUMMYFUNCTION("""COMPUTED_VALUE"""),"BS")</f>
        <v>BS</v>
      </c>
      <c r="D10" s="3" t="s">
        <v>318</v>
      </c>
      <c r="E10" s="4" t="str">
        <f ca="1">IFERROR(__xludf.DUMMYFUNCTION("""COMPUTED_VALUE"""),"0833551002")</f>
        <v>0833551002</v>
      </c>
      <c r="F10" s="4" t="str">
        <f ca="1">IFERROR(__xludf.DUMMYFUNCTION("""COMPUTED_VALUE"""),"brillientsya@gmail.com")</f>
        <v>brillientsya@gmail.com</v>
      </c>
      <c r="G10" s="4" t="str">
        <f ca="1">IFERROR(__xludf.DUMMYFUNCTION("""COMPUTED_VALUE"""),"Need to PASS DSO23BT, TPG201T, ISY34AT, and  ISY34BT, attend 85% full time, and attend all interventions.")</f>
        <v>Need to PASS DSO23BT, TPG201T, ISY34AT, and  ISY34BT, attend 85% full time, and attend all interventions.</v>
      </c>
      <c r="K10" t="s">
        <v>401</v>
      </c>
    </row>
    <row r="11" spans="1:14" ht="39">
      <c r="A11" s="4">
        <v>217343208</v>
      </c>
      <c r="B11" s="4" t="str">
        <f ca="1">IFERROR(__xludf.DUMMYFUNCTION("""COMPUTED_VALUE"""),"TLHABI")</f>
        <v>TLHABI</v>
      </c>
      <c r="C11" s="4" t="str">
        <f ca="1">IFERROR(__xludf.DUMMYFUNCTION("""COMPUTED_VALUE"""),"KN")</f>
        <v>KN</v>
      </c>
      <c r="D11" s="3" t="s">
        <v>318</v>
      </c>
      <c r="E11" s="4" t="str">
        <f ca="1">IFERROR(__xludf.DUMMYFUNCTION("""COMPUTED_VALUE"""),"0724137932")</f>
        <v>0724137932</v>
      </c>
      <c r="F11" s="4" t="str">
        <f ca="1">IFERROR(__xludf.DUMMYFUNCTION("""COMPUTED_VALUE"""),"nk77tlhabi@gmail.com")</f>
        <v>nk77tlhabi@gmail.com</v>
      </c>
      <c r="G11" s="4" t="str">
        <f ca="1">IFERROR(__xludf.DUMMYFUNCTION("""COMPUTED_VALUE"""),"Student need to pass TPG201T, ISY23AT, ISY23BT,and DSO23BT, attend 85% full time, and attend all interventions.")</f>
        <v>Student need to pass TPG201T, ISY23AT, ISY23BT,and DSO23BT, attend 85% full time, and attend all interventions.</v>
      </c>
      <c r="K11" t="s">
        <v>411</v>
      </c>
    </row>
    <row r="12" spans="1:14" ht="39">
      <c r="A12" s="4">
        <f ca="1">IFERROR(__xludf.DUMMYFUNCTION("""COMPUTED_VALUE"""),218725830)</f>
        <v>218725830</v>
      </c>
      <c r="B12" s="4" t="str">
        <f ca="1">IFERROR(__xludf.DUMMYFUNCTION("""COMPUTED_VALUE"""),"Mathekga")</f>
        <v>Mathekga</v>
      </c>
      <c r="C12" s="4" t="s">
        <v>436</v>
      </c>
      <c r="D12" s="3" t="s">
        <v>318</v>
      </c>
      <c r="E12" s="4" t="str">
        <f ca="1">IFERROR(__xludf.DUMMYFUNCTION("""COMPUTED_VALUE"""),"0647326456")</f>
        <v>0647326456</v>
      </c>
      <c r="F12" s="4" t="str">
        <f ca="1">IFERROR(__xludf.DUMMYFUNCTION("""COMPUTED_VALUE"""),"218725830@tut4life.ac.za")</f>
        <v>218725830@tut4life.ac.za</v>
      </c>
      <c r="G12" s="4" t="str">
        <f ca="1">IFERROR(__xludf.DUMMYFUNCTION("""COMPUTED_VALUE"""),"Need to pass TPG201T(3), DSO23BT(2) and attend relevant intervention for TPG201T, and 85% classes during S1 2022")</f>
        <v>Need to pass TPG201T(3), DSO23BT(2) and attend relevant intervention for TPG201T, and 85% classes during S1 2022</v>
      </c>
      <c r="K12" t="s">
        <v>411</v>
      </c>
    </row>
    <row r="13" spans="1:14" ht="64.5">
      <c r="A13" s="4">
        <f ca="1">IFERROR(__xludf.DUMMYFUNCTION("""COMPUTED_VALUE"""),219939752)</f>
        <v>219939752</v>
      </c>
      <c r="B13" s="4" t="str">
        <f ca="1">IFERROR(__xludf.DUMMYFUNCTION("""COMPUTED_VALUE"""),"Mukwevho")</f>
        <v>Mukwevho</v>
      </c>
      <c r="C13" s="4" t="str">
        <f ca="1">IFERROR(__xludf.DUMMYFUNCTION("""COMPUTED_VALUE"""),"MG")</f>
        <v>MG</v>
      </c>
      <c r="D13" s="3" t="s">
        <v>318</v>
      </c>
      <c r="E13" s="4" t="str">
        <f ca="1">IFERROR(__xludf.DUMMYFUNCTION("""COMPUTED_VALUE"""),"0766168037")</f>
        <v>0766168037</v>
      </c>
      <c r="F13" s="4" t="str">
        <f ca="1">IFERROR(__xludf.DUMMYFUNCTION("""COMPUTED_VALUE"""),"219939752@tut4life.ac.za")</f>
        <v>219939752@tut4life.ac.za</v>
      </c>
      <c r="G13" s="4"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c r="K13" t="s">
        <v>411</v>
      </c>
    </row>
    <row r="14" spans="1:14">
      <c r="A14" s="4">
        <f ca="1">IFERROR(__xludf.DUMMYFUNCTION("""COMPUTED_VALUE"""),218727239)</f>
        <v>218727239</v>
      </c>
      <c r="B14" s="4" t="str">
        <f ca="1">IFERROR(__xludf.DUMMYFUNCTION("""COMPUTED_VALUE"""),"Magadani")</f>
        <v>Magadani</v>
      </c>
      <c r="C14" s="4" t="str">
        <f ca="1">IFERROR(__xludf.DUMMYFUNCTION("""COMPUTED_VALUE"""),"TT")</f>
        <v>TT</v>
      </c>
      <c r="D14" s="4"/>
      <c r="E14" s="4" t="str">
        <f ca="1">IFERROR(__xludf.DUMMYFUNCTION("""COMPUTED_VALUE"""),"0727503558")</f>
        <v>0727503558</v>
      </c>
      <c r="F14" s="4"/>
      <c r="G14" s="4" t="str">
        <f ca="1">IFERROR(__xludf.DUMMYFUNCTION("""COMPUTED_VALUE"""),"Need to pass DSO23BT(3), TPG111T(3), ATTEND 85% OF CLASSES AND RELEVANT INTERVENTIONS during S1 2022")</f>
        <v>Need to pass DSO23BT(3), TPG111T(3), ATTEND 85% OF CLASSES AND RELEVANT INTERVENTIONS during S1 2022</v>
      </c>
      <c r="K14" t="s">
        <v>411</v>
      </c>
    </row>
    <row r="15" spans="1:14" ht="26.25">
      <c r="A15" s="4">
        <f ca="1">IFERROR(__xludf.DUMMYFUNCTION("""COMPUTED_VALUE"""),218324967)</f>
        <v>218324967</v>
      </c>
      <c r="B15" s="4" t="str">
        <f ca="1">IFERROR(__xludf.DUMMYFUNCTION("""COMPUTED_VALUE"""),"Sibiya")</f>
        <v>Sibiya</v>
      </c>
      <c r="C15" s="4" t="str">
        <f ca="1">IFERROR(__xludf.DUMMYFUNCTION("""COMPUTED_VALUE"""),"AM")</f>
        <v>AM</v>
      </c>
      <c r="D15" s="4"/>
      <c r="E15" s="4" t="str">
        <f ca="1">IFERROR(__xludf.DUMMYFUNCTION("""COMPUTED_VALUE"""),"0731052152")</f>
        <v>0731052152</v>
      </c>
      <c r="F15" s="4" t="str">
        <f ca="1">IFERROR(__xludf.DUMMYFUNCTION("""COMPUTED_VALUE"""),"Sibiya_a@yahoo.com")</f>
        <v>Sibiya_a@yahoo.com</v>
      </c>
      <c r="G15" s="4" t="str">
        <f ca="1">IFERROR(__xludf.DUMMYFUNCTION("""COMPUTED_VALUE"""),"BUA30AT BUA30BT DSO23BT PASS S1 2022 + ACADEMIC INTERVENTION")</f>
        <v>BUA30AT BUA30BT DSO23BT PASS S1 2022 + ACADEMIC INTERVENTION</v>
      </c>
      <c r="K15" t="s">
        <v>411</v>
      </c>
    </row>
    <row r="16" spans="1:14" ht="51.75">
      <c r="A16" s="4">
        <f ca="1">IFERROR(__xludf.DUMMYFUNCTION("""COMPUTED_VALUE"""),217187257)</f>
        <v>217187257</v>
      </c>
      <c r="B16" s="4" t="str">
        <f ca="1">IFERROR(__xludf.DUMMYFUNCTION("""COMPUTED_VALUE"""),"Mnisi")</f>
        <v>Mnisi</v>
      </c>
      <c r="C16" s="4" t="str">
        <f ca="1">IFERROR(__xludf.DUMMYFUNCTION("""COMPUTED_VALUE"""),"B.A")</f>
        <v>B.A</v>
      </c>
      <c r="D16" s="4"/>
      <c r="E16" s="4" t="str">
        <f ca="1">IFERROR(__xludf.DUMMYFUNCTION("""COMPUTED_VALUE"""),"0817592959")</f>
        <v>0817592959</v>
      </c>
      <c r="F16" s="4" t="str">
        <f ca="1">IFERROR(__xludf.DUMMYFUNCTION("""COMPUTED_VALUE"""),"bongan.mnis@gmail.com")</f>
        <v>bongan.mnis@gmail.com</v>
      </c>
      <c r="G16" s="4" t="str">
        <f ca="1">IFERROR(__xludf.DUMMYFUNCTION("""COMPUTED_VALUE"""),"STUDENT NEED TO PASS BUA30AT, BUA30BT, ISY23BT, DSO23BT DURING S1 2022 AND REPORT FOR ACADEMIC INTERVENTION.")</f>
        <v>STUDENT NEED TO PASS BUA30AT, BUA30BT, ISY23BT, DSO23BT DURING S1 2022 AND REPORT FOR ACADEMIC INTERVENTION.</v>
      </c>
      <c r="K16" t="s">
        <v>411</v>
      </c>
    </row>
    <row r="17" spans="1:19" ht="39">
      <c r="A17" s="4">
        <f ca="1">IFERROR(__xludf.DUMMYFUNCTION("""COMPUTED_VALUE"""),218726380)</f>
        <v>218726380</v>
      </c>
      <c r="B17" s="4" t="str">
        <f ca="1">IFERROR(__xludf.DUMMYFUNCTION("""COMPUTED_VALUE"""),"Moeng")</f>
        <v>Moeng</v>
      </c>
      <c r="C17" s="4" t="str">
        <f ca="1">IFERROR(__xludf.DUMMYFUNCTION("""COMPUTED_VALUE"""),"M")</f>
        <v>M</v>
      </c>
      <c r="D17" s="4"/>
      <c r="E17" s="4" t="str">
        <f ca="1">IFERROR(__xludf.DUMMYFUNCTION("""COMPUTED_VALUE"""),"0791781732")</f>
        <v>0791781732</v>
      </c>
      <c r="F17" s="4" t="str">
        <f ca="1">IFERROR(__xludf.DUMMYFUNCTION("""COMPUTED_VALUE"""),"mogomotsimoeng99@gmail.com")</f>
        <v>mogomotsimoeng99@gmail.com</v>
      </c>
      <c r="G17" s="4" t="str">
        <f ca="1">IFERROR(__xludf.DUMMYFUNCTION("""COMPUTED_VALUE"""),"NEED TO PASS DSO23BT, attend 85% of classes and relevant interventions during S1 2022")</f>
        <v>NEED TO PASS DSO23BT, attend 85% of classes and relevant interventions during S1 2022</v>
      </c>
      <c r="K17" t="s">
        <v>411</v>
      </c>
    </row>
    <row r="18" spans="1:19" ht="60.75" customHeight="1">
      <c r="A18" s="36">
        <v>215170144</v>
      </c>
      <c r="B18" s="31" t="s">
        <v>620</v>
      </c>
      <c r="C18" s="37" t="s">
        <v>621</v>
      </c>
      <c r="D18" s="22"/>
      <c r="E18" s="18">
        <v>731158475</v>
      </c>
      <c r="F18" s="24" t="s">
        <v>622</v>
      </c>
      <c r="G18" s="25" t="s">
        <v>623</v>
      </c>
      <c r="K18" t="s">
        <v>411</v>
      </c>
    </row>
    <row r="19" spans="1:19">
      <c r="A19" s="15">
        <v>215732010</v>
      </c>
      <c r="B19" s="28" t="s">
        <v>624</v>
      </c>
      <c r="C19" s="28" t="s">
        <v>283</v>
      </c>
      <c r="D19" s="22"/>
      <c r="E19" s="15">
        <v>679378130</v>
      </c>
      <c r="F19" s="29" t="s">
        <v>625</v>
      </c>
      <c r="G19" s="35" t="s">
        <v>626</v>
      </c>
      <c r="K19" t="s">
        <v>411</v>
      </c>
    </row>
    <row r="20" spans="1:19">
      <c r="A20" s="18">
        <v>216049594</v>
      </c>
      <c r="B20" s="31" t="s">
        <v>627</v>
      </c>
      <c r="C20" s="31" t="s">
        <v>24</v>
      </c>
      <c r="D20" s="22"/>
      <c r="E20" s="18">
        <v>767627401</v>
      </c>
      <c r="F20" s="24" t="s">
        <v>628</v>
      </c>
      <c r="G20" s="33" t="s">
        <v>629</v>
      </c>
      <c r="K20" t="s">
        <v>411</v>
      </c>
    </row>
    <row r="21" spans="1:19" ht="64.5">
      <c r="A21" s="18">
        <v>216691830</v>
      </c>
      <c r="B21" s="31" t="s">
        <v>630</v>
      </c>
      <c r="C21" s="31" t="s">
        <v>203</v>
      </c>
      <c r="D21" s="22"/>
      <c r="E21" s="18">
        <v>644060707</v>
      </c>
      <c r="F21" s="24" t="s">
        <v>631</v>
      </c>
      <c r="G21" s="38" t="s">
        <v>632</v>
      </c>
      <c r="K21" t="s">
        <v>411</v>
      </c>
    </row>
    <row r="22" spans="1:19" ht="39">
      <c r="A22" s="52">
        <v>214484641</v>
      </c>
      <c r="B22" s="61" t="s">
        <v>440</v>
      </c>
      <c r="C22" s="61" t="s">
        <v>441</v>
      </c>
      <c r="D22" s="22"/>
      <c r="E22" s="52">
        <v>764875868</v>
      </c>
      <c r="F22" s="29" t="s">
        <v>442</v>
      </c>
      <c r="G22" s="51" t="s">
        <v>443</v>
      </c>
      <c r="K22" t="s">
        <v>411</v>
      </c>
    </row>
    <row r="23" spans="1:19" ht="45">
      <c r="A23" s="52">
        <v>217315514</v>
      </c>
      <c r="B23" s="61" t="s">
        <v>633</v>
      </c>
      <c r="C23" s="61" t="s">
        <v>7</v>
      </c>
      <c r="D23" s="22"/>
      <c r="E23" s="52">
        <v>658798021</v>
      </c>
      <c r="F23" s="29" t="s">
        <v>634</v>
      </c>
      <c r="G23" s="51" t="s">
        <v>635</v>
      </c>
      <c r="J23" t="s">
        <v>405</v>
      </c>
      <c r="K23" t="s">
        <v>411</v>
      </c>
      <c r="L23" s="233" t="s">
        <v>636</v>
      </c>
      <c r="N23" s="233" t="s">
        <v>637</v>
      </c>
    </row>
    <row r="24" spans="1:19" ht="102.75">
      <c r="A24" s="52">
        <v>217348064</v>
      </c>
      <c r="B24" s="61" t="s">
        <v>638</v>
      </c>
      <c r="C24" s="61" t="s">
        <v>639</v>
      </c>
      <c r="D24" s="22"/>
      <c r="E24" s="52">
        <v>733901238</v>
      </c>
      <c r="F24" s="29" t="s">
        <v>640</v>
      </c>
      <c r="G24" s="51" t="s">
        <v>641</v>
      </c>
      <c r="K24" t="s">
        <v>411</v>
      </c>
    </row>
    <row r="25" spans="1:19" ht="134.25" customHeight="1">
      <c r="A25" s="88">
        <f ca="1">IFERROR(__xludf.DUMMYFUNCTION("""COMPUTED_VALUE"""),219124520)</f>
        <v>219124520</v>
      </c>
      <c r="B25" s="88" t="str">
        <f ca="1">IFERROR(__xludf.DUMMYFUNCTION("""COMPUTED_VALUE"""),"Ngema")</f>
        <v>Ngema</v>
      </c>
      <c r="C25" s="88" t="str">
        <f ca="1">IFERROR(__xludf.DUMMYFUNCTION("""COMPUTED_VALUE"""),"SK")</f>
        <v>SK</v>
      </c>
      <c r="D25" s="88"/>
      <c r="E25" s="88" t="str">
        <f ca="1">IFERROR(__xludf.DUMMYFUNCTION("""COMPUTED_VALUE"""),"0672640006")</f>
        <v>0672640006</v>
      </c>
      <c r="F25" s="88" t="str">
        <f ca="1">IFERROR(__xludf.DUMMYFUNCTION("""COMPUTED_VALUE"""),"Sphesihlengema04@gmail.com")</f>
        <v>Sphesihlengema04@gmail.com</v>
      </c>
      <c r="G25" s="88" t="str">
        <f ca="1">IFERROR(__xludf.DUMMYFUNCTION("""COMPUTED_VALUE"""),"Need to pass TPG111T(2), ISY23AT(2), SSF24AT(3) , attend 85% of classes, and interventions during S1 2022.")</f>
        <v>Need to pass TPG111T(2), ISY23AT(2), SSF24AT(3) , attend 85% of classes, and interventions during S1 2022.</v>
      </c>
      <c r="H25" s="88"/>
      <c r="I25" s="88"/>
      <c r="J25" s="88" t="s">
        <v>454</v>
      </c>
      <c r="K25" s="88"/>
      <c r="L25" s="233" t="s">
        <v>460</v>
      </c>
      <c r="M25" s="244" t="s">
        <v>642</v>
      </c>
      <c r="N25" s="233" t="s">
        <v>464</v>
      </c>
      <c r="Q25" s="233"/>
      <c r="R25" s="244"/>
      <c r="S25" s="233"/>
    </row>
  </sheetData>
  <hyperlinks>
    <hyperlink ref="F18" r:id="rId1"/>
    <hyperlink ref="F19" r:id="rId2"/>
    <hyperlink ref="F20" r:id="rId3"/>
    <hyperlink ref="F21" r:id="rId4"/>
    <hyperlink ref="F22" r:id="rId5"/>
    <hyperlink ref="F23" r:id="rId6"/>
    <hyperlink ref="F24" r:id="rI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4" sqref="E4"/>
    </sheetView>
  </sheetViews>
  <sheetFormatPr defaultRowHeight="15"/>
  <cols>
    <col min="1" max="1" width="17.85546875" customWidth="1"/>
    <col min="2" max="2" width="18.85546875" customWidth="1"/>
    <col min="4" max="4" width="23.7109375" customWidth="1"/>
    <col min="5" max="5" width="30.7109375" style="115" customWidth="1"/>
    <col min="6" max="6" width="28.28515625" customWidth="1"/>
    <col min="7" max="7" width="33.85546875" customWidth="1"/>
    <col min="8" max="8" width="18.85546875" customWidth="1"/>
    <col min="9" max="9" width="28.7109375" customWidth="1"/>
    <col min="10" max="10" width="16.5703125" customWidth="1"/>
    <col min="11" max="11" width="20.85546875" customWidth="1"/>
    <col min="12" max="12" width="25.28515625" customWidth="1"/>
    <col min="13" max="13" width="15" customWidth="1"/>
  </cols>
  <sheetData>
    <row r="1" spans="1:14" ht="30" customHeight="1">
      <c r="A1" s="1" t="s">
        <v>0</v>
      </c>
      <c r="B1" s="1" t="s">
        <v>1</v>
      </c>
      <c r="C1" s="1" t="s">
        <v>2</v>
      </c>
      <c r="D1" s="1" t="s">
        <v>3</v>
      </c>
      <c r="E1" s="246" t="s">
        <v>4</v>
      </c>
      <c r="F1" s="1" t="s">
        <v>5</v>
      </c>
      <c r="G1" s="1" t="s">
        <v>6</v>
      </c>
      <c r="H1" s="202" t="s">
        <v>391</v>
      </c>
      <c r="I1" s="202" t="s">
        <v>392</v>
      </c>
      <c r="J1" s="202" t="s">
        <v>393</v>
      </c>
      <c r="K1" s="202" t="s">
        <v>394</v>
      </c>
      <c r="L1" s="227" t="s">
        <v>395</v>
      </c>
      <c r="M1" s="202" t="s">
        <v>396</v>
      </c>
    </row>
    <row r="2" spans="1:14" ht="51.75">
      <c r="A2" s="4">
        <f ca="1">IFERROR(__xludf.DUMMYFUNCTION("""COMPUTED_VALUE"""),216876202)</f>
        <v>216876202</v>
      </c>
      <c r="B2" s="4" t="s">
        <v>410</v>
      </c>
      <c r="C2" s="4" t="str">
        <f ca="1">IFERROR(__xludf.DUMMYFUNCTION("""COMPUTED_VALUE"""),"mn ")</f>
        <v xml:space="preserve">mn </v>
      </c>
      <c r="D2" s="3" t="s">
        <v>321</v>
      </c>
      <c r="E2" s="247" t="str">
        <f ca="1">IFERROR(__xludf.DUMMYFUNCTION("""COMPUTED_VALUE"""),"0713063986")</f>
        <v>0713063986</v>
      </c>
      <c r="F2" s="4" t="str">
        <f ca="1">IFERROR(__xludf.DUMMYFUNCTION("""COMPUTED_VALUE"""),"mabuzamuzikayifani@gmail.com")</f>
        <v>mabuzamuzikayifani@gmail.com</v>
      </c>
      <c r="G2" s="4" t="str">
        <f ca="1">IFERROR(__xludf.DUMMYFUNCTION("""COMPUTED_VALUE"""),"PASS TPG201T ISY23AT/BT  DSO23BT DURING S1 2022. STUDENT HAS TO REPORT FOR ACADEMIC INTERVENTION. ")</f>
        <v xml:space="preserve">PASS TPG201T ISY23AT/BT  DSO23BT DURING S1 2022. STUDENT HAS TO REPORT FOR ACADEMIC INTERVENTION. </v>
      </c>
      <c r="J2" t="s">
        <v>401</v>
      </c>
    </row>
    <row r="3" spans="1:14" ht="60">
      <c r="A3" s="4">
        <f ca="1">IFERROR(__xludf.DUMMYFUNCTION("""COMPUTED_VALUE"""),219631014)</f>
        <v>219631014</v>
      </c>
      <c r="B3" s="4" t="str">
        <f ca="1">IFERROR(__xludf.DUMMYFUNCTION("""COMPUTED_VALUE"""),"Malatji ")</f>
        <v xml:space="preserve">Malatji </v>
      </c>
      <c r="C3" s="4" t="str">
        <f ca="1">IFERROR(__xludf.DUMMYFUNCTION("""COMPUTED_VALUE"""),"W")</f>
        <v>W</v>
      </c>
      <c r="D3" s="3" t="s">
        <v>321</v>
      </c>
      <c r="E3" s="150" t="str">
        <f ca="1">IFERROR(__xludf.DUMMYFUNCTION("""COMPUTED_VALUE"""),"606386534")</f>
        <v>606386534</v>
      </c>
      <c r="F3" s="4" t="str">
        <f ca="1">IFERROR(__xludf.DUMMYFUNCTION("""COMPUTED_VALUE"""),"219631014@tut4life.ac.za")</f>
        <v>219631014@tut4life.ac.za</v>
      </c>
      <c r="G3" s="4"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J3" t="s">
        <v>401</v>
      </c>
      <c r="K3" s="240" t="s">
        <v>616</v>
      </c>
      <c r="M3" s="233"/>
      <c r="N3" t="s">
        <v>643</v>
      </c>
    </row>
    <row r="4" spans="1:14" ht="38.25" customHeight="1">
      <c r="A4" s="4">
        <f ca="1">IFERROR(__xludf.DUMMYFUNCTION("""COMPUTED_VALUE"""),217459842)</f>
        <v>217459842</v>
      </c>
      <c r="B4" s="4" t="str">
        <f ca="1">IFERROR(__xludf.DUMMYFUNCTION("""COMPUTED_VALUE"""),"Mabasa")</f>
        <v>Mabasa</v>
      </c>
      <c r="C4" s="4" t="s">
        <v>423</v>
      </c>
      <c r="D4" s="3" t="s">
        <v>321</v>
      </c>
      <c r="E4" s="150" t="str">
        <f ca="1">IFERROR(__xludf.DUMMYFUNCTION("""COMPUTED_VALUE"""),"+27649923560")</f>
        <v>+27649923560</v>
      </c>
      <c r="F4" s="4" t="str">
        <f ca="1">IFERROR(__xludf.DUMMYFUNCTION("""COMPUTED_VALUE"""),"eliasrhandzu7@gmail.com")</f>
        <v>eliasrhandzu7@gmail.com</v>
      </c>
      <c r="G4" s="4" t="str">
        <f ca="1">IFERROR(__xludf.DUMMYFUNCTION("""COMPUTED_VALUE"""),"Student must pass DSO23AT, TPG201T, and ISY23AT.")</f>
        <v>Student must pass DSO23AT, TPG201T, and ISY23AT.</v>
      </c>
      <c r="J4" t="s">
        <v>644</v>
      </c>
    </row>
    <row r="5" spans="1:14" ht="26.25">
      <c r="A5" s="4">
        <f ca="1">IFERROR(__xludf.DUMMYFUNCTION("""COMPUTED_VALUE"""),210025421)</f>
        <v>210025421</v>
      </c>
      <c r="B5" s="4" t="str">
        <f ca="1">IFERROR(__xludf.DUMMYFUNCTION("""COMPUTED_VALUE"""),"Skosana")</f>
        <v>Skosana</v>
      </c>
      <c r="C5" s="4" t="str">
        <f ca="1">IFERROR(__xludf.DUMMYFUNCTION("""COMPUTED_VALUE"""),"GK")</f>
        <v>GK</v>
      </c>
      <c r="D5" s="3" t="s">
        <v>321</v>
      </c>
      <c r="E5" s="150" t="str">
        <f ca="1">IFERROR(__xludf.DUMMYFUNCTION("""COMPUTED_VALUE"""),"0728078491")</f>
        <v>0728078491</v>
      </c>
      <c r="F5" s="4" t="str">
        <f ca="1">IFERROR(__xludf.DUMMYFUNCTION("""COMPUTED_VALUE"""),"210025421@tut4life.ac.za")</f>
        <v>210025421@tut4life.ac.za</v>
      </c>
      <c r="G5" s="4" t="str">
        <f ca="1">IFERROR(__xludf.DUMMYFUNCTION("""COMPUTED_VALUE"""),"Student need to pass TPG201T, ISY23AT")</f>
        <v>Student need to pass TPG201T, ISY23AT</v>
      </c>
      <c r="J5" t="s">
        <v>401</v>
      </c>
    </row>
    <row r="6" spans="1:14" ht="39">
      <c r="A6" s="4">
        <f ca="1">IFERROR(__xludf.DUMMYFUNCTION("""COMPUTED_VALUE"""),215650820)</f>
        <v>215650820</v>
      </c>
      <c r="B6" s="4" t="str">
        <f ca="1">IFERROR(__xludf.DUMMYFUNCTION("""COMPUTED_VALUE"""),"khoza")</f>
        <v>khoza</v>
      </c>
      <c r="C6" s="4" t="str">
        <f ca="1">IFERROR(__xludf.DUMMYFUNCTION("""COMPUTED_VALUE"""),"TK")</f>
        <v>TK</v>
      </c>
      <c r="D6" s="3" t="s">
        <v>321</v>
      </c>
      <c r="E6" s="150" t="str">
        <f ca="1">IFERROR(__xludf.DUMMYFUNCTION("""COMPUTED_VALUE"""),"0604061400")</f>
        <v>0604061400</v>
      </c>
      <c r="F6" s="4" t="str">
        <f ca="1">IFERROR(__xludf.DUMMYFUNCTION("""COMPUTED_VALUE"""),"kenneth.kk38@gmail.com")</f>
        <v>kenneth.kk38@gmail.com</v>
      </c>
      <c r="G6" s="4" t="str">
        <f ca="1">IFERROR(__xludf.DUMMYFUNCTION("""COMPUTED_VALUE"""),"Student need to pass TPG201T, ISY23AT, and DSO23BT, attend 85% full time, and attend all interventions.")</f>
        <v>Student need to pass TPG201T, ISY23AT, and DSO23BT, attend 85% full time, and attend all interventions.</v>
      </c>
      <c r="J6" t="s">
        <v>401</v>
      </c>
    </row>
    <row r="7" spans="1:14" ht="51.75">
      <c r="A7" s="4">
        <v>217343208</v>
      </c>
      <c r="B7" s="4" t="str">
        <f ca="1">IFERROR(__xludf.DUMMYFUNCTION("""COMPUTED_VALUE"""),"TLHABI")</f>
        <v>TLHABI</v>
      </c>
      <c r="C7" s="4" t="str">
        <f ca="1">IFERROR(__xludf.DUMMYFUNCTION("""COMPUTED_VALUE"""),"KN")</f>
        <v>KN</v>
      </c>
      <c r="D7" s="3" t="s">
        <v>321</v>
      </c>
      <c r="E7" s="150" t="str">
        <f ca="1">IFERROR(__xludf.DUMMYFUNCTION("""COMPUTED_VALUE"""),"0724137932")</f>
        <v>0724137932</v>
      </c>
      <c r="F7" s="4" t="str">
        <f ca="1">IFERROR(__xludf.DUMMYFUNCTION("""COMPUTED_VALUE"""),"nk77tlhabi@gmail.com")</f>
        <v>nk77tlhabi@gmail.com</v>
      </c>
      <c r="G7" s="4" t="str">
        <f ca="1">IFERROR(__xludf.DUMMYFUNCTION("""COMPUTED_VALUE"""),"Student need to pass TPG201T, ISY23AT, ISY23BT,and DSO23BT, attend 85% full time, and attend all interventions.")</f>
        <v>Student need to pass TPG201T, ISY23AT, ISY23BT,and DSO23BT, attend 85% full time, and attend all interventions.</v>
      </c>
      <c r="J7" t="s">
        <v>644</v>
      </c>
    </row>
    <row r="8" spans="1:14" ht="39">
      <c r="A8" s="86">
        <f ca="1">IFERROR(__xludf.DUMMYFUNCTION("""COMPUTED_VALUE"""),217602203)</f>
        <v>217602203</v>
      </c>
      <c r="B8" s="86" t="str">
        <f ca="1">IFERROR(__xludf.DUMMYFUNCTION("""COMPUTED_VALUE"""),"Mabena ")</f>
        <v xml:space="preserve">Mabena </v>
      </c>
      <c r="C8" s="86" t="str">
        <f ca="1">IFERROR(__xludf.DUMMYFUNCTION("""COMPUTED_VALUE"""),"TM")</f>
        <v>TM</v>
      </c>
      <c r="D8" s="82" t="s">
        <v>321</v>
      </c>
      <c r="E8" s="150" t="str">
        <f ca="1">IFERROR(__xludf.DUMMYFUNCTION("""COMPUTED_VALUE"""),"0796017958")</f>
        <v>0796017958</v>
      </c>
      <c r="F8" s="150" t="str">
        <f ca="1">IFERROR(__xludf.DUMMYFUNCTION("""COMPUTED_VALUE"""),"217602203@tut4life.ac.za")</f>
        <v>217602203@tut4life.ac.za</v>
      </c>
      <c r="G8" s="150" t="str">
        <f ca="1">IFERROR(__xludf.DUMMYFUNCTION("""COMPUTED_VALUE"""),"Student must pass TPG111T and ISY23AT, and TPG201T, attend 85% full time, and attend all interventions.")</f>
        <v>Student must pass TPG111T and ISY23AT, and TPG201T, attend 85% full time, and attend all interventions.</v>
      </c>
      <c r="H8" s="115"/>
      <c r="J8" t="s">
        <v>401</v>
      </c>
    </row>
    <row r="9" spans="1:14" ht="135" customHeight="1">
      <c r="A9" s="86">
        <f ca="1">IFERROR(__xludf.DUMMYFUNCTION("""COMPUTED_VALUE"""),217603722)</f>
        <v>217603722</v>
      </c>
      <c r="B9" s="86" t="str">
        <f ca="1">IFERROR(__xludf.DUMMYFUNCTION("""COMPUTED_VALUE"""),"Mabasa")</f>
        <v>Mabasa</v>
      </c>
      <c r="C9" s="86" t="str">
        <f ca="1">IFERROR(__xludf.DUMMYFUNCTION("""COMPUTED_VALUE"""),"F")</f>
        <v>F</v>
      </c>
      <c r="D9" s="82" t="s">
        <v>308</v>
      </c>
      <c r="E9" s="150" t="str">
        <f ca="1">IFERROR(__xludf.DUMMYFUNCTION("""COMPUTED_VALUE"""),"0799206179")</f>
        <v>0799206179</v>
      </c>
      <c r="F9" s="150" t="str">
        <f ca="1">IFERROR(__xludf.DUMMYFUNCTION("""COMPUTED_VALUE"""),"217603722@tut4life.ac.za")</f>
        <v>217603722@tut4life.ac.za</v>
      </c>
      <c r="G9" s="150" t="str">
        <f ca="1">IFERROR(__xludf.DUMMYFUNCTION("""COMPUTED_VALUE"""),"Student need to pass ISY23AT and TPG201T, attend 85% full time, and attend all interventions.")</f>
        <v>Student need to pass ISY23AT and TPG201T, attend 85% full time, and attend all interventions.</v>
      </c>
      <c r="H9" s="115" t="s">
        <v>400</v>
      </c>
      <c r="I9" s="115" t="s">
        <v>405</v>
      </c>
      <c r="J9" s="115" t="s">
        <v>401</v>
      </c>
      <c r="K9" s="240" t="s">
        <v>645</v>
      </c>
      <c r="L9" s="115"/>
      <c r="M9" s="240" t="s">
        <v>432</v>
      </c>
    </row>
    <row r="10" spans="1:14" ht="51.75">
      <c r="A10" s="4">
        <f ca="1">IFERROR(__xludf.DUMMYFUNCTION("""COMPUTED_VALUE"""),218014739)</f>
        <v>218014739</v>
      </c>
      <c r="B10" s="4" t="str">
        <f ca="1">IFERROR(__xludf.DUMMYFUNCTION("""COMPUTED_VALUE"""),"ngobeni")</f>
        <v>ngobeni</v>
      </c>
      <c r="C10" s="4" t="str">
        <f ca="1">IFERROR(__xludf.DUMMYFUNCTION("""COMPUTED_VALUE"""),"c")</f>
        <v>c</v>
      </c>
      <c r="D10" s="3" t="s">
        <v>321</v>
      </c>
      <c r="E10" s="150" t="str">
        <f ca="1">IFERROR(__xludf.DUMMYFUNCTION("""COMPUTED_VALUE"""),"+27790674457")</f>
        <v>+27790674457</v>
      </c>
      <c r="F10" s="4" t="str">
        <f ca="1">IFERROR(__xludf.DUMMYFUNCTION("""COMPUTED_VALUE"""),"218014739@tut4life.ac.za")</f>
        <v>218014739@tut4life.ac.za</v>
      </c>
      <c r="G10" s="4" t="str">
        <f ca="1">IFERROR(__xludf.DUMMYFUNCTION("""COMPUTED_VALUE"""),"Student must pass PASS TPG201T, DSO23AT, ISY23AT, and ISY23BT, attend 85% full time, and attend all interventions.")</f>
        <v>Student must pass PASS TPG201T, DSO23AT, ISY23AT, and ISY23BT, attend 85% full time, and attend all interventions.</v>
      </c>
      <c r="J10" t="s">
        <v>644</v>
      </c>
    </row>
    <row r="11" spans="1:14" ht="39">
      <c r="A11" s="4">
        <f ca="1">IFERROR(__xludf.DUMMYFUNCTION("""COMPUTED_VALUE"""),218630634)</f>
        <v>218630634</v>
      </c>
      <c r="B11" s="4" t="str">
        <f ca="1">IFERROR(__xludf.DUMMYFUNCTION("""COMPUTED_VALUE"""),"Mudau")</f>
        <v>Mudau</v>
      </c>
      <c r="C11" s="4" t="str">
        <f ca="1">IFERROR(__xludf.DUMMYFUNCTION("""COMPUTED_VALUE"""),"T")</f>
        <v>T</v>
      </c>
      <c r="D11" s="3" t="s">
        <v>321</v>
      </c>
      <c r="E11" s="150" t="str">
        <f ca="1">IFERROR(__xludf.DUMMYFUNCTION("""COMPUTED_VALUE"""),"0791592228")</f>
        <v>0791592228</v>
      </c>
      <c r="F11" s="4" t="str">
        <f ca="1">IFERROR(__xludf.DUMMYFUNCTION("""COMPUTED_VALUE"""),"218630634@tut4life.ac.za")</f>
        <v>218630634@tut4life.ac.za</v>
      </c>
      <c r="G11" s="4" t="str">
        <f ca="1">IFERROR(__xludf.DUMMYFUNCTION("""COMPUTED_VALUE"""),"student need to pass TPG201T, and ISY23AT during S1 2022, Attend interventions, attend 85% of classes")</f>
        <v>student need to pass TPG201T, and ISY23AT during S1 2022, Attend interventions, attend 85% of classes</v>
      </c>
      <c r="J11" t="s">
        <v>644</v>
      </c>
    </row>
    <row r="12" spans="1:14" ht="51.75">
      <c r="A12" s="85">
        <f ca="1">IFERROR(__xludf.DUMMYFUNCTION("""COMPUTED_VALUE"""),217472032)</f>
        <v>217472032</v>
      </c>
      <c r="B12" s="85" t="str">
        <f ca="1">IFERROR(__xludf.DUMMYFUNCTION("""COMPUTED_VALUE"""),"Thabethe")</f>
        <v>Thabethe</v>
      </c>
      <c r="C12" s="85" t="str">
        <f ca="1">IFERROR(__xludf.DUMMYFUNCTION("""COMPUTED_VALUE"""),"BVJ")</f>
        <v>BVJ</v>
      </c>
      <c r="D12" s="85"/>
      <c r="E12" s="150" t="str">
        <f ca="1">IFERROR(__xludf.DUMMYFUNCTION("""COMPUTED_VALUE"""),"0736608587")</f>
        <v>0736608587</v>
      </c>
      <c r="F12" s="85" t="str">
        <f ca="1">IFERROR(__xludf.DUMMYFUNCTION("""COMPUTED_VALUE"""),"vukilejuniorthabethe@gmail.com")</f>
        <v>vukilejuniorthabethe@gmail.com</v>
      </c>
      <c r="G12" s="85"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J12" t="s">
        <v>401</v>
      </c>
    </row>
    <row r="13" spans="1:14" ht="2.25" customHeight="1">
      <c r="A13" s="4">
        <f ca="1">IFERROR(__xludf.DUMMYFUNCTION("""COMPUTED_VALUE"""),218677274)</f>
        <v>218677274</v>
      </c>
      <c r="B13" s="4" t="str">
        <f ca="1">IFERROR(__xludf.DUMMYFUNCTION("""COMPUTED_VALUE"""),"Makhata")</f>
        <v>Makhata</v>
      </c>
      <c r="C13" s="4" t="str">
        <f ca="1">IFERROR(__xludf.DUMMYFUNCTION("""COMPUTED_VALUE"""),"Ofentse Xoliso ")</f>
        <v xml:space="preserve">Ofentse Xoliso </v>
      </c>
      <c r="D13" s="4"/>
      <c r="E13" s="150" t="str">
        <f ca="1">IFERROR(__xludf.DUMMYFUNCTION("""COMPUTED_VALUE"""),"0843061302")</f>
        <v>0843061302</v>
      </c>
      <c r="F13" s="4" t="str">
        <f ca="1">IFERROR(__xludf.DUMMYFUNCTION("""COMPUTED_VALUE"""),"ofentsemakhata098@gmail.com")</f>
        <v>ofentsemakhata098@gmail.com</v>
      </c>
      <c r="G13" s="4" t="str">
        <f ca="1">IFERROR(__xludf.DUMMYFUNCTION("""COMPUTED_VALUE"""),"Student must pass TPG111T, ISY23AT.")</f>
        <v>Student must pass TPG111T, ISY23AT.</v>
      </c>
      <c r="J13" t="s">
        <v>401</v>
      </c>
    </row>
    <row r="14" spans="1:14" ht="47.25" customHeight="1">
      <c r="A14" s="4">
        <f ca="1">IFERROR(__xludf.DUMMYFUNCTION("""COMPUTED_VALUE"""),219142145)</f>
        <v>219142145</v>
      </c>
      <c r="B14" s="4" t="str">
        <f ca="1">IFERROR(__xludf.DUMMYFUNCTION("""COMPUTED_VALUE"""),"KGOBODI")</f>
        <v>KGOBODI</v>
      </c>
      <c r="C14" s="4" t="str">
        <f ca="1">IFERROR(__xludf.DUMMYFUNCTION("""COMPUTED_VALUE"""),"M")</f>
        <v>M</v>
      </c>
      <c r="D14" s="4"/>
      <c r="E14" s="150" t="str">
        <f ca="1">IFERROR(__xludf.DUMMYFUNCTION("""COMPUTED_VALUE"""),"0762574152")</f>
        <v>0762574152</v>
      </c>
      <c r="F14" s="4" t="str">
        <f ca="1">IFERROR(__xludf.DUMMYFUNCTION("""COMPUTED_VALUE"""),"motheokgobodi@gmail.com")</f>
        <v>motheokgobodi@gmail.com</v>
      </c>
      <c r="G14" s="4" t="str">
        <f ca="1">IFERROR(__xludf.DUMMYFUNCTION("""COMPUTED_VALUE"""),"student need to pass TPG111T adn ISY23AT.")</f>
        <v>student need to pass TPG111T adn ISY23AT.</v>
      </c>
      <c r="J14" s="251" t="s">
        <v>646</v>
      </c>
    </row>
    <row r="15" spans="1:14" ht="195">
      <c r="A15" s="86">
        <f ca="1">IFERROR(__xludf.DUMMYFUNCTION("""COMPUTED_VALUE"""),219670338)</f>
        <v>219670338</v>
      </c>
      <c r="B15" s="86" t="str">
        <f ca="1">IFERROR(__xludf.DUMMYFUNCTION("""COMPUTED_VALUE"""),"Spotsie ")</f>
        <v xml:space="preserve">Spotsie </v>
      </c>
      <c r="C15" s="86" t="str">
        <f ca="1">IFERROR(__xludf.DUMMYFUNCTION("""COMPUTED_VALUE"""),"ZM")</f>
        <v>ZM</v>
      </c>
      <c r="D15" s="86"/>
      <c r="E15" s="150" t="str">
        <f ca="1">IFERROR(__xludf.DUMMYFUNCTION("""COMPUTED_VALUE"""),"0679340294")</f>
        <v>0679340294</v>
      </c>
      <c r="F15" s="86" t="str">
        <f ca="1">IFERROR(__xludf.DUMMYFUNCTION("""COMPUTED_VALUE"""),"masibulelehalala@gmail.com")</f>
        <v>masibulelehalala@gmail.com</v>
      </c>
      <c r="G15" s="86" t="str">
        <f ca="1">IFERROR(__xludf.DUMMYFUNCTION("""COMPUTED_VALUE"""),"Student need to pass TPG111T and ISY23AT.")</f>
        <v>Student need to pass TPG111T and ISY23AT.</v>
      </c>
      <c r="J15" t="s">
        <v>644</v>
      </c>
      <c r="K15" s="232" t="s">
        <v>455</v>
      </c>
      <c r="L15" s="233" t="s">
        <v>456</v>
      </c>
      <c r="M15" s="233" t="s">
        <v>457</v>
      </c>
    </row>
    <row r="16" spans="1:14" ht="39">
      <c r="A16" s="4">
        <f ca="1">IFERROR(__xludf.DUMMYFUNCTION("""COMPUTED_VALUE"""),216863038)</f>
        <v>216863038</v>
      </c>
      <c r="B16" s="4" t="str">
        <f ca="1">IFERROR(__xludf.DUMMYFUNCTION("""COMPUTED_VALUE"""),"Zucula")</f>
        <v>Zucula</v>
      </c>
      <c r="C16" s="4" t="str">
        <f ca="1">IFERROR(__xludf.DUMMYFUNCTION("""COMPUTED_VALUE"""),"T.F")</f>
        <v>T.F</v>
      </c>
      <c r="D16" s="4"/>
      <c r="E16" s="150" t="str">
        <f ca="1">IFERROR(__xludf.DUMMYFUNCTION("""COMPUTED_VALUE"""),"0797033143")</f>
        <v>0797033143</v>
      </c>
      <c r="F16" s="4" t="str">
        <f ca="1">IFERROR(__xludf.DUMMYFUNCTION("""COMPUTED_VALUE"""),"tfikizucula@gmail.com")</f>
        <v>tfikizucula@gmail.com</v>
      </c>
      <c r="G16" s="4" t="str">
        <f ca="1">IFERROR(__xludf.DUMMYFUNCTION("""COMPUTED_VALUE"""),"Need to pass DSO23AT, TPG111T, and ISY23ATattend 85% full time, and attend all interventions.")</f>
        <v>Need to pass DSO23AT, TPG111T, and ISY23ATattend 85% full time, and attend all interventions.</v>
      </c>
      <c r="J16" t="s">
        <v>401</v>
      </c>
    </row>
    <row r="17" spans="1:13" ht="39">
      <c r="A17" s="4">
        <f ca="1">IFERROR(__xludf.DUMMYFUNCTION("""COMPUTED_VALUE"""),218019692)</f>
        <v>218019692</v>
      </c>
      <c r="B17" s="4" t="str">
        <f ca="1">IFERROR(__xludf.DUMMYFUNCTION("""COMPUTED_VALUE"""),"Ndhlovu")</f>
        <v>Ndhlovu</v>
      </c>
      <c r="C17" s="4" t="str">
        <f ca="1">IFERROR(__xludf.DUMMYFUNCTION("""COMPUTED_VALUE"""),"F.K")</f>
        <v>F.K</v>
      </c>
      <c r="D17" s="4"/>
      <c r="E17" s="150" t="str">
        <f ca="1">IFERROR(__xludf.DUMMYFUNCTION("""COMPUTED_VALUE"""),"0791436212")</f>
        <v>0791436212</v>
      </c>
      <c r="F17" s="4" t="str">
        <f ca="1">IFERROR(__xludf.DUMMYFUNCTION("""COMPUTED_VALUE"""),"218019692@tut4life.ac.za")</f>
        <v>218019692@tut4life.ac.za</v>
      </c>
      <c r="G17" s="4" t="str">
        <f ca="1">IFERROR(__xludf.DUMMYFUNCTION("""COMPUTED_VALUE"""),"Student must pass TPG111T and ISY23AT, attend 85% full time, and attend all interventions.")</f>
        <v>Student must pass TPG111T and ISY23AT, attend 85% full time, and attend all interventions.</v>
      </c>
      <c r="J17" t="s">
        <v>401</v>
      </c>
    </row>
    <row r="18" spans="1:13" ht="39">
      <c r="A18" s="86">
        <f ca="1">IFERROR(__xludf.DUMMYFUNCTION("""COMPUTED_VALUE"""),218501583)</f>
        <v>218501583</v>
      </c>
      <c r="B18" s="86" t="str">
        <f ca="1">IFERROR(__xludf.DUMMYFUNCTION("""COMPUTED_VALUE"""),"Skosana")</f>
        <v>Skosana</v>
      </c>
      <c r="C18" s="86" t="str">
        <f ca="1">IFERROR(__xludf.DUMMYFUNCTION("""COMPUTED_VALUE"""),"M.N")</f>
        <v>M.N</v>
      </c>
      <c r="D18" s="86"/>
      <c r="E18" s="150" t="str">
        <f ca="1">IFERROR(__xludf.DUMMYFUNCTION("""COMPUTED_VALUE"""),"0676456022")</f>
        <v>0676456022</v>
      </c>
      <c r="F18" s="86" t="str">
        <f ca="1">IFERROR(__xludf.DUMMYFUNCTION("""COMPUTED_VALUE"""),"mbongeni27sk@gmail.com")</f>
        <v>mbongeni27sk@gmail.com</v>
      </c>
      <c r="G18" s="86" t="str">
        <f ca="1">IFERROR(__xludf.DUMMYFUNCTION("""COMPUTED_VALUE"""),"student need to pass TPG111T, and ISY23AT During S1 2022 , and attend relevant interventions")</f>
        <v>student need to pass TPG111T, and ISY23AT During S1 2022 , and attend relevant interventions</v>
      </c>
      <c r="J18" t="s">
        <v>401</v>
      </c>
    </row>
    <row r="19" spans="1:13" ht="150">
      <c r="A19" s="86">
        <f ca="1">IFERROR(__xludf.DUMMYFUNCTION("""COMPUTED_VALUE"""),218589081)</f>
        <v>218589081</v>
      </c>
      <c r="B19" s="86" t="str">
        <f ca="1">IFERROR(__xludf.DUMMYFUNCTION("""COMPUTED_VALUE"""),"Tshivule")</f>
        <v>Tshivule</v>
      </c>
      <c r="C19" s="86" t="str">
        <f ca="1">IFERROR(__xludf.DUMMYFUNCTION("""COMPUTED_VALUE"""),"E")</f>
        <v>E</v>
      </c>
      <c r="D19" s="86"/>
      <c r="E19" s="150" t="str">
        <f ca="1">IFERROR(__xludf.DUMMYFUNCTION("""COMPUTED_VALUE"""),"+27608667583")</f>
        <v>+27608667583</v>
      </c>
      <c r="F19" s="86" t="str">
        <f ca="1">IFERROR(__xludf.DUMMYFUNCTION("""COMPUTED_VALUE"""),"tshivuleemmanuel@gmail.com")</f>
        <v>tshivuleemmanuel@gmail.com</v>
      </c>
      <c r="G19" s="86" t="str">
        <f ca="1">IFERROR(__xludf.DUMMYFUNCTION("""COMPUTED_VALUE"""),"student need to pass TPG111T, and ISY23AT during S1 2022, Attend interventions, attend 85% of classes")</f>
        <v>student need to pass TPG111T, and ISY23AT during S1 2022, Attend interventions, attend 85% of classes</v>
      </c>
      <c r="J19" t="s">
        <v>401</v>
      </c>
      <c r="K19" s="233" t="s">
        <v>647</v>
      </c>
      <c r="M19" s="233" t="s">
        <v>463</v>
      </c>
    </row>
    <row r="20" spans="1:13" ht="225">
      <c r="A20" s="86">
        <f ca="1">IFERROR(__xludf.DUMMYFUNCTION("""COMPUTED_VALUE"""),219124520)</f>
        <v>219124520</v>
      </c>
      <c r="B20" s="86" t="str">
        <f ca="1">IFERROR(__xludf.DUMMYFUNCTION("""COMPUTED_VALUE"""),"Ngema")</f>
        <v>Ngema</v>
      </c>
      <c r="C20" s="86" t="str">
        <f ca="1">IFERROR(__xludf.DUMMYFUNCTION("""COMPUTED_VALUE"""),"SK")</f>
        <v>SK</v>
      </c>
      <c r="D20" s="86"/>
      <c r="E20" s="150" t="str">
        <f ca="1">IFERROR(__xludf.DUMMYFUNCTION("""COMPUTED_VALUE"""),"0672640006")</f>
        <v>0672640006</v>
      </c>
      <c r="F20" s="86" t="str">
        <f ca="1">IFERROR(__xludf.DUMMYFUNCTION("""COMPUTED_VALUE"""),"Sphesihlengema04@gmail.com")</f>
        <v>Sphesihlengema04@gmail.com</v>
      </c>
      <c r="G20" s="86" t="str">
        <f ca="1">IFERROR(__xludf.DUMMYFUNCTION("""COMPUTED_VALUE"""),"Need to pass TPG111T(2), ISY23AT(2), SSF24AT(3) , attend 85% of classes, and interventions during S1 2022.")</f>
        <v>Need to pass TPG111T(2), ISY23AT(2), SSF24AT(3) , attend 85% of classes, and interventions during S1 2022.</v>
      </c>
      <c r="J20" t="s">
        <v>401</v>
      </c>
      <c r="K20" s="233" t="s">
        <v>460</v>
      </c>
      <c r="L20" s="244" t="s">
        <v>642</v>
      </c>
      <c r="M20" s="233" t="s">
        <v>464</v>
      </c>
    </row>
    <row r="21" spans="1:13" ht="105">
      <c r="A21" s="86">
        <f ca="1">IFERROR(__xludf.DUMMYFUNCTION("""COMPUTED_VALUE"""),219529198)</f>
        <v>219529198</v>
      </c>
      <c r="B21" s="86" t="str">
        <f ca="1">IFERROR(__xludf.DUMMYFUNCTION("""COMPUTED_VALUE"""),"Khoza")</f>
        <v>Khoza</v>
      </c>
      <c r="C21" s="86" t="str">
        <f ca="1">IFERROR(__xludf.DUMMYFUNCTION("""COMPUTED_VALUE"""),"A.A")</f>
        <v>A.A</v>
      </c>
      <c r="D21" s="86"/>
      <c r="E21" s="150" t="str">
        <f ca="1">IFERROR(__xludf.DUMMYFUNCTION("""COMPUTED_VALUE"""),"766580536")</f>
        <v>766580536</v>
      </c>
      <c r="F21" s="86" t="str">
        <f ca="1">IFERROR(__xludf.DUMMYFUNCTION("""COMPUTED_VALUE"""),"amazingkhoza4569@gmail.com")</f>
        <v>amazingkhoza4569@gmail.com</v>
      </c>
      <c r="G21" s="86"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J21" t="s">
        <v>401</v>
      </c>
      <c r="K21" s="233" t="s">
        <v>648</v>
      </c>
      <c r="L21" s="233" t="s">
        <v>649</v>
      </c>
      <c r="M21" s="233" t="s">
        <v>650</v>
      </c>
    </row>
    <row r="22" spans="1:13" ht="75">
      <c r="A22" s="4">
        <f ca="1">IFERROR(__xludf.DUMMYFUNCTION("""COMPUTED_VALUE"""),219900368)</f>
        <v>219900368</v>
      </c>
      <c r="B22" s="4" t="str">
        <f ca="1">IFERROR(__xludf.DUMMYFUNCTION("""COMPUTED_VALUE"""),"Mthembu")</f>
        <v>Mthembu</v>
      </c>
      <c r="C22" s="4" t="str">
        <f ca="1">IFERROR(__xludf.DUMMYFUNCTION("""COMPUTED_VALUE"""),"Z")</f>
        <v>Z</v>
      </c>
      <c r="D22" s="4"/>
      <c r="E22" s="150" t="str">
        <f ca="1">IFERROR(__xludf.DUMMYFUNCTION("""COMPUTED_VALUE"""),"0684849139")</f>
        <v>0684849139</v>
      </c>
      <c r="F22" s="4" t="str">
        <f ca="1">IFERROR(__xludf.DUMMYFUNCTION("""COMPUTED_VALUE"""),"219900368@tut4life.ac.za")</f>
        <v>219900368@tut4life.ac.za</v>
      </c>
      <c r="G22" s="4" t="str">
        <f ca="1">IFERROR(__xludf.DUMMYFUNCTION("""COMPUTED_VALUE"""),"Student must pass DSO17BT and ISY23AT during S1 2022 and report for academic intervention.")</f>
        <v>Student must pass DSO17BT and ISY23AT during S1 2022 and report for academic intervention.</v>
      </c>
      <c r="J22" t="s">
        <v>401</v>
      </c>
      <c r="K22" s="233" t="s">
        <v>651</v>
      </c>
      <c r="M22" s="233" t="s">
        <v>652</v>
      </c>
    </row>
    <row r="23" spans="1:13" ht="26.25">
      <c r="A23" s="4">
        <f ca="1">IFERROR(__xludf.DUMMYFUNCTION("""COMPUTED_VALUE"""),218187021)</f>
        <v>218187021</v>
      </c>
      <c r="B23" s="4" t="str">
        <f ca="1">IFERROR(__xludf.DUMMYFUNCTION("""COMPUTED_VALUE"""),"Rapholo")</f>
        <v>Rapholo</v>
      </c>
      <c r="C23" s="4" t="str">
        <f ca="1">IFERROR(__xludf.DUMMYFUNCTION("""COMPUTED_VALUE"""),"Kwj")</f>
        <v>Kwj</v>
      </c>
      <c r="D23" s="4"/>
      <c r="E23" s="150" t="str">
        <f ca="1">IFERROR(__xludf.DUMMYFUNCTION("""COMPUTED_VALUE"""),"0795361936")</f>
        <v>0795361936</v>
      </c>
      <c r="F23" s="4" t="str">
        <f ca="1">IFERROR(__xludf.DUMMYFUNCTION("""COMPUTED_VALUE"""),"alkamorjunior@gmail.com")</f>
        <v>alkamorjunior@gmail.com</v>
      </c>
      <c r="G23" s="4" t="str">
        <f ca="1">IFERROR(__xludf.DUMMYFUNCTION("""COMPUTED_VALUE"""),"Student must pass DSO23AT, ISY23AT")</f>
        <v>Student must pass DSO23AT, ISY23AT</v>
      </c>
      <c r="J23" t="s">
        <v>401</v>
      </c>
    </row>
    <row r="24" spans="1:13" ht="39">
      <c r="A24" s="4">
        <f ca="1">IFERROR(__xludf.DUMMYFUNCTION("""COMPUTED_VALUE"""),216704649)</f>
        <v>216704649</v>
      </c>
      <c r="B24" s="4" t="str">
        <f ca="1">IFERROR(__xludf.DUMMYFUNCTION("""COMPUTED_VALUE"""),"Nape")</f>
        <v>Nape</v>
      </c>
      <c r="C24" s="4" t="str">
        <f ca="1">IFERROR(__xludf.DUMMYFUNCTION("""COMPUTED_VALUE"""),"LE")</f>
        <v>LE</v>
      </c>
      <c r="D24" s="4"/>
      <c r="E24" s="150" t="str">
        <f ca="1">IFERROR(__xludf.DUMMYFUNCTION("""COMPUTED_VALUE"""),"0608669738")</f>
        <v>0608669738</v>
      </c>
      <c r="F24" s="4" t="str">
        <f ca="1">IFERROR(__xludf.DUMMYFUNCTION("""COMPUTED_VALUE"""),"liesbet.nape@gmail.com")</f>
        <v>liesbet.nape@gmail.com</v>
      </c>
      <c r="G24" s="4" t="str">
        <f ca="1">IFERROR(__xludf.DUMMYFUNCTION("""COMPUTED_VALUE"""),"Student need to pass ISY23AT during S1 2022 and report for academic intervention.")</f>
        <v>Student need to pass ISY23AT during S1 2022 and report for academic intervention.</v>
      </c>
      <c r="J24" t="s">
        <v>401</v>
      </c>
    </row>
    <row r="25" spans="1:13">
      <c r="A25" s="4">
        <f ca="1">IFERROR(__xludf.DUMMYFUNCTION("""COMPUTED_VALUE"""),217043530)</f>
        <v>217043530</v>
      </c>
      <c r="B25" s="4" t="str">
        <f ca="1">IFERROR(__xludf.DUMMYFUNCTION("""COMPUTED_VALUE"""),"Maakane")</f>
        <v>Maakane</v>
      </c>
      <c r="C25" s="4" t="str">
        <f ca="1">IFERROR(__xludf.DUMMYFUNCTION("""COMPUTED_VALUE"""),"KM")</f>
        <v>KM</v>
      </c>
      <c r="D25" s="4"/>
      <c r="E25" s="150" t="str">
        <f ca="1">IFERROR(__xludf.DUMMYFUNCTION("""COMPUTED_VALUE"""),"0633595109")</f>
        <v>0633595109</v>
      </c>
      <c r="F25" s="4" t="str">
        <f ca="1">IFERROR(__xludf.DUMMYFUNCTION("""COMPUTED_VALUE"""),"maakanekate@gmail.com")</f>
        <v>maakanekate@gmail.com</v>
      </c>
      <c r="G25" s="4" t="str">
        <f ca="1">IFERROR(__xludf.DUMMYFUNCTION("""COMPUTED_VALUE"""),"Need to pass ISY23AT.")</f>
        <v>Need to pass ISY23AT.</v>
      </c>
      <c r="J25" t="s">
        <v>401</v>
      </c>
    </row>
    <row r="26" spans="1:13" ht="26.25">
      <c r="A26" s="18">
        <v>214043718</v>
      </c>
      <c r="B26" s="31" t="s">
        <v>653</v>
      </c>
      <c r="C26" s="31" t="s">
        <v>654</v>
      </c>
      <c r="D26" s="22"/>
      <c r="E26" s="151">
        <v>732384995</v>
      </c>
      <c r="F26" s="24" t="s">
        <v>655</v>
      </c>
      <c r="G26" s="25" t="s">
        <v>656</v>
      </c>
      <c r="J26" t="s">
        <v>401</v>
      </c>
    </row>
    <row r="27" spans="1:13" ht="77.25">
      <c r="A27" s="18">
        <v>216691830</v>
      </c>
      <c r="B27" s="31" t="s">
        <v>630</v>
      </c>
      <c r="C27" s="31" t="s">
        <v>203</v>
      </c>
      <c r="D27" s="22"/>
      <c r="E27" s="151">
        <v>644060707</v>
      </c>
      <c r="F27" s="24" t="s">
        <v>631</v>
      </c>
      <c r="G27" s="38" t="s">
        <v>632</v>
      </c>
      <c r="J27" t="s">
        <v>401</v>
      </c>
    </row>
    <row r="28" spans="1:13" ht="71.25" customHeight="1">
      <c r="A28" s="18">
        <v>218474624</v>
      </c>
      <c r="B28" s="31" t="s">
        <v>611</v>
      </c>
      <c r="C28" s="31" t="s">
        <v>612</v>
      </c>
      <c r="D28" s="22"/>
      <c r="E28" s="151">
        <v>842675559</v>
      </c>
      <c r="F28" s="24" t="s">
        <v>613</v>
      </c>
      <c r="G28" s="25" t="s">
        <v>614</v>
      </c>
      <c r="J28" t="s">
        <v>401</v>
      </c>
    </row>
    <row r="29" spans="1:13" ht="51.75">
      <c r="A29" s="126">
        <v>217169569</v>
      </c>
      <c r="B29" s="123" t="s">
        <v>657</v>
      </c>
      <c r="C29" s="127" t="s">
        <v>53</v>
      </c>
      <c r="D29" s="110"/>
      <c r="E29" s="151">
        <v>818892087</v>
      </c>
      <c r="F29" s="124" t="s">
        <v>658</v>
      </c>
      <c r="G29" s="128" t="s">
        <v>659</v>
      </c>
      <c r="J29" t="s">
        <v>401</v>
      </c>
    </row>
    <row r="30" spans="1:13" ht="25.5" customHeight="1">
      <c r="A30" s="52">
        <v>214484641</v>
      </c>
      <c r="B30" s="61" t="s">
        <v>440</v>
      </c>
      <c r="C30" s="61" t="s">
        <v>441</v>
      </c>
      <c r="D30" s="22"/>
      <c r="E30" s="204">
        <v>764875868</v>
      </c>
      <c r="F30" s="29" t="s">
        <v>442</v>
      </c>
      <c r="G30" s="51" t="s">
        <v>443</v>
      </c>
      <c r="J30" t="s">
        <v>401</v>
      </c>
    </row>
    <row r="31" spans="1:13" ht="75" customHeight="1">
      <c r="A31" s="52">
        <v>214752042</v>
      </c>
      <c r="B31" s="61" t="s">
        <v>660</v>
      </c>
      <c r="C31" s="61" t="s">
        <v>187</v>
      </c>
      <c r="D31" s="22"/>
      <c r="E31" s="204">
        <v>681539798</v>
      </c>
      <c r="F31" s="29" t="s">
        <v>661</v>
      </c>
      <c r="G31" s="51" t="s">
        <v>662</v>
      </c>
    </row>
    <row r="32" spans="1:13" s="115" customFormat="1" ht="88.5" customHeight="1">
      <c r="A32" s="248">
        <v>218266282</v>
      </c>
      <c r="B32" s="249" t="s">
        <v>518</v>
      </c>
      <c r="C32" s="249" t="s">
        <v>519</v>
      </c>
      <c r="D32" s="249" t="s">
        <v>520</v>
      </c>
      <c r="E32" s="249">
        <v>662972323</v>
      </c>
      <c r="F32" s="249" t="s">
        <v>521</v>
      </c>
      <c r="G32" s="250" t="s">
        <v>522</v>
      </c>
      <c r="H32" s="183" t="s">
        <v>400</v>
      </c>
      <c r="I32" s="183" t="s">
        <v>405</v>
      </c>
      <c r="J32" s="183" t="s">
        <v>401</v>
      </c>
      <c r="K32" s="240" t="s">
        <v>524</v>
      </c>
      <c r="L32" s="115" t="s">
        <v>525</v>
      </c>
      <c r="M32" s="240" t="s">
        <v>563</v>
      </c>
    </row>
    <row r="33" spans="1:13" ht="91.5" customHeight="1">
      <c r="A33" s="88">
        <f ca="1">IFERROR(__xludf.DUMMYFUNCTION("""COMPUTED_VALUE"""),219896271)</f>
        <v>219896271</v>
      </c>
      <c r="B33" s="88" t="str">
        <f ca="1">IFERROR(__xludf.DUMMYFUNCTION("""COMPUTED_VALUE"""),"Maseko")</f>
        <v>Maseko</v>
      </c>
      <c r="C33" s="88" t="str">
        <f ca="1">IFERROR(__xludf.DUMMYFUNCTION("""COMPUTED_VALUE"""),"SL")</f>
        <v>SL</v>
      </c>
      <c r="D33" s="88"/>
      <c r="E33" s="245" t="str">
        <f ca="1">IFERROR(__xludf.DUMMYFUNCTION("""COMPUTED_VALUE"""),"0672305247")</f>
        <v>0672305247</v>
      </c>
      <c r="F33" s="88" t="str">
        <f ca="1">IFERROR(__xludf.DUMMYFUNCTION("""COMPUTED_VALUE"""),"219896271@tut4ife.ac.za")</f>
        <v>219896271@tut4ife.ac.za</v>
      </c>
      <c r="G33" s="185" t="str">
        <f ca="1">IFERROR(__xludf.DUMMYFUNCTION("""COMPUTED_VALUE"""),"Student must pass DSO17BT during S1 2022 and report for academic intervention.")</f>
        <v>Student must pass DSO17BT during S1 2022 and report for academic intervention.</v>
      </c>
      <c r="H33" s="194" t="s">
        <v>422</v>
      </c>
      <c r="I33" s="194" t="s">
        <v>405</v>
      </c>
      <c r="J33" t="s">
        <v>401</v>
      </c>
      <c r="K33" s="243" t="s">
        <v>488</v>
      </c>
      <c r="L33" s="194" t="s">
        <v>321</v>
      </c>
      <c r="M33" s="203" t="s">
        <v>489</v>
      </c>
    </row>
    <row r="34" spans="1:13" ht="105">
      <c r="A34" s="150">
        <f ca="1">IFERROR(__xludf.DUMMYFUNCTION("""COMPUTED_VALUE"""),216413423)</f>
        <v>216413423</v>
      </c>
      <c r="B34" s="150" t="str">
        <f ca="1">IFERROR(__xludf.DUMMYFUNCTION("""COMPUTED_VALUE"""),"Hlungwani ")</f>
        <v xml:space="preserve">Hlungwani </v>
      </c>
      <c r="C34" s="150" t="str">
        <f ca="1">IFERROR(__xludf.DUMMYFUNCTION("""COMPUTED_VALUE"""),"SN")</f>
        <v>SN</v>
      </c>
      <c r="D34" s="252" t="s">
        <v>308</v>
      </c>
      <c r="E34" s="150" t="str">
        <f ca="1">IFERROR(__xludf.DUMMYFUNCTION("""COMPUTED_VALUE"""),"0813971209")</f>
        <v>0813971209</v>
      </c>
      <c r="F34" s="150" t="str">
        <f ca="1">IFERROR(__xludf.DUMMYFUNCTION("""COMPUTED_VALUE"""),"216413423@tut4life.ac.za")</f>
        <v>216413423@tut4life.ac.za</v>
      </c>
      <c r="G34" s="150" t="str">
        <f ca="1">IFERROR(__xludf.DUMMYFUNCTION("""COMPUTED_VALUE"""),"Student need to pass TPG201T during S1 2022 and has to report for academic intervention")</f>
        <v>Student need to pass TPG201T during S1 2022 and has to report for academic intervention</v>
      </c>
      <c r="H34" s="194" t="s">
        <v>422</v>
      </c>
      <c r="I34" s="194" t="s">
        <v>405</v>
      </c>
      <c r="J34" t="s">
        <v>401</v>
      </c>
      <c r="K34" s="240" t="s">
        <v>406</v>
      </c>
      <c r="L34" s="115"/>
      <c r="M34" s="240" t="s">
        <v>407</v>
      </c>
    </row>
  </sheetData>
  <hyperlinks>
    <hyperlink ref="F26" r:id="rId1"/>
    <hyperlink ref="F27" r:id="rId2"/>
    <hyperlink ref="F28" r:id="rId3"/>
    <hyperlink ref="F29" r:id="rId4"/>
    <hyperlink ref="F30" r:id="rId5"/>
    <hyperlink ref="F31" r:id="rId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7.28515625" customWidth="1"/>
    <col min="2" max="2" width="16.42578125" customWidth="1"/>
    <col min="4" max="4" width="16.42578125" customWidth="1"/>
    <col min="5" max="5" width="17.7109375" customWidth="1"/>
    <col min="6" max="6" width="18.85546875" customWidth="1"/>
    <col min="7" max="7" width="29.7109375" customWidth="1"/>
    <col min="8" max="8" width="20.7109375" customWidth="1"/>
    <col min="9" max="9" width="30.85546875" customWidth="1"/>
    <col min="10" max="10" width="16.7109375" customWidth="1"/>
    <col min="11" max="11" width="19" customWidth="1"/>
    <col min="12" max="12" width="21.5703125" customWidth="1"/>
    <col min="13" max="13" width="18.28515625" customWidth="1"/>
  </cols>
  <sheetData>
    <row r="1" spans="1:13" ht="28.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1.75">
      <c r="A2" s="86">
        <f ca="1">IFERROR(__xludf.DUMMYFUNCTION("""COMPUTED_VALUE"""),219124520)</f>
        <v>219124520</v>
      </c>
      <c r="B2" s="86" t="str">
        <f ca="1">IFERROR(__xludf.DUMMYFUNCTION("""COMPUTED_VALUE"""),"Ngema")</f>
        <v>Ngema</v>
      </c>
      <c r="C2" s="86" t="str">
        <f ca="1">IFERROR(__xludf.DUMMYFUNCTION("""COMPUTED_VALUE"""),"SK")</f>
        <v>SK</v>
      </c>
      <c r="D2" s="86" t="s">
        <v>386</v>
      </c>
      <c r="E2" s="86" t="str">
        <f ca="1">IFERROR(__xludf.DUMMYFUNCTION("""COMPUTED_VALUE"""),"0672640006")</f>
        <v>0672640006</v>
      </c>
      <c r="F2" s="86" t="str">
        <f ca="1">IFERROR(__xludf.DUMMYFUNCTION("""COMPUTED_VALUE"""),"Sphesihlengema04@gmail.com")</f>
        <v>Sphesihlengema04@gmail.com</v>
      </c>
      <c r="G2" s="86" t="str">
        <f ca="1">IFERROR(__xludf.DUMMYFUNCTION("""COMPUTED_VALUE"""),"Need to pass TPG111T(2), ISY23AT(2), SSF24AT(3) , attend 85% of classes, and interventions during S1 2022.")</f>
        <v>Need to pass TPG111T(2), ISY23AT(2), SSF24AT(3) , attend 85% of classes, and interventions during S1 2022.</v>
      </c>
    </row>
    <row r="3" spans="1:13" ht="26.25">
      <c r="A3" s="4">
        <f ca="1">IFERROR(__xludf.DUMMYFUNCTION("""COMPUTED_VALUE"""),215239268)</f>
        <v>215239268</v>
      </c>
      <c r="B3" s="4" t="str">
        <f ca="1">IFERROR(__xludf.DUMMYFUNCTION("""COMPUTED_VALUE"""),"Komako ")</f>
        <v xml:space="preserve">Komako </v>
      </c>
      <c r="C3" s="4" t="str">
        <f ca="1">IFERROR(__xludf.DUMMYFUNCTION("""COMPUTED_VALUE"""),"CK")</f>
        <v>CK</v>
      </c>
      <c r="D3" s="4"/>
      <c r="E3" s="4" t="str">
        <f ca="1">IFERROR(__xludf.DUMMYFUNCTION("""COMPUTED_VALUE"""),"0781747595")</f>
        <v>0781747595</v>
      </c>
      <c r="F3" s="4" t="str">
        <f ca="1">IFERROR(__xludf.DUMMYFUNCTION("""COMPUTED_VALUE"""),"215239268@tut4life.ac.za")</f>
        <v>215239268@tut4life.ac.za</v>
      </c>
      <c r="G3" s="4" t="str">
        <f ca="1">IFERROR(__xludf.DUMMYFUNCTION("""COMPUTED_VALUE"""),"Student need to pass DSO34BT and SSF24AT.")</f>
        <v>Student need to pass DSO34BT and SSF24AT.</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22.28515625" customWidth="1"/>
    <col min="2" max="2" width="16.7109375" customWidth="1"/>
    <col min="3" max="3" width="11" customWidth="1"/>
    <col min="4" max="4" width="19.5703125" customWidth="1"/>
    <col min="5" max="5" width="23.42578125" customWidth="1"/>
    <col min="6" max="6" width="27.7109375" customWidth="1"/>
    <col min="7" max="7" width="40.5703125" customWidth="1"/>
    <col min="8" max="8" width="19.140625" customWidth="1"/>
    <col min="9" max="9" width="30.85546875" customWidth="1"/>
    <col min="10" max="10" width="16.7109375" customWidth="1"/>
    <col min="11" max="11" width="18.7109375" customWidth="1"/>
    <col min="12" max="12" width="17.5703125" customWidth="1"/>
    <col min="13" max="13" width="19" customWidth="1"/>
  </cols>
  <sheetData>
    <row r="1" spans="1:13" ht="28.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4.25" customHeight="1">
      <c r="A2" s="4">
        <f ca="1">IFERROR(__xludf.DUMMYFUNCTION("""COMPUTED_VALUE"""),213516922)</f>
        <v>213516922</v>
      </c>
      <c r="B2" s="4" t="str">
        <f ca="1">IFERROR(__xludf.DUMMYFUNCTION("""COMPUTED_VALUE"""),"Dube")</f>
        <v>Dube</v>
      </c>
      <c r="C2" s="6" t="str">
        <f ca="1">IFERROR(__xludf.DUMMYFUNCTION("""COMPUTED_VALUE"""),"PC")</f>
        <v>PC</v>
      </c>
      <c r="D2" s="3" t="s">
        <v>387</v>
      </c>
      <c r="E2" s="7" t="str">
        <f ca="1">IFERROR(__xludf.DUMMYFUNCTION("""COMPUTED_VALUE"""),"0791477046")</f>
        <v>0791477046</v>
      </c>
      <c r="F2" s="4" t="str">
        <f ca="1">IFERROR(__xludf.DUMMYFUNCTION("""COMPUTED_VALUE"""),"cphepsile@icloud.com")</f>
        <v>cphepsile@icloud.com</v>
      </c>
      <c r="G2" s="4" t="s">
        <v>615</v>
      </c>
    </row>
    <row r="3" spans="1:13" ht="42" customHeight="1">
      <c r="A3" s="4">
        <f ca="1">IFERROR(__xludf.DUMMYFUNCTION("""COMPUTED_VALUE"""),217525357)</f>
        <v>217525357</v>
      </c>
      <c r="B3" s="4" t="str">
        <f ca="1">IFERROR(__xludf.DUMMYFUNCTION("""COMPUTED_VALUE"""),"ZULU")</f>
        <v>ZULU</v>
      </c>
      <c r="C3" s="4" t="str">
        <f ca="1">IFERROR(__xludf.DUMMYFUNCTION("""COMPUTED_VALUE"""),"VD")</f>
        <v>VD</v>
      </c>
      <c r="D3" s="3" t="s">
        <v>308</v>
      </c>
      <c r="E3" s="4" t="str">
        <f ca="1">IFERROR(__xludf.DUMMYFUNCTION("""COMPUTED_VALUE"""),"0796896541")</f>
        <v>0796896541</v>
      </c>
      <c r="F3" s="4" t="str">
        <f ca="1">IFERROR(__xludf.DUMMYFUNCTION("""COMPUTED_VALUE"""),"diploma.zulu@gmail.com")</f>
        <v>diploma.zulu@gmail.com</v>
      </c>
      <c r="G3" s="4" t="str">
        <f ca="1">IFERROR(__xludf.DUMMYFUNCTION("""COMPUTED_VALUE"""),"DSO23AT TPG201T ISY23BT SSF24BT  PASS S1 2022 + ACADEMIC INTERVENTION")</f>
        <v>DSO23AT TPG201T ISY23BT SSF24BT  PASS S1 2022 + ACADEMIC INTERVENTION</v>
      </c>
    </row>
    <row r="4" spans="1:13" ht="26.25">
      <c r="A4" s="4">
        <f ca="1">IFERROR(__xludf.DUMMYFUNCTION("""COMPUTED_VALUE"""),216682351)</f>
        <v>216682351</v>
      </c>
      <c r="B4" s="4" t="str">
        <f ca="1">IFERROR(__xludf.DUMMYFUNCTION("""COMPUTED_VALUE"""),"Sam")</f>
        <v>Sam</v>
      </c>
      <c r="C4" s="4" t="str">
        <f ca="1">IFERROR(__xludf.DUMMYFUNCTION("""COMPUTED_VALUE"""),"Khauhelo")</f>
        <v>Khauhelo</v>
      </c>
      <c r="D4" s="4"/>
      <c r="E4" s="4" t="str">
        <f ca="1">IFERROR(__xludf.DUMMYFUNCTION("""COMPUTED_VALUE"""),"+27780592019")</f>
        <v>+27780592019</v>
      </c>
      <c r="F4" s="4" t="str">
        <f ca="1">IFERROR(__xludf.DUMMYFUNCTION("""COMPUTED_VALUE"""),"khauhelosam@yahoo.com")</f>
        <v>khauhelosam@yahoo.com</v>
      </c>
      <c r="G4" s="4" t="str">
        <f ca="1">IFERROR(__xludf.DUMMYFUNCTION("""COMPUTED_VALUE"""),"Student need to pass SSF24BT, attend 85% full time, and attend all interventions.")</f>
        <v>Student need to pass SSF24BT, attend 85% full time, and attend all interventions.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D1" workbookViewId="0">
      <selection activeCell="F11" sqref="F11"/>
    </sheetView>
  </sheetViews>
  <sheetFormatPr defaultRowHeight="15"/>
  <cols>
    <col min="1" max="1" width="16.7109375" customWidth="1"/>
    <col min="2" max="2" width="12.7109375" customWidth="1"/>
    <col min="4" max="4" width="16.140625" style="79" customWidth="1"/>
    <col min="5" max="5" width="15.140625" style="79" customWidth="1"/>
    <col min="6" max="6" width="13.85546875" style="79" customWidth="1"/>
    <col min="7" max="7" width="16.7109375" style="79" customWidth="1"/>
    <col min="8" max="8" width="13.85546875" style="79" customWidth="1"/>
    <col min="9" max="10" width="14.5703125" style="79" customWidth="1"/>
    <col min="11" max="11" width="15.28515625" style="79" customWidth="1"/>
    <col min="12" max="12" width="14.42578125" style="79" customWidth="1"/>
    <col min="13" max="13" width="16.5703125" style="79" customWidth="1"/>
  </cols>
  <sheetData>
    <row r="1" spans="1:13" ht="45">
      <c r="A1" s="67" t="s">
        <v>3</v>
      </c>
      <c r="B1" s="68" t="s">
        <v>298</v>
      </c>
      <c r="D1" s="77" t="s">
        <v>3</v>
      </c>
      <c r="E1" s="78" t="s">
        <v>299</v>
      </c>
      <c r="F1" s="77" t="s">
        <v>3</v>
      </c>
      <c r="G1" s="78" t="s">
        <v>300</v>
      </c>
      <c r="H1" s="77" t="s">
        <v>3</v>
      </c>
      <c r="I1" s="78" t="s">
        <v>301</v>
      </c>
      <c r="J1" s="77" t="s">
        <v>3</v>
      </c>
      <c r="K1" s="78" t="s">
        <v>302</v>
      </c>
      <c r="L1" s="77" t="s">
        <v>3</v>
      </c>
      <c r="M1" s="78" t="s">
        <v>303</v>
      </c>
    </row>
    <row r="2" spans="1:13">
      <c r="A2" s="69" t="s">
        <v>304</v>
      </c>
      <c r="B2" s="69">
        <v>2</v>
      </c>
      <c r="D2" s="79" t="s">
        <v>304</v>
      </c>
      <c r="E2" s="79">
        <v>2</v>
      </c>
      <c r="F2" s="79" t="s">
        <v>305</v>
      </c>
      <c r="G2" s="79">
        <v>16</v>
      </c>
      <c r="H2" s="79" t="s">
        <v>306</v>
      </c>
      <c r="I2" s="79">
        <v>23</v>
      </c>
      <c r="J2" s="259" t="s">
        <v>307</v>
      </c>
      <c r="K2" s="79">
        <v>33</v>
      </c>
      <c r="L2" s="259" t="s">
        <v>308</v>
      </c>
      <c r="M2" s="79">
        <v>107</v>
      </c>
    </row>
    <row r="3" spans="1:13">
      <c r="A3" s="69" t="s">
        <v>309</v>
      </c>
      <c r="B3" s="69">
        <v>1</v>
      </c>
      <c r="D3" s="79" t="s">
        <v>309</v>
      </c>
      <c r="E3" s="79">
        <v>1</v>
      </c>
      <c r="F3" s="79" t="s">
        <v>310</v>
      </c>
      <c r="G3" s="79">
        <v>20</v>
      </c>
      <c r="H3" s="259" t="s">
        <v>311</v>
      </c>
      <c r="I3" s="79">
        <v>29</v>
      </c>
      <c r="J3" s="259" t="s">
        <v>312</v>
      </c>
      <c r="K3" s="79">
        <v>32</v>
      </c>
    </row>
    <row r="4" spans="1:13">
      <c r="A4" s="69" t="s">
        <v>313</v>
      </c>
      <c r="B4" s="69">
        <v>6</v>
      </c>
      <c r="D4" s="79" t="s">
        <v>313</v>
      </c>
      <c r="E4" s="79">
        <v>6</v>
      </c>
      <c r="F4" s="81" t="s">
        <v>314</v>
      </c>
      <c r="G4" s="81">
        <v>12</v>
      </c>
      <c r="H4" s="81" t="s">
        <v>315</v>
      </c>
      <c r="I4" s="81">
        <v>22</v>
      </c>
    </row>
    <row r="5" spans="1:13">
      <c r="A5" s="69" t="s">
        <v>316</v>
      </c>
      <c r="B5" s="69">
        <v>5</v>
      </c>
      <c r="D5" s="79" t="s">
        <v>316</v>
      </c>
      <c r="E5" s="79">
        <v>5</v>
      </c>
      <c r="F5" s="81" t="s">
        <v>317</v>
      </c>
      <c r="G5" s="81">
        <v>14</v>
      </c>
      <c r="H5" s="81" t="s">
        <v>318</v>
      </c>
      <c r="I5" s="81">
        <v>23</v>
      </c>
    </row>
    <row r="6" spans="1:13">
      <c r="A6" s="69" t="s">
        <v>319</v>
      </c>
      <c r="B6" s="69">
        <v>5</v>
      </c>
      <c r="D6" s="79" t="s">
        <v>319</v>
      </c>
      <c r="E6" s="79">
        <v>5</v>
      </c>
      <c r="F6" s="81" t="s">
        <v>320</v>
      </c>
      <c r="G6" s="81">
        <v>19</v>
      </c>
      <c r="H6" s="260" t="s">
        <v>321</v>
      </c>
      <c r="I6" s="81">
        <v>30</v>
      </c>
    </row>
    <row r="7" spans="1:13">
      <c r="A7" s="69" t="s">
        <v>322</v>
      </c>
      <c r="B7" s="69">
        <v>1</v>
      </c>
      <c r="D7" s="79" t="s">
        <v>322</v>
      </c>
      <c r="E7" s="79">
        <v>1</v>
      </c>
      <c r="F7" s="81" t="s">
        <v>323</v>
      </c>
      <c r="G7" s="81">
        <v>19</v>
      </c>
      <c r="H7" s="81" t="s">
        <v>324</v>
      </c>
      <c r="I7" s="81">
        <v>26</v>
      </c>
    </row>
    <row r="8" spans="1:13">
      <c r="A8" s="69" t="s">
        <v>325</v>
      </c>
      <c r="B8" s="69">
        <v>1</v>
      </c>
      <c r="D8" s="79" t="s">
        <v>325</v>
      </c>
      <c r="E8" s="79">
        <v>1</v>
      </c>
      <c r="F8" s="81" t="s">
        <v>326</v>
      </c>
      <c r="G8" s="81">
        <v>18</v>
      </c>
      <c r="H8" s="81" t="s">
        <v>327</v>
      </c>
      <c r="I8" s="81">
        <v>22</v>
      </c>
    </row>
    <row r="9" spans="1:13">
      <c r="A9" s="69" t="s">
        <v>328</v>
      </c>
      <c r="B9" s="69">
        <v>3</v>
      </c>
      <c r="D9" s="79" t="s">
        <v>328</v>
      </c>
      <c r="E9" s="79">
        <v>3</v>
      </c>
      <c r="F9" s="81" t="s">
        <v>329</v>
      </c>
      <c r="G9" s="81">
        <v>14</v>
      </c>
      <c r="H9" s="260" t="s">
        <v>330</v>
      </c>
      <c r="I9" s="81">
        <v>30</v>
      </c>
    </row>
    <row r="10" spans="1:13">
      <c r="A10" s="69" t="s">
        <v>331</v>
      </c>
      <c r="B10" s="69">
        <v>3</v>
      </c>
      <c r="D10" s="79" t="s">
        <v>331</v>
      </c>
      <c r="E10" s="79">
        <v>3</v>
      </c>
      <c r="F10" s="81" t="s">
        <v>332</v>
      </c>
      <c r="G10" s="81">
        <v>14</v>
      </c>
      <c r="H10" s="81"/>
      <c r="I10" s="81"/>
    </row>
    <row r="11" spans="1:13">
      <c r="A11" s="69" t="s">
        <v>333</v>
      </c>
      <c r="B11" s="69">
        <v>10</v>
      </c>
      <c r="D11" s="79" t="s">
        <v>333</v>
      </c>
      <c r="E11" s="79">
        <v>10</v>
      </c>
      <c r="F11" s="260" t="s">
        <v>334</v>
      </c>
      <c r="G11" s="81">
        <v>18</v>
      </c>
      <c r="H11" s="81"/>
      <c r="I11" s="81"/>
    </row>
    <row r="12" spans="1:13">
      <c r="A12" s="70" t="s">
        <v>305</v>
      </c>
      <c r="B12" s="70">
        <v>16</v>
      </c>
      <c r="D12" s="79" t="s">
        <v>335</v>
      </c>
      <c r="E12" s="79">
        <v>2</v>
      </c>
      <c r="F12" s="81" t="s">
        <v>336</v>
      </c>
      <c r="G12" s="81">
        <v>18</v>
      </c>
      <c r="H12" s="81"/>
      <c r="I12" s="81"/>
    </row>
    <row r="13" spans="1:13">
      <c r="A13" s="70" t="s">
        <v>310</v>
      </c>
      <c r="B13" s="70">
        <v>20</v>
      </c>
      <c r="D13" s="79" t="s">
        <v>337</v>
      </c>
      <c r="E13" s="79">
        <v>3</v>
      </c>
    </row>
    <row r="14" spans="1:13">
      <c r="A14" s="69" t="s">
        <v>335</v>
      </c>
      <c r="B14" s="69">
        <v>2</v>
      </c>
      <c r="D14" s="79" t="s">
        <v>338</v>
      </c>
      <c r="E14" s="79">
        <v>1</v>
      </c>
    </row>
    <row r="15" spans="1:13">
      <c r="A15" s="69" t="s">
        <v>337</v>
      </c>
      <c r="B15" s="69">
        <v>3</v>
      </c>
      <c r="D15" s="79" t="s">
        <v>339</v>
      </c>
      <c r="E15" s="79">
        <v>4</v>
      </c>
    </row>
    <row r="16" spans="1:13">
      <c r="A16" s="69" t="s">
        <v>338</v>
      </c>
      <c r="B16" s="69">
        <v>1</v>
      </c>
      <c r="D16" s="79" t="s">
        <v>340</v>
      </c>
      <c r="E16" s="79">
        <v>3</v>
      </c>
    </row>
    <row r="17" spans="1:5">
      <c r="A17" s="69" t="s">
        <v>339</v>
      </c>
      <c r="B17" s="69">
        <v>4</v>
      </c>
      <c r="D17" s="79" t="s">
        <v>341</v>
      </c>
      <c r="E17" s="79">
        <v>8</v>
      </c>
    </row>
    <row r="18" spans="1:5">
      <c r="A18" s="69" t="s">
        <v>340</v>
      </c>
      <c r="B18" s="69">
        <v>3</v>
      </c>
      <c r="D18" s="79" t="s">
        <v>342</v>
      </c>
      <c r="E18" s="79">
        <v>4</v>
      </c>
    </row>
    <row r="19" spans="1:5">
      <c r="A19" s="69" t="s">
        <v>341</v>
      </c>
      <c r="B19" s="69">
        <v>8</v>
      </c>
      <c r="D19" s="79" t="s">
        <v>343</v>
      </c>
      <c r="E19" s="79">
        <v>1</v>
      </c>
    </row>
    <row r="20" spans="1:5">
      <c r="A20" s="72" t="s">
        <v>315</v>
      </c>
      <c r="B20" s="72">
        <v>22</v>
      </c>
      <c r="D20" s="79" t="s">
        <v>344</v>
      </c>
      <c r="E20" s="79">
        <v>1</v>
      </c>
    </row>
    <row r="21" spans="1:5">
      <c r="A21" s="70" t="s">
        <v>314</v>
      </c>
      <c r="B21" s="70">
        <v>12</v>
      </c>
      <c r="D21" s="79" t="s">
        <v>345</v>
      </c>
      <c r="E21" s="79">
        <v>6</v>
      </c>
    </row>
    <row r="22" spans="1:5">
      <c r="A22" s="70" t="s">
        <v>317</v>
      </c>
      <c r="B22" s="70">
        <v>14</v>
      </c>
      <c r="D22" s="79" t="s">
        <v>346</v>
      </c>
      <c r="E22" s="79">
        <v>9</v>
      </c>
    </row>
    <row r="23" spans="1:5">
      <c r="A23" s="69" t="s">
        <v>347</v>
      </c>
      <c r="B23" s="69">
        <v>1</v>
      </c>
      <c r="D23" s="79" t="s">
        <v>348</v>
      </c>
      <c r="E23" s="79">
        <v>1</v>
      </c>
    </row>
    <row r="24" spans="1:5">
      <c r="A24" s="73" t="s">
        <v>312</v>
      </c>
      <c r="B24" s="73">
        <v>32</v>
      </c>
      <c r="D24" s="79" t="s">
        <v>349</v>
      </c>
      <c r="E24" s="79">
        <v>1</v>
      </c>
    </row>
    <row r="25" spans="1:5">
      <c r="A25" s="75" t="s">
        <v>320</v>
      </c>
      <c r="B25" s="75">
        <v>19</v>
      </c>
      <c r="D25" s="79" t="s">
        <v>350</v>
      </c>
      <c r="E25" s="79">
        <v>2</v>
      </c>
    </row>
    <row r="26" spans="1:5">
      <c r="A26" s="76" t="s">
        <v>318</v>
      </c>
      <c r="B26" s="76">
        <v>23</v>
      </c>
      <c r="D26" s="79" t="s">
        <v>351</v>
      </c>
      <c r="E26" s="79">
        <v>2</v>
      </c>
    </row>
    <row r="27" spans="1:5">
      <c r="A27" s="69" t="s">
        <v>352</v>
      </c>
      <c r="B27" s="69">
        <v>5</v>
      </c>
      <c r="D27" s="79" t="s">
        <v>353</v>
      </c>
      <c r="E27" s="79">
        <v>1</v>
      </c>
    </row>
    <row r="28" spans="1:5">
      <c r="A28" s="75" t="s">
        <v>323</v>
      </c>
      <c r="B28" s="75">
        <v>19</v>
      </c>
      <c r="D28" s="79" t="s">
        <v>354</v>
      </c>
      <c r="E28" s="79">
        <v>9</v>
      </c>
    </row>
    <row r="29" spans="1:5">
      <c r="A29" s="69" t="s">
        <v>342</v>
      </c>
      <c r="B29" s="69">
        <v>4</v>
      </c>
      <c r="D29" s="79" t="s">
        <v>355</v>
      </c>
      <c r="E29" s="79">
        <v>1</v>
      </c>
    </row>
    <row r="30" spans="1:5">
      <c r="A30" s="69" t="s">
        <v>343</v>
      </c>
      <c r="B30" s="69">
        <v>1</v>
      </c>
      <c r="D30" s="79" t="s">
        <v>356</v>
      </c>
      <c r="E30" s="79">
        <v>7</v>
      </c>
    </row>
    <row r="31" spans="1:5">
      <c r="A31" s="69" t="s">
        <v>344</v>
      </c>
      <c r="B31" s="69">
        <v>1</v>
      </c>
      <c r="D31" s="79" t="s">
        <v>357</v>
      </c>
      <c r="E31" s="79">
        <v>3</v>
      </c>
    </row>
    <row r="32" spans="1:5">
      <c r="A32" s="69" t="s">
        <v>345</v>
      </c>
      <c r="B32" s="69">
        <v>6</v>
      </c>
      <c r="D32" s="79" t="s">
        <v>358</v>
      </c>
      <c r="E32" s="79">
        <v>1</v>
      </c>
    </row>
    <row r="33" spans="1:5">
      <c r="A33" s="69" t="s">
        <v>346</v>
      </c>
      <c r="B33" s="69">
        <v>9</v>
      </c>
      <c r="D33" s="79" t="s">
        <v>359</v>
      </c>
      <c r="E33" s="79">
        <v>3</v>
      </c>
    </row>
    <row r="34" spans="1:5">
      <c r="A34" s="69" t="s">
        <v>348</v>
      </c>
      <c r="B34" s="69">
        <v>1</v>
      </c>
      <c r="D34" s="79" t="s">
        <v>360</v>
      </c>
      <c r="E34" s="79">
        <v>3</v>
      </c>
    </row>
    <row r="35" spans="1:5">
      <c r="A35" s="69" t="s">
        <v>349</v>
      </c>
      <c r="B35" s="69">
        <v>1</v>
      </c>
      <c r="D35" s="79" t="s">
        <v>361</v>
      </c>
      <c r="E35" s="79">
        <v>1</v>
      </c>
    </row>
    <row r="36" spans="1:5">
      <c r="A36" s="69" t="s">
        <v>350</v>
      </c>
      <c r="B36" s="69">
        <v>2</v>
      </c>
      <c r="D36" s="79" t="s">
        <v>362</v>
      </c>
      <c r="E36" s="79">
        <v>2</v>
      </c>
    </row>
    <row r="37" spans="1:5">
      <c r="A37" s="69" t="s">
        <v>351</v>
      </c>
      <c r="B37" s="69">
        <v>2</v>
      </c>
      <c r="D37" s="79" t="s">
        <v>363</v>
      </c>
      <c r="E37" s="79">
        <v>3</v>
      </c>
    </row>
    <row r="38" spans="1:5">
      <c r="A38" s="69" t="s">
        <v>353</v>
      </c>
      <c r="B38" s="69">
        <v>1</v>
      </c>
      <c r="D38" s="79" t="s">
        <v>364</v>
      </c>
      <c r="E38" s="79">
        <v>2</v>
      </c>
    </row>
    <row r="39" spans="1:5">
      <c r="A39" s="69" t="s">
        <v>354</v>
      </c>
      <c r="B39" s="69">
        <v>9</v>
      </c>
      <c r="D39" s="79" t="s">
        <v>365</v>
      </c>
      <c r="E39" s="79">
        <v>3</v>
      </c>
    </row>
    <row r="40" spans="1:5">
      <c r="A40" s="69" t="s">
        <v>355</v>
      </c>
      <c r="B40" s="69">
        <v>1</v>
      </c>
      <c r="D40" s="79" t="s">
        <v>366</v>
      </c>
      <c r="E40" s="79">
        <v>1</v>
      </c>
    </row>
    <row r="41" spans="1:5">
      <c r="A41" s="69" t="s">
        <v>356</v>
      </c>
      <c r="B41" s="69">
        <v>7</v>
      </c>
      <c r="D41" s="79" t="s">
        <v>367</v>
      </c>
      <c r="E41" s="79">
        <v>5</v>
      </c>
    </row>
    <row r="42" spans="1:5">
      <c r="A42" s="69" t="s">
        <v>357</v>
      </c>
      <c r="B42" s="69">
        <v>3</v>
      </c>
      <c r="D42" s="79" t="s">
        <v>368</v>
      </c>
      <c r="E42" s="79">
        <v>1</v>
      </c>
    </row>
    <row r="43" spans="1:5">
      <c r="A43" s="75" t="s">
        <v>326</v>
      </c>
      <c r="B43" s="75">
        <v>18</v>
      </c>
      <c r="D43" s="79" t="s">
        <v>369</v>
      </c>
      <c r="E43" s="79">
        <v>5</v>
      </c>
    </row>
    <row r="44" spans="1:5">
      <c r="A44" s="69" t="s">
        <v>358</v>
      </c>
      <c r="B44" s="69">
        <v>1</v>
      </c>
      <c r="D44" s="79" t="s">
        <v>370</v>
      </c>
      <c r="E44" s="79">
        <v>1</v>
      </c>
    </row>
    <row r="45" spans="1:5">
      <c r="A45" s="69" t="s">
        <v>359</v>
      </c>
      <c r="B45" s="69">
        <v>3</v>
      </c>
      <c r="D45" s="79" t="s">
        <v>371</v>
      </c>
      <c r="E45" s="79">
        <v>2</v>
      </c>
    </row>
    <row r="46" spans="1:5">
      <c r="A46" s="69" t="s">
        <v>360</v>
      </c>
      <c r="B46" s="69">
        <v>3</v>
      </c>
      <c r="D46" s="79" t="s">
        <v>372</v>
      </c>
      <c r="E46" s="79">
        <v>1</v>
      </c>
    </row>
    <row r="47" spans="1:5">
      <c r="A47" s="69" t="s">
        <v>361</v>
      </c>
      <c r="B47" s="69">
        <v>1</v>
      </c>
      <c r="D47" s="79" t="s">
        <v>373</v>
      </c>
      <c r="E47" s="79">
        <v>1</v>
      </c>
    </row>
    <row r="48" spans="1:5">
      <c r="A48" s="69" t="s">
        <v>362</v>
      </c>
      <c r="B48" s="69">
        <v>2</v>
      </c>
      <c r="D48" s="79" t="s">
        <v>374</v>
      </c>
      <c r="E48" s="79">
        <v>3</v>
      </c>
    </row>
    <row r="49" spans="1:5">
      <c r="A49" s="72" t="s">
        <v>321</v>
      </c>
      <c r="B49" s="72">
        <v>30</v>
      </c>
      <c r="D49" s="79" t="s">
        <v>375</v>
      </c>
      <c r="E49" s="79">
        <v>2</v>
      </c>
    </row>
    <row r="50" spans="1:5">
      <c r="A50" s="72" t="s">
        <v>324</v>
      </c>
      <c r="B50" s="72">
        <v>26</v>
      </c>
      <c r="D50" s="79" t="s">
        <v>376</v>
      </c>
      <c r="E50" s="79">
        <v>1</v>
      </c>
    </row>
    <row r="51" spans="1:5">
      <c r="A51" s="69" t="s">
        <v>377</v>
      </c>
      <c r="B51" s="69">
        <v>1</v>
      </c>
      <c r="D51" s="79" t="s">
        <v>378</v>
      </c>
      <c r="E51" s="79">
        <v>2</v>
      </c>
    </row>
    <row r="52" spans="1:5">
      <c r="A52" s="72" t="s">
        <v>327</v>
      </c>
      <c r="B52" s="72">
        <v>22</v>
      </c>
      <c r="D52" s="79" t="s">
        <v>379</v>
      </c>
      <c r="E52" s="79">
        <v>1</v>
      </c>
    </row>
    <row r="53" spans="1:5">
      <c r="A53" s="75" t="s">
        <v>329</v>
      </c>
      <c r="B53" s="75">
        <v>14</v>
      </c>
      <c r="D53" s="79" t="s">
        <v>380</v>
      </c>
      <c r="E53" s="79">
        <v>1</v>
      </c>
    </row>
    <row r="54" spans="1:5">
      <c r="A54" s="69" t="s">
        <v>363</v>
      </c>
      <c r="B54" s="69">
        <v>3</v>
      </c>
      <c r="D54" s="79" t="s">
        <v>381</v>
      </c>
      <c r="E54" s="79">
        <v>3</v>
      </c>
    </row>
    <row r="55" spans="1:5">
      <c r="A55" s="69" t="s">
        <v>364</v>
      </c>
      <c r="B55" s="69">
        <v>2</v>
      </c>
      <c r="D55" s="79" t="s">
        <v>382</v>
      </c>
      <c r="E55" s="79">
        <v>1</v>
      </c>
    </row>
    <row r="56" spans="1:5">
      <c r="A56" s="69" t="s">
        <v>365</v>
      </c>
      <c r="B56" s="69">
        <v>3</v>
      </c>
      <c r="D56" s="79" t="s">
        <v>383</v>
      </c>
      <c r="E56" s="79">
        <v>1</v>
      </c>
    </row>
    <row r="57" spans="1:5">
      <c r="A57" s="69" t="s">
        <v>366</v>
      </c>
      <c r="B57" s="69">
        <v>1</v>
      </c>
      <c r="D57" s="79" t="s">
        <v>384</v>
      </c>
      <c r="E57" s="79">
        <v>2</v>
      </c>
    </row>
    <row r="58" spans="1:5">
      <c r="A58" s="69" t="s">
        <v>367</v>
      </c>
      <c r="B58" s="69">
        <v>5</v>
      </c>
      <c r="D58" s="79" t="s">
        <v>385</v>
      </c>
      <c r="E58" s="79">
        <v>1</v>
      </c>
    </row>
    <row r="59" spans="1:5">
      <c r="A59" s="75" t="s">
        <v>332</v>
      </c>
      <c r="B59" s="75">
        <v>14</v>
      </c>
      <c r="D59" s="79" t="s">
        <v>386</v>
      </c>
      <c r="E59" s="79">
        <v>2</v>
      </c>
    </row>
    <row r="60" spans="1:5">
      <c r="A60" s="75" t="s">
        <v>334</v>
      </c>
      <c r="B60" s="75">
        <v>18</v>
      </c>
      <c r="D60" s="79" t="s">
        <v>387</v>
      </c>
      <c r="E60" s="79">
        <v>3</v>
      </c>
    </row>
    <row r="61" spans="1:5">
      <c r="A61" s="69" t="s">
        <v>368</v>
      </c>
      <c r="B61" s="69">
        <v>1</v>
      </c>
      <c r="D61" s="79" t="s">
        <v>388</v>
      </c>
      <c r="E61" s="79">
        <v>1</v>
      </c>
    </row>
    <row r="62" spans="1:5">
      <c r="A62" s="69" t="s">
        <v>369</v>
      </c>
      <c r="B62" s="69">
        <v>5</v>
      </c>
      <c r="D62" s="79" t="s">
        <v>389</v>
      </c>
      <c r="E62" s="79">
        <v>1</v>
      </c>
    </row>
    <row r="63" spans="1:5">
      <c r="A63" s="69" t="s">
        <v>370</v>
      </c>
      <c r="B63" s="69">
        <v>1</v>
      </c>
      <c r="D63" s="80" t="s">
        <v>347</v>
      </c>
      <c r="E63" s="80">
        <v>1</v>
      </c>
    </row>
    <row r="64" spans="1:5">
      <c r="A64" s="69" t="s">
        <v>371</v>
      </c>
      <c r="B64" s="69">
        <v>2</v>
      </c>
      <c r="D64" s="79" t="s">
        <v>352</v>
      </c>
      <c r="E64" s="79">
        <v>5</v>
      </c>
    </row>
    <row r="65" spans="1:5">
      <c r="A65" s="69" t="s">
        <v>372</v>
      </c>
      <c r="B65" s="69">
        <v>1</v>
      </c>
      <c r="D65" s="80" t="s">
        <v>377</v>
      </c>
      <c r="E65" s="80">
        <v>1</v>
      </c>
    </row>
    <row r="66" spans="1:5">
      <c r="A66" s="69" t="s">
        <v>373</v>
      </c>
      <c r="B66" s="69">
        <v>1</v>
      </c>
    </row>
    <row r="67" spans="1:5">
      <c r="A67" s="69" t="s">
        <v>374</v>
      </c>
      <c r="B67" s="69">
        <v>3</v>
      </c>
    </row>
    <row r="68" spans="1:5">
      <c r="A68" s="69" t="s">
        <v>375</v>
      </c>
      <c r="B68" s="69">
        <v>2</v>
      </c>
    </row>
    <row r="69" spans="1:5">
      <c r="A69" s="69" t="s">
        <v>376</v>
      </c>
      <c r="B69" s="69">
        <v>1</v>
      </c>
    </row>
    <row r="70" spans="1:5">
      <c r="A70" s="69" t="s">
        <v>378</v>
      </c>
      <c r="B70" s="69">
        <v>2</v>
      </c>
    </row>
    <row r="71" spans="1:5">
      <c r="A71" s="69" t="s">
        <v>379</v>
      </c>
      <c r="B71" s="69">
        <v>1</v>
      </c>
    </row>
    <row r="72" spans="1:5">
      <c r="A72" s="75" t="s">
        <v>336</v>
      </c>
      <c r="B72" s="75">
        <v>18</v>
      </c>
    </row>
    <row r="73" spans="1:5">
      <c r="A73" s="72" t="s">
        <v>330</v>
      </c>
      <c r="B73" s="72">
        <v>30</v>
      </c>
    </row>
    <row r="74" spans="1:5">
      <c r="A74" s="69" t="s">
        <v>380</v>
      </c>
      <c r="B74" s="69">
        <v>1</v>
      </c>
    </row>
    <row r="75" spans="1:5">
      <c r="A75" s="69" t="s">
        <v>381</v>
      </c>
      <c r="B75" s="69">
        <v>3</v>
      </c>
    </row>
    <row r="76" spans="1:5">
      <c r="A76" s="69" t="s">
        <v>382</v>
      </c>
      <c r="B76" s="69">
        <v>1</v>
      </c>
    </row>
    <row r="77" spans="1:5">
      <c r="A77" s="69" t="s">
        <v>383</v>
      </c>
      <c r="B77" s="69">
        <v>1</v>
      </c>
    </row>
    <row r="78" spans="1:5">
      <c r="A78" s="69" t="s">
        <v>384</v>
      </c>
      <c r="B78" s="69">
        <v>2</v>
      </c>
    </row>
    <row r="79" spans="1:5">
      <c r="A79" s="69" t="s">
        <v>385</v>
      </c>
      <c r="B79" s="69">
        <v>1</v>
      </c>
    </row>
    <row r="80" spans="1:5">
      <c r="A80" s="69" t="s">
        <v>386</v>
      </c>
      <c r="B80" s="69">
        <v>2</v>
      </c>
    </row>
    <row r="81" spans="1:2">
      <c r="A81" s="69" t="s">
        <v>387</v>
      </c>
      <c r="B81" s="69">
        <v>3</v>
      </c>
    </row>
    <row r="82" spans="1:2">
      <c r="A82" s="69" t="s">
        <v>388</v>
      </c>
      <c r="B82" s="69">
        <v>1</v>
      </c>
    </row>
    <row r="83" spans="1:2">
      <c r="A83" s="73" t="s">
        <v>307</v>
      </c>
      <c r="B83" s="73">
        <v>33</v>
      </c>
    </row>
    <row r="84" spans="1:2">
      <c r="A84" s="71" t="s">
        <v>306</v>
      </c>
      <c r="B84" s="71">
        <v>23</v>
      </c>
    </row>
    <row r="85" spans="1:2">
      <c r="A85" s="71" t="s">
        <v>311</v>
      </c>
      <c r="B85" s="71">
        <v>29</v>
      </c>
    </row>
    <row r="86" spans="1:2">
      <c r="A86" s="74" t="s">
        <v>308</v>
      </c>
      <c r="B86" s="74">
        <v>107</v>
      </c>
    </row>
    <row r="87" spans="1:2">
      <c r="A87" s="69" t="s">
        <v>389</v>
      </c>
      <c r="B87" s="69">
        <v>1</v>
      </c>
    </row>
  </sheetData>
  <sortState ref="A2:B87">
    <sortCondition ref="A2:A87"/>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A8" sqref="A8"/>
    </sheetView>
  </sheetViews>
  <sheetFormatPr defaultRowHeight="15"/>
  <cols>
    <col min="1" max="1" width="24.42578125" customWidth="1"/>
    <col min="2" max="2" width="18.7109375" customWidth="1"/>
    <col min="3" max="3" width="13.5703125" customWidth="1"/>
    <col min="4" max="4" width="17.7109375" customWidth="1"/>
    <col min="5" max="5" width="20.42578125" customWidth="1"/>
    <col min="6" max="6" width="33.140625" customWidth="1"/>
    <col min="7" max="7" width="37.5703125" customWidth="1"/>
    <col min="8" max="8" width="18.42578125" customWidth="1"/>
    <col min="9" max="9" width="31" customWidth="1"/>
    <col min="10" max="10" width="19.7109375" customWidth="1"/>
    <col min="11" max="11" width="18.140625" customWidth="1"/>
    <col min="12" max="12" width="23.5703125" customWidth="1"/>
    <col min="13" max="13" width="15.42578125" customWidth="1"/>
  </cols>
  <sheetData>
    <row r="1" spans="1:13" ht="3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4.25" customHeight="1">
      <c r="A2" s="4">
        <f ca="1">IFERROR(__xludf.DUMMYFUNCTION("""COMPUTED_VALUE"""),216876202)</f>
        <v>216876202</v>
      </c>
      <c r="B2" s="4" t="s">
        <v>410</v>
      </c>
      <c r="C2" s="4" t="str">
        <f ca="1">IFERROR(__xludf.DUMMYFUNCTION("""COMPUTED_VALUE"""),"mn ")</f>
        <v xml:space="preserve">mn </v>
      </c>
      <c r="D2" s="3" t="s">
        <v>324</v>
      </c>
      <c r="E2" s="4" t="str">
        <f ca="1">IFERROR(__xludf.DUMMYFUNCTION("""COMPUTED_VALUE"""),"0713063986")</f>
        <v>0713063986</v>
      </c>
      <c r="F2" s="4" t="str">
        <f ca="1">IFERROR(__xludf.DUMMYFUNCTION("""COMPUTED_VALUE"""),"mabuzamuzikayifani@gmail.com")</f>
        <v>mabuzamuzikayifani@gmail.com</v>
      </c>
      <c r="G2" s="4" t="str">
        <f ca="1">IFERROR(__xludf.DUMMYFUNCTION("""COMPUTED_VALUE"""),"PASS TPG201T ISY23AT/BT  DSO23BT DURING S1 2022. STUDENT HAS TO REPORT FOR ACADEMIC INTERVENTION. ")</f>
        <v xml:space="preserve">PASS TPG201T ISY23AT/BT  DSO23BT DURING S1 2022. STUDENT HAS TO REPORT FOR ACADEMIC INTERVENTION. </v>
      </c>
    </row>
    <row r="3" spans="1:13" ht="39">
      <c r="A3" s="4">
        <f ca="1">IFERROR(__xludf.DUMMYFUNCTION("""COMPUTED_VALUE"""),217525357)</f>
        <v>217525357</v>
      </c>
      <c r="B3" s="4" t="str">
        <f ca="1">IFERROR(__xludf.DUMMYFUNCTION("""COMPUTED_VALUE"""),"ZULU")</f>
        <v>ZULU</v>
      </c>
      <c r="C3" s="4" t="str">
        <f ca="1">IFERROR(__xludf.DUMMYFUNCTION("""COMPUTED_VALUE"""),"VD")</f>
        <v>VD</v>
      </c>
      <c r="D3" s="3" t="s">
        <v>324</v>
      </c>
      <c r="E3" s="4" t="str">
        <f ca="1">IFERROR(__xludf.DUMMYFUNCTION("""COMPUTED_VALUE"""),"0796896541")</f>
        <v>0796896541</v>
      </c>
      <c r="F3" s="4" t="str">
        <f ca="1">IFERROR(__xludf.DUMMYFUNCTION("""COMPUTED_VALUE"""),"diploma.zulu@gmail.com")</f>
        <v>diploma.zulu@gmail.com</v>
      </c>
      <c r="G3" s="4" t="str">
        <f ca="1">IFERROR(__xludf.DUMMYFUNCTION("""COMPUTED_VALUE"""),"DSO23AT TPG201T ISY23BT SSF24BT  PASS S1 2022 + ACADEMIC INTERVENTION")</f>
        <v>DSO23AT TPG201T ISY23BT SSF24BT  PASS S1 2022 + ACADEMIC INTERVENTION</v>
      </c>
    </row>
    <row r="4" spans="1:13" ht="26.25">
      <c r="A4" s="4">
        <f ca="1">IFERROR(__xludf.DUMMYFUNCTION("""COMPUTED_VALUE"""),218682294)</f>
        <v>218682294</v>
      </c>
      <c r="B4" s="4" t="str">
        <f ca="1">IFERROR(__xludf.DUMMYFUNCTION("""COMPUTED_VALUE"""),"Langa")</f>
        <v>Langa</v>
      </c>
      <c r="C4" s="4" t="str">
        <f ca="1">IFERROR(__xludf.DUMMYFUNCTION("""COMPUTED_VALUE"""),"L")</f>
        <v>L</v>
      </c>
      <c r="D4" s="3" t="s">
        <v>324</v>
      </c>
      <c r="E4" s="4" t="str">
        <f ca="1">IFERROR(__xludf.DUMMYFUNCTION("""COMPUTED_VALUE"""),"0781664218")</f>
        <v>0781664218</v>
      </c>
      <c r="F4" s="4" t="str">
        <f ca="1">IFERROR(__xludf.DUMMYFUNCTION("""COMPUTED_VALUE"""),"218682294@tut4life.ac.za")</f>
        <v>218682294@tut4life.ac.za</v>
      </c>
      <c r="G4" s="4" t="str">
        <f ca="1">IFERROR(__xludf.DUMMYFUNCTION("""COMPUTED_VALUE"""),"need to pass TPG201T, ISY23BT, and DSO34BT.")</f>
        <v>need to pass TPG201T, ISY23BT, and DSO34BT.</v>
      </c>
    </row>
    <row r="5" spans="1:13" ht="39">
      <c r="A5" s="4">
        <f ca="1">IFERROR(__xludf.DUMMYFUNCTION("""COMPUTED_VALUE"""),216451481)</f>
        <v>216451481</v>
      </c>
      <c r="B5" s="4" t="s">
        <v>424</v>
      </c>
      <c r="C5" s="4" t="str">
        <f ca="1">IFERROR(__xludf.DUMMYFUNCTION("""COMPUTED_VALUE"""),"IL")</f>
        <v>IL</v>
      </c>
      <c r="D5" s="3" t="s">
        <v>324</v>
      </c>
      <c r="E5" s="4" t="str">
        <f ca="1">IFERROR(__xludf.DUMMYFUNCTION("""COMPUTED_VALUE"""),"761996323")</f>
        <v>761996323</v>
      </c>
      <c r="F5" s="4" t="str">
        <f ca="1">IFERROR(__xludf.DUMMYFUNCTION("""COMPUTED_VALUE"""),"lynnetteinnocentia35@gmail.com")</f>
        <v>lynnetteinnocentia35@gmail.com</v>
      </c>
      <c r="G5" s="4" t="str">
        <f ca="1">IFERROR(__xludf.DUMMYFUNCTION("""COMPUTED_VALUE"""),"Student must pass DSO23AT, TPG201T, ISY23BT and student must attend trauma counseling.")</f>
        <v>Student must pass DSO23AT, TPG201T, ISY23BT and student must attend trauma counseling.</v>
      </c>
    </row>
    <row r="6" spans="1:13" ht="26.25">
      <c r="A6" s="4">
        <f ca="1">IFERROR(__xludf.DUMMYFUNCTION("""COMPUTED_VALUE"""),214770270)</f>
        <v>214770270</v>
      </c>
      <c r="B6" s="4" t="str">
        <f ca="1">IFERROR(__xludf.DUMMYFUNCTION("""COMPUTED_VALUE"""),"Mohlaba")</f>
        <v>Mohlaba</v>
      </c>
      <c r="C6" s="4" t="str">
        <f ca="1">IFERROR(__xludf.DUMMYFUNCTION("""COMPUTED_VALUE"""),"PM")</f>
        <v>PM</v>
      </c>
      <c r="D6" s="3" t="s">
        <v>324</v>
      </c>
      <c r="E6" s="4" t="str">
        <f ca="1">IFERROR(__xludf.DUMMYFUNCTION("""COMPUTED_VALUE"""),"0671317748")</f>
        <v>0671317748</v>
      </c>
      <c r="F6" s="4" t="str">
        <f ca="1">IFERROR(__xludf.DUMMYFUNCTION("""COMPUTED_VALUE"""),"mohlabapm68@gmail.com")</f>
        <v>mohlabapm68@gmail.com</v>
      </c>
      <c r="G6" s="4" t="str">
        <f ca="1">IFERROR(__xludf.DUMMYFUNCTION("""COMPUTED_VALUE"""),"Student need to pass DSO23BT, TPG201T, and ISY23BT.")</f>
        <v>Student need to pass DSO23BT, TPG201T, and ISY23BT.</v>
      </c>
    </row>
    <row r="7" spans="1:13" ht="26.25">
      <c r="A7" s="4">
        <f ca="1">IFERROR(__xludf.DUMMYFUNCTION("""COMPUTED_VALUE"""),215521591)</f>
        <v>215521591</v>
      </c>
      <c r="B7" s="4" t="str">
        <f ca="1">IFERROR(__xludf.DUMMYFUNCTION("""COMPUTED_VALUE"""),"Baloyi")</f>
        <v>Baloyi</v>
      </c>
      <c r="C7" s="4" t="str">
        <f ca="1">IFERROR(__xludf.DUMMYFUNCTION("""COMPUTED_VALUE"""),"TN")</f>
        <v>TN</v>
      </c>
      <c r="D7" s="3" t="s">
        <v>324</v>
      </c>
      <c r="E7" s="4" t="str">
        <f ca="1">IFERROR(__xludf.DUMMYFUNCTION("""COMPUTED_VALUE"""),"637568494")</f>
        <v>637568494</v>
      </c>
      <c r="F7" s="4" t="str">
        <f ca="1">IFERROR(__xludf.DUMMYFUNCTION("""COMPUTED_VALUE"""),"nicholasbaloyi22@gmail.com")</f>
        <v>nicholasbaloyi22@gmail.com</v>
      </c>
      <c r="G7" s="4" t="str">
        <f ca="1">IFERROR(__xludf.DUMMYFUNCTION("""COMPUTED_VALUE"""),"Student need to pass TPG201T and ISY23BT.")</f>
        <v>Student need to pass TPG201T and ISY23BT.</v>
      </c>
    </row>
    <row r="8" spans="1:13" ht="39">
      <c r="A8" s="4">
        <v>217343208</v>
      </c>
      <c r="B8" s="4" t="str">
        <f ca="1">IFERROR(__xludf.DUMMYFUNCTION("""COMPUTED_VALUE"""),"TLHABI")</f>
        <v>TLHABI</v>
      </c>
      <c r="C8" s="4" t="str">
        <f ca="1">IFERROR(__xludf.DUMMYFUNCTION("""COMPUTED_VALUE"""),"KN")</f>
        <v>KN</v>
      </c>
      <c r="D8" s="3" t="s">
        <v>324</v>
      </c>
      <c r="E8" s="4" t="str">
        <f ca="1">IFERROR(__xludf.DUMMYFUNCTION("""COMPUTED_VALUE"""),"0724137932")</f>
        <v>0724137932</v>
      </c>
      <c r="F8" s="4" t="str">
        <f ca="1">IFERROR(__xludf.DUMMYFUNCTION("""COMPUTED_VALUE"""),"nk77tlhabi@gmail.com")</f>
        <v>nk77tlhabi@gmail.com</v>
      </c>
      <c r="G8" s="4" t="str">
        <f ca="1">IFERROR(__xludf.DUMMYFUNCTION("""COMPUTED_VALUE"""),"Student need to pass TPG201T, ISY23AT, ISY23BT,and DSO23BT, attend 85% full time, and attend all interventions.")</f>
        <v>Student need to pass TPG201T, ISY23AT, ISY23BT,and DSO23BT, attend 85% full time, and attend all interventions.</v>
      </c>
    </row>
    <row r="9" spans="1:13" ht="39">
      <c r="A9" s="4">
        <f ca="1">IFERROR(__xludf.DUMMYFUNCTION("""COMPUTED_VALUE"""),217593654)</f>
        <v>217593654</v>
      </c>
      <c r="B9" s="4" t="str">
        <f ca="1">IFERROR(__xludf.DUMMYFUNCTION("""COMPUTED_VALUE"""),"Nakedi")</f>
        <v>Nakedi</v>
      </c>
      <c r="C9" s="4" t="str">
        <f ca="1">IFERROR(__xludf.DUMMYFUNCTION("""COMPUTED_VALUE"""),"KRJ")</f>
        <v>KRJ</v>
      </c>
      <c r="D9" s="3" t="s">
        <v>324</v>
      </c>
      <c r="E9" s="4" t="str">
        <f ca="1">IFERROR(__xludf.DUMMYFUNCTION("""COMPUTED_VALUE"""),"0712059921")</f>
        <v>0712059921</v>
      </c>
      <c r="F9" s="4" t="str">
        <f ca="1">IFERROR(__xludf.DUMMYFUNCTION("""COMPUTED_VALUE"""),"kamogelot96@gmail.com")</f>
        <v>kamogelot96@gmail.com</v>
      </c>
      <c r="G9" s="4" t="str">
        <f ca="1">IFERROR(__xludf.DUMMYFUNCTION("""COMPUTED_VALUE"""),"Student need to pass DSO23AT,ISY23BT, and TPG201T, attend 85% full time, and attend all interventions.")</f>
        <v>Student need to pass DSO23AT,ISY23BT, and TPG201T, attend 85% full time, and attend all interventions.</v>
      </c>
    </row>
    <row r="10" spans="1:13" ht="39">
      <c r="A10" s="4">
        <f ca="1">IFERROR(__xludf.DUMMYFUNCTION("""COMPUTED_VALUE"""),218014739)</f>
        <v>218014739</v>
      </c>
      <c r="B10" s="4" t="str">
        <f ca="1">IFERROR(__xludf.DUMMYFUNCTION("""COMPUTED_VALUE"""),"ngobeni")</f>
        <v>ngobeni</v>
      </c>
      <c r="C10" s="4" t="str">
        <f ca="1">IFERROR(__xludf.DUMMYFUNCTION("""COMPUTED_VALUE"""),"c")</f>
        <v>c</v>
      </c>
      <c r="D10" s="3" t="s">
        <v>324</v>
      </c>
      <c r="E10" s="4" t="str">
        <f ca="1">IFERROR(__xludf.DUMMYFUNCTION("""COMPUTED_VALUE"""),"+27790674457")</f>
        <v>+27790674457</v>
      </c>
      <c r="F10" s="4" t="str">
        <f ca="1">IFERROR(__xludf.DUMMYFUNCTION("""COMPUTED_VALUE"""),"218014739@tut4life.ac.za")</f>
        <v>218014739@tut4life.ac.za</v>
      </c>
      <c r="G10" s="4" t="str">
        <f ca="1">IFERROR(__xludf.DUMMYFUNCTION("""COMPUTED_VALUE"""),"Student must pass PASS TPG201T, DSO23AT, ISY23AT, and ISY23BT, attend 85% full time, and attend all interventions.")</f>
        <v>Student must pass PASS TPG201T, DSO23AT, ISY23AT, and ISY23BT, attend 85% full time, and attend all interventions.</v>
      </c>
    </row>
    <row r="11" spans="1:13" ht="39">
      <c r="A11" s="4">
        <f ca="1">IFERROR(__xludf.DUMMYFUNCTION("""COMPUTED_VALUE"""),218487246)</f>
        <v>218487246</v>
      </c>
      <c r="B11" s="4" t="str">
        <f ca="1">IFERROR(__xludf.DUMMYFUNCTION("""COMPUTED_VALUE"""),"Ditinti")</f>
        <v>Ditinti</v>
      </c>
      <c r="C11" s="4" t="str">
        <f ca="1">IFERROR(__xludf.DUMMYFUNCTION("""COMPUTED_VALUE"""),"TE")</f>
        <v>TE</v>
      </c>
      <c r="D11" s="3" t="s">
        <v>324</v>
      </c>
      <c r="E11" s="4" t="str">
        <f ca="1">IFERROR(__xludf.DUMMYFUNCTION("""COMPUTED_VALUE"""),"0642771861")</f>
        <v>0642771861</v>
      </c>
      <c r="F11" s="4" t="str">
        <f ca="1">IFERROR(__xludf.DUMMYFUNCTION("""COMPUTED_VALUE"""),"edgarditinti@gmail.com")</f>
        <v>edgarditinti@gmail.com</v>
      </c>
      <c r="G11" s="4" t="str">
        <f ca="1">IFERROR(__xludf.DUMMYFUNCTION("""COMPUTED_VALUE"""),"Need to pass TPG201T and ISY23BT DURING S1 2022, and attend relevant intervention, also attend 85% of classes.")</f>
        <v>Need to pass TPG201T and ISY23BT DURING S1 2022, and attend relevant intervention, also attend 85% of classes.</v>
      </c>
    </row>
    <row r="12" spans="1:13" ht="64.5">
      <c r="A12" s="4">
        <f ca="1">IFERROR(__xludf.DUMMYFUNCTION("""COMPUTED_VALUE"""),219939752)</f>
        <v>219939752</v>
      </c>
      <c r="B12" s="4" t="str">
        <f ca="1">IFERROR(__xludf.DUMMYFUNCTION("""COMPUTED_VALUE"""),"Mukwevho")</f>
        <v>Mukwevho</v>
      </c>
      <c r="C12" s="4" t="str">
        <f ca="1">IFERROR(__xludf.DUMMYFUNCTION("""COMPUTED_VALUE"""),"MG")</f>
        <v>MG</v>
      </c>
      <c r="D12" s="3" t="s">
        <v>324</v>
      </c>
      <c r="E12" s="4" t="str">
        <f ca="1">IFERROR(__xludf.DUMMYFUNCTION("""COMPUTED_VALUE"""),"0766168037")</f>
        <v>0766168037</v>
      </c>
      <c r="F12" s="4" t="str">
        <f ca="1">IFERROR(__xludf.DUMMYFUNCTION("""COMPUTED_VALUE"""),"219939752@tut4life.ac.za")</f>
        <v>219939752@tut4life.ac.za</v>
      </c>
      <c r="G12" s="4"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row>
    <row r="13" spans="1:13" ht="39">
      <c r="A13" s="86">
        <f ca="1">IFERROR(__xludf.DUMMYFUNCTION("""COMPUTED_VALUE"""),217489547)</f>
        <v>217489547</v>
      </c>
      <c r="B13" s="86" t="str">
        <f ca="1">IFERROR(__xludf.DUMMYFUNCTION("""COMPUTED_VALUE"""),"Njomboni")</f>
        <v>Njomboni</v>
      </c>
      <c r="C13" s="86" t="str">
        <f ca="1">IFERROR(__xludf.DUMMYFUNCTION("""COMPUTED_VALUE"""),"M")</f>
        <v>M</v>
      </c>
      <c r="D13" s="86"/>
      <c r="E13" s="86" t="str">
        <f ca="1">IFERROR(__xludf.DUMMYFUNCTION("""COMPUTED_VALUE"""),"0727813405")</f>
        <v>0727813405</v>
      </c>
      <c r="F13" s="86" t="str">
        <f ca="1">IFERROR(__xludf.DUMMYFUNCTION("""COMPUTED_VALUE"""),"mpilo.chris.jr@gmail.com")</f>
        <v>mpilo.chris.jr@gmail.com</v>
      </c>
      <c r="G13" s="86" t="str">
        <f ca="1">IFERROR(__xludf.DUMMYFUNCTION("""COMPUTED_VALUE"""),"Student must pass GIU10AT, TPG12AT and ISY23BT in 2022 Semester 1 and report for academic intervention.")</f>
        <v>Student must pass GIU10AT, TPG12AT and ISY23BT in 2022 Semester 1 and report for academic intervention.</v>
      </c>
    </row>
    <row r="14" spans="1:13" ht="39">
      <c r="A14" s="85">
        <f ca="1">IFERROR(__xludf.DUMMYFUNCTION("""COMPUTED_VALUE"""),217371333)</f>
        <v>217371333</v>
      </c>
      <c r="B14" s="85" t="str">
        <f ca="1">IFERROR(__xludf.DUMMYFUNCTION("""COMPUTED_VALUE"""),"Mkefa")</f>
        <v>Mkefa</v>
      </c>
      <c r="C14" s="85" t="str">
        <f ca="1">IFERROR(__xludf.DUMMYFUNCTION("""COMPUTED_VALUE"""),"SD")</f>
        <v>SD</v>
      </c>
      <c r="D14" s="85"/>
      <c r="E14" s="85" t="str">
        <f ca="1">IFERROR(__xludf.DUMMYFUNCTION("""COMPUTED_VALUE"""),"0839670510")</f>
        <v>0839670510</v>
      </c>
      <c r="F14" s="85" t="str">
        <f ca="1">IFERROR(__xludf.DUMMYFUNCTION("""COMPUTED_VALUE"""),"dsolethu5@gmail.com")</f>
        <v>dsolethu5@gmail.com</v>
      </c>
      <c r="G14" s="85" t="str">
        <f ca="1">IFERROR(__xludf.DUMMYFUNCTION("""COMPUTED_VALUE"""),"Student must pass TPG12AT and ISY23BT in 2022 Semester 1. student must report for academic intervention.")</f>
        <v>Student must pass TPG12AT and ISY23BT in 2022 Semester 1. student must report for academic intervention.</v>
      </c>
    </row>
    <row r="15" spans="1:13" ht="39">
      <c r="A15" s="86">
        <f ca="1">IFERROR(__xludf.DUMMYFUNCTION("""COMPUTED_VALUE"""),215699757)</f>
        <v>215699757</v>
      </c>
      <c r="B15" s="86" t="str">
        <f ca="1">IFERROR(__xludf.DUMMYFUNCTION("""COMPUTED_VALUE"""),"Mlambo")</f>
        <v>Mlambo</v>
      </c>
      <c r="C15" s="86" t="str">
        <f ca="1">IFERROR(__xludf.DUMMYFUNCTION("""COMPUTED_VALUE"""),"ZP")</f>
        <v>ZP</v>
      </c>
      <c r="D15" s="86"/>
      <c r="E15" s="86" t="str">
        <f ca="1">IFERROR(__xludf.DUMMYFUNCTION("""COMPUTED_VALUE"""),"0731063314")</f>
        <v>0731063314</v>
      </c>
      <c r="F15" s="86" t="str">
        <f ca="1">IFERROR(__xludf.DUMMYFUNCTION("""COMPUTED_VALUE"""),"zamasondiya7@gmail.com")</f>
        <v>zamasondiya7@gmail.com</v>
      </c>
      <c r="G15" s="86" t="str">
        <f ca="1">IFERROR(__xludf.DUMMYFUNCTION("""COMPUTED_VALUE"""),"Student need to pass TPG111T and ISY23BT, attend 85% full time, and attend all interventions.")</f>
        <v>Student need to pass TPG111T and ISY23BT, attend 85% full time, and attend all interventions.</v>
      </c>
    </row>
    <row r="16" spans="1:13" ht="39">
      <c r="A16" s="4">
        <v>218014810</v>
      </c>
      <c r="B16" s="4" t="str">
        <f ca="1">IFERROR(__xludf.DUMMYFUNCTION("""COMPUTED_VALUE"""),"MNCUBE")</f>
        <v>MNCUBE</v>
      </c>
      <c r="C16" s="4" t="str">
        <f ca="1">IFERROR(__xludf.DUMMYFUNCTION("""COMPUTED_VALUE"""),"BJ")</f>
        <v>BJ</v>
      </c>
      <c r="D16" s="4"/>
      <c r="E16" s="4" t="str">
        <f ca="1">IFERROR(__xludf.DUMMYFUNCTION("""COMPUTED_VALUE"""),"0717699979")</f>
        <v>0717699979</v>
      </c>
      <c r="F16" s="4" t="str">
        <f ca="1">IFERROR(__xludf.DUMMYFUNCTION("""COMPUTED_VALUE"""),"bongz5839@gmail.com")</f>
        <v>bongz5839@gmail.com</v>
      </c>
      <c r="G16" s="4" t="str">
        <f ca="1">IFERROR(__xludf.DUMMYFUNCTION("""COMPUTED_VALUE"""),"Student must pass DSO23AT, TPG111T, and ISY23BT, and ISY23BT, attend 85% full time, and attend all interventions.")</f>
        <v>Student must pass DSO23AT, TPG111T, and ISY23BT, and ISY23BT, attend 85% full time, and attend all interventions.</v>
      </c>
    </row>
    <row r="17" spans="1:7" ht="64.5">
      <c r="A17" s="86">
        <f ca="1">IFERROR(__xludf.DUMMYFUNCTION("""COMPUTED_VALUE"""),218748562)</f>
        <v>218748562</v>
      </c>
      <c r="B17" s="86" t="str">
        <f ca="1">IFERROR(__xludf.DUMMYFUNCTION("""COMPUTED_VALUE"""),"Msomi")</f>
        <v>Msomi</v>
      </c>
      <c r="C17" s="86" t="str">
        <f ca="1">IFERROR(__xludf.DUMMYFUNCTION("""COMPUTED_VALUE"""),"S")</f>
        <v>S</v>
      </c>
      <c r="D17" s="86"/>
      <c r="E17" s="86" t="str">
        <f ca="1">IFERROR(__xludf.DUMMYFUNCTION("""COMPUTED_VALUE"""),"0663251353")</f>
        <v>0663251353</v>
      </c>
      <c r="F17" s="86" t="str">
        <f ca="1">IFERROR(__xludf.DUMMYFUNCTION("""COMPUTED_VALUE"""),"218748562@tut4life.ac.za")</f>
        <v>218748562@tut4life.ac.za</v>
      </c>
      <c r="G17" s="86"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row>
    <row r="18" spans="1:7" ht="51.75">
      <c r="A18" s="4">
        <f ca="1">IFERROR(__xludf.DUMMYFUNCTION("""COMPUTED_VALUE"""),217187257)</f>
        <v>217187257</v>
      </c>
      <c r="B18" s="4" t="str">
        <f ca="1">IFERROR(__xludf.DUMMYFUNCTION("""COMPUTED_VALUE"""),"Mnisi")</f>
        <v>Mnisi</v>
      </c>
      <c r="C18" s="4" t="str">
        <f ca="1">IFERROR(__xludf.DUMMYFUNCTION("""COMPUTED_VALUE"""),"B.A")</f>
        <v>B.A</v>
      </c>
      <c r="D18" s="4"/>
      <c r="E18" s="4" t="str">
        <f ca="1">IFERROR(__xludf.DUMMYFUNCTION("""COMPUTED_VALUE"""),"0817592959")</f>
        <v>0817592959</v>
      </c>
      <c r="F18" s="4" t="str">
        <f ca="1">IFERROR(__xludf.DUMMYFUNCTION("""COMPUTED_VALUE"""),"bongan.mnis@gmail.com")</f>
        <v>bongan.mnis@gmail.com</v>
      </c>
      <c r="G18" s="4" t="str">
        <f ca="1">IFERROR(__xludf.DUMMYFUNCTION("""COMPUTED_VALUE"""),"STUDENT NEED TO PASS BUA30AT, BUA30BT, ISY23BT, DSO23BT DURING S1 2022 AND REPORT FOR ACADEMIC INTERVENTION.")</f>
        <v>STUDENT NEED TO PASS BUA30AT, BUA30BT, ISY23BT, DSO23BT DURING S1 2022 AND REPORT FOR ACADEMIC INTERVENTION.</v>
      </c>
    </row>
    <row r="19" spans="1:7" ht="39">
      <c r="A19" s="4">
        <f ca="1">IFERROR(__xludf.DUMMYFUNCTION("""COMPUTED_VALUE"""),218097839)</f>
        <v>218097839</v>
      </c>
      <c r="B19" s="4" t="str">
        <f ca="1">IFERROR(__xludf.DUMMYFUNCTION("""COMPUTED_VALUE"""),"Peta")</f>
        <v>Peta</v>
      </c>
      <c r="C19" s="4" t="str">
        <f ca="1">IFERROR(__xludf.DUMMYFUNCTION("""COMPUTED_VALUE"""),"Ipeleng")</f>
        <v>Ipeleng</v>
      </c>
      <c r="D19" s="4"/>
      <c r="E19" s="4" t="str">
        <f ca="1">IFERROR(__xludf.DUMMYFUNCTION("""COMPUTED_VALUE"""),"0834763148")</f>
        <v>0834763148</v>
      </c>
      <c r="F19" s="4" t="str">
        <f ca="1">IFERROR(__xludf.DUMMYFUNCTION("""COMPUTED_VALUE"""),"ipelengpeta7@gmail.com")</f>
        <v>ipelengpeta7@gmail.com</v>
      </c>
      <c r="G19" s="4" t="str">
        <f ca="1">IFERROR(__xludf.DUMMYFUNCTION("""COMPUTED_VALUE"""),"PASS ISY23BT, BUA30BT AND IDC30AT S1 2022 + REPORT FOR ACADEMIC INTERVENTION")</f>
        <v>PASS ISY23BT, BUA30BT AND IDC30AT S1 2022 + REPORT FOR ACADEMIC INTERVENTION</v>
      </c>
    </row>
    <row r="20" spans="1:7">
      <c r="A20" s="4">
        <f ca="1">IFERROR(__xludf.DUMMYFUNCTION("""COMPUTED_VALUE"""),217610931)</f>
        <v>217610931</v>
      </c>
      <c r="B20" s="4"/>
      <c r="C20" s="4"/>
      <c r="D20" s="4"/>
      <c r="E20" s="4"/>
      <c r="F20" s="4"/>
      <c r="G20" s="4" t="str">
        <f ca="1">IFERROR(__xludf.DUMMYFUNCTION("""COMPUTED_VALUE"""),"LIFTED, STUDENT MUST PASS TPG111,ISY23BT AND OTHER SUBJECT AND REPORT FOR ACADEMIC INTERVENTION.")</f>
        <v>LIFTED, STUDENT MUST PASS TPG111,ISY23BT AND OTHER SUBJECT AND REPORT FOR ACADEMIC INTERVENTION.</v>
      </c>
    </row>
    <row r="21" spans="1:7" ht="39">
      <c r="A21" s="4">
        <f ca="1">IFERROR(__xludf.DUMMYFUNCTION("""COMPUTED_VALUE"""),217505534)</f>
        <v>217505534</v>
      </c>
      <c r="B21" s="4" t="str">
        <f ca="1">IFERROR(__xludf.DUMMYFUNCTION("""COMPUTED_VALUE"""),"Seduana ")</f>
        <v xml:space="preserve">Seduana </v>
      </c>
      <c r="C21" s="4" t="str">
        <f ca="1">IFERROR(__xludf.DUMMYFUNCTION("""COMPUTED_VALUE"""),"A")</f>
        <v>A</v>
      </c>
      <c r="D21" s="4"/>
      <c r="E21" s="4" t="str">
        <f ca="1">IFERROR(__xludf.DUMMYFUNCTION("""COMPUTED_VALUE"""),"0676571893")</f>
        <v>0676571893</v>
      </c>
      <c r="F21" s="4" t="str">
        <f ca="1">IFERROR(__xludf.DUMMYFUNCTION("""COMPUTED_VALUE"""),"seduaphiwe@gmail.com")</f>
        <v>seduaphiwe@gmail.com</v>
      </c>
      <c r="G21" s="4" t="str">
        <f ca="1">IFERROR(__xludf.DUMMYFUNCTION("""COMPUTED_VALUE"""),"Student must pass ISY23BT, and MMX30BT in 2022 Semester 1. Student must report for academic intervention.")</f>
        <v>Student must pass ISY23BT, and MMX30BT in 2022 Semester 1. Student must report for academic intervention.</v>
      </c>
    </row>
    <row r="22" spans="1:7" ht="26.25">
      <c r="A22" s="122">
        <v>217159482</v>
      </c>
      <c r="B22" s="123" t="s">
        <v>663</v>
      </c>
      <c r="C22" s="123" t="s">
        <v>664</v>
      </c>
      <c r="D22" s="110"/>
      <c r="E22" s="122">
        <v>738752912</v>
      </c>
      <c r="F22" s="124" t="s">
        <v>665</v>
      </c>
      <c r="G22" s="142" t="s">
        <v>666</v>
      </c>
    </row>
    <row r="23" spans="1:7" ht="32.25" customHeight="1">
      <c r="A23" s="18">
        <v>217201411</v>
      </c>
      <c r="B23" s="31" t="s">
        <v>667</v>
      </c>
      <c r="C23" s="31" t="s">
        <v>130</v>
      </c>
      <c r="D23" s="22"/>
      <c r="E23" s="18">
        <v>660267160</v>
      </c>
      <c r="F23" s="24" t="s">
        <v>668</v>
      </c>
      <c r="G23" s="33" t="s">
        <v>669</v>
      </c>
    </row>
    <row r="24" spans="1:7" ht="77.25">
      <c r="A24" s="100">
        <v>217049628</v>
      </c>
      <c r="B24" s="138" t="s">
        <v>532</v>
      </c>
      <c r="C24" s="138" t="s">
        <v>28</v>
      </c>
      <c r="D24" s="102"/>
      <c r="E24" s="100">
        <v>731926142</v>
      </c>
      <c r="F24" s="105" t="s">
        <v>533</v>
      </c>
      <c r="G24" s="104" t="s">
        <v>534</v>
      </c>
    </row>
    <row r="25" spans="1:7" ht="78" customHeight="1">
      <c r="A25" s="18">
        <v>218269249</v>
      </c>
      <c r="B25" s="21" t="s">
        <v>10</v>
      </c>
      <c r="C25" s="21" t="s">
        <v>10</v>
      </c>
      <c r="D25" s="22"/>
      <c r="E25" s="23" t="s">
        <v>10</v>
      </c>
      <c r="F25" s="21" t="s">
        <v>10</v>
      </c>
      <c r="G25" s="25" t="s">
        <v>540</v>
      </c>
    </row>
    <row r="26" spans="1:7" ht="128.25">
      <c r="A26" s="52">
        <v>214752042</v>
      </c>
      <c r="B26" s="61" t="s">
        <v>660</v>
      </c>
      <c r="C26" s="61" t="s">
        <v>187</v>
      </c>
      <c r="D26" s="22"/>
      <c r="E26" s="52">
        <v>681539798</v>
      </c>
      <c r="F26" s="29" t="s">
        <v>661</v>
      </c>
      <c r="G26" s="51" t="s">
        <v>662</v>
      </c>
    </row>
    <row r="27" spans="1:7" ht="115.5">
      <c r="A27" s="52">
        <v>217348064</v>
      </c>
      <c r="B27" s="61" t="s">
        <v>638</v>
      </c>
      <c r="C27" s="61" t="s">
        <v>639</v>
      </c>
      <c r="D27" s="22"/>
      <c r="E27" s="52">
        <v>733901238</v>
      </c>
      <c r="F27" s="29" t="s">
        <v>640</v>
      </c>
      <c r="G27" s="51" t="s">
        <v>641</v>
      </c>
    </row>
  </sheetData>
  <hyperlinks>
    <hyperlink ref="F22" r:id="rId1"/>
    <hyperlink ref="F23" r:id="rId2"/>
    <hyperlink ref="F24" r:id="rId3"/>
    <hyperlink ref="F26" r:id="rId4"/>
    <hyperlink ref="F27" r:id="rId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4" workbookViewId="0">
      <selection activeCell="B12" sqref="B12"/>
    </sheetView>
  </sheetViews>
  <sheetFormatPr defaultRowHeight="15"/>
  <cols>
    <col min="1" max="1" width="16.7109375" customWidth="1"/>
    <col min="2" max="2" width="19.7109375" customWidth="1"/>
    <col min="3" max="3" width="11.85546875" customWidth="1"/>
    <col min="4" max="4" width="18.5703125" customWidth="1"/>
    <col min="5" max="5" width="14.42578125" customWidth="1"/>
    <col min="6" max="6" width="33" customWidth="1"/>
    <col min="7" max="7" width="39.7109375" customWidth="1"/>
  </cols>
  <sheetData>
    <row r="1" spans="1:7" ht="22.5" customHeight="1">
      <c r="A1" s="1" t="s">
        <v>0</v>
      </c>
      <c r="B1" s="1" t="s">
        <v>1</v>
      </c>
      <c r="C1" s="1" t="s">
        <v>2</v>
      </c>
      <c r="D1" s="1" t="s">
        <v>3</v>
      </c>
      <c r="E1" s="1" t="s">
        <v>4</v>
      </c>
      <c r="F1" s="1" t="s">
        <v>5</v>
      </c>
      <c r="G1" s="1" t="s">
        <v>6</v>
      </c>
    </row>
    <row r="2" spans="1:7" ht="39">
      <c r="A2" s="4">
        <f ca="1">IFERROR(__xludf.DUMMYFUNCTION("""COMPUTED_VALUE"""),217488338)</f>
        <v>217488338</v>
      </c>
      <c r="B2" s="4" t="str">
        <f ca="1">IFERROR(__xludf.DUMMYFUNCTION("""COMPUTED_VALUE"""),"Kobedi")</f>
        <v>Kobedi</v>
      </c>
      <c r="C2" s="4" t="str">
        <f ca="1">IFERROR(__xludf.DUMMYFUNCTION("""COMPUTED_VALUE"""),"P T K O")</f>
        <v>P T K O</v>
      </c>
      <c r="D2" s="3" t="s">
        <v>327</v>
      </c>
      <c r="E2" s="4" t="str">
        <f ca="1">IFERROR(__xludf.DUMMYFUNCTION("""COMPUTED_VALUE"""),"0791620190")</f>
        <v>0791620190</v>
      </c>
      <c r="F2" s="4" t="str">
        <f ca="1">IFERROR(__xludf.DUMMYFUNCTION("""COMPUTED_VALUE"""),"217488338@tut4life.ac.za")</f>
        <v>217488338@tut4life.ac.za</v>
      </c>
      <c r="G2" s="4" t="str">
        <f ca="1">IFERROR(__xludf.DUMMYFUNCTION("""COMPUTED_VALUE"""),"STUDENT MUST ASS TPG201T &amp; ISY34AT DURING S1 2022 +REPORT FOR ACADEMIC INTERVENTION")</f>
        <v>STUDENT MUST ASS TPG201T &amp; ISY34AT DURING S1 2022 +REPORT FOR ACADEMIC INTERVENTION</v>
      </c>
    </row>
    <row r="3" spans="1:7" ht="39">
      <c r="A3" s="4">
        <f ca="1">IFERROR(__xludf.DUMMYFUNCTION("""COMPUTED_VALUE"""),218390080)</f>
        <v>218390080</v>
      </c>
      <c r="B3" s="4" t="str">
        <f ca="1">IFERROR(__xludf.DUMMYFUNCTION("""COMPUTED_VALUE"""),"Shekwa")</f>
        <v>Shekwa</v>
      </c>
      <c r="C3" s="4" t="str">
        <f ca="1">IFERROR(__xludf.DUMMYFUNCTION("""COMPUTED_VALUE"""),"NT")</f>
        <v>NT</v>
      </c>
      <c r="D3" s="3" t="s">
        <v>327</v>
      </c>
      <c r="E3" s="4" t="str">
        <f ca="1">IFERROR(__xludf.DUMMYFUNCTION("""COMPUTED_VALUE"""),"0661512368")</f>
        <v>0661512368</v>
      </c>
      <c r="F3" s="4" t="str">
        <f ca="1">IFERROR(__xludf.DUMMYFUNCTION("""COMPUTED_VALUE"""),"nonhlanhlarorisang2020@gmail.com")</f>
        <v>nonhlanhlarorisang2020@gmail.com</v>
      </c>
      <c r="G3" s="4" t="str">
        <f ca="1">IFERROR(__xludf.DUMMYFUNCTION("""COMPUTED_VALUE"""),"STUDENT MUST PASS TPG201T &amp; ISY34AT DURING S1 2022 + REPORT FOR ACADEMIC INTERVENTION")</f>
        <v>STUDENT MUST PASS TPG201T &amp; ISY34AT DURING S1 2022 + REPORT FOR ACADEMIC INTERVENTION</v>
      </c>
    </row>
    <row r="4" spans="1:7" ht="39">
      <c r="A4" s="4">
        <f ca="1">IFERROR(__xludf.DUMMYFUNCTION("""COMPUTED_VALUE"""),216035011)</f>
        <v>216035011</v>
      </c>
      <c r="B4" s="4" t="str">
        <f ca="1">IFERROR(__xludf.DUMMYFUNCTION("""COMPUTED_VALUE"""),"Malaza")</f>
        <v>Malaza</v>
      </c>
      <c r="C4" s="4" t="str">
        <f ca="1">IFERROR(__xludf.DUMMYFUNCTION("""COMPUTED_VALUE"""),"LT")</f>
        <v>LT</v>
      </c>
      <c r="D4" s="3" t="s">
        <v>327</v>
      </c>
      <c r="E4" s="4" t="str">
        <f ca="1">IFERROR(__xludf.DUMMYFUNCTION("""COMPUTED_VALUE"""),"0648857588")</f>
        <v>0648857588</v>
      </c>
      <c r="F4" s="4" t="str">
        <f ca="1">IFERROR(__xludf.DUMMYFUNCTION("""COMPUTED_VALUE"""),"lindokuhlemalaza894@gmail.com")</f>
        <v>lindokuhlemalaza894@gmail.com</v>
      </c>
      <c r="G4" s="4" t="str">
        <f ca="1">IFERROR(__xludf.DUMMYFUNCTION("""COMPUTED_VALUE"""),"Student need to pass TPG201T and ISY34AT, attend 85% full time, and attend all interventions.")</f>
        <v>Student need to pass TPG201T and ISY34AT, attend 85% full time, and attend all interventions.</v>
      </c>
    </row>
    <row r="5" spans="1:7" ht="39">
      <c r="A5" s="4">
        <f ca="1">IFERROR(__xludf.DUMMYFUNCTION("""COMPUTED_VALUE"""),216187792)</f>
        <v>216187792</v>
      </c>
      <c r="B5" s="4" t="str">
        <f ca="1">IFERROR(__xludf.DUMMYFUNCTION("""COMPUTED_VALUE"""),"Khumalo")</f>
        <v>Khumalo</v>
      </c>
      <c r="C5" s="4" t="str">
        <f ca="1">IFERROR(__xludf.DUMMYFUNCTION("""COMPUTED_VALUE"""),"VP")</f>
        <v>VP</v>
      </c>
      <c r="D5" s="3" t="s">
        <v>327</v>
      </c>
      <c r="E5" s="4" t="str">
        <f ca="1">IFERROR(__xludf.DUMMYFUNCTION("""COMPUTED_VALUE"""),"0765862273")</f>
        <v>0765862273</v>
      </c>
      <c r="F5" s="4" t="str">
        <f ca="1">IFERROR(__xludf.DUMMYFUNCTION("""COMPUTED_VALUE"""),"vusitp@gmail.com")</f>
        <v>vusitp@gmail.com</v>
      </c>
      <c r="G5" s="4" t="str">
        <f ca="1">IFERROR(__xludf.DUMMYFUNCTION("""COMPUTED_VALUE"""),"Student need to pass TPG201T and ISY34AT, attend 85% full time, and attend all interventions.")</f>
        <v>Student need to pass TPG201T and ISY34AT, attend 85% full time, and attend all interventions.</v>
      </c>
    </row>
    <row r="6" spans="1:7" ht="39">
      <c r="A6" s="4">
        <f ca="1">IFERROR(__xludf.DUMMYFUNCTION("""COMPUTED_VALUE"""),216569270)</f>
        <v>216569270</v>
      </c>
      <c r="B6" s="4" t="str">
        <f ca="1">IFERROR(__xludf.DUMMYFUNCTION("""COMPUTED_VALUE"""),"Makhoba")</f>
        <v>Makhoba</v>
      </c>
      <c r="C6" s="4" t="str">
        <f ca="1">IFERROR(__xludf.DUMMYFUNCTION("""COMPUTED_VALUE"""),"Pn")</f>
        <v>Pn</v>
      </c>
      <c r="D6" s="3" t="s">
        <v>327</v>
      </c>
      <c r="E6" s="4" t="str">
        <f ca="1">IFERROR(__xludf.DUMMYFUNCTION("""COMPUTED_VALUE"""),"0749724292")</f>
        <v>0749724292</v>
      </c>
      <c r="F6" s="4" t="str">
        <f ca="1">IFERROR(__xludf.DUMMYFUNCTION("""COMPUTED_VALUE"""),"paumimakhoba1@gmail.com")</f>
        <v>paumimakhoba1@gmail.com</v>
      </c>
      <c r="G6" s="4" t="str">
        <f ca="1">IFERROR(__xludf.DUMMYFUNCTION("""COMPUTED_VALUE"""),"Student need to pass TPG201T, DSO23AT, and ISY34AT attend 85% full time, and attend all interventions.")</f>
        <v>Student need to pass TPG201T, DSO23AT, and ISY34AT attend 85% full time, and attend all interventions.</v>
      </c>
    </row>
    <row r="7" spans="1:7" ht="39">
      <c r="A7" s="4">
        <f ca="1">IFERROR(__xludf.DUMMYFUNCTION("""COMPUTED_VALUE"""),216583485)</f>
        <v>216583485</v>
      </c>
      <c r="B7" s="4" t="str">
        <f ca="1">IFERROR(__xludf.DUMMYFUNCTION("""COMPUTED_VALUE"""),"Magaela")</f>
        <v>Magaela</v>
      </c>
      <c r="C7" s="4" t="str">
        <f ca="1">IFERROR(__xludf.DUMMYFUNCTION("""COMPUTED_VALUE"""),"MF")</f>
        <v>MF</v>
      </c>
      <c r="D7" s="3" t="s">
        <v>327</v>
      </c>
      <c r="E7" s="4" t="str">
        <f ca="1">IFERROR(__xludf.DUMMYFUNCTION("""COMPUTED_VALUE"""),"0769053674")</f>
        <v>0769053674</v>
      </c>
      <c r="F7" s="4" t="str">
        <f ca="1">IFERROR(__xludf.DUMMYFUNCTION("""COMPUTED_VALUE"""),"216583485@tut4life.ac.za")</f>
        <v>216583485@tut4life.ac.za</v>
      </c>
      <c r="G7" s="4" t="str">
        <f ca="1">IFERROR(__xludf.DUMMYFUNCTION("""COMPUTED_VALUE"""),"Student need to pass TPG201T, DSO23BT, and ISY34AT, attend 85% full time, and attend all interventions.")</f>
        <v>Student need to pass TPG201T, DSO23BT, and ISY34AT, attend 85% full time, and attend all interventions.</v>
      </c>
    </row>
    <row r="8" spans="1:7" ht="26.25">
      <c r="A8" s="4">
        <f ca="1">IFERROR(__xludf.DUMMYFUNCTION("""COMPUTED_VALUE"""),216848489)</f>
        <v>216848489</v>
      </c>
      <c r="B8" s="4" t="str">
        <f ca="1">IFERROR(__xludf.DUMMYFUNCTION("""COMPUTED_VALUE"""),"Dladla")</f>
        <v>Dladla</v>
      </c>
      <c r="C8" s="4" t="str">
        <f ca="1">IFERROR(__xludf.DUMMYFUNCTION("""COMPUTED_VALUE"""),"BI")</f>
        <v>BI</v>
      </c>
      <c r="D8" s="3" t="s">
        <v>327</v>
      </c>
      <c r="E8" s="4" t="str">
        <f ca="1">IFERROR(__xludf.DUMMYFUNCTION("""COMPUTED_VALUE"""),"0670700245")</f>
        <v>0670700245</v>
      </c>
      <c r="F8" s="4" t="str">
        <f ca="1">IFERROR(__xludf.DUMMYFUNCTION("""COMPUTED_VALUE"""),"banelebanzow@gmail.com")</f>
        <v>banelebanzow@gmail.com</v>
      </c>
      <c r="G8" s="4" t="str">
        <f ca="1">IFERROR(__xludf.DUMMYFUNCTION("""COMPUTED_VALUE"""),"Need to pass TPG201T and ISY34AT, attend 85% full time, and attend all interventions.")</f>
        <v>Need to pass TPG201T and ISY34AT, attend 85% full time, and attend all interventions.</v>
      </c>
    </row>
    <row r="9" spans="1:7" ht="39">
      <c r="A9" s="4">
        <f ca="1">IFERROR(__xludf.DUMMYFUNCTION("""COMPUTED_VALUE"""),216973992)</f>
        <v>216973992</v>
      </c>
      <c r="B9" s="4" t="str">
        <f ca="1">IFERROR(__xludf.DUMMYFUNCTION("""COMPUTED_VALUE"""),"Mkhize")</f>
        <v>Mkhize</v>
      </c>
      <c r="C9" s="4" t="str">
        <f ca="1">IFERROR(__xludf.DUMMYFUNCTION("""COMPUTED_VALUE"""),"BS")</f>
        <v>BS</v>
      </c>
      <c r="D9" s="3" t="s">
        <v>327</v>
      </c>
      <c r="E9" s="4" t="str">
        <f ca="1">IFERROR(__xludf.DUMMYFUNCTION("""COMPUTED_VALUE"""),"0833551002")</f>
        <v>0833551002</v>
      </c>
      <c r="F9" s="4" t="str">
        <f ca="1">IFERROR(__xludf.DUMMYFUNCTION("""COMPUTED_VALUE"""),"brillientsya@gmail.com")</f>
        <v>brillientsya@gmail.com</v>
      </c>
      <c r="G9" s="4" t="str">
        <f ca="1">IFERROR(__xludf.DUMMYFUNCTION("""COMPUTED_VALUE"""),"Need to PASS DSO23BT, TPG201T, ISY34AT, and  ISY34BT, attend 85% full time, and attend all interventions.")</f>
        <v>Need to PASS DSO23BT, TPG201T, ISY34AT, and  ISY34BT, attend 85% full time, and attend all interventions.</v>
      </c>
    </row>
    <row r="10" spans="1:7" ht="39">
      <c r="A10" s="4">
        <f ca="1">IFERROR(__xludf.DUMMYFUNCTION("""COMPUTED_VALUE"""),217123291)</f>
        <v>217123291</v>
      </c>
      <c r="B10" s="4" t="str">
        <f ca="1">IFERROR(__xludf.DUMMYFUNCTION("""COMPUTED_VALUE"""),"Tiyasi")</f>
        <v>Tiyasi</v>
      </c>
      <c r="C10" s="4" t="str">
        <f ca="1">IFERROR(__xludf.DUMMYFUNCTION("""COMPUTED_VALUE"""),"JP")</f>
        <v>JP</v>
      </c>
      <c r="D10" s="3" t="s">
        <v>327</v>
      </c>
      <c r="E10" s="4" t="str">
        <f ca="1">IFERROR(__xludf.DUMMYFUNCTION("""COMPUTED_VALUE"""),"0794194768")</f>
        <v>0794194768</v>
      </c>
      <c r="F10" s="4" t="str">
        <f ca="1">IFERROR(__xludf.DUMMYFUNCTION("""COMPUTED_VALUE"""),"theanthem8@gmail.com")</f>
        <v>theanthem8@gmail.com</v>
      </c>
      <c r="G10" s="4" t="str">
        <f ca="1">IFERROR(__xludf.DUMMYFUNCTION("""COMPUTED_VALUE"""),"Student need to pass TPG201T, and ISY34AT attend 85% full time, and attend all interventions.")</f>
        <v>Student need to pass TPG201T, and ISY34AT attend 85% full time, and attend all interventions.</v>
      </c>
    </row>
    <row r="11" spans="1:7" ht="39">
      <c r="A11" s="4">
        <f ca="1">IFERROR(__xludf.DUMMYFUNCTION("""COMPUTED_VALUE"""),217612446)</f>
        <v>217612446</v>
      </c>
      <c r="B11" s="4" t="str">
        <f ca="1">IFERROR(__xludf.DUMMYFUNCTION("""COMPUTED_VALUE"""),"MANGANYE ")</f>
        <v xml:space="preserve">MANGANYE </v>
      </c>
      <c r="C11" s="4" t="str">
        <f ca="1">IFERROR(__xludf.DUMMYFUNCTION("""COMPUTED_VALUE"""),"VS ")</f>
        <v xml:space="preserve">VS </v>
      </c>
      <c r="D11" s="3" t="s">
        <v>327</v>
      </c>
      <c r="E11" s="4" t="str">
        <f ca="1">IFERROR(__xludf.DUMMYFUNCTION("""COMPUTED_VALUE"""),"0712312745")</f>
        <v>0712312745</v>
      </c>
      <c r="F11" s="4" t="str">
        <f ca="1">IFERROR(__xludf.DUMMYFUNCTION("""COMPUTED_VALUE"""),"manganyesurprise369@gmail.com")</f>
        <v>manganyesurprise369@gmail.com</v>
      </c>
      <c r="G11"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12" spans="1:7" ht="39">
      <c r="A12" s="4">
        <f ca="1">IFERROR(__xludf.DUMMYFUNCTION("""COMPUTED_VALUE"""),218064612)</f>
        <v>218064612</v>
      </c>
      <c r="B12" s="4" t="str">
        <f ca="1">IFERROR(__xludf.DUMMYFUNCTION("""COMPUTED_VALUE"""),"Sithole")</f>
        <v>Sithole</v>
      </c>
      <c r="C12" s="4" t="str">
        <f ca="1">IFERROR(__xludf.DUMMYFUNCTION("""COMPUTED_VALUE"""),"NW")</f>
        <v>NW</v>
      </c>
      <c r="D12" s="3" t="s">
        <v>327</v>
      </c>
      <c r="E12" s="4" t="str">
        <f ca="1">IFERROR(__xludf.DUMMYFUNCTION("""COMPUTED_VALUE"""),"0711994208")</f>
        <v>0711994208</v>
      </c>
      <c r="F12" s="4" t="str">
        <f ca="1">IFERROR(__xludf.DUMMYFUNCTION("""COMPUTED_VALUE"""),"218064612@tut4life.ac.za")</f>
        <v>218064612@tut4life.ac.za</v>
      </c>
      <c r="G12" s="4" t="str">
        <f ca="1">IFERROR(__xludf.DUMMYFUNCTION("""COMPUTED_VALUE"""),"Student must pass TPG201T, ISY34AT, and ISY34BT, attend 85% full time, and attend all interventions.")</f>
        <v>Student must pass TPG201T, ISY34AT, and ISY34BT, attend 85% full time, and attend all interventions.</v>
      </c>
    </row>
    <row r="13" spans="1:7" ht="51.75">
      <c r="A13" s="4">
        <f ca="1">IFERROR(__xludf.DUMMYFUNCTION("""COMPUTED_VALUE"""),217058570)</f>
        <v>217058570</v>
      </c>
      <c r="B13" s="4" t="str">
        <f ca="1">IFERROR(__xludf.DUMMYFUNCTION("""COMPUTED_VALUE"""),"Phakathi")</f>
        <v>Phakathi</v>
      </c>
      <c r="C13" s="4" t="str">
        <f ca="1">IFERROR(__xludf.DUMMYFUNCTION("""COMPUTED_VALUE"""),"NP")</f>
        <v>NP</v>
      </c>
      <c r="D13" s="3" t="s">
        <v>327</v>
      </c>
      <c r="E13" s="4" t="str">
        <f ca="1">IFERROR(__xludf.DUMMYFUNCTION("""COMPUTED_VALUE"""),"0730205598")</f>
        <v>0730205598</v>
      </c>
      <c r="F13" s="4" t="str">
        <f ca="1">IFERROR(__xludf.DUMMYFUNCTION("""COMPUTED_VALUE"""),"npphakathi.np@gmail.com")</f>
        <v>npphakathi.np@gmail.com</v>
      </c>
      <c r="G13" s="4" t="str">
        <f ca="1">IFERROR(__xludf.DUMMYFUNCTION("""COMPUTED_VALUE"""),"Need to pass during S1 2022 TPG201T, ISY34AT ATTEND 85% CLASSES, and interventions
")</f>
        <v xml:space="preserve">Need to pass during S1 2022 TPG201T, ISY34AT ATTEND 85% CLASSES, and interventions
</v>
      </c>
    </row>
    <row r="14" spans="1:7" ht="39">
      <c r="A14" s="4">
        <f ca="1">IFERROR(__xludf.DUMMYFUNCTION("""COMPUTED_VALUE"""),218509150)</f>
        <v>218509150</v>
      </c>
      <c r="B14" s="4" t="str">
        <f ca="1">IFERROR(__xludf.DUMMYFUNCTION("""COMPUTED_VALUE"""),"Maswanganye ")</f>
        <v xml:space="preserve">Maswanganye </v>
      </c>
      <c r="C14" s="4" t="str">
        <f ca="1">IFERROR(__xludf.DUMMYFUNCTION("""COMPUTED_VALUE"""),"FK ")</f>
        <v xml:space="preserve">FK </v>
      </c>
      <c r="D14" s="3" t="s">
        <v>327</v>
      </c>
      <c r="E14" s="4" t="str">
        <f ca="1">IFERROR(__xludf.DUMMYFUNCTION("""COMPUTED_VALUE"""),"0789545048")</f>
        <v>0789545048</v>
      </c>
      <c r="F14" s="4" t="str">
        <f ca="1">IFERROR(__xludf.DUMMYFUNCTION("""COMPUTED_VALUE"""),"Firstieyk358@gmail.com")</f>
        <v>Firstieyk358@gmail.com</v>
      </c>
      <c r="G14" s="4" t="str">
        <f ca="1">IFERROR(__xludf.DUMMYFUNCTION("""COMPUTED_VALUE"""),"Student need to pass TPG201T, ISY34AT during S1 2022 and attend all relevant intervention, plus attend 85% of classes")</f>
        <v>Student need to pass TPG201T, ISY34AT during S1 2022 and attend all relevant intervention, plus attend 85% of classes</v>
      </c>
    </row>
    <row r="15" spans="1:7" ht="39">
      <c r="A15" s="4">
        <f ca="1">IFERROR(__xludf.DUMMYFUNCTION("""COMPUTED_VALUE"""),218654401)</f>
        <v>218654401</v>
      </c>
      <c r="B15" s="4" t="str">
        <f ca="1">IFERROR(__xludf.DUMMYFUNCTION("""COMPUTED_VALUE"""),"MOJELA")</f>
        <v>MOJELA</v>
      </c>
      <c r="C15" s="4" t="str">
        <f ca="1">IFERROR(__xludf.DUMMYFUNCTION("""COMPUTED_VALUE"""),"MP")</f>
        <v>MP</v>
      </c>
      <c r="D15" s="3" t="s">
        <v>327</v>
      </c>
      <c r="E15" s="4" t="str">
        <f ca="1">IFERROR(__xludf.DUMMYFUNCTION("""COMPUTED_VALUE"""),"0799174229")</f>
        <v>0799174229</v>
      </c>
      <c r="F15" s="4" t="str">
        <f ca="1">IFERROR(__xludf.DUMMYFUNCTION("""COMPUTED_VALUE"""),"mzwakhemojela084@gmail.com")</f>
        <v>mzwakhemojela084@gmail.com</v>
      </c>
      <c r="G15" s="4" t="str">
        <f ca="1">IFERROR(__xludf.DUMMYFUNCTION("""COMPUTED_VALUE"""),"student need to pass TPG201T, and ISY34AT, Attend interventions, attend 85% of classes during S1 2022")</f>
        <v>student need to pass TPG201T, and ISY34AT, Attend interventions, attend 85% of classes during S1 2022</v>
      </c>
    </row>
    <row r="16" spans="1:7" ht="51.75">
      <c r="A16" s="4">
        <f ca="1">IFERROR(__xludf.DUMMYFUNCTION("""COMPUTED_VALUE"""),218701248)</f>
        <v>218701248</v>
      </c>
      <c r="B16" s="4" t="str">
        <f ca="1">IFERROR(__xludf.DUMMYFUNCTION("""COMPUTED_VALUE"""),"MALULEKE")</f>
        <v>MALULEKE</v>
      </c>
      <c r="C16" s="4" t="str">
        <f ca="1">IFERROR(__xludf.DUMMYFUNCTION("""COMPUTED_VALUE"""),"FD")</f>
        <v>FD</v>
      </c>
      <c r="D16" s="3" t="s">
        <v>327</v>
      </c>
      <c r="E16" s="4" t="str">
        <f ca="1">IFERROR(__xludf.DUMMYFUNCTION("""COMPUTED_VALUE"""),"0722843863")</f>
        <v>0722843863</v>
      </c>
      <c r="F16" s="4" t="str">
        <f ca="1">IFERROR(__xludf.DUMMYFUNCTION("""COMPUTED_VALUE"""),"dowenfumani97@gmail.com")</f>
        <v>dowenfumani97@gmail.com</v>
      </c>
      <c r="G16"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17" spans="1:7">
      <c r="A17" s="4">
        <f ca="1">IFERROR(__xludf.DUMMYFUNCTION("""COMPUTED_VALUE"""),213493345)</f>
        <v>213493345</v>
      </c>
      <c r="B17" s="4" t="str">
        <f ca="1">IFERROR(__xludf.DUMMYFUNCTION("""COMPUTED_VALUE"""),"Setuke")</f>
        <v>Setuke</v>
      </c>
      <c r="C17" s="4" t="str">
        <f ca="1">IFERROR(__xludf.DUMMYFUNCTION("""COMPUTED_VALUE"""),"HT")</f>
        <v>HT</v>
      </c>
      <c r="D17" s="3" t="s">
        <v>327</v>
      </c>
      <c r="E17" s="4" t="str">
        <f ca="1">IFERROR(__xludf.DUMMYFUNCTION("""COMPUTED_VALUE"""),"0659204567")</f>
        <v>0659204567</v>
      </c>
      <c r="F17" s="4" t="str">
        <f ca="1">IFERROR(__xludf.DUMMYFUNCTION("""COMPUTED_VALUE"""),"tsetuke@gmail.com")</f>
        <v>tsetuke@gmail.com</v>
      </c>
      <c r="G17" s="4" t="str">
        <f ca="1">IFERROR(__xludf.DUMMYFUNCTION("""COMPUTED_VALUE"""),"Need to pass ISY34AT and ISY34BT.")</f>
        <v>Need to pass ISY34AT and ISY34BT.</v>
      </c>
    </row>
    <row r="18" spans="1:7">
      <c r="A18" s="4">
        <f ca="1">IFERROR(__xludf.DUMMYFUNCTION("""COMPUTED_VALUE"""),216891562)</f>
        <v>216891562</v>
      </c>
      <c r="B18" s="4" t="str">
        <f ca="1">IFERROR(__xludf.DUMMYFUNCTION("""COMPUTED_VALUE"""),"Ratlhogo")</f>
        <v>Ratlhogo</v>
      </c>
      <c r="C18" s="4" t="str">
        <f ca="1">IFERROR(__xludf.DUMMYFUNCTION("""COMPUTED_VALUE"""),"T")</f>
        <v>T</v>
      </c>
      <c r="D18" s="4"/>
      <c r="E18" s="4" t="str">
        <f ca="1">IFERROR(__xludf.DUMMYFUNCTION("""COMPUTED_VALUE"""),"0828413723")</f>
        <v>0828413723</v>
      </c>
      <c r="F18" s="4" t="str">
        <f ca="1">IFERROR(__xludf.DUMMYFUNCTION("""COMPUTED_VALUE"""),"tlhomphosuper@gmail.com")</f>
        <v>tlhomphosuper@gmail.com</v>
      </c>
      <c r="G18" s="4" t="str">
        <f ca="1">IFERROR(__xludf.DUMMYFUNCTION("""COMPUTED_VALUE"""),"Need to pass ISY34AT AND ISY34BT.")</f>
        <v>Need to pass ISY34AT AND ISY34BT.</v>
      </c>
    </row>
    <row r="19" spans="1:7" ht="39">
      <c r="A19" s="86">
        <f ca="1">IFERROR(__xludf.DUMMYFUNCTION("""COMPUTED_VALUE"""),216639260)</f>
        <v>216639260</v>
      </c>
      <c r="B19" s="86" t="str">
        <f ca="1">IFERROR(__xludf.DUMMYFUNCTION("""COMPUTED_VALUE"""),"Ngomane")</f>
        <v>Ngomane</v>
      </c>
      <c r="C19" s="86" t="str">
        <f ca="1">IFERROR(__xludf.DUMMYFUNCTION("""COMPUTED_VALUE"""),"P. S")</f>
        <v>P. S</v>
      </c>
      <c r="D19" s="86"/>
      <c r="E19" s="86" t="str">
        <f ca="1">IFERROR(__xludf.DUMMYFUNCTION("""COMPUTED_VALUE"""),"0763078565")</f>
        <v>0763078565</v>
      </c>
      <c r="F19" s="86" t="str">
        <f ca="1">IFERROR(__xludf.DUMMYFUNCTION("""COMPUTED_VALUE"""),"surprisephumlani@gmail.com")</f>
        <v>surprisephumlani@gmail.com</v>
      </c>
      <c r="G19" s="86" t="str">
        <f ca="1">IFERROR(__xludf.DUMMYFUNCTION("""COMPUTED_VALUE"""),"Student need to pass TPG111T, and ISY34AT, attend 85% full time, and attend all interventions.")</f>
        <v>Student need to pass TPG111T, and ISY34AT, attend 85% full time, and attend all interventions.</v>
      </c>
    </row>
    <row r="20" spans="1:7">
      <c r="A20" s="4">
        <f ca="1">IFERROR(__xludf.DUMMYFUNCTION("""COMPUTED_VALUE"""),215263525)</f>
        <v>215263525</v>
      </c>
      <c r="B20" s="4" t="str">
        <f ca="1">IFERROR(__xludf.DUMMYFUNCTION("""COMPUTED_VALUE"""),"Mathebula")</f>
        <v>Mathebula</v>
      </c>
      <c r="C20" s="4" t="str">
        <f ca="1">IFERROR(__xludf.DUMMYFUNCTION("""COMPUTED_VALUE"""),"TB")</f>
        <v>TB</v>
      </c>
      <c r="D20" s="4"/>
      <c r="E20" s="4" t="str">
        <f ca="1">IFERROR(__xludf.DUMMYFUNCTION("""COMPUTED_VALUE"""),"0714641965")</f>
        <v>0714641965</v>
      </c>
      <c r="F20" s="4" t="str">
        <f ca="1">IFERROR(__xludf.DUMMYFUNCTION("""COMPUTED_VALUE"""),"215263525@tut4life.ac.za")</f>
        <v>215263525@tut4life.ac.za</v>
      </c>
      <c r="G20" s="4" t="str">
        <f ca="1">IFERROR(__xludf.DUMMYFUNCTION("""COMPUTED_VALUE"""),"Student need to pass ISY34AT.")</f>
        <v>Student need to pass ISY34AT.</v>
      </c>
    </row>
    <row r="21" spans="1:7" ht="26.25">
      <c r="A21" s="4">
        <f ca="1">IFERROR(__xludf.DUMMYFUNCTION("""COMPUTED_VALUE"""),216691547)</f>
        <v>216691547</v>
      </c>
      <c r="B21" s="4" t="str">
        <f ca="1">IFERROR(__xludf.DUMMYFUNCTION("""COMPUTED_VALUE"""),"Nwenya")</f>
        <v>Nwenya</v>
      </c>
      <c r="C21" s="4" t="str">
        <f ca="1">IFERROR(__xludf.DUMMYFUNCTION("""COMPUTED_VALUE"""),"J")</f>
        <v>J</v>
      </c>
      <c r="D21" s="4"/>
      <c r="E21" s="4" t="str">
        <f ca="1">IFERROR(__xludf.DUMMYFUNCTION("""COMPUTED_VALUE"""),"0725780624")</f>
        <v>0725780624</v>
      </c>
      <c r="F21" s="4" t="str">
        <f ca="1">IFERROR(__xludf.DUMMYFUNCTION("""COMPUTED_VALUE"""),"crocodilejabulani@gmail.com")</f>
        <v>crocodilejabulani@gmail.com</v>
      </c>
      <c r="G21" s="4" t="str">
        <f ca="1">IFERROR(__xludf.DUMMYFUNCTION("""COMPUTED_VALUE"""),"Student need to pass ISY34AT, attend 85% full time, and attend all interventions.")</f>
        <v>Student need to pass ISY34AT, attend 85% full time, and attend all interventions.</v>
      </c>
    </row>
    <row r="22" spans="1:7" ht="26.25">
      <c r="A22" s="18">
        <v>214578166</v>
      </c>
      <c r="B22" s="21" t="s">
        <v>10</v>
      </c>
      <c r="C22" s="21" t="s">
        <v>10</v>
      </c>
      <c r="D22" s="22"/>
      <c r="E22" s="23" t="s">
        <v>10</v>
      </c>
      <c r="F22" s="21" t="s">
        <v>10</v>
      </c>
      <c r="G22" s="25" t="s">
        <v>670</v>
      </c>
    </row>
    <row r="23" spans="1:7" ht="51.75">
      <c r="A23" s="52">
        <v>218332498</v>
      </c>
      <c r="B23" s="61" t="s">
        <v>449</v>
      </c>
      <c r="C23" s="61" t="s">
        <v>450</v>
      </c>
      <c r="D23" s="22"/>
      <c r="E23" s="52">
        <v>763205850</v>
      </c>
      <c r="F23" s="29" t="s">
        <v>451</v>
      </c>
      <c r="G23" s="51" t="s">
        <v>452</v>
      </c>
    </row>
  </sheetData>
  <hyperlinks>
    <hyperlink ref="F23"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0" sqref="A20:G20"/>
    </sheetView>
  </sheetViews>
  <sheetFormatPr defaultRowHeight="15"/>
  <cols>
    <col min="1" max="1" width="17.42578125" customWidth="1"/>
    <col min="2" max="2" width="16.7109375" customWidth="1"/>
    <col min="4" max="4" width="20.42578125" customWidth="1"/>
    <col min="5" max="5" width="21" customWidth="1"/>
    <col min="6" max="6" width="27.42578125" customWidth="1"/>
    <col min="7" max="7" width="32.85546875" customWidth="1"/>
  </cols>
  <sheetData>
    <row r="1" spans="1:7" ht="27" customHeight="1">
      <c r="A1" s="1" t="s">
        <v>0</v>
      </c>
      <c r="B1" s="1" t="s">
        <v>1</v>
      </c>
      <c r="C1" s="1" t="s">
        <v>2</v>
      </c>
      <c r="D1" s="1" t="s">
        <v>3</v>
      </c>
      <c r="E1" s="1" t="s">
        <v>4</v>
      </c>
      <c r="F1" s="1" t="s">
        <v>5</v>
      </c>
      <c r="G1" s="1" t="s">
        <v>6</v>
      </c>
    </row>
    <row r="2" spans="1:7" ht="60" customHeight="1">
      <c r="A2" s="4">
        <f ca="1">IFERROR(__xludf.DUMMYFUNCTION("""COMPUTED_VALUE"""),216842723)</f>
        <v>216842723</v>
      </c>
      <c r="B2" s="4" t="str">
        <f ca="1">IFERROR(__xludf.DUMMYFUNCTION("""COMPUTED_VALUE"""),"Siswana")</f>
        <v>Siswana</v>
      </c>
      <c r="C2" s="4" t="str">
        <f ca="1">IFERROR(__xludf.DUMMYFUNCTION("""COMPUTED_VALUE"""),"B")</f>
        <v>B</v>
      </c>
      <c r="D2" s="3" t="s">
        <v>323</v>
      </c>
      <c r="E2" s="4" t="str">
        <f ca="1">IFERROR(__xludf.DUMMYFUNCTION("""COMPUTED_VALUE"""),"0634442883")</f>
        <v>0634442883</v>
      </c>
      <c r="F2" s="4" t="str">
        <f ca="1">IFERROR(__xludf.DUMMYFUNCTION("""COMPUTED_VALUE"""),"bubusiswana@gmail.com")</f>
        <v>bubusiswana@gmail.com</v>
      </c>
      <c r="G2" s="4" t="str">
        <f ca="1">IFERROR(__xludf.DUMMYFUNCTION("""COMPUTED_VALUE"""),"TPG201T WAS FAILED 3 TIMES, DSO34BT PROBATION - PASS S1 2022 + REPORT FOR ACADEMIC INTERVENTION")</f>
        <v>TPG201T WAS FAILED 3 TIMES, DSO34BT PROBATION - PASS S1 2022 + REPORT FOR ACADEMIC INTERVENTION</v>
      </c>
    </row>
    <row r="3" spans="1:7" ht="26.25">
      <c r="A3" s="4">
        <f ca="1">IFERROR(__xludf.DUMMYFUNCTION("""COMPUTED_VALUE"""),218682294)</f>
        <v>218682294</v>
      </c>
      <c r="B3" s="4" t="str">
        <f ca="1">IFERROR(__xludf.DUMMYFUNCTION("""COMPUTED_VALUE"""),"Langa")</f>
        <v>Langa</v>
      </c>
      <c r="C3" s="4" t="str">
        <f ca="1">IFERROR(__xludf.DUMMYFUNCTION("""COMPUTED_VALUE"""),"L")</f>
        <v>L</v>
      </c>
      <c r="D3" s="3" t="s">
        <v>323</v>
      </c>
      <c r="E3" s="4" t="str">
        <f ca="1">IFERROR(__xludf.DUMMYFUNCTION("""COMPUTED_VALUE"""),"0781664218")</f>
        <v>0781664218</v>
      </c>
      <c r="F3" s="4" t="str">
        <f ca="1">IFERROR(__xludf.DUMMYFUNCTION("""COMPUTED_VALUE"""),"218682294@tut4life.ac.za")</f>
        <v>218682294@tut4life.ac.za</v>
      </c>
      <c r="G3" s="4" t="str">
        <f ca="1">IFERROR(__xludf.DUMMYFUNCTION("""COMPUTED_VALUE"""),"need to pass TPG201T, ISY23BT, and DSO34BT.")</f>
        <v>need to pass TPG201T, ISY23BT, and DSO34BT.</v>
      </c>
    </row>
    <row r="4" spans="1:7" ht="26.25">
      <c r="A4" s="4">
        <f ca="1">IFERROR(__xludf.DUMMYFUNCTION("""COMPUTED_VALUE"""),215057046)</f>
        <v>215057046</v>
      </c>
      <c r="B4" s="4" t="str">
        <f ca="1">IFERROR(__xludf.DUMMYFUNCTION("""COMPUTED_VALUE"""),"Myeni")</f>
        <v>Myeni</v>
      </c>
      <c r="C4" s="4" t="str">
        <f ca="1">IFERROR(__xludf.DUMMYFUNCTION("""COMPUTED_VALUE"""),"NZ")</f>
        <v>NZ</v>
      </c>
      <c r="D4" s="3" t="s">
        <v>323</v>
      </c>
      <c r="E4" s="4" t="str">
        <f ca="1">IFERROR(__xludf.DUMMYFUNCTION("""COMPUTED_VALUE"""),"0630523904")</f>
        <v>0630523904</v>
      </c>
      <c r="F4" s="4" t="str">
        <f ca="1">IFERROR(__xludf.DUMMYFUNCTION("""COMPUTED_VALUE"""),"senzokuhle43@gmail.com")</f>
        <v>senzokuhle43@gmail.com</v>
      </c>
      <c r="G4" s="4" t="str">
        <f ca="1">IFERROR(__xludf.DUMMYFUNCTION("""COMPUTED_VALUE"""),"Student need to pass TPG201T and DSO34BT.")</f>
        <v>Student need to pass TPG201T and DSO34BT.</v>
      </c>
    </row>
    <row r="5" spans="1:7" ht="39">
      <c r="A5" s="4">
        <f ca="1">IFERROR(__xludf.DUMMYFUNCTION("""COMPUTED_VALUE"""),215775887)</f>
        <v>215775887</v>
      </c>
      <c r="B5" s="4" t="str">
        <f ca="1">IFERROR(__xludf.DUMMYFUNCTION("""COMPUTED_VALUE"""),"Kekana")</f>
        <v>Kekana</v>
      </c>
      <c r="C5" s="4" t="str">
        <f ca="1">IFERROR(__xludf.DUMMYFUNCTION("""COMPUTED_VALUE"""),"L")</f>
        <v>L</v>
      </c>
      <c r="D5" s="3" t="s">
        <v>323</v>
      </c>
      <c r="E5" s="4" t="str">
        <f ca="1">IFERROR(__xludf.DUMMYFUNCTION("""COMPUTED_VALUE"""),"0663364101")</f>
        <v>0663364101</v>
      </c>
      <c r="F5" s="4" t="str">
        <f ca="1">IFERROR(__xludf.DUMMYFUNCTION("""COMPUTED_VALUE"""),"appreciate1082@gmail.com")</f>
        <v>appreciate1082@gmail.com</v>
      </c>
      <c r="G5" s="4" t="str">
        <f ca="1">IFERROR(__xludf.DUMMYFUNCTION("""COMPUTED_VALUE"""),"Student need to pass TPG201T and DSO34BT, attend 85% full time, and attend all interventions.")</f>
        <v>Student need to pass TPG201T and DSO34BT, attend 85% full time, and attend all interventions.</v>
      </c>
    </row>
    <row r="6" spans="1:7" ht="39">
      <c r="A6" s="4">
        <f ca="1">IFERROR(__xludf.DUMMYFUNCTION("""COMPUTED_VALUE"""),215800989)</f>
        <v>215800989</v>
      </c>
      <c r="B6" s="4" t="str">
        <f ca="1">IFERROR(__xludf.DUMMYFUNCTION("""COMPUTED_VALUE"""),"Sethole")</f>
        <v>Sethole</v>
      </c>
      <c r="C6" s="4" t="str">
        <f ca="1">IFERROR(__xludf.DUMMYFUNCTION("""COMPUTED_VALUE"""),"ED")</f>
        <v>ED</v>
      </c>
      <c r="D6" s="3" t="s">
        <v>323</v>
      </c>
      <c r="E6" s="4" t="str">
        <f ca="1">IFERROR(__xludf.DUMMYFUNCTION("""COMPUTED_VALUE"""),"0609144365")</f>
        <v>0609144365</v>
      </c>
      <c r="F6" s="4" t="str">
        <f ca="1">IFERROR(__xludf.DUMMYFUNCTION("""COMPUTED_VALUE"""),"edolly55@gmail.com")</f>
        <v>edolly55@gmail.com</v>
      </c>
      <c r="G6" s="4" t="str">
        <f ca="1">IFERROR(__xludf.DUMMYFUNCTION("""COMPUTED_VALUE"""),"Student need to pass TPG201T and DSO34BT, attend 85% full time, and attend all interventions.")</f>
        <v>Student need to pass TPG201T and DSO34BT, attend 85% full time, and attend all interventions.</v>
      </c>
    </row>
    <row r="7" spans="1:7" ht="39">
      <c r="A7" s="4">
        <f ca="1">IFERROR(__xludf.DUMMYFUNCTION("""COMPUTED_VALUE"""),218148336)</f>
        <v>218148336</v>
      </c>
      <c r="B7" s="4" t="str">
        <f ca="1">IFERROR(__xludf.DUMMYFUNCTION("""COMPUTED_VALUE"""),"Mulaudzi")</f>
        <v>Mulaudzi</v>
      </c>
      <c r="C7" s="4" t="str">
        <f ca="1">IFERROR(__xludf.DUMMYFUNCTION("""COMPUTED_VALUE"""),"DR")</f>
        <v>DR</v>
      </c>
      <c r="D7" s="3" t="s">
        <v>323</v>
      </c>
      <c r="E7" s="4" t="str">
        <f ca="1">IFERROR(__xludf.DUMMYFUNCTION("""COMPUTED_VALUE"""),"0647374469")</f>
        <v>0647374469</v>
      </c>
      <c r="F7" s="4" t="str">
        <f ca="1">IFERROR(__xludf.DUMMYFUNCTION("""COMPUTED_VALUE"""),"dowelanirm@gmail.com")</f>
        <v>dowelanirm@gmail.com</v>
      </c>
      <c r="G7" s="4" t="str">
        <f ca="1">IFERROR(__xludf.DUMMYFUNCTION("""COMPUTED_VALUE"""),"Student need to pass TPG201T and DSO34BT attend 85% full time, and attend all interventions.")</f>
        <v>Student need to pass TPG201T and DSO34BT attend 85% full time, and attend all interventions.</v>
      </c>
    </row>
    <row r="8" spans="1:7" ht="51.75">
      <c r="A8" s="4">
        <f ca="1">IFERROR(__xludf.DUMMYFUNCTION("""COMPUTED_VALUE"""),218701248)</f>
        <v>218701248</v>
      </c>
      <c r="B8" s="4" t="str">
        <f ca="1">IFERROR(__xludf.DUMMYFUNCTION("""COMPUTED_VALUE"""),"MALULEKE")</f>
        <v>MALULEKE</v>
      </c>
      <c r="C8" s="4" t="str">
        <f ca="1">IFERROR(__xludf.DUMMYFUNCTION("""COMPUTED_VALUE"""),"FD")</f>
        <v>FD</v>
      </c>
      <c r="D8" s="3" t="s">
        <v>323</v>
      </c>
      <c r="E8" s="4" t="str">
        <f ca="1">IFERROR(__xludf.DUMMYFUNCTION("""COMPUTED_VALUE"""),"0722843863")</f>
        <v>0722843863</v>
      </c>
      <c r="F8" s="4" t="str">
        <f ca="1">IFERROR(__xludf.DUMMYFUNCTION("""COMPUTED_VALUE"""),"dowenfumani97@gmail.com")</f>
        <v>dowenfumani97@gmail.com</v>
      </c>
      <c r="G8"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9" spans="1:7" ht="51.75">
      <c r="A9" s="4">
        <f ca="1">IFERROR(__xludf.DUMMYFUNCTION("""COMPUTED_VALUE"""),218726070)</f>
        <v>218726070</v>
      </c>
      <c r="B9" s="4" t="str">
        <f ca="1">IFERROR(__xludf.DUMMYFUNCTION("""COMPUTED_VALUE"""),"Mthombothi ")</f>
        <v xml:space="preserve">Mthombothi </v>
      </c>
      <c r="C9" s="4" t="str">
        <f ca="1">IFERROR(__xludf.DUMMYFUNCTION("""COMPUTED_VALUE"""),"NE")</f>
        <v>NE</v>
      </c>
      <c r="D9" s="3" t="s">
        <v>323</v>
      </c>
      <c r="E9" s="4" t="str">
        <f ca="1">IFERROR(__xludf.DUMMYFUNCTION("""COMPUTED_VALUE"""),"0728112342")</f>
        <v>0728112342</v>
      </c>
      <c r="F9" s="4" t="str">
        <f ca="1">IFERROR(__xludf.DUMMYFUNCTION("""COMPUTED_VALUE"""),"Lwazyevidence2@gmail.com")</f>
        <v>Lwazyevidence2@gmail.com</v>
      </c>
      <c r="G9" s="4" t="str">
        <f ca="1">IFERROR(__xludf.DUMMYFUNCTION("""COMPUTED_VALUE"""),"Need to pass TPG201T(3) (academic intervention), DSO34BT(2) and attend relevant intervention, and 85% classes during S1 2022")</f>
        <v>Need to pass TPG201T(3) (academic intervention), DSO34BT(2) and attend relevant intervention, and 85% classes during S1 2022</v>
      </c>
    </row>
    <row r="10" spans="1:7" ht="39">
      <c r="A10" s="4">
        <f ca="1">IFERROR(__xludf.DUMMYFUNCTION("""COMPUTED_VALUE"""),208258265)</f>
        <v>208258265</v>
      </c>
      <c r="B10" s="4" t="str">
        <f ca="1">IFERROR(__xludf.DUMMYFUNCTION("""COMPUTED_VALUE"""),"Nkuna ")</f>
        <v xml:space="preserve">Nkuna </v>
      </c>
      <c r="C10" s="4" t="str">
        <f ca="1">IFERROR(__xludf.DUMMYFUNCTION("""COMPUTED_VALUE"""),"LF")</f>
        <v>LF</v>
      </c>
      <c r="D10" s="3" t="s">
        <v>323</v>
      </c>
      <c r="E10" s="4" t="str">
        <f ca="1">IFERROR(__xludf.DUMMYFUNCTION("""COMPUTED_VALUE"""),"0785280109")</f>
        <v>0785280109</v>
      </c>
      <c r="F10" s="4" t="str">
        <f ca="1">IFERROR(__xludf.DUMMYFUNCTION("""COMPUTED_VALUE"""),"nkunalouren@yahoo.com")</f>
        <v>nkunalouren@yahoo.com</v>
      </c>
      <c r="G10" s="4" t="str">
        <f ca="1">IFERROR(__xludf.DUMMYFUNCTION("""COMPUTED_VALUE"""),"Student need to pass DSO34BT, and ISY34BT during S1 2022 and report for academic intervention.")</f>
        <v>Student need to pass DSO34BT, and ISY34BT during S1 2022 and report for academic intervention.</v>
      </c>
    </row>
    <row r="11" spans="1:7" ht="51.75">
      <c r="A11" s="4">
        <f ca="1">IFERROR(__xludf.DUMMYFUNCTION("""COMPUTED_VALUE"""),214703130)</f>
        <v>214703130</v>
      </c>
      <c r="B11" s="4" t="str">
        <f ca="1">IFERROR(__xludf.DUMMYFUNCTION("""COMPUTED_VALUE"""),"Mahloko")</f>
        <v>Mahloko</v>
      </c>
      <c r="C11" s="4" t="str">
        <f ca="1">IFERROR(__xludf.DUMMYFUNCTION("""COMPUTED_VALUE"""),"IT")</f>
        <v>IT</v>
      </c>
      <c r="D11" s="3" t="s">
        <v>323</v>
      </c>
      <c r="E11" s="4" t="str">
        <f ca="1">IFERROR(__xludf.DUMMYFUNCTION("""COMPUTED_VALUE"""),"0842326960")</f>
        <v>0842326960</v>
      </c>
      <c r="F11" s="4" t="str">
        <f ca="1">IFERROR(__xludf.DUMMYFUNCTION("""COMPUTED_VALUE"""),"ivanthato@gmail.com")</f>
        <v>ivanthato@gmail.com</v>
      </c>
      <c r="G11" s="4" t="str">
        <f ca="1">IFERROR(__xludf.DUMMYFUNCTION("""COMPUTED_VALUE"""),"STUDENT NEED TO PASS DSO34BT AND ISY34BT DURING S1 2022 AND REPORT FOR ACADEMIC INTERVENTION")</f>
        <v>STUDENT NEED TO PASS DSO34BT AND ISY34BT DURING S1 2022 AND REPORT FOR ACADEMIC INTERVENTION</v>
      </c>
    </row>
    <row r="12" spans="1:7" ht="26.25">
      <c r="A12" s="4">
        <f ca="1">IFERROR(__xludf.DUMMYFUNCTION("""COMPUTED_VALUE"""),215239268)</f>
        <v>215239268</v>
      </c>
      <c r="B12" s="4" t="str">
        <f ca="1">IFERROR(__xludf.DUMMYFUNCTION("""COMPUTED_VALUE"""),"Komako ")</f>
        <v xml:space="preserve">Komako </v>
      </c>
      <c r="C12" s="4" t="str">
        <f ca="1">IFERROR(__xludf.DUMMYFUNCTION("""COMPUTED_VALUE"""),"CK")</f>
        <v>CK</v>
      </c>
      <c r="D12" s="4"/>
      <c r="E12" s="4" t="str">
        <f ca="1">IFERROR(__xludf.DUMMYFUNCTION("""COMPUTED_VALUE"""),"0781747595")</f>
        <v>0781747595</v>
      </c>
      <c r="F12" s="4" t="str">
        <f ca="1">IFERROR(__xludf.DUMMYFUNCTION("""COMPUTED_VALUE"""),"215239268@tut4life.ac.za")</f>
        <v>215239268@tut4life.ac.za</v>
      </c>
      <c r="G12" s="4" t="str">
        <f ca="1">IFERROR(__xludf.DUMMYFUNCTION("""COMPUTED_VALUE"""),"Student need to pass DSO34BT and SSF24AT.")</f>
        <v>Student need to pass DSO34BT and SSF24AT.</v>
      </c>
    </row>
    <row r="13" spans="1:7" ht="26.25">
      <c r="A13" s="4">
        <f ca="1">IFERROR(__xludf.DUMMYFUNCTION("""COMPUTED_VALUE"""),218315003)</f>
        <v>218315003</v>
      </c>
      <c r="B13" s="4" t="str">
        <f ca="1">IFERROR(__xludf.DUMMYFUNCTION("""COMPUTED_VALUE"""),"Nkomo")</f>
        <v>Nkomo</v>
      </c>
      <c r="C13" s="4" t="str">
        <f ca="1">IFERROR(__xludf.DUMMYFUNCTION("""COMPUTED_VALUE"""),"TR")</f>
        <v>TR</v>
      </c>
      <c r="D13" s="4"/>
      <c r="E13" s="4" t="str">
        <f ca="1">IFERROR(__xludf.DUMMYFUNCTION("""COMPUTED_VALUE"""),"0608773287")</f>
        <v>0608773287</v>
      </c>
      <c r="F13" s="4" t="str">
        <f ca="1">IFERROR(__xludf.DUMMYFUNCTION("""COMPUTED_VALUE"""),"thabangrodney87@gmail.com")</f>
        <v>thabangrodney87@gmail.com</v>
      </c>
      <c r="G13" s="4" t="str">
        <f ca="1">IFERROR(__xludf.DUMMYFUNCTION("""COMPUTED_VALUE"""),"Student need to pass DSO34AT, DSO34BT during s1 2022")</f>
        <v>Student need to pass DSO34AT, DSO34BT during s1 2022</v>
      </c>
    </row>
    <row r="14" spans="1:7">
      <c r="A14" s="4">
        <f ca="1">IFERROR(__xludf.DUMMYFUNCTION("""COMPUTED_VALUE"""),213493205)</f>
        <v>213493205</v>
      </c>
      <c r="B14" s="4" t="str">
        <f ca="1">IFERROR(__xludf.DUMMYFUNCTION("""COMPUTED_VALUE"""),"Masindi")</f>
        <v>Masindi</v>
      </c>
      <c r="C14" s="4" t="str">
        <f ca="1">IFERROR(__xludf.DUMMYFUNCTION("""COMPUTED_VALUE"""),"LK")</f>
        <v>LK</v>
      </c>
      <c r="D14" s="4"/>
      <c r="E14" s="4" t="str">
        <f ca="1">IFERROR(__xludf.DUMMYFUNCTION("""COMPUTED_VALUE"""),"0685222246")</f>
        <v>0685222246</v>
      </c>
      <c r="F14" s="4" t="str">
        <f ca="1">IFERROR(__xludf.DUMMYFUNCTION("""COMPUTED_VALUE"""),"213493205@tut4life.ac.za")</f>
        <v>213493205@tut4life.ac.za</v>
      </c>
      <c r="G14" s="4" t="str">
        <f ca="1">IFERROR(__xludf.DUMMYFUNCTION("""COMPUTED_VALUE"""),"Student need to pass DSO34BT")</f>
        <v>Student need to pass DSO34BT</v>
      </c>
    </row>
    <row r="15" spans="1:7" ht="26.25">
      <c r="A15" s="4">
        <f ca="1">IFERROR(__xludf.DUMMYFUNCTION("""COMPUTED_VALUE"""),216361512)</f>
        <v>216361512</v>
      </c>
      <c r="B15" s="4" t="str">
        <f ca="1">IFERROR(__xludf.DUMMYFUNCTION("""COMPUTED_VALUE"""),"Lesenyeho")</f>
        <v>Lesenyeho</v>
      </c>
      <c r="C15" s="4" t="str">
        <f ca="1">IFERROR(__xludf.DUMMYFUNCTION("""COMPUTED_VALUE"""),"SM")</f>
        <v>SM</v>
      </c>
      <c r="D15" s="4"/>
      <c r="E15" s="4" t="str">
        <f ca="1">IFERROR(__xludf.DUMMYFUNCTION("""COMPUTED_VALUE"""),"0814493703")</f>
        <v>0814493703</v>
      </c>
      <c r="F15" s="4" t="str">
        <f ca="1">IFERROR(__xludf.DUMMYFUNCTION("""COMPUTED_VALUE"""),"samukele.kaymoo.sk@gmail.com")</f>
        <v>samukele.kaymoo.sk@gmail.com</v>
      </c>
      <c r="G15" s="4" t="str">
        <f ca="1">IFERROR(__xludf.DUMMYFUNCTION("""COMPUTED_VALUE"""),"student need to pass DSO34BT, Student must attend counselling.")</f>
        <v>student need to pass DSO34BT, Student must attend counselling.</v>
      </c>
    </row>
    <row r="16" spans="1:7" ht="77.25">
      <c r="A16" s="4">
        <f ca="1">IFERROR(__xludf.DUMMYFUNCTION("""COMPUTED_VALUE"""),214073218)</f>
        <v>214073218</v>
      </c>
      <c r="B16" s="4" t="str">
        <f ca="1">IFERROR(__xludf.DUMMYFUNCTION("""COMPUTED_VALUE"""),"Mathebula")</f>
        <v>Mathebula</v>
      </c>
      <c r="C16" s="4" t="str">
        <f ca="1">IFERROR(__xludf.DUMMYFUNCTION("""COMPUTED_VALUE"""),"Thandi")</f>
        <v>Thandi</v>
      </c>
      <c r="D16" s="4"/>
      <c r="E16" s="4" t="str">
        <f ca="1">IFERROR(__xludf.DUMMYFUNCTION("""COMPUTED_VALUE"""),"0719127340")</f>
        <v>0719127340</v>
      </c>
      <c r="F16" s="4" t="str">
        <f ca="1">IFERROR(__xludf.DUMMYFUNCTION("""COMPUTED_VALUE"""),"thandy.mathebula94@gmail.com")</f>
        <v>thandy.mathebula94@gmail.com</v>
      </c>
      <c r="G16" s="4" t="s">
        <v>671</v>
      </c>
    </row>
    <row r="17" spans="1:7" ht="39">
      <c r="A17" s="18">
        <v>215210260</v>
      </c>
      <c r="B17" s="18" t="s">
        <v>672</v>
      </c>
      <c r="C17" s="18" t="s">
        <v>673</v>
      </c>
      <c r="E17" s="18">
        <v>607230898</v>
      </c>
      <c r="F17" s="19" t="s">
        <v>674</v>
      </c>
      <c r="G17" s="20" t="s">
        <v>675</v>
      </c>
    </row>
    <row r="18" spans="1:7" ht="51.75">
      <c r="A18" s="18">
        <v>215487016</v>
      </c>
      <c r="B18" s="21" t="s">
        <v>10</v>
      </c>
      <c r="C18" s="21" t="s">
        <v>10</v>
      </c>
      <c r="D18" s="22"/>
      <c r="E18" s="23" t="s">
        <v>10</v>
      </c>
      <c r="F18" s="21" t="s">
        <v>10</v>
      </c>
      <c r="G18" s="25" t="s">
        <v>437</v>
      </c>
    </row>
    <row r="19" spans="1:7" ht="51.75">
      <c r="A19" s="52">
        <v>216324986</v>
      </c>
      <c r="B19" s="61" t="s">
        <v>444</v>
      </c>
      <c r="C19" s="61" t="s">
        <v>445</v>
      </c>
      <c r="D19" s="22"/>
      <c r="E19" s="52">
        <v>795552917</v>
      </c>
      <c r="F19" s="29" t="s">
        <v>446</v>
      </c>
      <c r="G19" s="51" t="s">
        <v>447</v>
      </c>
    </row>
    <row r="20" spans="1:7" ht="64.5">
      <c r="A20" s="52">
        <v>218332498</v>
      </c>
      <c r="B20" s="61" t="s">
        <v>449</v>
      </c>
      <c r="C20" s="61" t="s">
        <v>450</v>
      </c>
      <c r="D20" s="22"/>
      <c r="E20" s="52">
        <v>763205850</v>
      </c>
      <c r="F20" s="29" t="s">
        <v>451</v>
      </c>
      <c r="G20" s="51" t="s">
        <v>452</v>
      </c>
    </row>
  </sheetData>
  <hyperlinks>
    <hyperlink ref="F17" r:id="rId1"/>
    <hyperlink ref="F19" r:id="rId2"/>
    <hyperlink ref="F20" r:id="rId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4" sqref="A4"/>
    </sheetView>
  </sheetViews>
  <sheetFormatPr defaultRowHeight="15"/>
  <cols>
    <col min="1" max="1" width="16.42578125" customWidth="1"/>
    <col min="2" max="2" width="20" customWidth="1"/>
    <col min="4" max="4" width="20.85546875" customWidth="1"/>
    <col min="5" max="5" width="19.42578125" customWidth="1"/>
    <col min="6" max="6" width="33" customWidth="1"/>
    <col min="7" max="7" width="41.42578125" customWidth="1"/>
  </cols>
  <sheetData>
    <row r="1" spans="1:7">
      <c r="A1" s="1" t="s">
        <v>0</v>
      </c>
      <c r="B1" s="1" t="s">
        <v>1</v>
      </c>
      <c r="C1" s="1" t="s">
        <v>2</v>
      </c>
      <c r="D1" s="1" t="s">
        <v>3</v>
      </c>
      <c r="E1" s="1" t="s">
        <v>4</v>
      </c>
      <c r="F1" s="1" t="s">
        <v>5</v>
      </c>
      <c r="G1" s="1" t="s">
        <v>6</v>
      </c>
    </row>
    <row r="2" spans="1:7" ht="39">
      <c r="A2" s="4">
        <f ca="1">IFERROR(__xludf.DUMMYFUNCTION("""COMPUTED_VALUE"""),217612446)</f>
        <v>217612446</v>
      </c>
      <c r="B2" s="4" t="str">
        <f ca="1">IFERROR(__xludf.DUMMYFUNCTION("""COMPUTED_VALUE"""),"MANGANYE ")</f>
        <v xml:space="preserve">MANGANYE </v>
      </c>
      <c r="C2" s="4" t="str">
        <f ca="1">IFERROR(__xludf.DUMMYFUNCTION("""COMPUTED_VALUE"""),"VS ")</f>
        <v xml:space="preserve">VS </v>
      </c>
      <c r="D2" s="3" t="s">
        <v>352</v>
      </c>
      <c r="E2" s="4" t="str">
        <f ca="1">IFERROR(__xludf.DUMMYFUNCTION("""COMPUTED_VALUE"""),"0712312745")</f>
        <v>0712312745</v>
      </c>
      <c r="F2" s="4" t="str">
        <f ca="1">IFERROR(__xludf.DUMMYFUNCTION("""COMPUTED_VALUE"""),"manganyesurprise369@gmail.com")</f>
        <v>manganyesurprise369@gmail.com</v>
      </c>
      <c r="G2"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3" spans="1:7" ht="39">
      <c r="A3" s="86">
        <f ca="1">IFERROR(__xludf.DUMMYFUNCTION("""COMPUTED_VALUE"""),218320821)</f>
        <v>218320821</v>
      </c>
      <c r="B3" s="86" t="str">
        <f ca="1">IFERROR(__xludf.DUMMYFUNCTION("""COMPUTED_VALUE"""),"Ntsoane ")</f>
        <v xml:space="preserve">Ntsoane </v>
      </c>
      <c r="C3" s="86" t="str">
        <f ca="1">IFERROR(__xludf.DUMMYFUNCTION("""COMPUTED_VALUE"""),"DL")</f>
        <v>DL</v>
      </c>
      <c r="D3" s="86"/>
      <c r="E3" s="86" t="str">
        <f ca="1">IFERROR(__xludf.DUMMYFUNCTION("""COMPUTED_VALUE"""),"0728498172")</f>
        <v>0728498172</v>
      </c>
      <c r="F3" s="86" t="str">
        <f ca="1">IFERROR(__xludf.DUMMYFUNCTION("""COMPUTED_VALUE"""),"ntsoanelilly246@gmail.com")</f>
        <v>ntsoanelilly246@gmail.com</v>
      </c>
      <c r="G3" s="86" t="str">
        <f ca="1">IFERROR(__xludf.DUMMYFUNCTION("""COMPUTED_VALUE"""),"Need to pass DSO34AT, TPG111T during S1 2022 and attend relevant interventions and attend 85% of contact classes.")</f>
        <v>Need to pass DSO34AT, TPG111T during S1 2022 and attend relevant interventions and attend 85% of contact classes.</v>
      </c>
    </row>
    <row r="4" spans="1:7" ht="39">
      <c r="A4" s="4">
        <f ca="1">IFERROR(__xludf.DUMMYFUNCTION("""COMPUTED_VALUE"""),216394062)</f>
        <v>216394062</v>
      </c>
      <c r="B4" s="4" t="str">
        <f ca="1">IFERROR(__xludf.DUMMYFUNCTION("""COMPUTED_VALUE"""),"Mavasa")</f>
        <v>Mavasa</v>
      </c>
      <c r="C4" s="4" t="str">
        <f ca="1">IFERROR(__xludf.DUMMYFUNCTION("""COMPUTED_VALUE"""),"S")</f>
        <v>S</v>
      </c>
      <c r="D4" s="4"/>
      <c r="E4" s="4" t="str">
        <f ca="1">IFERROR(__xludf.DUMMYFUNCTION("""COMPUTED_VALUE"""),"0784818616")</f>
        <v>0784818616</v>
      </c>
      <c r="F4" s="4" t="str">
        <f ca="1">IFERROR(__xludf.DUMMYFUNCTION("""COMPUTED_VALUE"""),"Salvations26@gmail.com")</f>
        <v>Salvations26@gmail.com</v>
      </c>
      <c r="G4" s="4" t="str">
        <f ca="1">IFERROR(__xludf.DUMMYFUNCTION("""COMPUTED_VALUE"""),"Student need to pass TPG201T, AND DSO34AT during S1 2022 and has to report for academic intervention")</f>
        <v>Student need to pass TPG201T, AND DSO34AT during S1 2022 and has to report for academic intervention</v>
      </c>
    </row>
    <row r="5" spans="1:7" ht="26.25">
      <c r="A5" s="4">
        <f ca="1">IFERROR(__xludf.DUMMYFUNCTION("""COMPUTED_VALUE"""),218315003)</f>
        <v>218315003</v>
      </c>
      <c r="B5" s="4" t="str">
        <f ca="1">IFERROR(__xludf.DUMMYFUNCTION("""COMPUTED_VALUE"""),"Nkomo")</f>
        <v>Nkomo</v>
      </c>
      <c r="C5" s="4" t="str">
        <f ca="1">IFERROR(__xludf.DUMMYFUNCTION("""COMPUTED_VALUE"""),"TR")</f>
        <v>TR</v>
      </c>
      <c r="D5" s="4"/>
      <c r="E5" s="4" t="str">
        <f ca="1">IFERROR(__xludf.DUMMYFUNCTION("""COMPUTED_VALUE"""),"0608773287")</f>
        <v>0608773287</v>
      </c>
      <c r="F5" s="4" t="str">
        <f ca="1">IFERROR(__xludf.DUMMYFUNCTION("""COMPUTED_VALUE"""),"thabangrodney87@gmail.com")</f>
        <v>thabangrodney87@gmail.com</v>
      </c>
      <c r="G5" s="4" t="str">
        <f ca="1">IFERROR(__xludf.DUMMYFUNCTION("""COMPUTED_VALUE"""),"Student need to pass DSO34AT, DSO34BT during s1 2022")</f>
        <v>Student need to pass DSO34AT, DSO34BT during s1 2022</v>
      </c>
    </row>
    <row r="6" spans="1:7" ht="51.75">
      <c r="A6" s="52">
        <v>218332498</v>
      </c>
      <c r="B6" s="61" t="s">
        <v>449</v>
      </c>
      <c r="C6" s="61" t="s">
        <v>450</v>
      </c>
      <c r="D6" s="22"/>
      <c r="E6" s="52">
        <v>763205850</v>
      </c>
      <c r="F6" s="29" t="s">
        <v>451</v>
      </c>
      <c r="G6" s="51" t="s">
        <v>452</v>
      </c>
    </row>
  </sheetData>
  <hyperlinks>
    <hyperlink ref="F6"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C1" workbookViewId="0">
      <selection activeCell="A2" sqref="A2"/>
    </sheetView>
  </sheetViews>
  <sheetFormatPr defaultRowHeight="15"/>
  <cols>
    <col min="1" max="1" width="16.5703125" customWidth="1"/>
    <col min="2" max="2" width="16.7109375" customWidth="1"/>
    <col min="3" max="3" width="13.28515625" customWidth="1"/>
    <col min="4" max="4" width="19.5703125" customWidth="1"/>
    <col min="5" max="5" width="21" customWidth="1"/>
    <col min="6" max="6" width="25.7109375" customWidth="1"/>
    <col min="7" max="7" width="38.140625" customWidth="1"/>
  </cols>
  <sheetData>
    <row r="1" spans="1:7" ht="22.5" customHeight="1">
      <c r="A1" s="1" t="s">
        <v>0</v>
      </c>
      <c r="B1" s="1" t="s">
        <v>1</v>
      </c>
      <c r="C1" s="1" t="s">
        <v>2</v>
      </c>
      <c r="D1" s="1" t="s">
        <v>3</v>
      </c>
      <c r="E1" s="1" t="s">
        <v>4</v>
      </c>
      <c r="F1" s="1" t="s">
        <v>5</v>
      </c>
      <c r="G1" s="1" t="s">
        <v>6</v>
      </c>
    </row>
    <row r="2" spans="1:7" ht="39">
      <c r="A2" s="4">
        <f ca="1">IFERROR(__xludf.DUMMYFUNCTION("""COMPUTED_VALUE"""),217215153)</f>
        <v>217215153</v>
      </c>
      <c r="B2" s="4" t="str">
        <f ca="1">IFERROR(__xludf.DUMMYFUNCTION("""COMPUTED_VALUE"""),"Ntjana")</f>
        <v>Ntjana</v>
      </c>
      <c r="C2" s="4" t="str">
        <f ca="1">IFERROR(__xludf.DUMMYFUNCTION("""COMPUTED_VALUE"""),"W.K")</f>
        <v>W.K</v>
      </c>
      <c r="D2" s="3" t="s">
        <v>358</v>
      </c>
      <c r="E2" s="4" t="str">
        <f ca="1">IFERROR(__xludf.DUMMYFUNCTION("""COMPUTED_VALUE"""),"0748135205")</f>
        <v>0748135205</v>
      </c>
      <c r="F2" s="4" t="str">
        <f ca="1">IFERROR(__xludf.DUMMYFUNCTION("""COMPUTED_VALUE"""),"kamogee6@gmail.com")</f>
        <v>kamogee6@gmail.com</v>
      </c>
      <c r="G2" s="4" t="str">
        <f ca="1">IFERROR(__xludf.DUMMYFUNCTION("""COMPUTED_VALUE"""),"STUDENT NEED TO PASS TPG201T AND IIE30AT DURING S1 2022 AND REPORT FOR ACADEMIC INTERVENTION.")</f>
        <v>STUDENT NEED TO PASS TPG201T AND IIE30AT DURING S1 2022 AND REPORT FOR ACADEMIC INTERVENTION.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G1" workbookViewId="0">
      <selection activeCell="O3" sqref="O3"/>
    </sheetView>
  </sheetViews>
  <sheetFormatPr defaultRowHeight="15"/>
  <cols>
    <col min="1" max="1" width="14" customWidth="1"/>
    <col min="2" max="2" width="16.85546875" customWidth="1"/>
    <col min="4" max="4" width="16.28515625" customWidth="1"/>
    <col min="5" max="5" width="19.5703125" customWidth="1"/>
    <col min="6" max="6" width="28.42578125" customWidth="1"/>
    <col min="7" max="7" width="36.28515625" customWidth="1"/>
    <col min="8" max="8" width="30.85546875" customWidth="1"/>
    <col min="9" max="9" width="25.140625" customWidth="1"/>
    <col min="10" max="10" width="35.28515625" customWidth="1"/>
    <col min="11" max="11" width="23.42578125" customWidth="1"/>
    <col min="12" max="12" width="20" customWidth="1"/>
    <col min="13" max="13" width="22.140625" customWidth="1"/>
    <col min="14" max="14" width="24.7109375" customWidth="1"/>
  </cols>
  <sheetData>
    <row r="1" spans="1:14" ht="39.75" customHeight="1">
      <c r="A1" s="1" t="s">
        <v>0</v>
      </c>
      <c r="B1" s="1" t="s">
        <v>1</v>
      </c>
      <c r="C1" s="1" t="s">
        <v>2</v>
      </c>
      <c r="D1" s="1" t="s">
        <v>3</v>
      </c>
      <c r="E1" s="1" t="s">
        <v>4</v>
      </c>
      <c r="F1" s="1" t="s">
        <v>5</v>
      </c>
      <c r="G1" s="1" t="s">
        <v>6</v>
      </c>
      <c r="H1" s="215" t="s">
        <v>600</v>
      </c>
      <c r="I1" s="202" t="s">
        <v>391</v>
      </c>
      <c r="J1" s="202" t="s">
        <v>392</v>
      </c>
      <c r="K1" s="202" t="s">
        <v>393</v>
      </c>
      <c r="L1" s="202" t="s">
        <v>394</v>
      </c>
      <c r="M1" s="227" t="s">
        <v>395</v>
      </c>
      <c r="N1" s="202" t="s">
        <v>396</v>
      </c>
    </row>
    <row r="2" spans="1:14" s="132" customFormat="1" ht="66" customHeight="1">
      <c r="A2" s="85">
        <f ca="1">IFERROR(__xludf.DUMMYFUNCTION("""COMPUTED_VALUE"""),217345740)</f>
        <v>217345740</v>
      </c>
      <c r="B2" s="85"/>
      <c r="C2" s="85"/>
      <c r="D2" s="84" t="s">
        <v>326</v>
      </c>
      <c r="E2" s="85"/>
      <c r="F2" s="162"/>
      <c r="G2" s="83" t="str">
        <f ca="1">IFERROR(__xludf.DUMMYFUNCTION("""COMPUTED_VALUE"""),"STUDENT NEED TO PASS IIE20BT, IIS20BT, DIC101T, TPG201T DURING S1 2022 AND REPORT FOR ACADEMIC INTERVENTION.")</f>
        <v>STUDENT NEED TO PASS IIE20BT, IIS20BT, DIC101T, TPG201T DURING S1 2022 AND REPORT FOR ACADEMIC INTERVENTION.</v>
      </c>
      <c r="H2" s="223"/>
      <c r="I2" s="132" t="s">
        <v>403</v>
      </c>
      <c r="K2" s="132" t="s">
        <v>453</v>
      </c>
    </row>
    <row r="3" spans="1:14" s="87" customFormat="1" ht="135">
      <c r="A3" s="86">
        <v>216127102</v>
      </c>
      <c r="B3" s="86" t="str">
        <f ca="1">IFERROR(__xludf.DUMMYFUNCTION("""COMPUTED_VALUE"""),"Segafa")</f>
        <v>Segafa</v>
      </c>
      <c r="C3" s="86" t="str">
        <f ca="1">IFERROR(__xludf.DUMMYFUNCTION("""COMPUTED_VALUE"""),"ME")</f>
        <v>ME</v>
      </c>
      <c r="D3" s="86"/>
      <c r="E3" s="86" t="str">
        <f ca="1">IFERROR(__xludf.DUMMYFUNCTION("""COMPUTED_VALUE"""),"082 095 1689 ")</f>
        <v xml:space="preserve">082 095 1689 </v>
      </c>
      <c r="F3" s="86" t="str">
        <f ca="1">IFERROR(__xludf.DUMMYFUNCTION("""COMPUTED_VALUE"""),"ellenmatshele@gmail.com")</f>
        <v>ellenmatshele@gmail.com</v>
      </c>
      <c r="G3" s="86"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s="156"/>
      <c r="I3" s="87" t="s">
        <v>676</v>
      </c>
      <c r="J3" s="87" t="s">
        <v>405</v>
      </c>
      <c r="K3" s="87" t="s">
        <v>677</v>
      </c>
      <c r="L3" s="232" t="s">
        <v>553</v>
      </c>
      <c r="M3" s="232" t="s">
        <v>554</v>
      </c>
      <c r="N3" s="232" t="s">
        <v>555</v>
      </c>
    </row>
    <row r="4" spans="1:14" s="132" customFormat="1" ht="90">
      <c r="A4" s="85">
        <f ca="1">IFERROR(__xludf.DUMMYFUNCTION("""COMPUTED_VALUE"""),216628322)</f>
        <v>216628322</v>
      </c>
      <c r="B4" s="85" t="str">
        <f ca="1">IFERROR(__xludf.DUMMYFUNCTION("""COMPUTED_VALUE"""),"mdaka")</f>
        <v>mdaka</v>
      </c>
      <c r="C4" s="85" t="str">
        <f ca="1">IFERROR(__xludf.DUMMYFUNCTION("""COMPUTED_VALUE"""),"ns")</f>
        <v>ns</v>
      </c>
      <c r="D4" s="85"/>
      <c r="E4" s="85" t="str">
        <f ca="1">IFERROR(__xludf.DUMMYFUNCTION("""COMPUTED_VALUE"""),"0678326413")</f>
        <v>0678326413</v>
      </c>
      <c r="F4" s="85" t="str">
        <f ca="1">IFERROR(__xludf.DUMMYFUNCTION("""COMPUTED_VALUE"""),"ngobsberry@gmail.com")</f>
        <v>ngobsberry@gmail.com</v>
      </c>
      <c r="G4" s="85"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4" s="223"/>
      <c r="I4" s="132" t="s">
        <v>678</v>
      </c>
      <c r="K4" s="132" t="s">
        <v>679</v>
      </c>
    </row>
    <row r="5" spans="1:14" s="87" customFormat="1" ht="77.25">
      <c r="A5" s="86">
        <f ca="1">IFERROR(__xludf.DUMMYFUNCTION("""COMPUTED_VALUE"""),218121519)</f>
        <v>218121519</v>
      </c>
      <c r="B5" s="86" t="str">
        <f ca="1">IFERROR(__xludf.DUMMYFUNCTION("""COMPUTED_VALUE"""),"Ntapane")</f>
        <v>Ntapane</v>
      </c>
      <c r="C5" s="86" t="str">
        <f ca="1">IFERROR(__xludf.DUMMYFUNCTION("""COMPUTED_VALUE"""),"L")</f>
        <v>L</v>
      </c>
      <c r="D5" s="86"/>
      <c r="E5" s="86" t="str">
        <f ca="1">IFERROR(__xludf.DUMMYFUNCTION("""COMPUTED_VALUE"""),"0655942592")</f>
        <v>0655942592</v>
      </c>
      <c r="F5" s="86" t="str">
        <f ca="1">IFERROR(__xludf.DUMMYFUNCTION("""COMPUTED_VALUE"""),"218121519@tut4life.ac.za")</f>
        <v>218121519@tut4life.ac.za</v>
      </c>
      <c r="G5"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5" s="156"/>
      <c r="I5" s="87" t="s">
        <v>676</v>
      </c>
      <c r="K5" s="87" t="s">
        <v>401</v>
      </c>
    </row>
    <row r="6" spans="1:14" s="87" customFormat="1" ht="64.5">
      <c r="A6" s="86">
        <f ca="1">IFERROR(__xludf.DUMMYFUNCTION("""COMPUTED_VALUE"""),216212789)</f>
        <v>216212789</v>
      </c>
      <c r="B6" s="86" t="str">
        <f ca="1">IFERROR(__xludf.DUMMYFUNCTION("""COMPUTED_VALUE"""),"mtombeni")</f>
        <v>mtombeni</v>
      </c>
      <c r="C6" s="86" t="str">
        <f ca="1">IFERROR(__xludf.DUMMYFUNCTION("""COMPUTED_VALUE"""),"T.S")</f>
        <v>T.S</v>
      </c>
      <c r="D6" s="86"/>
      <c r="E6" s="86" t="str">
        <f ca="1">IFERROR(__xludf.DUMMYFUNCTION("""COMPUTED_VALUE"""),"0745762456")</f>
        <v>0745762456</v>
      </c>
      <c r="F6" s="86" t="str">
        <f ca="1">IFERROR(__xludf.DUMMYFUNCTION("""COMPUTED_VALUE"""),"thulanimtombeni96@gmail.com")</f>
        <v>thulanimtombeni96@gmail.com</v>
      </c>
      <c r="G6"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c r="H6" s="156"/>
      <c r="I6" s="87" t="s">
        <v>676</v>
      </c>
      <c r="K6" s="87" t="s">
        <v>677</v>
      </c>
    </row>
    <row r="7" spans="1:14" s="87" customFormat="1" ht="64.5">
      <c r="A7" s="86">
        <f ca="1">IFERROR(__xludf.DUMMYFUNCTION("""COMPUTED_VALUE"""),217334861)</f>
        <v>217334861</v>
      </c>
      <c r="B7" s="86" t="str">
        <f ca="1">IFERROR(__xludf.DUMMYFUNCTION("""COMPUTED_VALUE"""),"Nyawo")</f>
        <v>Nyawo</v>
      </c>
      <c r="C7" s="86" t="str">
        <f ca="1">IFERROR(__xludf.DUMMYFUNCTION("""COMPUTED_VALUE"""),"AP")</f>
        <v>AP</v>
      </c>
      <c r="D7" s="86"/>
      <c r="E7" s="86" t="str">
        <f ca="1">IFERROR(__xludf.DUMMYFUNCTION("""COMPUTED_VALUE"""),"0721965595")</f>
        <v>0721965595</v>
      </c>
      <c r="F7" s="86" t="str">
        <f ca="1">IFERROR(__xludf.DUMMYFUNCTION("""COMPUTED_VALUE"""),"phumelele013@gmail.com")</f>
        <v>phumelele013@gmail.com</v>
      </c>
      <c r="G7"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7" s="156"/>
      <c r="I7" s="87" t="s">
        <v>676</v>
      </c>
      <c r="K7" s="87" t="s">
        <v>401</v>
      </c>
    </row>
    <row r="8" spans="1:14" s="87" customFormat="1" ht="64.5">
      <c r="A8" s="86">
        <f ca="1">IFERROR(__xludf.DUMMYFUNCTION("""COMPUTED_VALUE"""),219114648)</f>
        <v>219114648</v>
      </c>
      <c r="B8" s="86" t="str">
        <f ca="1">IFERROR(__xludf.DUMMYFUNCTION("""COMPUTED_VALUE"""),"Ramango ")</f>
        <v xml:space="preserve">Ramango </v>
      </c>
      <c r="C8" s="86" t="str">
        <f ca="1">IFERROR(__xludf.DUMMYFUNCTION("""COMPUTED_VALUE"""),"T.U")</f>
        <v>T.U</v>
      </c>
      <c r="D8" s="86"/>
      <c r="E8" s="86" t="str">
        <f ca="1">IFERROR(__xludf.DUMMYFUNCTION("""COMPUTED_VALUE"""),"0762384765")</f>
        <v>0762384765</v>
      </c>
      <c r="F8" s="86" t="str">
        <f ca="1">IFERROR(__xludf.DUMMYFUNCTION("""COMPUTED_VALUE"""),"unitymessina@gmail.com")</f>
        <v>unitymessina@gmail.com</v>
      </c>
      <c r="G8"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8" s="156"/>
      <c r="I8" s="87" t="s">
        <v>676</v>
      </c>
      <c r="K8" s="87" t="s">
        <v>401</v>
      </c>
    </row>
    <row r="9" spans="1:14" s="87" customFormat="1" ht="64.5">
      <c r="A9" s="86">
        <f ca="1">IFERROR(__xludf.DUMMYFUNCTION("""COMPUTED_VALUE"""),218597130)</f>
        <v>218597130</v>
      </c>
      <c r="B9" s="86" t="str">
        <f ca="1">IFERROR(__xludf.DUMMYFUNCTION("""COMPUTED_VALUE"""),"TSHIHATU ")</f>
        <v xml:space="preserve">TSHIHATU </v>
      </c>
      <c r="C9" s="86" t="str">
        <f ca="1">IFERROR(__xludf.DUMMYFUNCTION("""COMPUTED_VALUE"""),"P")</f>
        <v>P</v>
      </c>
      <c r="D9" s="86"/>
      <c r="E9" s="86" t="str">
        <f ca="1">IFERROR(__xludf.DUMMYFUNCTION("""COMPUTED_VALUE"""),"0788736430")</f>
        <v>0788736430</v>
      </c>
      <c r="F9" s="86" t="str">
        <f ca="1">IFERROR(__xludf.DUMMYFUNCTION("""COMPUTED_VALUE"""),"pfarelotshihatu@gmail.com")</f>
        <v>pfarelotshihatu@gmail.com</v>
      </c>
      <c r="G9" s="86"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9" s="156"/>
      <c r="I9" s="87" t="s">
        <v>676</v>
      </c>
      <c r="K9" s="87" t="s">
        <v>401</v>
      </c>
    </row>
    <row r="10" spans="1:14" s="132" customFormat="1" ht="64.5">
      <c r="A10" s="85">
        <f ca="1">IFERROR(__xludf.DUMMYFUNCTION("""COMPUTED_VALUE"""),219502028)</f>
        <v>219502028</v>
      </c>
      <c r="B10" s="85" t="str">
        <f ca="1">IFERROR(__xludf.DUMMYFUNCTION("""COMPUTED_VALUE"""),"Khange")</f>
        <v>Khange</v>
      </c>
      <c r="C10" s="85" t="str">
        <f ca="1">IFERROR(__xludf.DUMMYFUNCTION("""COMPUTED_VALUE"""),"Ndugiselo")</f>
        <v>Ndugiselo</v>
      </c>
      <c r="D10" s="85"/>
      <c r="E10" s="85" t="str">
        <f ca="1">IFERROR(__xludf.DUMMYFUNCTION("""COMPUTED_VALUE"""),"+27725623726")</f>
        <v>+27725623726</v>
      </c>
      <c r="F10" s="85" t="str">
        <f ca="1">IFERROR(__xludf.DUMMYFUNCTION("""COMPUTED_VALUE"""),"ndugiseloaustin@gmail.com")</f>
        <v>ndugiseloaustin@gmail.com</v>
      </c>
      <c r="G10" s="85"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10" s="223"/>
      <c r="I10" s="132" t="s">
        <v>678</v>
      </c>
      <c r="K10" s="132" t="s">
        <v>401</v>
      </c>
    </row>
    <row r="11" spans="1:14" s="87" customFormat="1" ht="165">
      <c r="A11" s="86">
        <f ca="1">IFERROR(__xludf.DUMMYFUNCTION("""COMPUTED_VALUE"""),216185021)</f>
        <v>216185021</v>
      </c>
      <c r="B11" s="86" t="str">
        <f ca="1">IFERROR(__xludf.DUMMYFUNCTION("""COMPUTED_VALUE"""),"Sibiya")</f>
        <v>Sibiya</v>
      </c>
      <c r="C11" s="86" t="str">
        <f ca="1">IFERROR(__xludf.DUMMYFUNCTION("""COMPUTED_VALUE"""),"JT")</f>
        <v>JT</v>
      </c>
      <c r="D11" s="86" t="s">
        <v>312</v>
      </c>
      <c r="E11" s="86" t="str">
        <f ca="1">IFERROR(__xludf.DUMMYFUNCTION("""COMPUTED_VALUE"""),"0710294350")</f>
        <v>0710294350</v>
      </c>
      <c r="F11" s="86" t="str">
        <f ca="1">IFERROR(__xludf.DUMMYFUNCTION("""COMPUTED_VALUE"""),"216185021@tut4life.ac.za")</f>
        <v>216185021@tut4life.ac.za</v>
      </c>
      <c r="G11"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I11" s="87" t="s">
        <v>422</v>
      </c>
      <c r="J11" s="87" t="s">
        <v>405</v>
      </c>
      <c r="K11" s="236" t="s">
        <v>401</v>
      </c>
      <c r="L11" s="232" t="s">
        <v>477</v>
      </c>
      <c r="N11" s="235" t="s">
        <v>478</v>
      </c>
    </row>
    <row r="12" spans="1:14" ht="64.5">
      <c r="A12" s="4">
        <f ca="1">IFERROR(__xludf.DUMMYFUNCTION("""COMPUTED_VALUE"""),220034372)</f>
        <v>220034372</v>
      </c>
      <c r="B12" s="4" t="str">
        <f ca="1">IFERROR(__xludf.DUMMYFUNCTION("""COMPUTED_VALUE"""),"Kekana")</f>
        <v>Kekana</v>
      </c>
      <c r="C12" s="4" t="str">
        <f ca="1">IFERROR(__xludf.DUMMYFUNCTION("""COMPUTED_VALUE"""),"L.P")</f>
        <v>L.P</v>
      </c>
      <c r="D12" s="4"/>
      <c r="E12" s="4" t="str">
        <f ca="1">IFERROR(__xludf.DUMMYFUNCTION("""COMPUTED_VALUE"""),"0607997164")</f>
        <v>0607997164</v>
      </c>
      <c r="F12" s="4" t="str">
        <f ca="1">IFERROR(__xludf.DUMMYFUNCTION("""COMPUTED_VALUE"""),"plesego334@gmail.com")</f>
        <v>plesego334@gmail.com</v>
      </c>
      <c r="G12"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H12" s="5"/>
      <c r="I12" t="s">
        <v>403</v>
      </c>
      <c r="J12" t="s">
        <v>405</v>
      </c>
      <c r="K12" t="s">
        <v>453</v>
      </c>
    </row>
    <row r="13" spans="1:14" ht="64.5">
      <c r="A13" s="4">
        <f ca="1">IFERROR(__xludf.DUMMYFUNCTION("""COMPUTED_VALUE"""),218152155)</f>
        <v>218152155</v>
      </c>
      <c r="B13" s="4" t="str">
        <f ca="1">IFERROR(__xludf.DUMMYFUNCTION("""COMPUTED_VALUE"""),"Komape ")</f>
        <v xml:space="preserve">Komape </v>
      </c>
      <c r="C13" s="4" t="str">
        <f ca="1">IFERROR(__xludf.DUMMYFUNCTION("""COMPUTED_VALUE"""),"U")</f>
        <v>U</v>
      </c>
      <c r="D13" s="4"/>
      <c r="E13" s="4" t="str">
        <f ca="1">IFERROR(__xludf.DUMMYFUNCTION("""COMPUTED_VALUE"""),"0792765450")</f>
        <v>0792765450</v>
      </c>
      <c r="F13" s="4" t="str">
        <f ca="1">IFERROR(__xludf.DUMMYFUNCTION("""COMPUTED_VALUE"""),"218152155@tut4life.ac.za")</f>
        <v>218152155@tut4life.ac.za</v>
      </c>
      <c r="G13"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c r="H13" s="5"/>
      <c r="I13" t="s">
        <v>403</v>
      </c>
      <c r="K13" t="s">
        <v>680</v>
      </c>
    </row>
    <row r="14" spans="1:14" ht="64.5">
      <c r="A14" s="4">
        <f ca="1">IFERROR(__xludf.DUMMYFUNCTION("""COMPUTED_VALUE"""),218595782)</f>
        <v>218595782</v>
      </c>
      <c r="B14" s="4" t="str">
        <f ca="1">IFERROR(__xludf.DUMMYFUNCTION("""COMPUTED_VALUE"""),"Masingi ")</f>
        <v xml:space="preserve">Masingi </v>
      </c>
      <c r="C14" s="4" t="str">
        <f ca="1">IFERROR(__xludf.DUMMYFUNCTION("""COMPUTED_VALUE"""),"A")</f>
        <v>A</v>
      </c>
      <c r="D14" s="4"/>
      <c r="E14" s="4" t="str">
        <f ca="1">IFERROR(__xludf.DUMMYFUNCTION("""COMPUTED_VALUE"""),"0603364048")</f>
        <v>0603364048</v>
      </c>
      <c r="F14" s="4" t="str">
        <f ca="1">IFERROR(__xludf.DUMMYFUNCTION("""COMPUTED_VALUE"""),"auberdinho11@gmail.com")</f>
        <v>auberdinho11@gmail.com</v>
      </c>
      <c r="G14" s="4"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c r="H14" s="5"/>
      <c r="I14" t="s">
        <v>403</v>
      </c>
      <c r="K14" t="s">
        <v>401</v>
      </c>
    </row>
    <row r="15" spans="1:14" s="132" customFormat="1" ht="64.5">
      <c r="A15" s="85">
        <f ca="1">IFERROR(__xludf.DUMMYFUNCTION("""COMPUTED_VALUE"""),218221912)</f>
        <v>218221912</v>
      </c>
      <c r="B15" s="85" t="str">
        <f ca="1">IFERROR(__xludf.DUMMYFUNCTION("""COMPUTED_VALUE"""),"Mokobane")</f>
        <v>Mokobane</v>
      </c>
      <c r="C15" s="85" t="str">
        <f ca="1">IFERROR(__xludf.DUMMYFUNCTION("""COMPUTED_VALUE"""),"MR")</f>
        <v>MR</v>
      </c>
      <c r="D15" s="85"/>
      <c r="E15" s="85" t="str">
        <f ca="1">IFERROR(__xludf.DUMMYFUNCTION("""COMPUTED_VALUE"""),"0794269973")</f>
        <v>0794269973</v>
      </c>
      <c r="F15" s="85" t="str">
        <f ca="1">IFERROR(__xludf.DUMMYFUNCTION("""COMPUTED_VALUE"""),"mokobanemoraka@gmail.com")</f>
        <v>mokobanemoraka@gmail.com</v>
      </c>
      <c r="G15" s="85"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H15" s="223"/>
      <c r="I15" s="132" t="s">
        <v>403</v>
      </c>
      <c r="K15" s="132" t="s">
        <v>401</v>
      </c>
    </row>
    <row r="16" spans="1:14" s="132" customFormat="1" ht="64.5">
      <c r="A16" s="85">
        <f ca="1">IFERROR(__xludf.DUMMYFUNCTION("""COMPUTED_VALUE"""),218672094)</f>
        <v>218672094</v>
      </c>
      <c r="B16" s="85" t="str">
        <f ca="1">IFERROR(__xludf.DUMMYFUNCTION("""COMPUTED_VALUE"""),"Sibisi")</f>
        <v>Sibisi</v>
      </c>
      <c r="C16" s="85" t="str">
        <f ca="1">IFERROR(__xludf.DUMMYFUNCTION("""COMPUTED_VALUE"""),"Q")</f>
        <v>Q</v>
      </c>
      <c r="D16" s="85"/>
      <c r="E16" s="85" t="str">
        <f ca="1">IFERROR(__xludf.DUMMYFUNCTION("""COMPUTED_VALUE"""),"0818206858")</f>
        <v>0818206858</v>
      </c>
      <c r="F16" s="85" t="str">
        <f ca="1">IFERROR(__xludf.DUMMYFUNCTION("""COMPUTED_VALUE"""),"qinisani97@gmail.com")</f>
        <v>qinisani97@gmail.com</v>
      </c>
      <c r="G16" s="85"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H16" s="223"/>
      <c r="I16" s="132" t="s">
        <v>403</v>
      </c>
      <c r="K16" s="132" t="s">
        <v>401</v>
      </c>
    </row>
    <row r="17" spans="1:11" s="87" customFormat="1" ht="90">
      <c r="A17" s="86">
        <f ca="1">IFERROR(__xludf.DUMMYFUNCTION("""COMPUTED_VALUE"""),218060110)</f>
        <v>218060110</v>
      </c>
      <c r="B17" s="86" t="str">
        <f ca="1">IFERROR(__xludf.DUMMYFUNCTION("""COMPUTED_VALUE"""),"Skosana")</f>
        <v>Skosana</v>
      </c>
      <c r="C17" s="86" t="str">
        <f ca="1">IFERROR(__xludf.DUMMYFUNCTION("""COMPUTED_VALUE"""),"MI")</f>
        <v>MI</v>
      </c>
      <c r="D17" s="86"/>
      <c r="E17" s="86" t="str">
        <f ca="1">IFERROR(__xludf.DUMMYFUNCTION("""COMPUTED_VALUE"""),"0760718694")</f>
        <v>0760718694</v>
      </c>
      <c r="F17" s="86" t="str">
        <f ca="1">IFERROR(__xludf.DUMMYFUNCTION("""COMPUTED_VALUE"""),"218060110@tut4life.ac.za")</f>
        <v>218060110@tut4life.ac.za</v>
      </c>
      <c r="G17"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c r="H17" s="156"/>
      <c r="I17" s="87" t="s">
        <v>676</v>
      </c>
      <c r="K17" s="87" t="s">
        <v>401</v>
      </c>
    </row>
    <row r="18" spans="1:11" ht="51.75">
      <c r="A18" s="18">
        <v>218470912</v>
      </c>
      <c r="B18" s="21" t="s">
        <v>10</v>
      </c>
      <c r="C18" s="21" t="s">
        <v>10</v>
      </c>
      <c r="D18" s="22"/>
      <c r="E18" s="23" t="s">
        <v>10</v>
      </c>
      <c r="F18" s="24" t="s">
        <v>681</v>
      </c>
      <c r="G18" s="25" t="s">
        <v>682</v>
      </c>
      <c r="H18" s="157"/>
      <c r="I18" t="s">
        <v>403</v>
      </c>
      <c r="K18" t="s">
        <v>453</v>
      </c>
    </row>
    <row r="19" spans="1:11" ht="51.75">
      <c r="A19" s="26">
        <v>218499228</v>
      </c>
      <c r="B19" s="50" t="s">
        <v>10</v>
      </c>
      <c r="C19" s="50" t="s">
        <v>10</v>
      </c>
      <c r="D19" s="22"/>
      <c r="E19" s="26" t="s">
        <v>10</v>
      </c>
      <c r="F19" s="50" t="s">
        <v>10</v>
      </c>
      <c r="G19" s="51" t="s">
        <v>473</v>
      </c>
      <c r="H19" s="158"/>
      <c r="I19" t="s">
        <v>683</v>
      </c>
      <c r="K19" t="s">
        <v>453</v>
      </c>
    </row>
  </sheetData>
  <hyperlinks>
    <hyperlink ref="F18"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2" sqref="D2"/>
    </sheetView>
  </sheetViews>
  <sheetFormatPr defaultRowHeight="15"/>
  <cols>
    <col min="1" max="1" width="16" customWidth="1"/>
    <col min="2" max="2" width="18" customWidth="1"/>
    <col min="4" max="4" width="15" customWidth="1"/>
    <col min="5" max="5" width="23.42578125" customWidth="1"/>
    <col min="6" max="6" width="30.42578125" customWidth="1"/>
    <col min="7" max="7" width="33.42578125" customWidth="1"/>
  </cols>
  <sheetData>
    <row r="1" spans="1:7">
      <c r="A1" s="1" t="s">
        <v>0</v>
      </c>
      <c r="B1" s="1" t="s">
        <v>1</v>
      </c>
      <c r="C1" s="1" t="s">
        <v>2</v>
      </c>
      <c r="D1" s="1" t="s">
        <v>3</v>
      </c>
      <c r="E1" s="1" t="s">
        <v>4</v>
      </c>
      <c r="F1" s="1" t="s">
        <v>5</v>
      </c>
      <c r="G1" s="1" t="s">
        <v>6</v>
      </c>
    </row>
    <row r="2" spans="1:7" ht="56.25" customHeight="1">
      <c r="A2" s="4">
        <f ca="1">IFERROR(__xludf.DUMMYFUNCTION("""COMPUTED_VALUE"""),217258006)</f>
        <v>217258006</v>
      </c>
      <c r="B2" s="4" t="str">
        <f ca="1">IFERROR(__xludf.DUMMYFUNCTION("""COMPUTED_VALUE"""),"KOTELE")</f>
        <v>KOTELE</v>
      </c>
      <c r="C2" s="4" t="str">
        <f ca="1">IFERROR(__xludf.DUMMYFUNCTION("""COMPUTED_VALUE"""),"SJ")</f>
        <v>SJ</v>
      </c>
      <c r="D2" s="3" t="s">
        <v>360</v>
      </c>
      <c r="E2" s="4" t="str">
        <f ca="1">IFERROR(__xludf.DUMMYFUNCTION("""COMPUTED_VALUE"""),"0739282340")</f>
        <v>0739282340</v>
      </c>
      <c r="F2" s="4" t="str">
        <f ca="1">IFERROR(__xludf.DUMMYFUNCTION("""COMPUTED_VALUE"""),"217258006@tut4life.ac.za")</f>
        <v>217258006@tut4life.ac.za</v>
      </c>
      <c r="G2" s="4" t="str">
        <f ca="1">IFERROR(__xludf.DUMMYFUNCTION("""COMPUTED_VALUE"""),"STUDENT NEED TO PASS TPG201T AND IIS20BT DURING S1 2022 AND REPORT FOR ACADEMIC INTERVENTION.")</f>
        <v>STUDENT NEED TO PASS TPG201T AND IIS20BT DURING S1 2022 AND REPORT FOR ACADEMIC INTERVENTION.</v>
      </c>
    </row>
    <row r="3" spans="1:7" ht="60.75" customHeight="1">
      <c r="A3" s="4">
        <f ca="1">IFERROR(__xludf.DUMMYFUNCTION("""COMPUTED_VALUE"""),217345740)</f>
        <v>217345740</v>
      </c>
      <c r="B3" s="4"/>
      <c r="C3" s="4"/>
      <c r="D3" s="3" t="s">
        <v>360</v>
      </c>
      <c r="E3" s="4"/>
      <c r="F3" s="6"/>
      <c r="G3" s="2" t="str">
        <f ca="1">IFERROR(__xludf.DUMMYFUNCTION("""COMPUTED_VALUE"""),"STUDENT NEED TO PASS IIE20BT, IIS20BT, DIC101T, TPG201T DURING S1 2022 AND REPORT FOR ACADEMIC INTERVENTION.")</f>
        <v>STUDENT NEED TO PASS IIE20BT, IIS20BT, DIC101T, TPG201T DURING S1 2022 AND REPORT FOR ACADEMIC INTERVENTION.</v>
      </c>
    </row>
    <row r="4" spans="1:7" ht="39">
      <c r="A4" s="4">
        <f ca="1">IFERROR(__xludf.DUMMYFUNCTION("""COMPUTED_VALUE"""),219695900)</f>
        <v>219695900</v>
      </c>
      <c r="B4" s="4" t="str">
        <f ca="1">IFERROR(__xludf.DUMMYFUNCTION("""COMPUTED_VALUE"""),"Athi")</f>
        <v>Athi</v>
      </c>
      <c r="C4" s="4" t="s">
        <v>28</v>
      </c>
      <c r="D4" s="3" t="s">
        <v>360</v>
      </c>
      <c r="E4" s="4" t="str">
        <f ca="1">IFERROR(__xludf.DUMMYFUNCTION("""COMPUTED_VALUE"""),"629414310")</f>
        <v>629414310</v>
      </c>
      <c r="F4" s="4" t="str">
        <f ca="1">IFERROR(__xludf.DUMMYFUNCTION("""COMPUTED_VALUE"""),"athenkosindzololo978@gmail.com")</f>
        <v>athenkosindzololo978@gmail.com</v>
      </c>
      <c r="G4" s="4" t="str">
        <f ca="1">IFERROR(__xludf.DUMMYFUNCTION("""COMPUTED_VALUE"""),"LIFTED, Student must pass TPG201T, IIS20BT and other subjects and report for academic intervention.")</f>
        <v>LIFTED, Student must pass TPG201T, IIS20BT and other subjects and report for academic intervention.</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4" sqref="A4:G4"/>
    </sheetView>
  </sheetViews>
  <sheetFormatPr defaultRowHeight="15"/>
  <cols>
    <col min="1" max="1" width="15.140625" customWidth="1"/>
    <col min="2" max="2" width="22.85546875" customWidth="1"/>
    <col min="4" max="4" width="15.28515625" customWidth="1"/>
    <col min="5" max="5" width="21.85546875" customWidth="1"/>
    <col min="6" max="6" width="25.28515625" customWidth="1"/>
    <col min="7" max="7" width="31.42578125" customWidth="1"/>
  </cols>
  <sheetData>
    <row r="1" spans="1:7">
      <c r="A1" s="1" t="s">
        <v>0</v>
      </c>
      <c r="B1" s="1" t="s">
        <v>1</v>
      </c>
      <c r="C1" s="1" t="s">
        <v>2</v>
      </c>
      <c r="D1" s="1" t="s">
        <v>3</v>
      </c>
      <c r="E1" s="1" t="s">
        <v>4</v>
      </c>
      <c r="F1" s="1" t="s">
        <v>5</v>
      </c>
      <c r="G1" s="1" t="s">
        <v>6</v>
      </c>
    </row>
    <row r="2" spans="1:7" ht="90">
      <c r="A2" s="4">
        <v>216127102</v>
      </c>
      <c r="B2" s="4" t="str">
        <f ca="1">IFERROR(__xludf.DUMMYFUNCTION("""COMPUTED_VALUE"""),"Segafa")</f>
        <v>Segafa</v>
      </c>
      <c r="C2" s="4" t="str">
        <f ca="1">IFERROR(__xludf.DUMMYFUNCTION("""COMPUTED_VALUE"""),"ME")</f>
        <v>ME</v>
      </c>
      <c r="D2" s="4" t="s">
        <v>331</v>
      </c>
      <c r="E2" s="4" t="str">
        <f ca="1">IFERROR(__xludf.DUMMYFUNCTION("""COMPUTED_VALUE"""),"082 095 1689 ")</f>
        <v xml:space="preserve">082 095 1689 </v>
      </c>
      <c r="F2" s="4" t="str">
        <f ca="1">IFERROR(__xludf.DUMMYFUNCTION("""COMPUTED_VALUE"""),"ellenmatshele@gmail.com")</f>
        <v>ellenmatshele@gmail.com</v>
      </c>
      <c r="G2" s="4" t="s">
        <v>515</v>
      </c>
    </row>
    <row r="3" spans="1:7" ht="90">
      <c r="A3" s="4">
        <f ca="1">IFERROR(__xludf.DUMMYFUNCTION("""COMPUTED_VALUE"""),216628322)</f>
        <v>216628322</v>
      </c>
      <c r="B3" s="4" t="str">
        <f ca="1">IFERROR(__xludf.DUMMYFUNCTION("""COMPUTED_VALUE"""),"mdaka")</f>
        <v>mdaka</v>
      </c>
      <c r="C3" s="4" t="str">
        <f ca="1">IFERROR(__xludf.DUMMYFUNCTION("""COMPUTED_VALUE"""),"ns")</f>
        <v>ns</v>
      </c>
      <c r="D3" s="4" t="s">
        <v>331</v>
      </c>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4" spans="1:7" ht="90">
      <c r="A4" s="86">
        <f ca="1">IFERROR(__xludf.DUMMYFUNCTION("""COMPUTED_VALUE"""),218121519)</f>
        <v>218121519</v>
      </c>
      <c r="B4" s="86" t="str">
        <f ca="1">IFERROR(__xludf.DUMMYFUNCTION("""COMPUTED_VALUE"""),"Ntapane")</f>
        <v>Ntapane</v>
      </c>
      <c r="C4" s="86" t="str">
        <f ca="1">IFERROR(__xludf.DUMMYFUNCTION("""COMPUTED_VALUE"""),"L")</f>
        <v>L</v>
      </c>
      <c r="D4" s="86" t="s">
        <v>331</v>
      </c>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9" sqref="A9:G9"/>
    </sheetView>
  </sheetViews>
  <sheetFormatPr defaultRowHeight="15"/>
  <cols>
    <col min="1" max="1" width="16.5703125" customWidth="1"/>
    <col min="2" max="2" width="20.28515625" customWidth="1"/>
    <col min="4" max="4" width="15.140625" customWidth="1"/>
    <col min="5" max="5" width="19" customWidth="1"/>
    <col min="6" max="6" width="21.85546875" customWidth="1"/>
    <col min="7" max="7" width="31.5703125" customWidth="1"/>
  </cols>
  <sheetData>
    <row r="1" spans="1:7">
      <c r="A1" s="1" t="s">
        <v>0</v>
      </c>
      <c r="B1" s="1" t="s">
        <v>1</v>
      </c>
      <c r="C1" s="1" t="s">
        <v>2</v>
      </c>
      <c r="D1" s="1" t="s">
        <v>3</v>
      </c>
      <c r="E1" s="1" t="s">
        <v>4</v>
      </c>
      <c r="F1" s="1" t="s">
        <v>5</v>
      </c>
      <c r="G1" s="1" t="s">
        <v>6</v>
      </c>
    </row>
    <row r="2" spans="1:7" ht="90">
      <c r="A2" s="4">
        <v>216127102</v>
      </c>
      <c r="B2" s="4" t="str">
        <f ca="1">IFERROR(__xludf.DUMMYFUNCTION("""COMPUTED_VALUE"""),"Segafa")</f>
        <v>Segafa</v>
      </c>
      <c r="C2" s="4" t="str">
        <f ca="1">IFERROR(__xludf.DUMMYFUNCTION("""COMPUTED_VALUE"""),"ME")</f>
        <v>ME</v>
      </c>
      <c r="D2" s="4" t="s">
        <v>341</v>
      </c>
      <c r="E2" s="4" t="str">
        <f ca="1">IFERROR(__xludf.DUMMYFUNCTION("""COMPUTED_VALUE"""),"082 095 1689 ")</f>
        <v xml:space="preserve">082 095 1689 </v>
      </c>
      <c r="F2" s="4" t="str">
        <f ca="1">IFERROR(__xludf.DUMMYFUNCTION("""COMPUTED_VALUE"""),"ellenmatshele@gmail.com")</f>
        <v>ellenmatshele@gmail.com</v>
      </c>
      <c r="G2" s="4" t="s">
        <v>515</v>
      </c>
    </row>
    <row r="3" spans="1:7" ht="64.5">
      <c r="A3" s="4">
        <f ca="1">IFERROR(__xludf.DUMMYFUNCTION("""COMPUTED_VALUE"""),219159137)</f>
        <v>219159137</v>
      </c>
      <c r="B3" s="4" t="str">
        <f ca="1">IFERROR(__xludf.DUMMYFUNCTION("""COMPUTED_VALUE"""),"Nontsibongo")</f>
        <v>Nontsibongo</v>
      </c>
      <c r="C3" s="4" t="str">
        <f ca="1">IFERROR(__xludf.DUMMYFUNCTION("""COMPUTED_VALUE"""),"S")</f>
        <v>S</v>
      </c>
      <c r="D3" s="4"/>
      <c r="E3" s="4" t="str">
        <f ca="1">IFERROR(__xludf.DUMMYFUNCTION("""COMPUTED_VALUE"""),"0785221806")</f>
        <v>0785221806</v>
      </c>
      <c r="F3" s="4" t="str">
        <f ca="1">IFERROR(__xludf.DUMMYFUNCTION("""COMPUTED_VALUE"""),"sinovuyondlela98@gmail.com")</f>
        <v>sinovuyondlela98@gmail.com</v>
      </c>
      <c r="G3"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row>
    <row r="4" spans="1:7" ht="128.25">
      <c r="A4" s="4">
        <f ca="1">IFERROR(__xludf.DUMMYFUNCTION("""COMPUTED_VALUE"""),216880692)</f>
        <v>216880692</v>
      </c>
      <c r="B4" s="4" t="str">
        <f ca="1">IFERROR(__xludf.DUMMYFUNCTION("""COMPUTED_VALUE"""),"Ntuli")</f>
        <v>Ntuli</v>
      </c>
      <c r="C4" s="4" t="str">
        <f ca="1">IFERROR(__xludf.DUMMYFUNCTION("""COMPUTED_VALUE"""),"BL")</f>
        <v>BL</v>
      </c>
      <c r="D4" s="4"/>
      <c r="E4" s="4" t="str">
        <f ca="1">IFERROR(__xludf.DUMMYFUNCTION("""COMPUTED_VALUE"""),"0712497642")</f>
        <v>0712497642</v>
      </c>
      <c r="F4" s="4" t="str">
        <f ca="1">IFERROR(__xludf.DUMMYFUNCTION("""COMPUTED_VALUE"""),"luther.ntuli@gmail.com")</f>
        <v>luther.ntuli@gmail.com</v>
      </c>
      <c r="G4" s="4"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5" spans="1:7" ht="77.25">
      <c r="A5" s="4">
        <f ca="1">IFERROR(__xludf.DUMMYFUNCTION("""COMPUTED_VALUE"""),219205902)</f>
        <v>219205902</v>
      </c>
      <c r="B5" s="4" t="str">
        <f ca="1">IFERROR(__xludf.DUMMYFUNCTION("""COMPUTED_VALUE"""),"Mafologelo")</f>
        <v>Mafologelo</v>
      </c>
      <c r="C5" s="4" t="str">
        <f ca="1">IFERROR(__xludf.DUMMYFUNCTION("""COMPUTED_VALUE"""),"P")</f>
        <v>P</v>
      </c>
      <c r="D5" s="4"/>
      <c r="E5" s="4" t="str">
        <f ca="1">IFERROR(__xludf.DUMMYFUNCTION("""COMPUTED_VALUE"""),"0714515056")</f>
        <v>0714515056</v>
      </c>
      <c r="F5" s="4" t="str">
        <f ca="1">IFERROR(__xludf.DUMMYFUNCTION("""COMPUTED_VALUE"""),"pontsho5597@gmail.com")</f>
        <v>pontsho5597@gmail.com</v>
      </c>
      <c r="G5" s="4"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6" spans="1:7">
      <c r="A6" s="4">
        <f ca="1">IFERROR(__xludf.DUMMYFUNCTION("""COMPUTED_VALUE"""),218065465)</f>
        <v>218065465</v>
      </c>
      <c r="B6" s="4"/>
      <c r="C6" s="4"/>
      <c r="D6" s="4"/>
      <c r="E6" s="4"/>
      <c r="F6" s="4"/>
      <c r="G6" s="4" t="str">
        <f ca="1">IFERROR(__xludf.DUMMYFUNCTION("""COMPUTED_VALUE"""),"STUDENT MUST PASS TPG12AT, IDC30AT &amp; DSA20AT DURING S1 2022.")</f>
        <v>STUDENT MUST PASS TPG12AT, IDC30AT &amp; DSA20AT DURING S1 2022.</v>
      </c>
    </row>
    <row r="7" spans="1:7" ht="64.5">
      <c r="A7" s="4">
        <f ca="1">IFERROR(__xludf.DUMMYFUNCTION("""COMPUTED_VALUE"""),210237828)</f>
        <v>210237828</v>
      </c>
      <c r="B7" s="4" t="str">
        <f ca="1">IFERROR(__xludf.DUMMYFUNCTION("""COMPUTED_VALUE"""),"Mathabatha ")</f>
        <v xml:space="preserve">Mathabatha </v>
      </c>
      <c r="C7" s="4" t="str">
        <f ca="1">IFERROR(__xludf.DUMMYFUNCTION("""COMPUTED_VALUE"""),"MR")</f>
        <v>MR</v>
      </c>
      <c r="D7" s="4"/>
      <c r="E7" s="4" t="str">
        <f ca="1">IFERROR(__xludf.DUMMYFUNCTION("""COMPUTED_VALUE"""),"0826761645")</f>
        <v>0826761645</v>
      </c>
      <c r="F7" s="4" t="str">
        <f ca="1">IFERROR(__xludf.DUMMYFUNCTION("""COMPUTED_VALUE"""),"rhinemathabatha@gmail.com")</f>
        <v>rhinemathabatha@gmail.com</v>
      </c>
      <c r="G7"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8" spans="1:7" ht="77.25">
      <c r="A8" s="4">
        <f ca="1">IFERROR(__xludf.DUMMYFUNCTION("""COMPUTED_VALUE"""),218672094)</f>
        <v>218672094</v>
      </c>
      <c r="B8" s="4" t="str">
        <f ca="1">IFERROR(__xludf.DUMMYFUNCTION("""COMPUTED_VALUE"""),"Sibisi")</f>
        <v>Sibisi</v>
      </c>
      <c r="C8" s="4" t="str">
        <f ca="1">IFERROR(__xludf.DUMMYFUNCTION("""COMPUTED_VALUE"""),"Q")</f>
        <v>Q</v>
      </c>
      <c r="D8" s="4"/>
      <c r="E8" s="4" t="str">
        <f ca="1">IFERROR(__xludf.DUMMYFUNCTION("""COMPUTED_VALUE"""),"0818206858")</f>
        <v>0818206858</v>
      </c>
      <c r="F8" s="4" t="str">
        <f ca="1">IFERROR(__xludf.DUMMYFUNCTION("""COMPUTED_VALUE"""),"qinisani97@gmail.com")</f>
        <v>qinisani97@gmail.com</v>
      </c>
      <c r="G8"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row r="9" spans="1:7">
      <c r="A9" s="4">
        <f ca="1">IFERROR(__xludf.DUMMYFUNCTION("""COMPUTED_VALUE"""),218065465)</f>
        <v>218065465</v>
      </c>
      <c r="B9" s="4"/>
      <c r="C9" s="4"/>
      <c r="D9" s="4"/>
      <c r="E9" s="4"/>
      <c r="F9" s="4"/>
      <c r="G9" s="4" t="str">
        <f ca="1">IFERROR(__xludf.DUMMYFUNCTION("""COMPUTED_VALUE"""),"STUDENT MUST PASS TPG12AT, IDC30AT &amp; DSA20AT DURING S1 2022.")</f>
        <v>STUDENT MUST PASS TPG12AT, IDC30AT &amp; DSA20AT DURING S1 2022.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8" workbookViewId="0">
      <selection activeCell="A14" sqref="A14"/>
    </sheetView>
  </sheetViews>
  <sheetFormatPr defaultRowHeight="15"/>
  <cols>
    <col min="1" max="1" width="17.28515625" customWidth="1"/>
    <col min="2" max="2" width="19" customWidth="1"/>
    <col min="4" max="4" width="14" customWidth="1"/>
    <col min="5" max="5" width="15.5703125" customWidth="1"/>
    <col min="6" max="6" width="21.42578125" customWidth="1"/>
    <col min="7" max="7" width="33" customWidth="1"/>
  </cols>
  <sheetData>
    <row r="1" spans="1:7">
      <c r="A1" s="1" t="s">
        <v>0</v>
      </c>
      <c r="B1" s="1" t="s">
        <v>1</v>
      </c>
      <c r="C1" s="1" t="s">
        <v>2</v>
      </c>
      <c r="D1" s="1" t="s">
        <v>3</v>
      </c>
      <c r="E1" s="1" t="s">
        <v>4</v>
      </c>
      <c r="F1" s="1" t="s">
        <v>5</v>
      </c>
      <c r="G1" s="1" t="s">
        <v>6</v>
      </c>
    </row>
    <row r="2" spans="1:7" ht="77.25">
      <c r="A2" s="86">
        <f ca="1">IFERROR(__xludf.DUMMYFUNCTION("""COMPUTED_VALUE"""),217334861)</f>
        <v>217334861</v>
      </c>
      <c r="B2" s="86" t="str">
        <f ca="1">IFERROR(__xludf.DUMMYFUNCTION("""COMPUTED_VALUE"""),"Nyawo")</f>
        <v>Nyawo</v>
      </c>
      <c r="C2" s="86" t="str">
        <f ca="1">IFERROR(__xludf.DUMMYFUNCTION("""COMPUTED_VALUE"""),"AP")</f>
        <v>AP</v>
      </c>
      <c r="D2" s="86"/>
      <c r="E2" s="86" t="str">
        <f ca="1">IFERROR(__xludf.DUMMYFUNCTION("""COMPUTED_VALUE"""),"0721965595")</f>
        <v>0721965595</v>
      </c>
      <c r="F2" s="86" t="str">
        <f ca="1">IFERROR(__xludf.DUMMYFUNCTION("""COMPUTED_VALUE"""),"phumelele013@gmail.com")</f>
        <v>phumelele013@gmail.com</v>
      </c>
      <c r="G2"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row>
    <row r="3" spans="1:7" ht="128.25">
      <c r="A3" s="86">
        <f ca="1">IFERROR(__xludf.DUMMYFUNCTION("""COMPUTED_VALUE"""),216880692)</f>
        <v>216880692</v>
      </c>
      <c r="B3" s="86" t="str">
        <f ca="1">IFERROR(__xludf.DUMMYFUNCTION("""COMPUTED_VALUE"""),"Ntuli")</f>
        <v>Ntuli</v>
      </c>
      <c r="C3" s="86" t="str">
        <f ca="1">IFERROR(__xludf.DUMMYFUNCTION("""COMPUTED_VALUE"""),"BL")</f>
        <v>BL</v>
      </c>
      <c r="D3" s="86"/>
      <c r="E3" s="86" t="str">
        <f ca="1">IFERROR(__xludf.DUMMYFUNCTION("""COMPUTED_VALUE"""),"0712497642")</f>
        <v>0712497642</v>
      </c>
      <c r="F3" s="86" t="str">
        <f ca="1">IFERROR(__xludf.DUMMYFUNCTION("""COMPUTED_VALUE"""),"luther.ntuli@gmail.com")</f>
        <v>luther.ntuli@gmail.com</v>
      </c>
      <c r="G3"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4" spans="1:7" ht="77.25">
      <c r="A4" s="86">
        <f ca="1">IFERROR(__xludf.DUMMYFUNCTION("""COMPUTED_VALUE"""),219205902)</f>
        <v>219205902</v>
      </c>
      <c r="B4" s="86" t="str">
        <f ca="1">IFERROR(__xludf.DUMMYFUNCTION("""COMPUTED_VALUE"""),"Mafologelo")</f>
        <v>Mafologelo</v>
      </c>
      <c r="C4" s="86" t="str">
        <f ca="1">IFERROR(__xludf.DUMMYFUNCTION("""COMPUTED_VALUE"""),"P")</f>
        <v>P</v>
      </c>
      <c r="D4" s="86"/>
      <c r="E4" s="86" t="str">
        <f ca="1">IFERROR(__xludf.DUMMYFUNCTION("""COMPUTED_VALUE"""),"0714515056")</f>
        <v>0714515056</v>
      </c>
      <c r="F4" s="86" t="str">
        <f ca="1">IFERROR(__xludf.DUMMYFUNCTION("""COMPUTED_VALUE"""),"pontsho5597@gmail.com")</f>
        <v>pontsho5597@gmail.com</v>
      </c>
      <c r="G4" s="86"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5" spans="1:7" ht="77.25">
      <c r="A5" s="4">
        <f ca="1">IFERROR(__xludf.DUMMYFUNCTION("""COMPUTED_VALUE"""),218597130)</f>
        <v>218597130</v>
      </c>
      <c r="B5" s="4" t="str">
        <f ca="1">IFERROR(__xludf.DUMMYFUNCTION("""COMPUTED_VALUE"""),"TSHIHATU ")</f>
        <v xml:space="preserve">TSHIHATU </v>
      </c>
      <c r="C5" s="4" t="str">
        <f ca="1">IFERROR(__xludf.DUMMYFUNCTION("""COMPUTED_VALUE"""),"P")</f>
        <v>P</v>
      </c>
      <c r="D5" s="4"/>
      <c r="E5" s="4" t="str">
        <f ca="1">IFERROR(__xludf.DUMMYFUNCTION("""COMPUTED_VALUE"""),"0788736430")</f>
        <v>0788736430</v>
      </c>
      <c r="F5" s="4" t="str">
        <f ca="1">IFERROR(__xludf.DUMMYFUNCTION("""COMPUTED_VALUE"""),"pfarelotshihatu@gmail.com")</f>
        <v>pfarelotshihatu@gmail.com</v>
      </c>
      <c r="G5"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row>
    <row r="6" spans="1:7" ht="77.25">
      <c r="A6" s="86">
        <f ca="1">IFERROR(__xludf.DUMMYFUNCTION("""COMPUTED_VALUE"""),216185021)</f>
        <v>216185021</v>
      </c>
      <c r="B6" s="86" t="str">
        <f ca="1">IFERROR(__xludf.DUMMYFUNCTION("""COMPUTED_VALUE"""),"Sibiya")</f>
        <v>Sibiya</v>
      </c>
      <c r="C6" s="86" t="str">
        <f ca="1">IFERROR(__xludf.DUMMYFUNCTION("""COMPUTED_VALUE"""),"JT")</f>
        <v>JT</v>
      </c>
      <c r="D6" s="86"/>
      <c r="E6" s="86" t="str">
        <f ca="1">IFERROR(__xludf.DUMMYFUNCTION("""COMPUTED_VALUE"""),"0710294350")</f>
        <v>0710294350</v>
      </c>
      <c r="F6" s="86" t="str">
        <f ca="1">IFERROR(__xludf.DUMMYFUNCTION("""COMPUTED_VALUE"""),"216185021@tut4life.ac.za")</f>
        <v>216185021@tut4life.ac.za</v>
      </c>
      <c r="G6"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row>
    <row r="7" spans="1:7" ht="77.25">
      <c r="A7" s="4">
        <f ca="1">IFERROR(__xludf.DUMMYFUNCTION("""COMPUTED_VALUE"""),218152155)</f>
        <v>218152155</v>
      </c>
      <c r="B7" s="4" t="str">
        <f ca="1">IFERROR(__xludf.DUMMYFUNCTION("""COMPUTED_VALUE"""),"Komape ")</f>
        <v xml:space="preserve">Komape </v>
      </c>
      <c r="C7" s="4" t="str">
        <f ca="1">IFERROR(__xludf.DUMMYFUNCTION("""COMPUTED_VALUE"""),"U")</f>
        <v>U</v>
      </c>
      <c r="D7" s="4"/>
      <c r="E7" s="4" t="str">
        <f ca="1">IFERROR(__xludf.DUMMYFUNCTION("""COMPUTED_VALUE"""),"0792765450")</f>
        <v>0792765450</v>
      </c>
      <c r="F7" s="4" t="str">
        <f ca="1">IFERROR(__xludf.DUMMYFUNCTION("""COMPUTED_VALUE"""),"218152155@tut4life.ac.za")</f>
        <v>218152155@tut4life.ac.za</v>
      </c>
      <c r="G7"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8" spans="1:7" ht="77.25">
      <c r="A8" s="4">
        <f ca="1">IFERROR(__xludf.DUMMYFUNCTION("""COMPUTED_VALUE"""),214645971)</f>
        <v>214645971</v>
      </c>
      <c r="B8" s="4" t="str">
        <f ca="1">IFERROR(__xludf.DUMMYFUNCTION("""COMPUTED_VALUE"""),"Mncube ")</f>
        <v xml:space="preserve">Mncube </v>
      </c>
      <c r="C8" s="4" t="str">
        <f ca="1">IFERROR(__xludf.DUMMYFUNCTION("""COMPUTED_VALUE"""),"Z.A")</f>
        <v>Z.A</v>
      </c>
      <c r="D8" s="4"/>
      <c r="E8" s="4" t="str">
        <f ca="1">IFERROR(__xludf.DUMMYFUNCTION("""COMPUTED_VALUE"""),"0736580359")</f>
        <v>0736580359</v>
      </c>
      <c r="F8" s="4" t="str">
        <f ca="1">IFERROR(__xludf.DUMMYFUNCTION("""COMPUTED_VALUE"""),"214645971@tut4life.ac.za")</f>
        <v>214645971@tut4life.ac.za</v>
      </c>
      <c r="G8"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9" spans="1:7" ht="77.25">
      <c r="A9" s="119">
        <f ca="1">IFERROR(__xludf.DUMMYFUNCTION("""COMPUTED_VALUE"""),218221912)</f>
        <v>218221912</v>
      </c>
      <c r="B9" s="119" t="str">
        <f ca="1">IFERROR(__xludf.DUMMYFUNCTION("""COMPUTED_VALUE"""),"Mokobane")</f>
        <v>Mokobane</v>
      </c>
      <c r="C9" s="119" t="str">
        <f ca="1">IFERROR(__xludf.DUMMYFUNCTION("""COMPUTED_VALUE"""),"MR")</f>
        <v>MR</v>
      </c>
      <c r="D9" s="119"/>
      <c r="E9" s="119" t="str">
        <f ca="1">IFERROR(__xludf.DUMMYFUNCTION("""COMPUTED_VALUE"""),"0794269973")</f>
        <v>0794269973</v>
      </c>
      <c r="F9" s="119" t="str">
        <f ca="1">IFERROR(__xludf.DUMMYFUNCTION("""COMPUTED_VALUE"""),"mokobanemoraka@gmail.com")</f>
        <v>mokobanemoraka@gmail.com</v>
      </c>
      <c r="G9" s="119"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row>
    <row r="10" spans="1:7" ht="77.25">
      <c r="A10" s="86">
        <f ca="1">IFERROR(__xludf.DUMMYFUNCTION("""COMPUTED_VALUE"""),219624603)</f>
        <v>219624603</v>
      </c>
      <c r="B10" s="86" t="str">
        <f ca="1">IFERROR(__xludf.DUMMYFUNCTION("""COMPUTED_VALUE"""),"Mutavhatsindi")</f>
        <v>Mutavhatsindi</v>
      </c>
      <c r="C10" s="86" t="str">
        <f ca="1">IFERROR(__xludf.DUMMYFUNCTION("""COMPUTED_VALUE"""),"V")</f>
        <v>V</v>
      </c>
      <c r="D10" s="86"/>
      <c r="E10" s="86" t="str">
        <f ca="1">IFERROR(__xludf.DUMMYFUNCTION("""COMPUTED_VALUE"""),"0712121214")</f>
        <v>0712121214</v>
      </c>
      <c r="F10" s="86" t="str">
        <f ca="1">IFERROR(__xludf.DUMMYFUNCTION("""COMPUTED_VALUE"""),"219624603@tut4life.ac.za")</f>
        <v>219624603@tut4life.ac.za</v>
      </c>
      <c r="G10"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row>
    <row r="11" spans="1:7" ht="64.5">
      <c r="A11" s="86">
        <f ca="1">IFERROR(__xludf.DUMMYFUNCTION("""COMPUTED_VALUE"""),219390920)</f>
        <v>219390920</v>
      </c>
      <c r="B11" s="86" t="str">
        <f ca="1">IFERROR(__xludf.DUMMYFUNCTION("""COMPUTED_VALUE"""),"Rasemana")</f>
        <v>Rasemana</v>
      </c>
      <c r="C11" s="86" t="str">
        <f ca="1">IFERROR(__xludf.DUMMYFUNCTION("""COMPUTED_VALUE"""),"np")</f>
        <v>np</v>
      </c>
      <c r="D11" s="86"/>
      <c r="E11" s="86" t="str">
        <f ca="1">IFERROR(__xludf.DUMMYFUNCTION("""COMPUTED_VALUE"""),"0715849487")</f>
        <v>0715849487</v>
      </c>
      <c r="F11" s="86" t="str">
        <f ca="1">IFERROR(__xludf.DUMMYFUNCTION("""COMPUTED_VALUE"""),"penelopenkateko72@gmail.com")</f>
        <v>penelopenkateko72@gmail.com</v>
      </c>
      <c r="G11" s="86"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row>
    <row r="12" spans="1:7" ht="64.5">
      <c r="A12" s="86">
        <f ca="1">IFERROR(__xludf.DUMMYFUNCTION("""COMPUTED_VALUE"""),218083951)</f>
        <v>218083951</v>
      </c>
      <c r="B12" s="86" t="str">
        <f ca="1">IFERROR(__xludf.DUMMYFUNCTION("""COMPUTED_VALUE"""),"NTSHANGASE")</f>
        <v>NTSHANGASE</v>
      </c>
      <c r="C12" s="86" t="str">
        <f ca="1">IFERROR(__xludf.DUMMYFUNCTION("""COMPUTED_VALUE"""),"T")</f>
        <v>T</v>
      </c>
      <c r="D12" s="86"/>
      <c r="E12" s="86" t="str">
        <f ca="1">IFERROR(__xludf.DUMMYFUNCTION("""COMPUTED_VALUE"""),"0680575594")</f>
        <v>0680575594</v>
      </c>
      <c r="F12" s="86" t="str">
        <f ca="1">IFERROR(__xludf.DUMMYFUNCTION("""COMPUTED_VALUE"""),"teborokwezi@gmail.com")</f>
        <v>teborokwezi@gmail.com</v>
      </c>
      <c r="G12"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13" spans="1:7" ht="90">
      <c r="A13" s="86">
        <f ca="1">IFERROR(__xludf.DUMMYFUNCTION("""COMPUTED_VALUE"""),218060110)</f>
        <v>218060110</v>
      </c>
      <c r="B13" s="86" t="str">
        <f ca="1">IFERROR(__xludf.DUMMYFUNCTION("""COMPUTED_VALUE"""),"Skosana")</f>
        <v>Skosana</v>
      </c>
      <c r="C13" s="86" t="str">
        <f ca="1">IFERROR(__xludf.DUMMYFUNCTION("""COMPUTED_VALUE"""),"MI")</f>
        <v>MI</v>
      </c>
      <c r="D13" s="86"/>
      <c r="E13" s="86" t="str">
        <f ca="1">IFERROR(__xludf.DUMMYFUNCTION("""COMPUTED_VALUE"""),"0760718694")</f>
        <v>0760718694</v>
      </c>
      <c r="F13" s="86" t="str">
        <f ca="1">IFERROR(__xludf.DUMMYFUNCTION("""COMPUTED_VALUE"""),"218060110@tut4life.ac.za")</f>
        <v>218060110@tut4life.ac.za</v>
      </c>
      <c r="G13"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14" spans="1:7" ht="77.25">
      <c r="A14" s="86">
        <f ca="1">IFERROR(__xludf.DUMMYFUNCTION("""COMPUTED_VALUE"""),213152831)</f>
        <v>213152831</v>
      </c>
      <c r="B14" s="86" t="str">
        <f ca="1">IFERROR(__xludf.DUMMYFUNCTION("""COMPUTED_VALUE"""),"Maqashalala")</f>
        <v>Maqashalala</v>
      </c>
      <c r="C14" s="86" t="str">
        <f ca="1">IFERROR(__xludf.DUMMYFUNCTION("""COMPUTED_VALUE"""),"BC")</f>
        <v>BC</v>
      </c>
      <c r="D14" s="86"/>
      <c r="E14" s="86" t="str">
        <f ca="1">IFERROR(__xludf.DUMMYFUNCTION("""COMPUTED_VALUE"""),"0681428073")</f>
        <v>0681428073</v>
      </c>
      <c r="F14" s="86" t="str">
        <f ca="1">IFERROR(__xludf.DUMMYFUNCTION("""COMPUTED_VALUE"""),"bhekimaqashalala@gmail.com")</f>
        <v>bhekimaqashalala@gmail.com</v>
      </c>
      <c r="G14"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15" spans="1:7" ht="90">
      <c r="A15" s="85">
        <f ca="1">IFERROR(__xludf.DUMMYFUNCTION("""COMPUTED_VALUE"""),214491966)</f>
        <v>214491966</v>
      </c>
      <c r="B15" s="85" t="str">
        <f ca="1">IFERROR(__xludf.DUMMYFUNCTION("""COMPUTED_VALUE"""),"MAHLAULE")</f>
        <v>MAHLAULE</v>
      </c>
      <c r="C15" s="85" t="str">
        <f ca="1">IFERROR(__xludf.DUMMYFUNCTION("""COMPUTED_VALUE"""),"N")</f>
        <v>N</v>
      </c>
      <c r="D15" s="85"/>
      <c r="E15" s="85" t="str">
        <f ca="1">IFERROR(__xludf.DUMMYFUNCTION("""COMPUTED_VALUE"""),"0793265984")</f>
        <v>0793265984</v>
      </c>
      <c r="F15" s="85" t="str">
        <f ca="1">IFERROR(__xludf.DUMMYFUNCTION("""COMPUTED_VALUE"""),"Ndzalamamahlaule@gmail.com")</f>
        <v>Ndzalamamahlaule@gmail.com</v>
      </c>
      <c r="G15"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6" spans="1:7" ht="90">
      <c r="A16" s="4">
        <f ca="1">IFERROR(__xludf.DUMMYFUNCTION("""COMPUTED_VALUE"""),218412432)</f>
        <v>218412432</v>
      </c>
      <c r="B16" s="4" t="str">
        <f ca="1">IFERROR(__xludf.DUMMYFUNCTION("""COMPUTED_VALUE"""),"SEGOLOANE")</f>
        <v>SEGOLOANE</v>
      </c>
      <c r="C16" s="4" t="str">
        <f ca="1">IFERROR(__xludf.DUMMYFUNCTION("""COMPUTED_VALUE"""),"M")</f>
        <v>M</v>
      </c>
      <c r="D16" s="4"/>
      <c r="E16" s="4" t="str">
        <f ca="1">IFERROR(__xludf.DUMMYFUNCTION("""COMPUTED_VALUE"""),"+27793148421")</f>
        <v>+27793148421</v>
      </c>
      <c r="F16" s="4" t="str">
        <f ca="1">IFERROR(__xludf.DUMMYFUNCTION("""COMPUTED_VALUE"""),"Segoloanei@gmail.com")</f>
        <v>Segoloanei@gmail.com</v>
      </c>
      <c r="G16"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17" spans="1:7" ht="64.5">
      <c r="A17" s="18">
        <v>212118222</v>
      </c>
      <c r="B17" s="21" t="s">
        <v>10</v>
      </c>
      <c r="C17" s="21" t="s">
        <v>10</v>
      </c>
      <c r="D17" s="22"/>
      <c r="E17" s="23" t="s">
        <v>10</v>
      </c>
      <c r="F17" s="24" t="s">
        <v>590</v>
      </c>
      <c r="G17" s="25" t="s">
        <v>591</v>
      </c>
    </row>
  </sheetData>
  <hyperlinks>
    <hyperlink ref="F1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sqref="A1:XFD1048576"/>
    </sheetView>
  </sheetViews>
  <sheetFormatPr defaultRowHeight="15"/>
  <cols>
    <col min="1" max="1" width="15.42578125" customWidth="1"/>
    <col min="2" max="2" width="18.140625" customWidth="1"/>
    <col min="3" max="3" width="9.140625" customWidth="1"/>
    <col min="4" max="4" width="14.7109375" customWidth="1"/>
    <col min="5" max="5" width="15.42578125" customWidth="1"/>
    <col min="6" max="6" width="29.85546875" customWidth="1"/>
    <col min="7" max="7" width="36.42578125" customWidth="1"/>
    <col min="8" max="8" width="19.42578125" customWidth="1"/>
    <col min="9" max="9" width="33" customWidth="1"/>
    <col min="10" max="10" width="29.5703125" customWidth="1"/>
    <col min="11" max="11" width="19.5703125" customWidth="1"/>
    <col min="12" max="12" width="43" customWidth="1"/>
    <col min="13" max="13" width="26" customWidth="1"/>
    <col min="14" max="14" width="33.85546875" customWidth="1"/>
  </cols>
  <sheetData>
    <row r="1" spans="1:14" ht="30">
      <c r="A1" s="1" t="s">
        <v>0</v>
      </c>
      <c r="B1" s="1" t="s">
        <v>1</v>
      </c>
      <c r="C1" s="1" t="s">
        <v>2</v>
      </c>
      <c r="D1" s="1" t="s">
        <v>3</v>
      </c>
      <c r="E1" s="1" t="s">
        <v>4</v>
      </c>
      <c r="F1" s="1" t="s">
        <v>5</v>
      </c>
      <c r="G1" s="166" t="s">
        <v>6</v>
      </c>
      <c r="H1" s="202" t="s">
        <v>390</v>
      </c>
      <c r="I1" s="202" t="s">
        <v>391</v>
      </c>
      <c r="J1" s="202" t="s">
        <v>392</v>
      </c>
      <c r="K1" s="202" t="s">
        <v>393</v>
      </c>
      <c r="L1" s="202" t="s">
        <v>394</v>
      </c>
      <c r="M1" s="227" t="s">
        <v>395</v>
      </c>
      <c r="N1" s="202" t="s">
        <v>396</v>
      </c>
    </row>
    <row r="2" spans="1:14" ht="86.25" customHeight="1">
      <c r="A2" s="116">
        <f ca="1">IFERROR(__xludf.DUMMYFUNCTION("""COMPUTED_VALUE"""),215761851)</f>
        <v>215761851</v>
      </c>
      <c r="B2" s="116" t="str">
        <f ca="1">IFERROR(__xludf.DUMMYFUNCTION("""COMPUTED_VALUE"""),"Masesane")</f>
        <v>Masesane</v>
      </c>
      <c r="C2" s="116" t="str">
        <f ca="1">IFERROR(__xludf.DUMMYFUNCTION("""COMPUTED_VALUE"""),"HJM")</f>
        <v>HJM</v>
      </c>
      <c r="D2" s="117" t="s">
        <v>308</v>
      </c>
      <c r="E2" s="116" t="str">
        <f ca="1">IFERROR(__xludf.DUMMYFUNCTION("""COMPUTED_VALUE"""),"0637379233")</f>
        <v>0637379233</v>
      </c>
      <c r="F2" s="118" t="s">
        <v>397</v>
      </c>
      <c r="G2" s="221" t="s">
        <v>398</v>
      </c>
      <c r="H2" s="199" t="s">
        <v>399</v>
      </c>
      <c r="I2" s="222" t="s">
        <v>400</v>
      </c>
      <c r="J2" s="224"/>
      <c r="K2" t="s">
        <v>401</v>
      </c>
    </row>
    <row r="3" spans="1:14" ht="39">
      <c r="A3" s="83">
        <f ca="1">IFERROR(__xludf.DUMMYFUNCTION("""COMPUTED_VALUE"""),216819632)</f>
        <v>216819632</v>
      </c>
      <c r="B3" s="83" t="str">
        <f ca="1">IFERROR(__xludf.DUMMYFUNCTION("""COMPUTED_VALUE"""),"Baloyi")</f>
        <v>Baloyi</v>
      </c>
      <c r="C3" s="84" t="s">
        <v>86</v>
      </c>
      <c r="D3" s="84" t="s">
        <v>308</v>
      </c>
      <c r="E3" s="83" t="str">
        <f ca="1">IFERROR(__xludf.DUMMYFUNCTION("""COMPUTED_VALUE"""),"+27789833414")</f>
        <v>+27789833414</v>
      </c>
      <c r="F3" s="83" t="str">
        <f ca="1">IFERROR(__xludf.DUMMYFUNCTION("""COMPUTED_VALUE"""),"BanelweBaloyi@gmail.com")</f>
        <v>BanelweBaloyi@gmail.com</v>
      </c>
      <c r="G3" s="83" t="s">
        <v>402</v>
      </c>
      <c r="I3" t="s">
        <v>403</v>
      </c>
      <c r="K3" t="s">
        <v>401</v>
      </c>
    </row>
    <row r="4" spans="1:14" ht="77.25">
      <c r="A4" s="85">
        <f ca="1">IFERROR(__xludf.DUMMYFUNCTION("""COMPUTED_VALUE"""),216842804)</f>
        <v>216842804</v>
      </c>
      <c r="B4" s="85" t="str">
        <f ca="1">IFERROR(__xludf.DUMMYFUNCTION("""COMPUTED_VALUE"""),"Mlahleki ")</f>
        <v xml:space="preserve">Mlahleki </v>
      </c>
      <c r="C4" s="85" t="str">
        <f ca="1">IFERROR(__xludf.DUMMYFUNCTION("""COMPUTED_VALUE"""),"AN")</f>
        <v>AN</v>
      </c>
      <c r="D4" s="84" t="s">
        <v>308</v>
      </c>
      <c r="E4" s="85" t="str">
        <f ca="1">IFERROR(__xludf.DUMMYFUNCTION("""COMPUTED_VALUE"""),"0723348630")</f>
        <v>0723348630</v>
      </c>
      <c r="F4" s="85" t="str">
        <f ca="1">IFERROR(__xludf.DUMMYFUNCTION("""COMPUTED_VALUE"""),"nhlanhlaauthority009@gmail.com")</f>
        <v>nhlanhlaauthority009@gmail.com</v>
      </c>
      <c r="G4" s="85" t="s">
        <v>404</v>
      </c>
      <c r="I4" t="s">
        <v>403</v>
      </c>
      <c r="K4" t="s">
        <v>401</v>
      </c>
    </row>
    <row r="5" spans="1:14" ht="77.25">
      <c r="A5" s="86">
        <f ca="1">IFERROR(__xludf.DUMMYFUNCTION("""COMPUTED_VALUE"""),214073218)</f>
        <v>214073218</v>
      </c>
      <c r="B5" s="86" t="str">
        <f ca="1">IFERROR(__xludf.DUMMYFUNCTION("""COMPUTED_VALUE"""),"Mathebula")</f>
        <v>Mathebula</v>
      </c>
      <c r="C5" s="86" t="s">
        <v>187</v>
      </c>
      <c r="D5" s="82" t="s">
        <v>308</v>
      </c>
      <c r="E5" s="86" t="str">
        <f ca="1">IFERROR(__xludf.DUMMYFUNCTION("""COMPUTED_VALUE"""),"0719127340")</f>
        <v>0719127340</v>
      </c>
      <c r="F5" s="86" t="str">
        <f ca="1">IFERROR(__xludf.DUMMYFUNCTION("""COMPUTED_VALUE"""),"thandy.mathebula94@gmail.com")</f>
        <v>thandy.mathebula94@gmail.com</v>
      </c>
      <c r="G5" s="86" t="str">
        <f ca="1">IFERROR(__xludf.DUMMYFUNCTION("""COMPUTED_VALUE"""),"STUDENT MUST PASS DSO24BT AND TPG201T DURING S1 2022 AND REPORT FOR ACADEMIC INTERVENTION. STUDENT WILL BE ABLE TO FINISH WITHIN TEACH OUT PLAN.")</f>
        <v>STUDENT MUST PASS DSO24BT AND TPG201T DURING S1 2022 AND REPORT FOR ACADEMIC INTERVENTION. STUDENT WILL BE ABLE TO FINISH WITHIN TEACH OUT PLAN.</v>
      </c>
      <c r="I5" t="s">
        <v>400</v>
      </c>
      <c r="K5" t="s">
        <v>401</v>
      </c>
    </row>
    <row r="6" spans="1:14" ht="26.25">
      <c r="A6" s="85">
        <f ca="1">IFERROR(__xludf.DUMMYFUNCTION("""COMPUTED_VALUE"""),214808382)</f>
        <v>214808382</v>
      </c>
      <c r="B6" s="85" t="str">
        <f ca="1">IFERROR(__xludf.DUMMYFUNCTION("""COMPUTED_VALUE"""),"Malungwana")</f>
        <v>Malungwana</v>
      </c>
      <c r="C6" s="85" t="str">
        <f ca="1">IFERROR(__xludf.DUMMYFUNCTION("""COMPUTED_VALUE"""),"T")</f>
        <v>T</v>
      </c>
      <c r="D6" s="84" t="s">
        <v>308</v>
      </c>
      <c r="E6" s="85" t="str">
        <f ca="1">IFERROR(__xludf.DUMMYFUNCTION("""COMPUTED_VALUE"""),"0792775570")</f>
        <v>0792775570</v>
      </c>
      <c r="F6" s="85" t="str">
        <f ca="1">IFERROR(__xludf.DUMMYFUNCTION("""COMPUTED_VALUE"""),"tmalungwana@gmail.com")</f>
        <v>tmalungwana@gmail.com</v>
      </c>
      <c r="G6" s="85" t="str">
        <f ca="1">IFERROR(__xludf.DUMMYFUNCTION("""COMPUTED_VALUE"""),"Student need to pass TPG201T during S1 2022 and report for academic intervention.")</f>
        <v>Student need to pass TPG201T during S1 2022 and report for academic intervention.</v>
      </c>
      <c r="I6" s="172" t="s">
        <v>403</v>
      </c>
      <c r="K6" t="s">
        <v>401</v>
      </c>
    </row>
    <row r="7" spans="1:14" s="115" customFormat="1" ht="39">
      <c r="A7" s="150">
        <f ca="1">IFERROR(__xludf.DUMMYFUNCTION("""COMPUTED_VALUE"""),216394062)</f>
        <v>216394062</v>
      </c>
      <c r="B7" s="150" t="str">
        <f ca="1">IFERROR(__xludf.DUMMYFUNCTION("""COMPUTED_VALUE"""),"Mavasa")</f>
        <v>Mavasa</v>
      </c>
      <c r="C7" s="150" t="str">
        <f ca="1">IFERROR(__xludf.DUMMYFUNCTION("""COMPUTED_VALUE"""),"S")</f>
        <v>S</v>
      </c>
      <c r="D7" s="252" t="s">
        <v>308</v>
      </c>
      <c r="E7" s="150" t="str">
        <f ca="1">IFERROR(__xludf.DUMMYFUNCTION("""COMPUTED_VALUE"""),"0784818616")</f>
        <v>0784818616</v>
      </c>
      <c r="F7" s="150" t="str">
        <f ca="1">IFERROR(__xludf.DUMMYFUNCTION("""COMPUTED_VALUE"""),"Salvations26@gmail.com")</f>
        <v>Salvations26@gmail.com</v>
      </c>
      <c r="G7" s="150" t="str">
        <f ca="1">IFERROR(__xludf.DUMMYFUNCTION("""COMPUTED_VALUE"""),"Student need to pass TPG201T, AND DSO34AT during S1 2022 and has to report for academic intervention")</f>
        <v>Student need to pass TPG201T, AND DSO34AT during S1 2022 and has to report for academic intervention</v>
      </c>
      <c r="I7" s="115" t="s">
        <v>400</v>
      </c>
      <c r="J7" s="115" t="s">
        <v>405</v>
      </c>
      <c r="K7" s="115" t="s">
        <v>401</v>
      </c>
      <c r="L7" s="240" t="s">
        <v>406</v>
      </c>
      <c r="N7" s="240" t="s">
        <v>407</v>
      </c>
    </row>
    <row r="8" spans="1:14" s="115" customFormat="1" ht="60">
      <c r="A8" s="150">
        <f ca="1">IFERROR(__xludf.DUMMYFUNCTION("""COMPUTED_VALUE"""),216413423)</f>
        <v>216413423</v>
      </c>
      <c r="B8" s="150" t="str">
        <f ca="1">IFERROR(__xludf.DUMMYFUNCTION("""COMPUTED_VALUE"""),"Hlungwani ")</f>
        <v xml:space="preserve">Hlungwani </v>
      </c>
      <c r="C8" s="150" t="str">
        <f ca="1">IFERROR(__xludf.DUMMYFUNCTION("""COMPUTED_VALUE"""),"SN")</f>
        <v>SN</v>
      </c>
      <c r="D8" s="252" t="s">
        <v>308</v>
      </c>
      <c r="E8" s="150" t="str">
        <f ca="1">IFERROR(__xludf.DUMMYFUNCTION("""COMPUTED_VALUE"""),"0813971209")</f>
        <v>0813971209</v>
      </c>
      <c r="F8" s="150" t="str">
        <f ca="1">IFERROR(__xludf.DUMMYFUNCTION("""COMPUTED_VALUE"""),"216413423@tut4life.ac.za")</f>
        <v>216413423@tut4life.ac.za</v>
      </c>
      <c r="G8" s="150" t="str">
        <f ca="1">IFERROR(__xludf.DUMMYFUNCTION("""COMPUTED_VALUE"""),"Student need to pass TPG201T during S1 2022 and has to report for academic intervention")</f>
        <v>Student need to pass TPG201T during S1 2022 and has to report for academic intervention</v>
      </c>
      <c r="I8" s="115" t="s">
        <v>400</v>
      </c>
      <c r="J8" s="115" t="s">
        <v>405</v>
      </c>
      <c r="K8" s="115" t="s">
        <v>401</v>
      </c>
      <c r="L8" s="240" t="s">
        <v>408</v>
      </c>
      <c r="N8" s="253" t="s">
        <v>409</v>
      </c>
    </row>
    <row r="9" spans="1:14" ht="51.75">
      <c r="A9" s="86">
        <f ca="1">IFERROR(__xludf.DUMMYFUNCTION("""COMPUTED_VALUE"""),216876202)</f>
        <v>216876202</v>
      </c>
      <c r="B9" s="86" t="s">
        <v>410</v>
      </c>
      <c r="C9" s="86" t="str">
        <f ca="1">IFERROR(__xludf.DUMMYFUNCTION("""COMPUTED_VALUE"""),"mn ")</f>
        <v xml:space="preserve">mn </v>
      </c>
      <c r="D9" s="82" t="s">
        <v>308</v>
      </c>
      <c r="E9" s="86" t="str">
        <f ca="1">IFERROR(__xludf.DUMMYFUNCTION("""COMPUTED_VALUE"""),"0713063986")</f>
        <v>0713063986</v>
      </c>
      <c r="F9" s="86" t="str">
        <f ca="1">IFERROR(__xludf.DUMMYFUNCTION("""COMPUTED_VALUE"""),"mabuzamuzikayifani@gmail.com")</f>
        <v>mabuzamuzikayifani@gmail.com</v>
      </c>
      <c r="G9" s="86" t="str">
        <f ca="1">IFERROR(__xludf.DUMMYFUNCTION("""COMPUTED_VALUE"""),"PASS TPG201T ISY23AT/BT  DSO23BT DURING S1 2022. STUDENT HAS TO REPORT FOR ACADEMIC INTERVENTION. ")</f>
        <v xml:space="preserve">PASS TPG201T ISY23AT/BT  DSO23BT DURING S1 2022. STUDENT HAS TO REPORT FOR ACADEMIC INTERVENTION. </v>
      </c>
      <c r="I9" s="172" t="s">
        <v>400</v>
      </c>
      <c r="K9" t="s">
        <v>411</v>
      </c>
    </row>
    <row r="10" spans="1:14" ht="60">
      <c r="A10" s="86">
        <f ca="1">IFERROR(__xludf.DUMMYFUNCTION("""COMPUTED_VALUE"""),216945417)</f>
        <v>216945417</v>
      </c>
      <c r="B10" s="86" t="str">
        <f ca="1">IFERROR(__xludf.DUMMYFUNCTION("""COMPUTED_VALUE"""),"Bapela ")</f>
        <v xml:space="preserve">Bapela </v>
      </c>
      <c r="C10" s="86" t="str">
        <f ca="1">IFERROR(__xludf.DUMMYFUNCTION("""COMPUTED_VALUE"""),"B")</f>
        <v>B</v>
      </c>
      <c r="D10" s="82" t="s">
        <v>308</v>
      </c>
      <c r="E10" s="86" t="str">
        <f ca="1">IFERROR(__xludf.DUMMYFUNCTION("""COMPUTED_VALUE"""),"797637038")</f>
        <v>797637038</v>
      </c>
      <c r="F10" s="86" t="str">
        <f ca="1">IFERROR(__xludf.DUMMYFUNCTION("""COMPUTED_VALUE"""),"bridgetejake@gmail.com")</f>
        <v>bridgetejake@gmail.com</v>
      </c>
      <c r="G10" s="86" t="str">
        <f ca="1">IFERROR(__xludf.DUMMYFUNCTION("""COMPUTED_VALUE"""),"TPG201T PASS DURING S1 2022. STUDENT HAS TO REPORT FOR ACADEMIC INTERVENTION.")</f>
        <v>TPG201T PASS DURING S1 2022. STUDENT HAS TO REPORT FOR ACADEMIC INTERVENTION.</v>
      </c>
      <c r="H10" s="156"/>
      <c r="I10" s="87" t="s">
        <v>400</v>
      </c>
      <c r="J10" s="87" t="s">
        <v>405</v>
      </c>
      <c r="K10" s="87" t="s">
        <v>401</v>
      </c>
      <c r="L10" s="232" t="s">
        <v>408</v>
      </c>
      <c r="M10" s="87"/>
      <c r="N10" s="235" t="s">
        <v>409</v>
      </c>
    </row>
    <row r="11" spans="1:14" ht="60">
      <c r="A11" s="86">
        <f ca="1">IFERROR(__xludf.DUMMYFUNCTION("""COMPUTED_VALUE"""),216995287)</f>
        <v>216995287</v>
      </c>
      <c r="B11" s="86" t="str">
        <f ca="1">IFERROR(__xludf.DUMMYFUNCTION("""COMPUTED_VALUE"""),"Masinge")</f>
        <v>Masinge</v>
      </c>
      <c r="C11" s="86" t="str">
        <f ca="1">IFERROR(__xludf.DUMMYFUNCTION("""COMPUTED_VALUE"""),"TM")</f>
        <v>TM</v>
      </c>
      <c r="D11" s="82" t="s">
        <v>308</v>
      </c>
      <c r="E11" s="86" t="str">
        <f ca="1">IFERROR(__xludf.DUMMYFUNCTION("""COMPUTED_VALUE"""),"+27678969672")</f>
        <v>+27678969672</v>
      </c>
      <c r="F11" s="86" t="str">
        <f ca="1">IFERROR(__xludf.DUMMYFUNCTION("""COMPUTED_VALUE"""),"216995287@tut4life.ac.za")</f>
        <v>216995287@tut4life.ac.za</v>
      </c>
      <c r="G11" s="86" t="str">
        <f ca="1">IFERROR(__xludf.DUMMYFUNCTION("""COMPUTED_VALUE"""),"TPG201T PASS DURING S1 2022. STUDENT HAS TO REPORT FOR ACADEMIC INTERVENTION.")</f>
        <v>TPG201T PASS DURING S1 2022. STUDENT HAS TO REPORT FOR ACADEMIC INTERVENTION.</v>
      </c>
      <c r="H11" s="87"/>
      <c r="I11" s="236" t="s">
        <v>403</v>
      </c>
      <c r="J11" s="87" t="s">
        <v>405</v>
      </c>
      <c r="K11" s="87" t="s">
        <v>411</v>
      </c>
      <c r="L11" s="232" t="s">
        <v>408</v>
      </c>
      <c r="M11" s="87"/>
      <c r="N11" s="235" t="s">
        <v>409</v>
      </c>
    </row>
    <row r="12" spans="1:14" ht="30">
      <c r="A12" s="86">
        <f ca="1">IFERROR(__xludf.DUMMYFUNCTION("""COMPUTED_VALUE"""),217093910)</f>
        <v>217093910</v>
      </c>
      <c r="B12" s="86" t="str">
        <f ca="1">IFERROR(__xludf.DUMMYFUNCTION("""COMPUTED_VALUE"""),"Masipa")</f>
        <v>Masipa</v>
      </c>
      <c r="C12" s="86" t="str">
        <f ca="1">IFERROR(__xludf.DUMMYFUNCTION("""COMPUTED_VALUE"""),"K")</f>
        <v>K</v>
      </c>
      <c r="D12" s="82" t="s">
        <v>308</v>
      </c>
      <c r="E12" s="86" t="str">
        <f ca="1">IFERROR(__xludf.DUMMYFUNCTION("""COMPUTED_VALUE"""),"768662824")</f>
        <v>768662824</v>
      </c>
      <c r="F12" s="86" t="str">
        <f ca="1">IFERROR(__xludf.DUMMYFUNCTION("""COMPUTED_VALUE"""),"217093910@tut4life.ac.za")</f>
        <v>217093910@tut4life.ac.za</v>
      </c>
      <c r="G12" s="86" t="str">
        <f ca="1">IFERROR(__xludf.DUMMYFUNCTION("""COMPUTED_VALUE"""),"TPG201T PASS S1 2022. ACADEMIC INTERVENTION.")</f>
        <v>TPG201T PASS S1 2022. ACADEMIC INTERVENTION.</v>
      </c>
      <c r="I12" t="s">
        <v>400</v>
      </c>
      <c r="J12" t="s">
        <v>405</v>
      </c>
      <c r="K12" t="s">
        <v>401</v>
      </c>
      <c r="L12" s="233" t="s">
        <v>412</v>
      </c>
      <c r="N12" t="s">
        <v>409</v>
      </c>
    </row>
    <row r="13" spans="1:14" ht="57.75" customHeight="1">
      <c r="A13" s="86">
        <f ca="1">IFERROR(__xludf.DUMMYFUNCTION("""COMPUTED_VALUE"""),217488338)</f>
        <v>217488338</v>
      </c>
      <c r="B13" s="86" t="str">
        <f ca="1">IFERROR(__xludf.DUMMYFUNCTION("""COMPUTED_VALUE"""),"Kobedi")</f>
        <v>Kobedi</v>
      </c>
      <c r="C13" s="86" t="str">
        <f ca="1">IFERROR(__xludf.DUMMYFUNCTION("""COMPUTED_VALUE"""),"P T K O")</f>
        <v>P T K O</v>
      </c>
      <c r="D13" s="82" t="s">
        <v>308</v>
      </c>
      <c r="E13" s="86" t="str">
        <f ca="1">IFERROR(__xludf.DUMMYFUNCTION("""COMPUTED_VALUE"""),"0791620190")</f>
        <v>0791620190</v>
      </c>
      <c r="F13" s="86" t="str">
        <f ca="1">IFERROR(__xludf.DUMMYFUNCTION("""COMPUTED_VALUE"""),"217488338@tut4life.ac.za")</f>
        <v>217488338@tut4life.ac.za</v>
      </c>
      <c r="G13" s="86" t="str">
        <f ca="1">IFERROR(__xludf.DUMMYFUNCTION("""COMPUTED_VALUE"""),"STUDENT MUST ASS TPG201T &amp; ISY34AT DURING S1 2022 +REPORT FOR ACADEMIC INTERVENTION")</f>
        <v>STUDENT MUST ASS TPG201T &amp; ISY34AT DURING S1 2022 +REPORT FOR ACADEMIC INTERVENTION</v>
      </c>
      <c r="H13" s="87"/>
      <c r="I13" s="87" t="s">
        <v>400</v>
      </c>
      <c r="J13" s="87" t="s">
        <v>405</v>
      </c>
      <c r="K13" s="87" t="s">
        <v>401</v>
      </c>
      <c r="L13" s="232" t="s">
        <v>413</v>
      </c>
      <c r="M13" s="87"/>
      <c r="N13" s="87"/>
    </row>
    <row r="14" spans="1:14" ht="39">
      <c r="A14" s="86">
        <f ca="1">IFERROR(__xludf.DUMMYFUNCTION("""COMPUTED_VALUE"""),217525357)</f>
        <v>217525357</v>
      </c>
      <c r="B14" s="86" t="str">
        <f ca="1">IFERROR(__xludf.DUMMYFUNCTION("""COMPUTED_VALUE"""),"ZULU")</f>
        <v>ZULU</v>
      </c>
      <c r="C14" s="86" t="str">
        <f ca="1">IFERROR(__xludf.DUMMYFUNCTION("""COMPUTED_VALUE"""),"VD")</f>
        <v>VD</v>
      </c>
      <c r="D14" s="82" t="s">
        <v>308</v>
      </c>
      <c r="E14" s="86" t="str">
        <f ca="1">IFERROR(__xludf.DUMMYFUNCTION("""COMPUTED_VALUE"""),"0796896541")</f>
        <v>0796896541</v>
      </c>
      <c r="F14" s="86" t="str">
        <f ca="1">IFERROR(__xludf.DUMMYFUNCTION("""COMPUTED_VALUE"""),"diploma.zulu@gmail.com")</f>
        <v>diploma.zulu@gmail.com</v>
      </c>
      <c r="G14" s="86" t="str">
        <f ca="1">IFERROR(__xludf.DUMMYFUNCTION("""COMPUTED_VALUE"""),"DSO23AT TPG201T ISY23BT SSF24BT  PASS S1 2022 + ACADEMIC INTERVENTION")</f>
        <v>DSO23AT TPG201T ISY23BT SSF24BT  PASS S1 2022 + ACADEMIC INTERVENTION</v>
      </c>
      <c r="I14" t="s">
        <v>400</v>
      </c>
      <c r="K14" t="s">
        <v>401</v>
      </c>
    </row>
    <row r="15" spans="1:14" ht="39">
      <c r="A15" s="85">
        <f ca="1">IFERROR(__xludf.DUMMYFUNCTION("""COMPUTED_VALUE"""),218390080)</f>
        <v>218390080</v>
      </c>
      <c r="B15" s="85" t="str">
        <f ca="1">IFERROR(__xludf.DUMMYFUNCTION("""COMPUTED_VALUE"""),"Shekwa")</f>
        <v>Shekwa</v>
      </c>
      <c r="C15" s="85" t="str">
        <f ca="1">IFERROR(__xludf.DUMMYFUNCTION("""COMPUTED_VALUE"""),"NT")</f>
        <v>NT</v>
      </c>
      <c r="D15" s="84" t="s">
        <v>308</v>
      </c>
      <c r="E15" s="85" t="str">
        <f ca="1">IFERROR(__xludf.DUMMYFUNCTION("""COMPUTED_VALUE"""),"0661512368")</f>
        <v>0661512368</v>
      </c>
      <c r="F15" s="85" t="str">
        <f ca="1">IFERROR(__xludf.DUMMYFUNCTION("""COMPUTED_VALUE"""),"nonhlanhlarorisang2020@gmail.com")</f>
        <v>nonhlanhlarorisang2020@gmail.com</v>
      </c>
      <c r="G15" s="85" t="str">
        <f ca="1">IFERROR(__xludf.DUMMYFUNCTION("""COMPUTED_VALUE"""),"STUDENT MUST PASS TPG201T &amp; ISY34AT DURING S1 2022 + REPORT FOR ACADEMIC INTERVENTION")</f>
        <v>STUDENT MUST PASS TPG201T &amp; ISY34AT DURING S1 2022 + REPORT FOR ACADEMIC INTERVENTION</v>
      </c>
      <c r="I15" s="172" t="s">
        <v>403</v>
      </c>
      <c r="K15" t="s">
        <v>411</v>
      </c>
    </row>
    <row r="16" spans="1:14" ht="51.75">
      <c r="A16" s="86">
        <f ca="1">IFERROR(__xludf.DUMMYFUNCTION("""COMPUTED_VALUE"""),219631014)</f>
        <v>219631014</v>
      </c>
      <c r="B16" s="86" t="str">
        <f ca="1">IFERROR(__xludf.DUMMYFUNCTION("""COMPUTED_VALUE"""),"Malatji ")</f>
        <v xml:space="preserve">Malatji </v>
      </c>
      <c r="C16" s="86" t="str">
        <f ca="1">IFERROR(__xludf.DUMMYFUNCTION("""COMPUTED_VALUE"""),"W")</f>
        <v>W</v>
      </c>
      <c r="D16" s="82" t="s">
        <v>308</v>
      </c>
      <c r="E16" s="86" t="str">
        <f ca="1">IFERROR(__xludf.DUMMYFUNCTION("""COMPUTED_VALUE"""),"606386534")</f>
        <v>606386534</v>
      </c>
      <c r="F16" s="86" t="str">
        <f ca="1">IFERROR(__xludf.DUMMYFUNCTION("""COMPUTED_VALUE"""),"219631014@tut4life.ac.za")</f>
        <v>219631014@tut4life.ac.za</v>
      </c>
      <c r="G16" s="86"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I16" t="s">
        <v>400</v>
      </c>
      <c r="J16" t="s">
        <v>405</v>
      </c>
      <c r="K16" t="s">
        <v>401</v>
      </c>
      <c r="L16" s="232" t="s">
        <v>414</v>
      </c>
      <c r="N16" s="233" t="s">
        <v>415</v>
      </c>
    </row>
    <row r="17" spans="1:14" ht="51.75">
      <c r="A17" s="86">
        <f ca="1">IFERROR(__xludf.DUMMYFUNCTION("""COMPUTED_VALUE"""),216842723)</f>
        <v>216842723</v>
      </c>
      <c r="B17" s="86" t="str">
        <f ca="1">IFERROR(__xludf.DUMMYFUNCTION("""COMPUTED_VALUE"""),"Siswana")</f>
        <v>Siswana</v>
      </c>
      <c r="C17" s="86" t="str">
        <f ca="1">IFERROR(__xludf.DUMMYFUNCTION("""COMPUTED_VALUE"""),"B")</f>
        <v>B</v>
      </c>
      <c r="D17" s="82" t="s">
        <v>308</v>
      </c>
      <c r="E17" s="86" t="str">
        <f ca="1">IFERROR(__xludf.DUMMYFUNCTION("""COMPUTED_VALUE"""),"0634442883")</f>
        <v>0634442883</v>
      </c>
      <c r="F17" s="86" t="str">
        <f ca="1">IFERROR(__xludf.DUMMYFUNCTION("""COMPUTED_VALUE"""),"bubusiswana@gmail.com")</f>
        <v>bubusiswana@gmail.com</v>
      </c>
      <c r="G17" s="86" t="str">
        <f ca="1">IFERROR(__xludf.DUMMYFUNCTION("""COMPUTED_VALUE"""),"TPG201T WAS FAILED 3 TIMES, DSO34BT PROBATION - PASS S1 2022 + REPORT FOR ACADEMIC INTERVENTION")</f>
        <v>TPG201T WAS FAILED 3 TIMES, DSO34BT PROBATION - PASS S1 2022 + REPORT FOR ACADEMIC INTERVENTION</v>
      </c>
      <c r="I17" t="s">
        <v>416</v>
      </c>
      <c r="J17" t="s">
        <v>405</v>
      </c>
      <c r="K17" t="s">
        <v>411</v>
      </c>
      <c r="L17" s="233" t="s">
        <v>412</v>
      </c>
      <c r="N17" t="s">
        <v>409</v>
      </c>
    </row>
    <row r="18" spans="1:14" ht="39">
      <c r="A18" s="86">
        <f ca="1">IFERROR(__xludf.DUMMYFUNCTION("""COMPUTED_VALUE"""),216542592)</f>
        <v>216542592</v>
      </c>
      <c r="B18" s="86" t="str">
        <f ca="1">IFERROR(__xludf.DUMMYFUNCTION("""COMPUTED_VALUE"""),"Phahla")</f>
        <v>Phahla</v>
      </c>
      <c r="C18" s="86" t="str">
        <f ca="1">IFERROR(__xludf.DUMMYFUNCTION("""COMPUTED_VALUE"""),"DM")</f>
        <v>DM</v>
      </c>
      <c r="D18" s="82" t="s">
        <v>308</v>
      </c>
      <c r="E18" s="86" t="str">
        <f ca="1">IFERROR(__xludf.DUMMYFUNCTION("""COMPUTED_VALUE"""),"0727006159")</f>
        <v>0727006159</v>
      </c>
      <c r="F18" s="86" t="str">
        <f ca="1">IFERROR(__xludf.DUMMYFUNCTION("""COMPUTED_VALUE"""),"dineophahla61@gmail.com")</f>
        <v>dineophahla61@gmail.com</v>
      </c>
      <c r="G18" s="86" t="str">
        <f ca="1">IFERROR(__xludf.DUMMYFUNCTION("""COMPUTED_VALUE"""),"STUDENT MUST PASS TPG201T DURING S1 2022 AND REPORT FOR ACADEMIC INTERVENTION.")</f>
        <v>STUDENT MUST PASS TPG201T DURING S1 2022 AND REPORT FOR ACADEMIC INTERVENTION.</v>
      </c>
      <c r="I18" t="s">
        <v>400</v>
      </c>
      <c r="J18" t="s">
        <v>405</v>
      </c>
      <c r="K18" t="s">
        <v>411</v>
      </c>
      <c r="L18" s="233" t="s">
        <v>412</v>
      </c>
      <c r="N18" t="s">
        <v>409</v>
      </c>
    </row>
    <row r="19" spans="1:14" ht="47.25" customHeight="1">
      <c r="A19" s="4">
        <f ca="1">IFERROR(__xludf.DUMMYFUNCTION("""COMPUTED_VALUE"""),217018137)</f>
        <v>217018137</v>
      </c>
      <c r="B19" s="4"/>
      <c r="C19" s="4"/>
      <c r="D19" s="3" t="s">
        <v>308</v>
      </c>
      <c r="E19" s="4"/>
      <c r="F19" s="4"/>
      <c r="G19" s="4" t="str">
        <f ca="1">IFERROR(__xludf.DUMMYFUNCTION("""COMPUTED_VALUE"""),"STUDENT NEED TO PASS TPG201T DURING S1 2022 AND REPORT FOR ACADEMIC INTERVENTION.")</f>
        <v>STUDENT NEED TO PASS TPG201T DURING S1 2022 AND REPORT FOR ACADEMIC INTERVENTION.</v>
      </c>
      <c r="I19" s="172" t="s">
        <v>403</v>
      </c>
      <c r="K19" t="s">
        <v>411</v>
      </c>
    </row>
    <row r="20" spans="1:14" ht="40.5" customHeight="1">
      <c r="A20" s="4">
        <f ca="1">IFERROR(__xludf.DUMMYFUNCTION("""COMPUTED_VALUE"""),217046459)</f>
        <v>217046459</v>
      </c>
      <c r="B20" s="4"/>
      <c r="C20" s="4"/>
      <c r="D20" s="3" t="s">
        <v>308</v>
      </c>
      <c r="E20" s="4"/>
      <c r="F20" s="4"/>
      <c r="G20" s="4" t="str">
        <f ca="1">IFERROR(__xludf.DUMMYFUNCTION("""COMPUTED_VALUE"""),"STUDENT NEED TO PASS TPG201T DURING S1 2022 AND REPORT FOR ACADEMIC INTERVENTION.")</f>
        <v>STUDENT NEED TO PASS TPG201T DURING S1 2022 AND REPORT FOR ACADEMIC INTERVENTION.</v>
      </c>
      <c r="I20" s="172" t="s">
        <v>403</v>
      </c>
      <c r="K20" t="s">
        <v>411</v>
      </c>
    </row>
    <row r="21" spans="1:14" ht="41.25" customHeight="1">
      <c r="A21" s="4">
        <f ca="1">IFERROR(__xludf.DUMMYFUNCTION("""COMPUTED_VALUE"""),217068185)</f>
        <v>217068185</v>
      </c>
      <c r="B21" s="4"/>
      <c r="C21" s="4"/>
      <c r="D21" s="3" t="s">
        <v>308</v>
      </c>
      <c r="E21" s="4"/>
      <c r="F21" s="4"/>
      <c r="G21" s="4" t="str">
        <f ca="1">IFERROR(__xludf.DUMMYFUNCTION("""COMPUTED_VALUE"""),"STUDENT NEED TO PASS TPG201T DURING S1 2022 AND REPORT FOR ACADEMIC INTERVENTION.")</f>
        <v>STUDENT NEED TO PASS TPG201T DURING S1 2022 AND REPORT FOR ACADEMIC INTERVENTION.</v>
      </c>
      <c r="I21" s="172" t="s">
        <v>403</v>
      </c>
      <c r="K21" t="s">
        <v>411</v>
      </c>
    </row>
    <row r="22" spans="1:14" ht="60">
      <c r="A22" s="86">
        <f ca="1">IFERROR(__xludf.DUMMYFUNCTION("""COMPUTED_VALUE"""),217215153)</f>
        <v>217215153</v>
      </c>
      <c r="B22" s="86" t="str">
        <f ca="1">IFERROR(__xludf.DUMMYFUNCTION("""COMPUTED_VALUE"""),"Ntjana")</f>
        <v>Ntjana</v>
      </c>
      <c r="C22" s="86" t="str">
        <f ca="1">IFERROR(__xludf.DUMMYFUNCTION("""COMPUTED_VALUE"""),"W.K")</f>
        <v>W.K</v>
      </c>
      <c r="D22" s="82" t="s">
        <v>308</v>
      </c>
      <c r="E22" s="86" t="str">
        <f ca="1">IFERROR(__xludf.DUMMYFUNCTION("""COMPUTED_VALUE"""),"0748135205")</f>
        <v>0748135205</v>
      </c>
      <c r="F22" s="86" t="str">
        <f ca="1">IFERROR(__xludf.DUMMYFUNCTION("""COMPUTED_VALUE"""),"kamogee6@gmail.com")</f>
        <v>kamogee6@gmail.com</v>
      </c>
      <c r="G22" s="86" t="str">
        <f ca="1">IFERROR(__xludf.DUMMYFUNCTION("""COMPUTED_VALUE"""),"STUDENT NEED TO PASS TPG201T AND IIE30AT DURING S1 2022 AND REPORT FOR ACADEMIC INTERVENTION.")</f>
        <v>STUDENT NEED TO PASS TPG201T AND IIE30AT DURING S1 2022 AND REPORT FOR ACADEMIC INTERVENTION.</v>
      </c>
      <c r="I22" t="s">
        <v>400</v>
      </c>
      <c r="J22" t="s">
        <v>405</v>
      </c>
      <c r="K22" t="s">
        <v>401</v>
      </c>
      <c r="L22" s="233" t="s">
        <v>417</v>
      </c>
      <c r="M22" s="233" t="s">
        <v>338</v>
      </c>
      <c r="N22" s="233" t="s">
        <v>418</v>
      </c>
    </row>
    <row r="23" spans="1:14" ht="51.75">
      <c r="A23" s="85">
        <f ca="1">IFERROR(__xludf.DUMMYFUNCTION("""COMPUTED_VALUE"""),217258006)</f>
        <v>217258006</v>
      </c>
      <c r="B23" s="85" t="str">
        <f ca="1">IFERROR(__xludf.DUMMYFUNCTION("""COMPUTED_VALUE"""),"KOTELE")</f>
        <v>KOTELE</v>
      </c>
      <c r="C23" s="85" t="str">
        <f ca="1">IFERROR(__xludf.DUMMYFUNCTION("""COMPUTED_VALUE"""),"SJ")</f>
        <v>SJ</v>
      </c>
      <c r="D23" s="84" t="s">
        <v>308</v>
      </c>
      <c r="E23" s="85" t="str">
        <f ca="1">IFERROR(__xludf.DUMMYFUNCTION("""COMPUTED_VALUE"""),"0739282340")</f>
        <v>0739282340</v>
      </c>
      <c r="F23" s="85" t="str">
        <f ca="1">IFERROR(__xludf.DUMMYFUNCTION("""COMPUTED_VALUE"""),"217258006@tut4life.ac.za")</f>
        <v>217258006@tut4life.ac.za</v>
      </c>
      <c r="G23" s="90" t="str">
        <f ca="1">IFERROR(__xludf.DUMMYFUNCTION("""COMPUTED_VALUE"""),"STUDENT NEED TO PASS TPG201T AND IIS20BT DURING S1 2022 AND REPORT FOR ACADEMIC INTERVENTION.")</f>
        <v>STUDENT NEED TO PASS TPG201T AND IIS20BT DURING S1 2022 AND REPORT FOR ACADEMIC INTERVENTION.</v>
      </c>
      <c r="I23" s="172" t="s">
        <v>403</v>
      </c>
      <c r="K23" t="s">
        <v>401</v>
      </c>
    </row>
    <row r="24" spans="1:14" ht="64.5" customHeight="1">
      <c r="A24" s="4">
        <f ca="1">IFERROR(__xludf.DUMMYFUNCTION("""COMPUTED_VALUE"""),217345740)</f>
        <v>217345740</v>
      </c>
      <c r="B24" s="4"/>
      <c r="C24" s="4"/>
      <c r="D24" s="3" t="s">
        <v>308</v>
      </c>
      <c r="E24" s="4"/>
      <c r="F24" s="6"/>
      <c r="G24" s="2" t="str">
        <f ca="1">IFERROR(__xludf.DUMMYFUNCTION("""COMPUTED_VALUE"""),"STUDENT NEED TO PASS IIE20BT, IIS20BT, DIC101T, TPG201T DURING S1 2022 AND REPORT FOR ACADEMIC INTERVENTION.")</f>
        <v>STUDENT NEED TO PASS IIE20BT, IIS20BT, DIC101T, TPG201T DURING S1 2022 AND REPORT FOR ACADEMIC INTERVENTION.</v>
      </c>
      <c r="H24" s="5"/>
      <c r="I24" s="172" t="s">
        <v>403</v>
      </c>
      <c r="J24" s="5"/>
      <c r="K24" s="9" t="s">
        <v>411</v>
      </c>
    </row>
    <row r="25" spans="1:14" ht="47.25" customHeight="1">
      <c r="A25" s="4">
        <f ca="1">IFERROR(__xludf.DUMMYFUNCTION("""COMPUTED_VALUE"""),217586895)</f>
        <v>217586895</v>
      </c>
      <c r="B25" s="4"/>
      <c r="C25" s="4"/>
      <c r="D25" s="3" t="s">
        <v>308</v>
      </c>
      <c r="E25" s="4"/>
      <c r="F25" s="4"/>
      <c r="G25" s="4" t="str">
        <f ca="1">IFERROR(__xludf.DUMMYFUNCTION("""COMPUTED_VALUE"""),"STUDENT NEED TO PASS TPG201T DURING S1 2022 AND REPORT FOR ACADEMIC INTERVENTION.")</f>
        <v>STUDENT NEED TO PASS TPG201T DURING S1 2022 AND REPORT FOR ACADEMIC INTERVENTION.</v>
      </c>
      <c r="I25" s="172" t="s">
        <v>403</v>
      </c>
      <c r="K25" t="s">
        <v>411</v>
      </c>
    </row>
    <row r="26" spans="1:14" ht="51.75">
      <c r="A26" s="85">
        <f ca="1">IFERROR(__xludf.DUMMYFUNCTION("""COMPUTED_VALUE"""),218005896)</f>
        <v>218005896</v>
      </c>
      <c r="B26" s="85" t="str">
        <f ca="1">IFERROR(__xludf.DUMMYFUNCTION("""COMPUTED_VALUE"""),"Mosiamedi")</f>
        <v>Mosiamedi</v>
      </c>
      <c r="C26" s="85" t="str">
        <f ca="1">IFERROR(__xludf.DUMMYFUNCTION("""COMPUTED_VALUE"""),"MN")</f>
        <v>MN</v>
      </c>
      <c r="D26" s="84" t="s">
        <v>308</v>
      </c>
      <c r="E26" s="85" t="str">
        <f ca="1">IFERROR(__xludf.DUMMYFUNCTION("""COMPUTED_VALUE"""),"0765992566")</f>
        <v>0765992566</v>
      </c>
      <c r="F26" s="85" t="str">
        <f ca="1">IFERROR(__xludf.DUMMYFUNCTION("""COMPUTED_VALUE"""),"mayitha2566@gmail.com")</f>
        <v>mayitha2566@gmail.com</v>
      </c>
      <c r="G26" s="85" t="str">
        <f ca="1">IFERROR(__xludf.DUMMYFUNCTION("""COMPUTED_VALUE"""),"STUDENT NEED TO PASS TPG201T AND ITS20BT DURING S1 2022 AND REPORT FOR ACADEMIC INTERVENTION.")</f>
        <v>STUDENT NEED TO PASS TPG201T AND ITS20BT DURING S1 2022 AND REPORT FOR ACADEMIC INTERVENTION.</v>
      </c>
      <c r="I26" s="172" t="s">
        <v>403</v>
      </c>
      <c r="K26" t="s">
        <v>401</v>
      </c>
    </row>
    <row r="27" spans="1:14">
      <c r="A27" s="4">
        <f ca="1">IFERROR(__xludf.DUMMYFUNCTION("""COMPUTED_VALUE"""),218218920)</f>
        <v>218218920</v>
      </c>
      <c r="B27" s="4"/>
      <c r="C27" s="4"/>
      <c r="D27" s="3" t="s">
        <v>308</v>
      </c>
      <c r="E27" s="4"/>
      <c r="F27" s="4"/>
      <c r="G27" s="4" t="str">
        <f ca="1">IFERROR(__xludf.DUMMYFUNCTION("""COMPUTED_VALUE"""),"STUDENT NEED TO PASS TPG201T DURING S1 2022 AND REPORT FOR ACADEMIC INTERVENTION.")</f>
        <v>STUDENT NEED TO PASS TPG201T DURING S1 2022 AND REPORT FOR ACADEMIC INTERVENTION.</v>
      </c>
      <c r="I27" s="172" t="s">
        <v>403</v>
      </c>
      <c r="K27" t="s">
        <v>411</v>
      </c>
    </row>
    <row r="28" spans="1:14" ht="51.75">
      <c r="A28" s="85">
        <f ca="1">IFERROR(__xludf.DUMMYFUNCTION("""COMPUTED_VALUE"""),218604390)</f>
        <v>218604390</v>
      </c>
      <c r="B28" s="85" t="str">
        <f ca="1">IFERROR(__xludf.DUMMYFUNCTION("""COMPUTED_VALUE"""),"Nemukovhani ")</f>
        <v xml:space="preserve">Nemukovhani </v>
      </c>
      <c r="C28" s="85" t="str">
        <f ca="1">IFERROR(__xludf.DUMMYFUNCTION("""COMPUTED_VALUE"""),"G")</f>
        <v>G</v>
      </c>
      <c r="D28" s="84" t="s">
        <v>308</v>
      </c>
      <c r="E28" s="85" t="str">
        <f ca="1">IFERROR(__xludf.DUMMYFUNCTION("""COMPUTED_VALUE"""),"0792312482")</f>
        <v>0792312482</v>
      </c>
      <c r="F28" s="85" t="str">
        <f ca="1">IFERROR(__xludf.DUMMYFUNCTION("""COMPUTED_VALUE"""),"gundo.info@gmail.com")</f>
        <v>gundo.info@gmail.com</v>
      </c>
      <c r="G28" s="85" t="str">
        <f ca="1">IFERROR(__xludf.DUMMYFUNCTION("""COMPUTED_VALUE"""),"STUDENT NEED TO PASS IIS20AT AND TPG201T DURING S1 2022 AND REPORT FOR ACADEMIC INTERVENTION.")</f>
        <v>STUDENT NEED TO PASS IIS20AT AND TPG201T DURING S1 2022 AND REPORT FOR ACADEMIC INTERVENTION.</v>
      </c>
      <c r="I28" s="172" t="s">
        <v>403</v>
      </c>
      <c r="K28" t="s">
        <v>411</v>
      </c>
    </row>
    <row r="29" spans="1:14" ht="39">
      <c r="A29" s="86">
        <f ca="1">IFERROR(__xludf.DUMMYFUNCTION("""COMPUTED_VALUE"""),218667660)</f>
        <v>218667660</v>
      </c>
      <c r="B29" s="86" t="str">
        <f ca="1">IFERROR(__xludf.DUMMYFUNCTION("""COMPUTED_VALUE"""),"Zwane ")</f>
        <v xml:space="preserve">Zwane </v>
      </c>
      <c r="C29" s="86" t="str">
        <f ca="1">IFERROR(__xludf.DUMMYFUNCTION("""COMPUTED_VALUE"""),"I ")</f>
        <v xml:space="preserve">I </v>
      </c>
      <c r="D29" s="82" t="s">
        <v>308</v>
      </c>
      <c r="E29" s="86" t="str">
        <f ca="1">IFERROR(__xludf.DUMMYFUNCTION("""COMPUTED_VALUE"""),"0726897354")</f>
        <v>0726897354</v>
      </c>
      <c r="F29" s="86" t="str">
        <f ca="1">IFERROR(__xludf.DUMMYFUNCTION("""COMPUTED_VALUE"""),"emmanuelzwane18@gmail.com")</f>
        <v>emmanuelzwane18@gmail.com</v>
      </c>
      <c r="G29" s="86" t="str">
        <f ca="1">IFERROR(__xludf.DUMMYFUNCTION("""COMPUTED_VALUE"""),"STUDENT NEED TO PASS TPG201T DURING S1 2022 AND REPORT FOR ACADEMIC INTERVENTION.")</f>
        <v>STUDENT NEED TO PASS TPG201T DURING S1 2022 AND REPORT FOR ACADEMIC INTERVENTION.</v>
      </c>
      <c r="I29" t="s">
        <v>419</v>
      </c>
      <c r="K29" t="s">
        <v>401</v>
      </c>
    </row>
    <row r="30" spans="1:14" s="115" customFormat="1" ht="60">
      <c r="A30" s="150">
        <f ca="1">IFERROR(__xludf.DUMMYFUNCTION("""COMPUTED_VALUE"""),218465269)</f>
        <v>218465269</v>
      </c>
      <c r="B30" s="150" t="str">
        <f ca="1">IFERROR(__xludf.DUMMYFUNCTION("""COMPUTED_VALUE"""),"Ngobeni ")</f>
        <v xml:space="preserve">Ngobeni </v>
      </c>
      <c r="C30" s="150" t="str">
        <f ca="1">IFERROR(__xludf.DUMMYFUNCTION("""COMPUTED_VALUE"""),"S")</f>
        <v>S</v>
      </c>
      <c r="D30" s="252" t="s">
        <v>308</v>
      </c>
      <c r="E30" s="150" t="str">
        <f ca="1">IFERROR(__xludf.DUMMYFUNCTION("""COMPUTED_VALUE"""),"0637505832")</f>
        <v>0637505832</v>
      </c>
      <c r="F30" s="150" t="str">
        <f ca="1">IFERROR(__xludf.DUMMYFUNCTION("""COMPUTED_VALUE"""),"singitangobeni8@gmail.com")</f>
        <v>singitangobeni8@gmail.com</v>
      </c>
      <c r="G30" s="150" t="str">
        <f ca="1">IFERROR(__xludf.DUMMYFUNCTION("""COMPUTED_VALUE"""),"STUDENT MUST PASS TPG201T AND IIS20AT DURING S1 2022 AND REPORT FOR ACADEMIC INTERVENTION.")</f>
        <v>STUDENT MUST PASS TPG201T AND IIS20AT DURING S1 2022 AND REPORT FOR ACADEMIC INTERVENTION.</v>
      </c>
      <c r="I30" s="115" t="s">
        <v>400</v>
      </c>
      <c r="J30" s="115" t="s">
        <v>405</v>
      </c>
      <c r="K30" s="115" t="s">
        <v>401</v>
      </c>
      <c r="L30" s="240" t="s">
        <v>420</v>
      </c>
      <c r="M30" s="115" t="s">
        <v>338</v>
      </c>
      <c r="N30" s="240" t="s">
        <v>421</v>
      </c>
    </row>
    <row r="31" spans="1:14">
      <c r="A31" s="225">
        <f ca="1">IFERROR(__xludf.DUMMYFUNCTION("""COMPUTED_VALUE"""),216218558)</f>
        <v>216218558</v>
      </c>
      <c r="B31" s="225" t="str">
        <f ca="1">IFERROR(__xludf.DUMMYFUNCTION("""COMPUTED_VALUE"""),"MAKAMU")</f>
        <v>MAKAMU</v>
      </c>
      <c r="C31" s="225" t="str">
        <f ca="1">IFERROR(__xludf.DUMMYFUNCTION("""COMPUTED_VALUE"""),"ND")</f>
        <v>ND</v>
      </c>
      <c r="D31" s="226" t="s">
        <v>308</v>
      </c>
      <c r="E31" s="225" t="str">
        <f ca="1">IFERROR(__xludf.DUMMYFUNCTION("""COMPUTED_VALUE"""),"0648510519")</f>
        <v>0648510519</v>
      </c>
      <c r="F31" s="225" t="str">
        <f ca="1">IFERROR(__xludf.DUMMYFUNCTION("""COMPUTED_VALUE"""),"kutsakadee@gmail.com")</f>
        <v>kutsakadee@gmail.com</v>
      </c>
      <c r="G31" s="225" t="str">
        <f ca="1">IFERROR(__xludf.DUMMYFUNCTION("""COMPUTED_VALUE"""),"Student need to pass TPG201T")</f>
        <v>Student need to pass TPG201T</v>
      </c>
      <c r="I31" s="172" t="s">
        <v>422</v>
      </c>
      <c r="K31" t="s">
        <v>401</v>
      </c>
    </row>
    <row r="32" spans="1:14" ht="30">
      <c r="A32" s="86">
        <f ca="1">IFERROR(__xludf.DUMMYFUNCTION("""COMPUTED_VALUE"""),219104758)</f>
        <v>219104758</v>
      </c>
      <c r="B32" s="86" t="str">
        <f ca="1">IFERROR(__xludf.DUMMYFUNCTION("""COMPUTED_VALUE"""),"Makhura")</f>
        <v>Makhura</v>
      </c>
      <c r="C32" s="86" t="str">
        <f ca="1">IFERROR(__xludf.DUMMYFUNCTION("""COMPUTED_VALUE"""),"TJ")</f>
        <v>TJ</v>
      </c>
      <c r="D32" s="82" t="s">
        <v>308</v>
      </c>
      <c r="E32" s="86" t="str">
        <f ca="1">IFERROR(__xludf.DUMMYFUNCTION("""COMPUTED_VALUE"""),"0820791090")</f>
        <v>0820791090</v>
      </c>
      <c r="F32" s="86" t="str">
        <f ca="1">IFERROR(__xludf.DUMMYFUNCTION("""COMPUTED_VALUE"""),"mojeffmakhura@gmail.com")</f>
        <v>mojeffmakhura@gmail.com</v>
      </c>
      <c r="G32" s="86" t="str">
        <f ca="1">IFERROR(__xludf.DUMMYFUNCTION("""COMPUTED_VALUE"""),"Student need to pass TPG201T")</f>
        <v>Student need to pass TPG201T</v>
      </c>
      <c r="I32" t="s">
        <v>400</v>
      </c>
      <c r="J32" t="s">
        <v>405</v>
      </c>
      <c r="K32" t="s">
        <v>401</v>
      </c>
      <c r="L32" s="233" t="s">
        <v>412</v>
      </c>
      <c r="N32" t="s">
        <v>409</v>
      </c>
    </row>
    <row r="33" spans="1:14" ht="30.75" customHeight="1">
      <c r="A33" s="85">
        <f ca="1">IFERROR(__xludf.DUMMYFUNCTION("""COMPUTED_VALUE"""),218682294)</f>
        <v>218682294</v>
      </c>
      <c r="B33" s="85" t="str">
        <f ca="1">IFERROR(__xludf.DUMMYFUNCTION("""COMPUTED_VALUE"""),"Langa")</f>
        <v>Langa</v>
      </c>
      <c r="C33" s="85" t="str">
        <f ca="1">IFERROR(__xludf.DUMMYFUNCTION("""COMPUTED_VALUE"""),"L")</f>
        <v>L</v>
      </c>
      <c r="D33" s="84" t="s">
        <v>308</v>
      </c>
      <c r="E33" s="85" t="str">
        <f ca="1">IFERROR(__xludf.DUMMYFUNCTION("""COMPUTED_VALUE"""),"0781664218")</f>
        <v>0781664218</v>
      </c>
      <c r="F33" s="85" t="str">
        <f ca="1">IFERROR(__xludf.DUMMYFUNCTION("""COMPUTED_VALUE"""),"218682294@tut4life.ac.za")</f>
        <v>218682294@tut4life.ac.za</v>
      </c>
      <c r="G33" s="85" t="str">
        <f ca="1">IFERROR(__xludf.DUMMYFUNCTION("""COMPUTED_VALUE"""),"need to pass TPG201T, ISY23BT, and DSO34BT.")</f>
        <v>need to pass TPG201T, ISY23BT, and DSO34BT.</v>
      </c>
      <c r="I33" s="172" t="s">
        <v>403</v>
      </c>
      <c r="K33" t="s">
        <v>401</v>
      </c>
    </row>
    <row r="34" spans="1:14" ht="26.25">
      <c r="A34" s="85">
        <f ca="1">IFERROR(__xludf.DUMMYFUNCTION("""COMPUTED_VALUE"""),217459842)</f>
        <v>217459842</v>
      </c>
      <c r="B34" s="85" t="str">
        <f ca="1">IFERROR(__xludf.DUMMYFUNCTION("""COMPUTED_VALUE"""),"Mabasa")</f>
        <v>Mabasa</v>
      </c>
      <c r="C34" s="85" t="s">
        <v>423</v>
      </c>
      <c r="D34" s="84" t="s">
        <v>308</v>
      </c>
      <c r="E34" s="85" t="str">
        <f ca="1">IFERROR(__xludf.DUMMYFUNCTION("""COMPUTED_VALUE"""),"+27649923560")</f>
        <v>+27649923560</v>
      </c>
      <c r="F34" s="85" t="str">
        <f ca="1">IFERROR(__xludf.DUMMYFUNCTION("""COMPUTED_VALUE"""),"eliasrhandzu7@gmail.com")</f>
        <v>eliasrhandzu7@gmail.com</v>
      </c>
      <c r="G34" s="85" t="str">
        <f ca="1">IFERROR(__xludf.DUMMYFUNCTION("""COMPUTED_VALUE"""),"Student must pass DSO23AT, TPG201T, and ISY23AT.")</f>
        <v>Student must pass DSO23AT, TPG201T, and ISY23AT.</v>
      </c>
      <c r="I34" s="172" t="s">
        <v>403</v>
      </c>
      <c r="K34" t="s">
        <v>401</v>
      </c>
    </row>
    <row r="35" spans="1:14">
      <c r="A35" s="86">
        <f ca="1">IFERROR(__xludf.DUMMYFUNCTION("""COMPUTED_VALUE"""),216903609)</f>
        <v>216903609</v>
      </c>
      <c r="B35" s="86" t="str">
        <f ca="1">IFERROR(__xludf.DUMMYFUNCTION("""COMPUTED_VALUE"""),"Mkhaliphi ")</f>
        <v xml:space="preserve">Mkhaliphi </v>
      </c>
      <c r="C35" s="86" t="str">
        <f ca="1">IFERROR(__xludf.DUMMYFUNCTION("""COMPUTED_VALUE"""),"TS ")</f>
        <v xml:space="preserve">TS </v>
      </c>
      <c r="D35" s="82" t="s">
        <v>308</v>
      </c>
      <c r="E35" s="86" t="str">
        <f ca="1">IFERROR(__xludf.DUMMYFUNCTION("""COMPUTED_VALUE"""),"0825095415")</f>
        <v>0825095415</v>
      </c>
      <c r="F35" s="86" t="str">
        <f ca="1">IFERROR(__xludf.DUMMYFUNCTION("""COMPUTED_VALUE"""),"tryman45@gmail.com")</f>
        <v>tryman45@gmail.com</v>
      </c>
      <c r="G35" s="86" t="str">
        <f ca="1">IFERROR(__xludf.DUMMYFUNCTION("""COMPUTED_VALUE"""),"student need to pass TPG201T.")</f>
        <v>student need to pass TPG201T.</v>
      </c>
      <c r="I35" t="s">
        <v>400</v>
      </c>
      <c r="K35" t="s">
        <v>401</v>
      </c>
    </row>
    <row r="36" spans="1:14" ht="26.25">
      <c r="A36" s="86">
        <f ca="1">IFERROR(__xludf.DUMMYFUNCTION("""COMPUTED_VALUE"""),215018156)</f>
        <v>215018156</v>
      </c>
      <c r="B36" s="86" t="str">
        <f ca="1">IFERROR(__xludf.DUMMYFUNCTION("""COMPUTED_VALUE"""),"Moloto")</f>
        <v>Moloto</v>
      </c>
      <c r="C36" s="86" t="str">
        <f ca="1">IFERROR(__xludf.DUMMYFUNCTION("""COMPUTED_VALUE"""),"KT")</f>
        <v>KT</v>
      </c>
      <c r="D36" s="82" t="s">
        <v>308</v>
      </c>
      <c r="E36" s="86" t="str">
        <f ca="1">IFERROR(__xludf.DUMMYFUNCTION("""COMPUTED_VALUE"""),"0748054131")</f>
        <v>0748054131</v>
      </c>
      <c r="F36" s="86" t="str">
        <f ca="1">IFERROR(__xludf.DUMMYFUNCTION("""COMPUTED_VALUE"""),"ktmoloto701@gmail.com")</f>
        <v>ktmoloto701@gmail.com</v>
      </c>
      <c r="G36" s="86" t="str">
        <f ca="1">IFERROR(__xludf.DUMMYFUNCTION("""COMPUTED_VALUE"""),"Student must pass TPG201T, and must be full time to attend face to face classes")</f>
        <v>Student must pass TPG201T, and must be full time to attend face to face classes</v>
      </c>
      <c r="I36" t="s">
        <v>422</v>
      </c>
      <c r="K36" t="s">
        <v>401</v>
      </c>
    </row>
    <row r="37" spans="1:14" ht="44.25" customHeight="1">
      <c r="A37" s="85">
        <f ca="1">IFERROR(__xludf.DUMMYFUNCTION("""COMPUTED_VALUE"""),216451481)</f>
        <v>216451481</v>
      </c>
      <c r="B37" s="85" t="s">
        <v>424</v>
      </c>
      <c r="C37" s="85" t="str">
        <f ca="1">IFERROR(__xludf.DUMMYFUNCTION("""COMPUTED_VALUE"""),"IL")</f>
        <v>IL</v>
      </c>
      <c r="D37" s="84" t="s">
        <v>308</v>
      </c>
      <c r="E37" s="85" t="str">
        <f ca="1">IFERROR(__xludf.DUMMYFUNCTION("""COMPUTED_VALUE"""),"761996323")</f>
        <v>761996323</v>
      </c>
      <c r="F37" s="85" t="str">
        <f ca="1">IFERROR(__xludf.DUMMYFUNCTION("""COMPUTED_VALUE"""),"lynnetteinnocentia35@gmail.com")</f>
        <v>lynnetteinnocentia35@gmail.com</v>
      </c>
      <c r="G37" s="85" t="str">
        <f ca="1">IFERROR(__xludf.DUMMYFUNCTION("""COMPUTED_VALUE"""),"Student must pass DSO23AT, TPG201T, ISY23BT and student must attend trauma counseling.")</f>
        <v>Student must pass DSO23AT, TPG201T, ISY23BT and student must attend trauma counseling.</v>
      </c>
      <c r="I37" s="172" t="s">
        <v>403</v>
      </c>
      <c r="K37" t="s">
        <v>401</v>
      </c>
    </row>
    <row r="38" spans="1:14">
      <c r="A38" s="86">
        <f ca="1">IFERROR(__xludf.DUMMYFUNCTION("""COMPUTED_VALUE"""),210025421)</f>
        <v>210025421</v>
      </c>
      <c r="B38" s="86" t="str">
        <f ca="1">IFERROR(__xludf.DUMMYFUNCTION("""COMPUTED_VALUE"""),"Skosana")</f>
        <v>Skosana</v>
      </c>
      <c r="C38" s="86" t="str">
        <f ca="1">IFERROR(__xludf.DUMMYFUNCTION("""COMPUTED_VALUE"""),"GK")</f>
        <v>GK</v>
      </c>
      <c r="D38" s="82" t="s">
        <v>308</v>
      </c>
      <c r="E38" s="86" t="str">
        <f ca="1">IFERROR(__xludf.DUMMYFUNCTION("""COMPUTED_VALUE"""),"0728078491")</f>
        <v>0728078491</v>
      </c>
      <c r="F38" s="86" t="str">
        <f ca="1">IFERROR(__xludf.DUMMYFUNCTION("""COMPUTED_VALUE"""),"210025421@tut4life.ac.za")</f>
        <v>210025421@tut4life.ac.za</v>
      </c>
      <c r="G38" s="86" t="str">
        <f ca="1">IFERROR(__xludf.DUMMYFUNCTION("""COMPUTED_VALUE"""),"Student need to pass TPG201T, ISY23AT")</f>
        <v>Student need to pass TPG201T, ISY23AT</v>
      </c>
      <c r="I38" t="s">
        <v>425</v>
      </c>
      <c r="K38" t="s">
        <v>401</v>
      </c>
    </row>
    <row r="39" spans="1:14" ht="30">
      <c r="A39" s="86">
        <f ca="1">IFERROR(__xludf.DUMMYFUNCTION("""COMPUTED_VALUE"""),213577999)</f>
        <v>213577999</v>
      </c>
      <c r="B39" s="86" t="str">
        <f ca="1">IFERROR(__xludf.DUMMYFUNCTION("""COMPUTED_VALUE"""),"Mosefowa ")</f>
        <v xml:space="preserve">Mosefowa </v>
      </c>
      <c r="C39" s="86" t="str">
        <f ca="1">IFERROR(__xludf.DUMMYFUNCTION("""COMPUTED_VALUE"""),"KV")</f>
        <v>KV</v>
      </c>
      <c r="D39" s="82" t="s">
        <v>308</v>
      </c>
      <c r="E39" s="86" t="str">
        <f ca="1">IFERROR(__xludf.DUMMYFUNCTION("""COMPUTED_VALUE"""),"0614463892")</f>
        <v>0614463892</v>
      </c>
      <c r="F39" s="86" t="str">
        <f ca="1">IFERROR(__xludf.DUMMYFUNCTION("""COMPUTED_VALUE"""),"vilcosia@gmail.com")</f>
        <v>vilcosia@gmail.com</v>
      </c>
      <c r="G39" s="86" t="str">
        <f ca="1">IFERROR(__xludf.DUMMYFUNCTION("""COMPUTED_VALUE"""),"Student need to pass TPG201T during S1 2022 and report for academic intervention.")</f>
        <v>Student need to pass TPG201T during S1 2022 and report for academic intervention.</v>
      </c>
      <c r="I39" t="s">
        <v>400</v>
      </c>
      <c r="J39" t="s">
        <v>405</v>
      </c>
      <c r="K39" t="s">
        <v>411</v>
      </c>
      <c r="L39" s="233" t="s">
        <v>412</v>
      </c>
      <c r="N39" t="s">
        <v>409</v>
      </c>
    </row>
    <row r="40" spans="1:14" ht="64.5">
      <c r="A40" s="86">
        <f ca="1">IFERROR(__xludf.DUMMYFUNCTION("""COMPUTED_VALUE"""),214617900)</f>
        <v>214617900</v>
      </c>
      <c r="B40" s="86" t="str">
        <f ca="1">IFERROR(__xludf.DUMMYFUNCTION("""COMPUTED_VALUE"""),"Makhubele")</f>
        <v>Makhubele</v>
      </c>
      <c r="C40" s="86" t="str">
        <f ca="1">IFERROR(__xludf.DUMMYFUNCTION("""COMPUTED_VALUE"""),"Me")</f>
        <v>Me</v>
      </c>
      <c r="D40" s="82" t="s">
        <v>308</v>
      </c>
      <c r="E40" s="86" t="str">
        <f ca="1">IFERROR(__xludf.DUMMYFUNCTION("""COMPUTED_VALUE"""),"0823990389")</f>
        <v>0823990389</v>
      </c>
      <c r="F40" s="86" t="str">
        <f ca="1">IFERROR(__xludf.DUMMYFUNCTION("""COMPUTED_VALUE"""),"masingita.ebenezer@gmail.com")</f>
        <v>masingita.ebenezer@gmail.com</v>
      </c>
      <c r="G40" s="86" t="str">
        <f ca="1">IFERROR(__xludf.DUMMYFUNCTION("""COMPUTED_VALUE"""),"Student need to pass TPG201T, and the student must also attend full time. Student must provide prove of resignation from the company to be able to attend full time.")</f>
        <v>Student need to pass TPG201T, and the student must also attend full time. Student must provide prove of resignation from the company to be able to attend full time.</v>
      </c>
      <c r="I40" t="s">
        <v>422</v>
      </c>
      <c r="K40" t="s">
        <v>411</v>
      </c>
    </row>
    <row r="41" spans="1:14" ht="26.25">
      <c r="A41" s="86">
        <f ca="1">IFERROR(__xludf.DUMMYFUNCTION("""COMPUTED_VALUE"""),214757397)</f>
        <v>214757397</v>
      </c>
      <c r="B41" s="86" t="str">
        <f ca="1">IFERROR(__xludf.DUMMYFUNCTION("""COMPUTED_VALUE"""),"Maelane")</f>
        <v>Maelane</v>
      </c>
      <c r="C41" s="86" t="str">
        <f ca="1">IFERROR(__xludf.DUMMYFUNCTION("""COMPUTED_VALUE"""),"IK")</f>
        <v>IK</v>
      </c>
      <c r="D41" s="82" t="s">
        <v>308</v>
      </c>
      <c r="E41" s="86" t="str">
        <f ca="1">IFERROR(__xludf.DUMMYFUNCTION("""COMPUTED_VALUE"""),"+27670462620")</f>
        <v>+27670462620</v>
      </c>
      <c r="F41" s="86" t="str">
        <f ca="1">IFERROR(__xludf.DUMMYFUNCTION("""COMPUTED_VALUE"""),"maelaneik@gmail.com")</f>
        <v>maelaneik@gmail.com</v>
      </c>
      <c r="G41" s="86" t="str">
        <f ca="1">IFERROR(__xludf.DUMMYFUNCTION("""COMPUTED_VALUE"""),"Student need to pass TPG201T. Student must attend 85% of contact classes.")</f>
        <v>Student need to pass TPG201T. Student must attend 85% of contact classes.</v>
      </c>
      <c r="I41" t="s">
        <v>422</v>
      </c>
      <c r="K41" t="s">
        <v>401</v>
      </c>
    </row>
    <row r="42" spans="1:14" ht="30">
      <c r="A42" s="86">
        <f ca="1">IFERROR(__xludf.DUMMYFUNCTION("""COMPUTED_VALUE"""),214770270)</f>
        <v>214770270</v>
      </c>
      <c r="B42" s="86" t="str">
        <f ca="1">IFERROR(__xludf.DUMMYFUNCTION("""COMPUTED_VALUE"""),"Mohlaba")</f>
        <v>Mohlaba</v>
      </c>
      <c r="C42" s="86" t="str">
        <f ca="1">IFERROR(__xludf.DUMMYFUNCTION("""COMPUTED_VALUE"""),"PM")</f>
        <v>PM</v>
      </c>
      <c r="D42" s="82" t="s">
        <v>308</v>
      </c>
      <c r="E42" s="86" t="str">
        <f ca="1">IFERROR(__xludf.DUMMYFUNCTION("""COMPUTED_VALUE"""),"0671317748")</f>
        <v>0671317748</v>
      </c>
      <c r="F42" s="86" t="str">
        <f ca="1">IFERROR(__xludf.DUMMYFUNCTION("""COMPUTED_VALUE"""),"mohlabapm68@gmail.com")</f>
        <v>mohlabapm68@gmail.com</v>
      </c>
      <c r="G42" s="86" t="str">
        <f ca="1">IFERROR(__xludf.DUMMYFUNCTION("""COMPUTED_VALUE"""),"Student need to pass DSO23BT, TPG201T, and ISY23BT.")</f>
        <v>Student need to pass DSO23BT, TPG201T, and ISY23BT.</v>
      </c>
      <c r="I42" t="s">
        <v>400</v>
      </c>
      <c r="J42" t="s">
        <v>405</v>
      </c>
      <c r="K42" t="s">
        <v>401</v>
      </c>
      <c r="L42" s="233" t="s">
        <v>426</v>
      </c>
      <c r="N42" s="233" t="s">
        <v>427</v>
      </c>
    </row>
    <row r="43" spans="1:14" ht="26.25">
      <c r="A43" s="86">
        <f ca="1">IFERROR(__xludf.DUMMYFUNCTION("""COMPUTED_VALUE"""),215057046)</f>
        <v>215057046</v>
      </c>
      <c r="B43" s="86" t="str">
        <f ca="1">IFERROR(__xludf.DUMMYFUNCTION("""COMPUTED_VALUE"""),"Myeni")</f>
        <v>Myeni</v>
      </c>
      <c r="C43" s="86" t="str">
        <f ca="1">IFERROR(__xludf.DUMMYFUNCTION("""COMPUTED_VALUE"""),"NZ")</f>
        <v>NZ</v>
      </c>
      <c r="D43" s="82" t="s">
        <v>308</v>
      </c>
      <c r="E43" s="86" t="str">
        <f ca="1">IFERROR(__xludf.DUMMYFUNCTION("""COMPUTED_VALUE"""),"0630523904")</f>
        <v>0630523904</v>
      </c>
      <c r="F43" s="86" t="str">
        <f ca="1">IFERROR(__xludf.DUMMYFUNCTION("""COMPUTED_VALUE"""),"senzokuhle43@gmail.com")</f>
        <v>senzokuhle43@gmail.com</v>
      </c>
      <c r="G43" s="86" t="str">
        <f ca="1">IFERROR(__xludf.DUMMYFUNCTION("""COMPUTED_VALUE"""),"Student need to pass TPG201T and DSO34BT.")</f>
        <v>Student need to pass TPG201T and DSO34BT.</v>
      </c>
      <c r="I43" t="s">
        <v>422</v>
      </c>
      <c r="K43" t="s">
        <v>401</v>
      </c>
    </row>
    <row r="44" spans="1:14" ht="26.25">
      <c r="A44" s="85">
        <f ca="1">IFERROR(__xludf.DUMMYFUNCTION("""COMPUTED_VALUE"""),215259943)</f>
        <v>215259943</v>
      </c>
      <c r="B44" s="85" t="str">
        <f ca="1">IFERROR(__xludf.DUMMYFUNCTION("""COMPUTED_VALUE"""),"Mahlangu")</f>
        <v>Mahlangu</v>
      </c>
      <c r="C44" s="85" t="str">
        <f ca="1">IFERROR(__xludf.DUMMYFUNCTION("""COMPUTED_VALUE"""),"BH")</f>
        <v>BH</v>
      </c>
      <c r="D44" s="84" t="s">
        <v>308</v>
      </c>
      <c r="E44" s="85" t="str">
        <f ca="1">IFERROR(__xludf.DUMMYFUNCTION("""COMPUTED_VALUE"""),"071 928 1870")</f>
        <v>071 928 1870</v>
      </c>
      <c r="F44" s="85" t="str">
        <f ca="1">IFERROR(__xludf.DUMMYFUNCTION("""COMPUTED_VALUE"""),"hereathmahlangu91@gmail.com")</f>
        <v>hereathmahlangu91@gmail.com</v>
      </c>
      <c r="G44" s="85" t="str">
        <f ca="1">IFERROR(__xludf.DUMMYFUNCTION("""COMPUTED_VALUE"""),"Student need to pass DSO23BT, and TPG201T.")</f>
        <v>Student need to pass DSO23BT, and TPG201T.</v>
      </c>
      <c r="I44" s="172" t="s">
        <v>403</v>
      </c>
      <c r="K44" t="s">
        <v>411</v>
      </c>
    </row>
    <row r="45" spans="1:14" ht="26.25">
      <c r="A45" s="85">
        <f ca="1">IFERROR(__xludf.DUMMYFUNCTION("""COMPUTED_VALUE"""),215521591)</f>
        <v>215521591</v>
      </c>
      <c r="B45" s="85" t="str">
        <f ca="1">IFERROR(__xludf.DUMMYFUNCTION("""COMPUTED_VALUE"""),"Baloyi")</f>
        <v>Baloyi</v>
      </c>
      <c r="C45" s="85" t="str">
        <f ca="1">IFERROR(__xludf.DUMMYFUNCTION("""COMPUTED_VALUE"""),"TN")</f>
        <v>TN</v>
      </c>
      <c r="D45" s="84" t="s">
        <v>308</v>
      </c>
      <c r="E45" s="85" t="str">
        <f ca="1">IFERROR(__xludf.DUMMYFUNCTION("""COMPUTED_VALUE"""),"637568494")</f>
        <v>637568494</v>
      </c>
      <c r="F45" s="85" t="str">
        <f ca="1">IFERROR(__xludf.DUMMYFUNCTION("""COMPUTED_VALUE"""),"nicholasbaloyi22@gmail.com")</f>
        <v>nicholasbaloyi22@gmail.com</v>
      </c>
      <c r="G45" s="85" t="str">
        <f ca="1">IFERROR(__xludf.DUMMYFUNCTION("""COMPUTED_VALUE"""),"Student need to pass TPG201T and ISY23BT.")</f>
        <v>Student need to pass TPG201T and ISY23BT.</v>
      </c>
      <c r="I45" s="172" t="s">
        <v>403</v>
      </c>
      <c r="K45" t="s">
        <v>401</v>
      </c>
    </row>
    <row r="46" spans="1:14" ht="26.25">
      <c r="A46" s="86">
        <f ca="1">IFERROR(__xludf.DUMMYFUNCTION("""COMPUTED_VALUE"""),215617017)</f>
        <v>215617017</v>
      </c>
      <c r="B46" s="86" t="str">
        <f ca="1">IFERROR(__xludf.DUMMYFUNCTION("""COMPUTED_VALUE"""),"Mashilo")</f>
        <v>Mashilo</v>
      </c>
      <c r="C46" s="86" t="s">
        <v>283</v>
      </c>
      <c r="D46" s="82" t="s">
        <v>308</v>
      </c>
      <c r="E46" s="86" t="str">
        <f ca="1">IFERROR(__xludf.DUMMYFUNCTION("""COMPUTED_VALUE"""),"0659156992")</f>
        <v>0659156992</v>
      </c>
      <c r="F46" s="86" t="str">
        <f ca="1">IFERROR(__xludf.DUMMYFUNCTION("""COMPUTED_VALUE"""),"elizabethmashilo@gmail.com")</f>
        <v>elizabethmashilo@gmail.com</v>
      </c>
      <c r="G46" s="86" t="str">
        <f ca="1">IFERROR(__xludf.DUMMYFUNCTION("""COMPUTED_VALUE"""),"Student need to pass TPG201T, attend 85% full time, and attend all interventions.")</f>
        <v>Student need to pass TPG201T, attend 85% full time, and attend all interventions.</v>
      </c>
      <c r="I46" t="s">
        <v>400</v>
      </c>
    </row>
    <row r="47" spans="1:14" ht="26.25">
      <c r="A47" s="86">
        <f ca="1">IFERROR(__xludf.DUMMYFUNCTION("""COMPUTED_VALUE"""),215632288)</f>
        <v>215632288</v>
      </c>
      <c r="B47" s="86" t="str">
        <f ca="1">IFERROR(__xludf.DUMMYFUNCTION("""COMPUTED_VALUE"""),"Kekana")</f>
        <v>Kekana</v>
      </c>
      <c r="C47" s="86" t="str">
        <f ca="1">IFERROR(__xludf.DUMMYFUNCTION("""COMPUTED_VALUE"""),"R.A")</f>
        <v>R.A</v>
      </c>
      <c r="D47" s="82" t="s">
        <v>308</v>
      </c>
      <c r="E47" s="86" t="str">
        <f ca="1">IFERROR(__xludf.DUMMYFUNCTION("""COMPUTED_VALUE"""),"0723953938")</f>
        <v>0723953938</v>
      </c>
      <c r="F47" s="86" t="str">
        <f ca="1">IFERROR(__xludf.DUMMYFUNCTION("""COMPUTED_VALUE"""),"215632288@tut4life.ac.za")</f>
        <v>215632288@tut4life.ac.za</v>
      </c>
      <c r="G47" s="86" t="str">
        <f ca="1">IFERROR(__xludf.DUMMYFUNCTION("""COMPUTED_VALUE"""),"Student need to pass TPG201T, attend 85% full time, and attend all interventions.")</f>
        <v>Student need to pass TPG201T, attend 85% full time, and attend all interventions.</v>
      </c>
      <c r="I47" t="s">
        <v>422</v>
      </c>
      <c r="K47" t="s">
        <v>411</v>
      </c>
    </row>
    <row r="48" spans="1:14" ht="39">
      <c r="A48" s="86">
        <f ca="1">IFERROR(__xludf.DUMMYFUNCTION("""COMPUTED_VALUE"""),215650820)</f>
        <v>215650820</v>
      </c>
      <c r="B48" s="86" t="str">
        <f ca="1">IFERROR(__xludf.DUMMYFUNCTION("""COMPUTED_VALUE"""),"khoza")</f>
        <v>khoza</v>
      </c>
      <c r="C48" s="86" t="str">
        <f ca="1">IFERROR(__xludf.DUMMYFUNCTION("""COMPUTED_VALUE"""),"TK")</f>
        <v>TK</v>
      </c>
      <c r="D48" s="82" t="s">
        <v>308</v>
      </c>
      <c r="E48" s="86" t="str">
        <f ca="1">IFERROR(__xludf.DUMMYFUNCTION("""COMPUTED_VALUE"""),"0604061400")</f>
        <v>0604061400</v>
      </c>
      <c r="F48" s="86" t="str">
        <f ca="1">IFERROR(__xludf.DUMMYFUNCTION("""COMPUTED_VALUE"""),"kenneth.kk38@gmail.com")</f>
        <v>kenneth.kk38@gmail.com</v>
      </c>
      <c r="G48" s="86" t="str">
        <f ca="1">IFERROR(__xludf.DUMMYFUNCTION("""COMPUTED_VALUE"""),"Student need to pass TPG201T, ISY23AT, and DSO23BT, attend 85% full time, and attend all interventions.")</f>
        <v>Student need to pass TPG201T, ISY23AT, and DSO23BT, attend 85% full time, and attend all interventions.</v>
      </c>
      <c r="I48" t="s">
        <v>422</v>
      </c>
      <c r="K48" t="s">
        <v>411</v>
      </c>
    </row>
    <row r="49" spans="1:14" ht="39">
      <c r="A49" s="85">
        <f ca="1">IFERROR(__xludf.DUMMYFUNCTION("""COMPUTED_VALUE"""),215708152)</f>
        <v>215708152</v>
      </c>
      <c r="B49" s="85" t="str">
        <f ca="1">IFERROR(__xludf.DUMMYFUNCTION("""COMPUTED_VALUE"""),"Baloyi")</f>
        <v>Baloyi</v>
      </c>
      <c r="C49" s="85" t="str">
        <f ca="1">IFERROR(__xludf.DUMMYFUNCTION("""COMPUTED_VALUE"""),"VW")</f>
        <v>VW</v>
      </c>
      <c r="D49" s="84" t="s">
        <v>308</v>
      </c>
      <c r="E49" s="85" t="str">
        <f ca="1">IFERROR(__xludf.DUMMYFUNCTION("""COMPUTED_VALUE"""),"0607033959")</f>
        <v>0607033959</v>
      </c>
      <c r="F49" s="85" t="str">
        <f ca="1">IFERROR(__xludf.DUMMYFUNCTION("""COMPUTED_VALUE"""),"215708152@tut4life.ac.za")</f>
        <v>215708152@tut4life.ac.za</v>
      </c>
      <c r="G49" s="85" t="str">
        <f ca="1">IFERROR(__xludf.DUMMYFUNCTION("""COMPUTED_VALUE"""),"Student need to pass DSO23BT and TPG201T, attend 85% full time, and attend all interventions.")</f>
        <v>Student need to pass DSO23BT and TPG201T, attend 85% full time, and attend all interventions.</v>
      </c>
      <c r="I49" s="172" t="s">
        <v>403</v>
      </c>
      <c r="K49" t="s">
        <v>401</v>
      </c>
    </row>
    <row r="50" spans="1:14" ht="39">
      <c r="A50" s="85">
        <f ca="1">IFERROR(__xludf.DUMMYFUNCTION("""COMPUTED_VALUE"""),215775887)</f>
        <v>215775887</v>
      </c>
      <c r="B50" s="85" t="str">
        <f ca="1">IFERROR(__xludf.DUMMYFUNCTION("""COMPUTED_VALUE"""),"Kekana")</f>
        <v>Kekana</v>
      </c>
      <c r="C50" s="85" t="str">
        <f ca="1">IFERROR(__xludf.DUMMYFUNCTION("""COMPUTED_VALUE"""),"L")</f>
        <v>L</v>
      </c>
      <c r="D50" s="84" t="s">
        <v>308</v>
      </c>
      <c r="E50" s="85" t="str">
        <f ca="1">IFERROR(__xludf.DUMMYFUNCTION("""COMPUTED_VALUE"""),"0663364101")</f>
        <v>0663364101</v>
      </c>
      <c r="F50" s="85" t="str">
        <f ca="1">IFERROR(__xludf.DUMMYFUNCTION("""COMPUTED_VALUE"""),"appreciate1082@gmail.com")</f>
        <v>appreciate1082@gmail.com</v>
      </c>
      <c r="G50" s="85" t="str">
        <f ca="1">IFERROR(__xludf.DUMMYFUNCTION("""COMPUTED_VALUE"""),"Student need to pass TPG201T and DSO34BT, attend 85% full time, and attend all interventions.")</f>
        <v>Student need to pass TPG201T and DSO34BT, attend 85% full time, and attend all interventions.</v>
      </c>
      <c r="I50" s="172" t="s">
        <v>403</v>
      </c>
      <c r="K50" t="s">
        <v>401</v>
      </c>
    </row>
    <row r="51" spans="1:14" ht="39">
      <c r="A51" s="85">
        <f ca="1">IFERROR(__xludf.DUMMYFUNCTION("""COMPUTED_VALUE"""),215800989)</f>
        <v>215800989</v>
      </c>
      <c r="B51" s="85" t="str">
        <f ca="1">IFERROR(__xludf.DUMMYFUNCTION("""COMPUTED_VALUE"""),"Sethole")</f>
        <v>Sethole</v>
      </c>
      <c r="C51" s="85" t="str">
        <f ca="1">IFERROR(__xludf.DUMMYFUNCTION("""COMPUTED_VALUE"""),"ED")</f>
        <v>ED</v>
      </c>
      <c r="D51" s="84" t="s">
        <v>308</v>
      </c>
      <c r="E51" s="85" t="str">
        <f ca="1">IFERROR(__xludf.DUMMYFUNCTION("""COMPUTED_VALUE"""),"0609144365")</f>
        <v>0609144365</v>
      </c>
      <c r="F51" s="85" t="str">
        <f ca="1">IFERROR(__xludf.DUMMYFUNCTION("""COMPUTED_VALUE"""),"edolly55@gmail.com")</f>
        <v>edolly55@gmail.com</v>
      </c>
      <c r="G51" s="85" t="str">
        <f ca="1">IFERROR(__xludf.DUMMYFUNCTION("""COMPUTED_VALUE"""),"Student need to pass TPG201T and DSO34BT, attend 85% full time, and attend all interventions.")</f>
        <v>Student need to pass TPG201T and DSO34BT, attend 85% full time, and attend all interventions.</v>
      </c>
      <c r="I51" s="172" t="s">
        <v>403</v>
      </c>
      <c r="K51" t="s">
        <v>401</v>
      </c>
    </row>
    <row r="52" spans="1:14" ht="26.25">
      <c r="A52" s="86">
        <f ca="1">IFERROR(__xludf.DUMMYFUNCTION("""COMPUTED_VALUE"""),215806367)</f>
        <v>215806367</v>
      </c>
      <c r="B52" s="86" t="str">
        <f ca="1">IFERROR(__xludf.DUMMYFUNCTION("""COMPUTED_VALUE"""),"Kungwane")</f>
        <v>Kungwane</v>
      </c>
      <c r="C52" s="86" t="str">
        <f ca="1">IFERROR(__xludf.DUMMYFUNCTION("""COMPUTED_VALUE"""),"DS")</f>
        <v>DS</v>
      </c>
      <c r="D52" s="82" t="s">
        <v>308</v>
      </c>
      <c r="E52" s="86" t="str">
        <f ca="1">IFERROR(__xludf.DUMMYFUNCTION("""COMPUTED_VALUE"""),"0630571699")</f>
        <v>0630571699</v>
      </c>
      <c r="F52" s="86" t="str">
        <f ca="1">IFERROR(__xludf.DUMMYFUNCTION("""COMPUTED_VALUE"""),"duduetsangkungwane@gmail.com")</f>
        <v>duduetsangkungwane@gmail.com</v>
      </c>
      <c r="G52" s="86" t="str">
        <f ca="1">IFERROR(__xludf.DUMMYFUNCTION("""COMPUTED_VALUE"""),"Student need to pass TPG201T, attend 85% full time, and attend all interventions.")</f>
        <v>Student need to pass TPG201T, attend 85% full time, and attend all interventions.</v>
      </c>
      <c r="I52" t="s">
        <v>400</v>
      </c>
      <c r="K52" t="s">
        <v>401</v>
      </c>
    </row>
    <row r="53" spans="1:14" ht="39">
      <c r="A53" s="86">
        <f ca="1">IFERROR(__xludf.DUMMYFUNCTION("""COMPUTED_VALUE"""),216035011)</f>
        <v>216035011</v>
      </c>
      <c r="B53" s="86" t="str">
        <f ca="1">IFERROR(__xludf.DUMMYFUNCTION("""COMPUTED_VALUE"""),"Malaza")</f>
        <v>Malaza</v>
      </c>
      <c r="C53" s="86" t="str">
        <f ca="1">IFERROR(__xludf.DUMMYFUNCTION("""COMPUTED_VALUE"""),"LT")</f>
        <v>LT</v>
      </c>
      <c r="D53" s="82" t="s">
        <v>308</v>
      </c>
      <c r="E53" s="86" t="str">
        <f ca="1">IFERROR(__xludf.DUMMYFUNCTION("""COMPUTED_VALUE"""),"0648857588")</f>
        <v>0648857588</v>
      </c>
      <c r="F53" s="86" t="str">
        <f ca="1">IFERROR(__xludf.DUMMYFUNCTION("""COMPUTED_VALUE"""),"lindokuhlemalaza894@gmail.com")</f>
        <v>lindokuhlemalaza894@gmail.com</v>
      </c>
      <c r="G53" s="86" t="str">
        <f ca="1">IFERROR(__xludf.DUMMYFUNCTION("""COMPUTED_VALUE"""),"Student need to pass TPG201T and ISY34AT, attend 85% full time, and attend all interventions.")</f>
        <v>Student need to pass TPG201T and ISY34AT, attend 85% full time, and attend all interventions.</v>
      </c>
      <c r="I53" t="s">
        <v>422</v>
      </c>
      <c r="K53" t="s">
        <v>401</v>
      </c>
    </row>
    <row r="54" spans="1:14" ht="60">
      <c r="A54" s="86">
        <f ca="1">IFERROR(__xludf.DUMMYFUNCTION("""COMPUTED_VALUE"""),216081471)</f>
        <v>216081471</v>
      </c>
      <c r="B54" s="86" t="str">
        <f ca="1">IFERROR(__xludf.DUMMYFUNCTION("""COMPUTED_VALUE"""),"Mutandanyi")</f>
        <v>Mutandanyi</v>
      </c>
      <c r="C54" s="86" t="str">
        <f ca="1">IFERROR(__xludf.DUMMYFUNCTION("""COMPUTED_VALUE"""),"E")</f>
        <v>E</v>
      </c>
      <c r="D54" s="82" t="s">
        <v>308</v>
      </c>
      <c r="E54" s="86" t="str">
        <f ca="1">IFERROR(__xludf.DUMMYFUNCTION("""COMPUTED_VALUE"""),"0791516273")</f>
        <v>0791516273</v>
      </c>
      <c r="F54" s="86" t="str">
        <f ca="1">IFERROR(__xludf.DUMMYFUNCTION("""COMPUTED_VALUE"""),"mutandanyele@gmail.com")</f>
        <v>mutandanyele@gmail.com</v>
      </c>
      <c r="G54" s="86" t="str">
        <f ca="1">IFERROR(__xludf.DUMMYFUNCTION("""COMPUTED_VALUE"""),"Student need to pass TPG201T, attend 85% full time, and attend all interventions.")</f>
        <v>Student need to pass TPG201T, attend 85% full time, and attend all interventions.</v>
      </c>
      <c r="I54" t="s">
        <v>422</v>
      </c>
      <c r="J54" t="s">
        <v>405</v>
      </c>
      <c r="K54" t="s">
        <v>401</v>
      </c>
      <c r="L54" s="233" t="s">
        <v>408</v>
      </c>
      <c r="N54" t="s">
        <v>409</v>
      </c>
    </row>
    <row r="55" spans="1:14" ht="39">
      <c r="A55" s="86">
        <f ca="1">IFERROR(__xludf.DUMMYFUNCTION("""COMPUTED_VALUE"""),216187792)</f>
        <v>216187792</v>
      </c>
      <c r="B55" s="86" t="str">
        <f ca="1">IFERROR(__xludf.DUMMYFUNCTION("""COMPUTED_VALUE"""),"Khumalo")</f>
        <v>Khumalo</v>
      </c>
      <c r="C55" s="86" t="str">
        <f ca="1">IFERROR(__xludf.DUMMYFUNCTION("""COMPUTED_VALUE"""),"VP")</f>
        <v>VP</v>
      </c>
      <c r="D55" s="82" t="s">
        <v>308</v>
      </c>
      <c r="E55" s="86" t="str">
        <f ca="1">IFERROR(__xludf.DUMMYFUNCTION("""COMPUTED_VALUE"""),"0765862273")</f>
        <v>0765862273</v>
      </c>
      <c r="F55" s="86" t="str">
        <f ca="1">IFERROR(__xludf.DUMMYFUNCTION("""COMPUTED_VALUE"""),"vusitp@gmail.com")</f>
        <v>vusitp@gmail.com</v>
      </c>
      <c r="G55" s="86" t="str">
        <f ca="1">IFERROR(__xludf.DUMMYFUNCTION("""COMPUTED_VALUE"""),"Student need to pass TPG201T and ISY34AT, attend 85% full time, and attend all interventions.")</f>
        <v>Student need to pass TPG201T and ISY34AT, attend 85% full time, and attend all interventions.</v>
      </c>
      <c r="I55" t="s">
        <v>422</v>
      </c>
      <c r="K55" t="s">
        <v>401</v>
      </c>
    </row>
    <row r="56" spans="1:14" ht="39">
      <c r="A56" s="86">
        <f ca="1">IFERROR(__xludf.DUMMYFUNCTION("""COMPUTED_VALUE"""),216205847)</f>
        <v>216205847</v>
      </c>
      <c r="B56" s="86" t="str">
        <f ca="1">IFERROR(__xludf.DUMMYFUNCTION("""COMPUTED_VALUE"""),"Magoro")</f>
        <v>Magoro</v>
      </c>
      <c r="C56" s="86" t="str">
        <f ca="1">IFERROR(__xludf.DUMMYFUNCTION("""COMPUTED_VALUE"""),"N")</f>
        <v>N</v>
      </c>
      <c r="D56" s="82" t="s">
        <v>308</v>
      </c>
      <c r="E56" s="86" t="str">
        <f ca="1">IFERROR(__xludf.DUMMYFUNCTION("""COMPUTED_VALUE"""),"0818683424")</f>
        <v>0818683424</v>
      </c>
      <c r="F56" s="86" t="str">
        <f ca="1">IFERROR(__xludf.DUMMYFUNCTION("""COMPUTED_VALUE"""),"nommagoro@gmail.com")</f>
        <v>nommagoro@gmail.com</v>
      </c>
      <c r="G56" s="86" t="str">
        <f ca="1">IFERROR(__xludf.DUMMYFUNCTION("""COMPUTED_VALUE"""),"Student need to pass TPG201T and ISY34BT, attend 85% full time, and attend all interventions.")</f>
        <v>Student need to pass TPG201T and ISY34BT, attend 85% full time, and attend all interventions.</v>
      </c>
      <c r="I56" t="s">
        <v>422</v>
      </c>
      <c r="J56" t="s">
        <v>405</v>
      </c>
      <c r="K56" t="s">
        <v>401</v>
      </c>
      <c r="L56" s="233" t="s">
        <v>412</v>
      </c>
      <c r="N56" t="s">
        <v>409</v>
      </c>
    </row>
    <row r="57" spans="1:14" ht="26.25">
      <c r="A57" s="86">
        <f ca="1">IFERROR(__xludf.DUMMYFUNCTION("""COMPUTED_VALUE"""),216501870)</f>
        <v>216501870</v>
      </c>
      <c r="B57" s="86" t="str">
        <f ca="1">IFERROR(__xludf.DUMMYFUNCTION("""COMPUTED_VALUE"""),"phaladi")</f>
        <v>phaladi</v>
      </c>
      <c r="C57" s="86" t="str">
        <f ca="1">IFERROR(__xludf.DUMMYFUNCTION("""COMPUTED_VALUE"""),"ma")</f>
        <v>ma</v>
      </c>
      <c r="D57" s="82" t="s">
        <v>308</v>
      </c>
      <c r="E57" s="86" t="str">
        <f ca="1">IFERROR(__xludf.DUMMYFUNCTION("""COMPUTED_VALUE"""),"0818191559")</f>
        <v>0818191559</v>
      </c>
      <c r="F57" s="86" t="str">
        <f ca="1">IFERROR(__xludf.DUMMYFUNCTION("""COMPUTED_VALUE"""),"phaladima96@gmail.com")</f>
        <v>phaladima96@gmail.com</v>
      </c>
      <c r="G57" s="86" t="str">
        <f ca="1">IFERROR(__xludf.DUMMYFUNCTION("""COMPUTED_VALUE"""),"Student need to pass TPG201T, attend 85% full time, and attend all interventions.")</f>
        <v>Student need to pass TPG201T, attend 85% full time, and attend all interventions.</v>
      </c>
      <c r="I57" t="s">
        <v>400</v>
      </c>
      <c r="K57" t="s">
        <v>401</v>
      </c>
    </row>
    <row r="58" spans="1:14" ht="26.25">
      <c r="A58" s="86">
        <f ca="1">IFERROR(__xludf.DUMMYFUNCTION("""COMPUTED_VALUE"""),216544811)</f>
        <v>216544811</v>
      </c>
      <c r="B58" s="86" t="str">
        <f ca="1">IFERROR(__xludf.DUMMYFUNCTION("""COMPUTED_VALUE"""),"Manganye")</f>
        <v>Manganye</v>
      </c>
      <c r="C58" s="86" t="str">
        <f ca="1">IFERROR(__xludf.DUMMYFUNCTION("""COMPUTED_VALUE"""),"KV")</f>
        <v>KV</v>
      </c>
      <c r="D58" s="82" t="s">
        <v>308</v>
      </c>
      <c r="E58" s="86" t="str">
        <f ca="1">IFERROR(__xludf.DUMMYFUNCTION("""COMPUTED_VALUE"""),"0825207758")</f>
        <v>0825207758</v>
      </c>
      <c r="F58" s="86" t="str">
        <f ca="1">IFERROR(__xludf.DUMMYFUNCTION("""COMPUTED_VALUE"""),"kavymanganye@gmail.com")</f>
        <v>kavymanganye@gmail.com</v>
      </c>
      <c r="G58" s="86" t="str">
        <f ca="1">IFERROR(__xludf.DUMMYFUNCTION("""COMPUTED_VALUE"""),"Student need to pass TPG201T, attend 85% full time, and attend all interventions.")</f>
        <v>Student need to pass TPG201T, attend 85% full time, and attend all interventions.</v>
      </c>
      <c r="I58" t="s">
        <v>400</v>
      </c>
      <c r="K58" t="s">
        <v>401</v>
      </c>
    </row>
    <row r="59" spans="1:14" ht="26.25">
      <c r="A59" s="86">
        <f ca="1">IFERROR(__xludf.DUMMYFUNCTION("""COMPUTED_VALUE"""),216561775)</f>
        <v>216561775</v>
      </c>
      <c r="B59" s="86" t="str">
        <f ca="1">IFERROR(__xludf.DUMMYFUNCTION("""COMPUTED_VALUE"""),"Sogiba")</f>
        <v>Sogiba</v>
      </c>
      <c r="C59" s="86" t="str">
        <f ca="1">IFERROR(__xludf.DUMMYFUNCTION("""COMPUTED_VALUE"""),"S")</f>
        <v>S</v>
      </c>
      <c r="D59" s="82" t="s">
        <v>308</v>
      </c>
      <c r="E59" s="86"/>
      <c r="F59" s="86" t="str">
        <f ca="1">IFERROR(__xludf.DUMMYFUNCTION("""COMPUTED_VALUE"""),"sanesogiba@gmail.com")</f>
        <v>sanesogiba@gmail.com</v>
      </c>
      <c r="G59" s="86" t="str">
        <f ca="1">IFERROR(__xludf.DUMMYFUNCTION("""COMPUTED_VALUE"""),"Student need to pass TPG201T, attend 85% full time, and attend all interventions.")</f>
        <v>Student need to pass TPG201T, attend 85% full time, and attend all interventions.</v>
      </c>
      <c r="I59" t="s">
        <v>400</v>
      </c>
      <c r="K59" t="s">
        <v>411</v>
      </c>
    </row>
    <row r="60" spans="1:14" ht="39">
      <c r="A60" s="86">
        <f ca="1">IFERROR(__xludf.DUMMYFUNCTION("""COMPUTED_VALUE"""),216569270)</f>
        <v>216569270</v>
      </c>
      <c r="B60" s="86" t="str">
        <f ca="1">IFERROR(__xludf.DUMMYFUNCTION("""COMPUTED_VALUE"""),"Makhoba")</f>
        <v>Makhoba</v>
      </c>
      <c r="C60" s="86" t="str">
        <f ca="1">IFERROR(__xludf.DUMMYFUNCTION("""COMPUTED_VALUE"""),"Pn")</f>
        <v>Pn</v>
      </c>
      <c r="D60" s="82" t="s">
        <v>308</v>
      </c>
      <c r="E60" s="86" t="str">
        <f ca="1">IFERROR(__xludf.DUMMYFUNCTION("""COMPUTED_VALUE"""),"0749724292")</f>
        <v>0749724292</v>
      </c>
      <c r="F60" s="86" t="str">
        <f ca="1">IFERROR(__xludf.DUMMYFUNCTION("""COMPUTED_VALUE"""),"paumimakhoba1@gmail.com")</f>
        <v>paumimakhoba1@gmail.com</v>
      </c>
      <c r="G60" s="86" t="str">
        <f ca="1">IFERROR(__xludf.DUMMYFUNCTION("""COMPUTED_VALUE"""),"Student need to pass TPG201T, DSO23AT, and ISY34AT attend 85% full time, and attend all interventions.")</f>
        <v>Student need to pass TPG201T, DSO23AT, and ISY34AT attend 85% full time, and attend all interventions.</v>
      </c>
      <c r="I60" t="s">
        <v>400</v>
      </c>
      <c r="K60" t="s">
        <v>401</v>
      </c>
    </row>
    <row r="61" spans="1:14" ht="39">
      <c r="A61" s="86">
        <f ca="1">IFERROR(__xludf.DUMMYFUNCTION("""COMPUTED_VALUE"""),216583485)</f>
        <v>216583485</v>
      </c>
      <c r="B61" s="86" t="str">
        <f ca="1">IFERROR(__xludf.DUMMYFUNCTION("""COMPUTED_VALUE"""),"Magaela")</f>
        <v>Magaela</v>
      </c>
      <c r="C61" s="86" t="str">
        <f ca="1">IFERROR(__xludf.DUMMYFUNCTION("""COMPUTED_VALUE"""),"MF")</f>
        <v>MF</v>
      </c>
      <c r="D61" s="82" t="s">
        <v>308</v>
      </c>
      <c r="E61" s="86" t="str">
        <f ca="1">IFERROR(__xludf.DUMMYFUNCTION("""COMPUTED_VALUE"""),"0769053674")</f>
        <v>0769053674</v>
      </c>
      <c r="F61" s="86" t="str">
        <f ca="1">IFERROR(__xludf.DUMMYFUNCTION("""COMPUTED_VALUE"""),"216583485@tut4life.ac.za")</f>
        <v>216583485@tut4life.ac.za</v>
      </c>
      <c r="G61" s="86" t="str">
        <f ca="1">IFERROR(__xludf.DUMMYFUNCTION("""COMPUTED_VALUE"""),"Student need to pass TPG201T, DSO23BT, and ISY34AT, attend 85% full time, and attend all interventions.")</f>
        <v>Student need to pass TPG201T, DSO23BT, and ISY34AT, attend 85% full time, and attend all interventions.</v>
      </c>
      <c r="I61" t="s">
        <v>400</v>
      </c>
      <c r="K61" t="s">
        <v>401</v>
      </c>
    </row>
    <row r="62" spans="1:14" ht="60">
      <c r="A62" s="86">
        <f ca="1">IFERROR(__xludf.DUMMYFUNCTION("""COMPUTED_VALUE"""),216702409)</f>
        <v>216702409</v>
      </c>
      <c r="B62" s="86" t="str">
        <f ca="1">IFERROR(__xludf.DUMMYFUNCTION("""COMPUTED_VALUE"""),"Pharamela ")</f>
        <v xml:space="preserve">Pharamela </v>
      </c>
      <c r="C62" s="86" t="str">
        <f ca="1">IFERROR(__xludf.DUMMYFUNCTION("""COMPUTED_VALUE"""),"M")</f>
        <v>M</v>
      </c>
      <c r="D62" s="82" t="s">
        <v>308</v>
      </c>
      <c r="E62" s="86" t="str">
        <f ca="1">IFERROR(__xludf.DUMMYFUNCTION("""COMPUTED_VALUE"""),"+27714768302")</f>
        <v>+27714768302</v>
      </c>
      <c r="F62" s="86" t="str">
        <f ca="1">IFERROR(__xludf.DUMMYFUNCTION("""COMPUTED_VALUE"""),"murendenimayday@gmail.com")</f>
        <v>murendenimayday@gmail.com</v>
      </c>
      <c r="G62" s="86" t="str">
        <f ca="1">IFERROR(__xludf.DUMMYFUNCTION("""COMPUTED_VALUE"""),"Student need to pass TPG201T, attend 85% full time, and attend all interventions.")</f>
        <v>Student need to pass TPG201T, attend 85% full time, and attend all interventions.</v>
      </c>
      <c r="I62" t="s">
        <v>400</v>
      </c>
      <c r="J62" t="s">
        <v>405</v>
      </c>
      <c r="K62" t="s">
        <v>401</v>
      </c>
      <c r="L62" s="233" t="s">
        <v>408</v>
      </c>
      <c r="N62" t="s">
        <v>409</v>
      </c>
    </row>
    <row r="63" spans="1:14" ht="26.25">
      <c r="A63" s="86">
        <f ca="1">IFERROR(__xludf.DUMMYFUNCTION("""COMPUTED_VALUE"""),216737903)</f>
        <v>216737903</v>
      </c>
      <c r="B63" s="86" t="str">
        <f ca="1">IFERROR(__xludf.DUMMYFUNCTION("""COMPUTED_VALUE"""),"Letsoalo")</f>
        <v>Letsoalo</v>
      </c>
      <c r="C63" s="86" t="str">
        <f ca="1">IFERROR(__xludf.DUMMYFUNCTION("""COMPUTED_VALUE"""),"MH")</f>
        <v>MH</v>
      </c>
      <c r="D63" s="82" t="s">
        <v>308</v>
      </c>
      <c r="E63" s="86" t="str">
        <f ca="1">IFERROR(__xludf.DUMMYFUNCTION("""COMPUTED_VALUE"""),"0792295381")</f>
        <v>0792295381</v>
      </c>
      <c r="F63" s="86" t="str">
        <f ca="1">IFERROR(__xludf.DUMMYFUNCTION("""COMPUTED_VALUE"""),"hillaryletsoalo17@gmail.com")</f>
        <v>hillaryletsoalo17@gmail.com</v>
      </c>
      <c r="G63" s="86" t="str">
        <f ca="1">IFERROR(__xludf.DUMMYFUNCTION("""COMPUTED_VALUE"""),"Student need to pass TPG201T, attend 85% full time, and attend all interventions.")</f>
        <v>Student need to pass TPG201T, attend 85% full time, and attend all interventions.</v>
      </c>
      <c r="I63" t="s">
        <v>400</v>
      </c>
      <c r="K63" t="s">
        <v>401</v>
      </c>
    </row>
    <row r="64" spans="1:14" ht="26.25">
      <c r="A64" s="86">
        <f ca="1">IFERROR(__xludf.DUMMYFUNCTION("""COMPUTED_VALUE"""),216760131)</f>
        <v>216760131</v>
      </c>
      <c r="B64" s="86" t="str">
        <f ca="1">IFERROR(__xludf.DUMMYFUNCTION("""COMPUTED_VALUE"""),"Maseha")</f>
        <v>Maseha</v>
      </c>
      <c r="C64" s="86" t="str">
        <f ca="1">IFERROR(__xludf.DUMMYFUNCTION("""COMPUTED_VALUE"""),"MB")</f>
        <v>MB</v>
      </c>
      <c r="D64" s="82" t="s">
        <v>308</v>
      </c>
      <c r="E64" s="86" t="str">
        <f ca="1">IFERROR(__xludf.DUMMYFUNCTION("""COMPUTED_VALUE"""),"0718075838")</f>
        <v>0718075838</v>
      </c>
      <c r="F64" s="86" t="str">
        <f ca="1">IFERROR(__xludf.DUMMYFUNCTION("""COMPUTED_VALUE"""),"matlhodimaseha98@gmail.com")</f>
        <v>matlhodimaseha98@gmail.com</v>
      </c>
      <c r="G64" s="86" t="str">
        <f ca="1">IFERROR(__xludf.DUMMYFUNCTION("""COMPUTED_VALUE"""),"Student need to pass TPG201T, attend 85% full time, and attend all interventions.")</f>
        <v>Student need to pass TPG201T, attend 85% full time, and attend all interventions.</v>
      </c>
      <c r="I64" t="s">
        <v>400</v>
      </c>
      <c r="K64" t="s">
        <v>401</v>
      </c>
    </row>
    <row r="65" spans="1:14" ht="39">
      <c r="A65" s="85">
        <f ca="1">IFERROR(__xludf.DUMMYFUNCTION("""COMPUTED_VALUE"""),216848489)</f>
        <v>216848489</v>
      </c>
      <c r="B65" s="85" t="str">
        <f ca="1">IFERROR(__xludf.DUMMYFUNCTION("""COMPUTED_VALUE"""),"Dladla")</f>
        <v>Dladla</v>
      </c>
      <c r="C65" s="85" t="str">
        <f ca="1">IFERROR(__xludf.DUMMYFUNCTION("""COMPUTED_VALUE"""),"BI")</f>
        <v>BI</v>
      </c>
      <c r="D65" s="84" t="s">
        <v>308</v>
      </c>
      <c r="E65" s="85" t="str">
        <f ca="1">IFERROR(__xludf.DUMMYFUNCTION("""COMPUTED_VALUE"""),"0670700245")</f>
        <v>0670700245</v>
      </c>
      <c r="F65" s="85" t="str">
        <f ca="1">IFERROR(__xludf.DUMMYFUNCTION("""COMPUTED_VALUE"""),"banelebanzow@gmail.com")</f>
        <v>banelebanzow@gmail.com</v>
      </c>
      <c r="G65" s="85" t="str">
        <f ca="1">IFERROR(__xludf.DUMMYFUNCTION("""COMPUTED_VALUE"""),"Need to pass TPG201T and ISY34AT, attend 85% full time, and attend all interventions.")</f>
        <v>Need to pass TPG201T and ISY34AT, attend 85% full time, and attend all interventions.</v>
      </c>
      <c r="I65" s="172" t="s">
        <v>403</v>
      </c>
      <c r="K65" t="s">
        <v>401</v>
      </c>
    </row>
    <row r="66" spans="1:14" ht="39">
      <c r="A66" s="86">
        <f ca="1">IFERROR(__xludf.DUMMYFUNCTION("""COMPUTED_VALUE"""),216874587)</f>
        <v>216874587</v>
      </c>
      <c r="B66" s="86" t="str">
        <f ca="1">IFERROR(__xludf.DUMMYFUNCTION("""COMPUTED_VALUE"""),"MOTHIBA")</f>
        <v>MOTHIBA</v>
      </c>
      <c r="C66" s="86" t="str">
        <f ca="1">IFERROR(__xludf.DUMMYFUNCTION("""COMPUTED_VALUE"""),"KM")</f>
        <v>KM</v>
      </c>
      <c r="D66" s="82" t="s">
        <v>308</v>
      </c>
      <c r="E66" s="86" t="str">
        <f ca="1">IFERROR(__xludf.DUMMYFUNCTION("""COMPUTED_VALUE"""),"0762717708")</f>
        <v>0762717708</v>
      </c>
      <c r="F66" s="86" t="str">
        <f ca="1">IFERROR(__xludf.DUMMYFUNCTION("""COMPUTED_VALUE"""),"216874587@tut4life.ac.za")</f>
        <v>216874587@tut4life.ac.za</v>
      </c>
      <c r="G66" s="86" t="str">
        <f ca="1">IFERROR(__xludf.DUMMYFUNCTION("""COMPUTED_VALUE"""),"Student need to pass DSO23AT and TPG201T, attend 85% full time, and attend all interventions.")</f>
        <v>Student need to pass DSO23AT and TPG201T, attend 85% full time, and attend all interventions.</v>
      </c>
      <c r="I66" t="s">
        <v>400</v>
      </c>
      <c r="K66" t="s">
        <v>401</v>
      </c>
    </row>
    <row r="67" spans="1:14" ht="60">
      <c r="A67" s="86">
        <f ca="1">IFERROR(__xludf.DUMMYFUNCTION("""COMPUTED_VALUE"""),216900952)</f>
        <v>216900952</v>
      </c>
      <c r="B67" s="86" t="str">
        <f ca="1">IFERROR(__xludf.DUMMYFUNCTION("""COMPUTED_VALUE"""),"Mphilo")</f>
        <v>Mphilo</v>
      </c>
      <c r="C67" s="86" t="str">
        <f ca="1">IFERROR(__xludf.DUMMYFUNCTION("""COMPUTED_VALUE"""),"FS")</f>
        <v>FS</v>
      </c>
      <c r="D67" s="82" t="s">
        <v>308</v>
      </c>
      <c r="E67" s="86" t="str">
        <f ca="1">IFERROR(__xludf.DUMMYFUNCTION("""COMPUTED_VALUE"""),"0646845322")</f>
        <v>0646845322</v>
      </c>
      <c r="F67" s="86" t="str">
        <f ca="1">IFERROR(__xludf.DUMMYFUNCTION("""COMPUTED_VALUE"""),"fhatusidney@icloud.com")</f>
        <v>fhatusidney@icloud.com</v>
      </c>
      <c r="G67" s="86" t="str">
        <f ca="1">IFERROR(__xludf.DUMMYFUNCTION("""COMPUTED_VALUE"""),"Student need to pass TPG201T, attend 85% full time, and attend all interventions.")</f>
        <v>Student need to pass TPG201T, attend 85% full time, and attend all interventions.</v>
      </c>
      <c r="I67" t="s">
        <v>400</v>
      </c>
      <c r="J67" t="s">
        <v>405</v>
      </c>
      <c r="K67" t="s">
        <v>401</v>
      </c>
      <c r="L67" s="233" t="s">
        <v>408</v>
      </c>
      <c r="N67" t="s">
        <v>409</v>
      </c>
    </row>
    <row r="68" spans="1:14" ht="26.25">
      <c r="A68" s="85">
        <f ca="1">IFERROR(__xludf.DUMMYFUNCTION("""COMPUTED_VALUE"""),216919076)</f>
        <v>216919076</v>
      </c>
      <c r="B68" s="85" t="str">
        <f ca="1">IFERROR(__xludf.DUMMYFUNCTION("""COMPUTED_VALUE"""),"Muyambo")</f>
        <v>Muyambo</v>
      </c>
      <c r="C68" s="85" t="str">
        <f ca="1">IFERROR(__xludf.DUMMYFUNCTION("""COMPUTED_VALUE"""),"HP")</f>
        <v>HP</v>
      </c>
      <c r="D68" s="84" t="s">
        <v>308</v>
      </c>
      <c r="E68" s="85" t="str">
        <f ca="1">IFERROR(__xludf.DUMMYFUNCTION("""COMPUTED_VALUE"""),"0786707770")</f>
        <v>0786707770</v>
      </c>
      <c r="F68" s="85" t="str">
        <f ca="1">IFERROR(__xludf.DUMMYFUNCTION("""COMPUTED_VALUE"""),"promizem@gmail.com")</f>
        <v>promizem@gmail.com</v>
      </c>
      <c r="G68" s="85" t="str">
        <f ca="1">IFERROR(__xludf.DUMMYFUNCTION("""COMPUTED_VALUE"""),"Student need to pass TPG201T, attend 85% full time, and attend all interventions.")</f>
        <v>Student need to pass TPG201T, attend 85% full time, and attend all interventions.</v>
      </c>
      <c r="I68" s="172" t="s">
        <v>403</v>
      </c>
      <c r="K68" t="s">
        <v>401</v>
      </c>
    </row>
    <row r="69" spans="1:14" ht="39">
      <c r="A69" s="86">
        <f ca="1">IFERROR(__xludf.DUMMYFUNCTION("""COMPUTED_VALUE"""),216973992)</f>
        <v>216973992</v>
      </c>
      <c r="B69" s="86" t="str">
        <f ca="1">IFERROR(__xludf.DUMMYFUNCTION("""COMPUTED_VALUE"""),"Mkhize")</f>
        <v>Mkhize</v>
      </c>
      <c r="C69" s="86" t="str">
        <f ca="1">IFERROR(__xludf.DUMMYFUNCTION("""COMPUTED_VALUE"""),"BS")</f>
        <v>BS</v>
      </c>
      <c r="D69" s="82" t="s">
        <v>308</v>
      </c>
      <c r="E69" s="86" t="str">
        <f ca="1">IFERROR(__xludf.DUMMYFUNCTION("""COMPUTED_VALUE"""),"0833551002")</f>
        <v>0833551002</v>
      </c>
      <c r="F69" s="86" t="str">
        <f ca="1">IFERROR(__xludf.DUMMYFUNCTION("""COMPUTED_VALUE"""),"brillientsya@gmail.com")</f>
        <v>brillientsya@gmail.com</v>
      </c>
      <c r="G69" s="86" t="str">
        <f ca="1">IFERROR(__xludf.DUMMYFUNCTION("""COMPUTED_VALUE"""),"Need to PASS DSO23BT, TPG201T, ISY34AT, and  ISY34BT, attend 85% full time, and attend all interventions.")</f>
        <v>Need to PASS DSO23BT, TPG201T, ISY34AT, and  ISY34BT, attend 85% full time, and attend all interventions.</v>
      </c>
      <c r="I69" t="s">
        <v>400</v>
      </c>
      <c r="K69" t="s">
        <v>401</v>
      </c>
    </row>
    <row r="70" spans="1:14" ht="26.25">
      <c r="A70" s="86">
        <f ca="1">IFERROR(__xludf.DUMMYFUNCTION("""COMPUTED_VALUE"""),217002567)</f>
        <v>217002567</v>
      </c>
      <c r="B70" s="86" t="str">
        <f ca="1">IFERROR(__xludf.DUMMYFUNCTION("""COMPUTED_VALUE"""),"Seakamela")</f>
        <v>Seakamela</v>
      </c>
      <c r="C70" s="86" t="str">
        <f ca="1">IFERROR(__xludf.DUMMYFUNCTION("""COMPUTED_VALUE"""),"TS")</f>
        <v>TS</v>
      </c>
      <c r="D70" s="82" t="s">
        <v>308</v>
      </c>
      <c r="E70" s="86" t="str">
        <f ca="1">IFERROR(__xludf.DUMMYFUNCTION("""COMPUTED_VALUE"""),"0720875376")</f>
        <v>0720875376</v>
      </c>
      <c r="F70" s="86" t="str">
        <f ca="1">IFERROR(__xludf.DUMMYFUNCTION("""COMPUTED_VALUE"""),"thembaseakamela@hotmail.com")</f>
        <v>thembaseakamela@hotmail.com</v>
      </c>
      <c r="G70" s="86" t="str">
        <f ca="1">IFERROR(__xludf.DUMMYFUNCTION("""COMPUTED_VALUE"""),"Student need to pass TPG201T, attend 85% full time, and attend all interventions.")</f>
        <v>Student need to pass TPG201T, attend 85% full time, and attend all interventions.</v>
      </c>
      <c r="I70" t="s">
        <v>400</v>
      </c>
      <c r="K70" t="s">
        <v>401</v>
      </c>
    </row>
    <row r="71" spans="1:14" ht="26.25">
      <c r="A71" s="86">
        <f ca="1">IFERROR(__xludf.DUMMYFUNCTION("""COMPUTED_VALUE"""),217030340)</f>
        <v>217030340</v>
      </c>
      <c r="B71" s="86" t="str">
        <f ca="1">IFERROR(__xludf.DUMMYFUNCTION("""COMPUTED_VALUE"""),"MABASA")</f>
        <v>MABASA</v>
      </c>
      <c r="C71" s="86" t="s">
        <v>24</v>
      </c>
      <c r="D71" s="82" t="s">
        <v>308</v>
      </c>
      <c r="E71" s="86" t="str">
        <f ca="1">IFERROR(__xludf.DUMMYFUNCTION("""COMPUTED_VALUE"""),"0604962618")</f>
        <v>0604962618</v>
      </c>
      <c r="F71" s="86" t="str">
        <f ca="1">IFERROR(__xludf.DUMMYFUNCTION("""COMPUTED_VALUE"""),"mabasasagwadi68@gmail.com")</f>
        <v>mabasasagwadi68@gmail.com</v>
      </c>
      <c r="G71" s="86" t="str">
        <f ca="1">IFERROR(__xludf.DUMMYFUNCTION("""COMPUTED_VALUE"""),"Student need to pass TPG201T, attend 85% full time, and attend all interventions.")</f>
        <v>Student need to pass TPG201T, attend 85% full time, and attend all interventions.</v>
      </c>
      <c r="I71" t="s">
        <v>400</v>
      </c>
      <c r="K71" t="s">
        <v>401</v>
      </c>
    </row>
    <row r="72" spans="1:14" ht="26.25">
      <c r="A72" s="86">
        <f ca="1">IFERROR(__xludf.DUMMYFUNCTION("""COMPUTED_VALUE"""),217043344)</f>
        <v>217043344</v>
      </c>
      <c r="B72" s="86" t="str">
        <f ca="1">IFERROR(__xludf.DUMMYFUNCTION("""COMPUTED_VALUE"""),"MOLOTO")</f>
        <v>MOLOTO</v>
      </c>
      <c r="C72" s="86" t="str">
        <f ca="1">IFERROR(__xludf.DUMMYFUNCTION("""COMPUTED_VALUE"""),"M")</f>
        <v>M</v>
      </c>
      <c r="D72" s="82" t="s">
        <v>308</v>
      </c>
      <c r="E72" s="86" t="str">
        <f ca="1">IFERROR(__xludf.DUMMYFUNCTION("""COMPUTED_VALUE"""),"0727376130")</f>
        <v>0727376130</v>
      </c>
      <c r="F72" s="86" t="str">
        <f ca="1">IFERROR(__xludf.DUMMYFUNCTION("""COMPUTED_VALUE"""),"217043344@tut4life.ac.za")</f>
        <v>217043344@tut4life.ac.za</v>
      </c>
      <c r="G72" s="86" t="str">
        <f ca="1">IFERROR(__xludf.DUMMYFUNCTION("""COMPUTED_VALUE"""),"Student need to pass TPG201T, attend 85% full time, and attend all interventions")</f>
        <v>Student need to pass TPG201T, attend 85% full time, and attend all interventions</v>
      </c>
      <c r="I72" t="s">
        <v>400</v>
      </c>
      <c r="K72" t="s">
        <v>401</v>
      </c>
    </row>
    <row r="73" spans="1:14" ht="39">
      <c r="A73" s="85">
        <f ca="1">IFERROR(__xludf.DUMMYFUNCTION("""COMPUTED_VALUE"""),217123291)</f>
        <v>217123291</v>
      </c>
      <c r="B73" s="85" t="str">
        <f ca="1">IFERROR(__xludf.DUMMYFUNCTION("""COMPUTED_VALUE"""),"Tiyasi")</f>
        <v>Tiyasi</v>
      </c>
      <c r="C73" s="85" t="str">
        <f ca="1">IFERROR(__xludf.DUMMYFUNCTION("""COMPUTED_VALUE"""),"JP")</f>
        <v>JP</v>
      </c>
      <c r="D73" s="84" t="s">
        <v>308</v>
      </c>
      <c r="E73" s="85" t="str">
        <f ca="1">IFERROR(__xludf.DUMMYFUNCTION("""COMPUTED_VALUE"""),"0794194768")</f>
        <v>0794194768</v>
      </c>
      <c r="F73" s="85" t="str">
        <f ca="1">IFERROR(__xludf.DUMMYFUNCTION("""COMPUTED_VALUE"""),"theanthem8@gmail.com")</f>
        <v>theanthem8@gmail.com</v>
      </c>
      <c r="G73" s="85" t="str">
        <f ca="1">IFERROR(__xludf.DUMMYFUNCTION("""COMPUTED_VALUE"""),"Student need to pass TPG201T, and ISY34AT attend 85% full time, and attend all interventions.")</f>
        <v>Student need to pass TPG201T, and ISY34AT attend 85% full time, and attend all interventions.</v>
      </c>
      <c r="I73" s="172" t="s">
        <v>403</v>
      </c>
      <c r="K73" t="s">
        <v>401</v>
      </c>
    </row>
    <row r="74" spans="1:14" ht="26.25">
      <c r="A74" s="86">
        <f ca="1">IFERROR(__xludf.DUMMYFUNCTION("""COMPUTED_VALUE"""),217183847)</f>
        <v>217183847</v>
      </c>
      <c r="B74" s="86" t="str">
        <f ca="1">IFERROR(__xludf.DUMMYFUNCTION("""COMPUTED_VALUE"""),"Mhlanga")</f>
        <v>Mhlanga</v>
      </c>
      <c r="C74" s="86" t="str">
        <f ca="1">IFERROR(__xludf.DUMMYFUNCTION("""COMPUTED_VALUE"""),"EZ")</f>
        <v>EZ</v>
      </c>
      <c r="D74" s="82" t="s">
        <v>308</v>
      </c>
      <c r="E74" s="86" t="str">
        <f ca="1">IFERROR(__xludf.DUMMYFUNCTION("""COMPUTED_VALUE"""),"0787694119")</f>
        <v>0787694119</v>
      </c>
      <c r="F74" s="86" t="str">
        <f ca="1">IFERROR(__xludf.DUMMYFUNCTION("""COMPUTED_VALUE"""),"estherzongo4@gmail.com")</f>
        <v>estherzongo4@gmail.com</v>
      </c>
      <c r="G74" s="86" t="str">
        <f ca="1">IFERROR(__xludf.DUMMYFUNCTION("""COMPUTED_VALUE"""),"Student need to pass TPG201T, attend 85% full time, and attend all interventions.")</f>
        <v>Student need to pass TPG201T, attend 85% full time, and attend all interventions.</v>
      </c>
      <c r="K74" t="s">
        <v>401</v>
      </c>
    </row>
    <row r="75" spans="1:14" ht="26.25">
      <c r="A75" s="85">
        <f ca="1">IFERROR(__xludf.DUMMYFUNCTION("""COMPUTED_VALUE"""),217313619)</f>
        <v>217313619</v>
      </c>
      <c r="B75" s="85" t="str">
        <f ca="1">IFERROR(__xludf.DUMMYFUNCTION("""COMPUTED_VALUE"""),"MUDAU")</f>
        <v>MUDAU</v>
      </c>
      <c r="C75" s="85" t="str">
        <f ca="1">IFERROR(__xludf.DUMMYFUNCTION("""COMPUTED_VALUE"""),"M")</f>
        <v>M</v>
      </c>
      <c r="D75" s="84" t="s">
        <v>308</v>
      </c>
      <c r="E75" s="85" t="str">
        <f ca="1">IFERROR(__xludf.DUMMYFUNCTION("""COMPUTED_VALUE"""),"0641767044")</f>
        <v>0641767044</v>
      </c>
      <c r="F75" s="85" t="str">
        <f ca="1">IFERROR(__xludf.DUMMYFUNCTION("""COMPUTED_VALUE"""),"dzangiemudau@gmail.com")</f>
        <v>dzangiemudau@gmail.com</v>
      </c>
      <c r="G75" s="85" t="str">
        <f ca="1">IFERROR(__xludf.DUMMYFUNCTION("""COMPUTED_VALUE"""),"Student need to pass TPG201T, attend 85% full time, and attend all interventions.")</f>
        <v>Student need to pass TPG201T, attend 85% full time, and attend all interventions.</v>
      </c>
      <c r="I75" s="172" t="s">
        <v>403</v>
      </c>
      <c r="J75" t="s">
        <v>405</v>
      </c>
      <c r="K75" t="s">
        <v>401</v>
      </c>
      <c r="L75" t="s">
        <v>428</v>
      </c>
      <c r="N75" t="s">
        <v>409</v>
      </c>
    </row>
    <row r="76" spans="1:14" ht="39">
      <c r="A76" s="86">
        <v>217343208</v>
      </c>
      <c r="B76" s="86" t="str">
        <f ca="1">IFERROR(__xludf.DUMMYFUNCTION("""COMPUTED_VALUE"""),"TLHABI")</f>
        <v>TLHABI</v>
      </c>
      <c r="C76" s="86" t="str">
        <f ca="1">IFERROR(__xludf.DUMMYFUNCTION("""COMPUTED_VALUE"""),"KN")</f>
        <v>KN</v>
      </c>
      <c r="D76" s="82" t="s">
        <v>308</v>
      </c>
      <c r="E76" s="86" t="str">
        <f ca="1">IFERROR(__xludf.DUMMYFUNCTION("""COMPUTED_VALUE"""),"0724137932")</f>
        <v>0724137932</v>
      </c>
      <c r="F76" s="86" t="str">
        <f ca="1">IFERROR(__xludf.DUMMYFUNCTION("""COMPUTED_VALUE"""),"nk77tlhabi@gmail.com")</f>
        <v>nk77tlhabi@gmail.com</v>
      </c>
      <c r="G76" s="86" t="str">
        <f ca="1">IFERROR(__xludf.DUMMYFUNCTION("""COMPUTED_VALUE"""),"Student need to pass TPG201T, ISY23AT, ISY23BT,and DSO23BT, attend 85% full time, and attend all interventions.")</f>
        <v>Student need to pass TPG201T, ISY23AT, ISY23BT,and DSO23BT, attend 85% full time, and attend all interventions.</v>
      </c>
      <c r="I76" t="s">
        <v>400</v>
      </c>
      <c r="J76" t="s">
        <v>405</v>
      </c>
      <c r="K76" t="s">
        <v>411</v>
      </c>
      <c r="L76" s="233" t="s">
        <v>429</v>
      </c>
      <c r="N76" s="233" t="s">
        <v>430</v>
      </c>
    </row>
    <row r="77" spans="1:14" ht="26.25">
      <c r="A77" s="86">
        <f ca="1">IFERROR(__xludf.DUMMYFUNCTION("""COMPUTED_VALUE"""),217488184)</f>
        <v>217488184</v>
      </c>
      <c r="B77" s="86" t="str">
        <f ca="1">IFERROR(__xludf.DUMMYFUNCTION("""COMPUTED_VALUE"""),"SEBATI")</f>
        <v>SEBATI</v>
      </c>
      <c r="C77" s="86" t="str">
        <f ca="1">IFERROR(__xludf.DUMMYFUNCTION("""COMPUTED_VALUE"""),"PL")</f>
        <v>PL</v>
      </c>
      <c r="D77" s="82" t="s">
        <v>308</v>
      </c>
      <c r="E77" s="86" t="str">
        <f ca="1">IFERROR(__xludf.DUMMYFUNCTION("""COMPUTED_VALUE"""),"0764916800")</f>
        <v>0764916800</v>
      </c>
      <c r="F77" s="86" t="str">
        <f ca="1">IFERROR(__xludf.DUMMYFUNCTION("""COMPUTED_VALUE"""),"phutiledile2@gmail.com")</f>
        <v>phutiledile2@gmail.com</v>
      </c>
      <c r="G77" s="86" t="str">
        <f ca="1">IFERROR(__xludf.DUMMYFUNCTION("""COMPUTED_VALUE"""),"Student need to pass TPG201T, attend 85% full time, and attend all interventions.")</f>
        <v>Student need to pass TPG201T, attend 85% full time, and attend all interventions.</v>
      </c>
      <c r="I77" t="s">
        <v>400</v>
      </c>
      <c r="K77" t="s">
        <v>401</v>
      </c>
    </row>
    <row r="78" spans="1:14" ht="26.25">
      <c r="A78" s="86">
        <f ca="1">IFERROR(__xludf.DUMMYFUNCTION("""COMPUTED_VALUE"""),217560799)</f>
        <v>217560799</v>
      </c>
      <c r="B78" s="86" t="str">
        <f ca="1">IFERROR(__xludf.DUMMYFUNCTION("""COMPUTED_VALUE"""),"Maake")</f>
        <v>Maake</v>
      </c>
      <c r="C78" s="86" t="str">
        <f ca="1">IFERROR(__xludf.DUMMYFUNCTION("""COMPUTED_VALUE"""),"ND")</f>
        <v>ND</v>
      </c>
      <c r="D78" s="82" t="s">
        <v>308</v>
      </c>
      <c r="E78" s="86" t="str">
        <f ca="1">IFERROR(__xludf.DUMMYFUNCTION("""COMPUTED_VALUE"""),"0731772594")</f>
        <v>0731772594</v>
      </c>
      <c r="F78" s="86" t="str">
        <f ca="1">IFERROR(__xludf.DUMMYFUNCTION("""COMPUTED_VALUE"""),"nhlanhlagwebu28@gmail.com")</f>
        <v>nhlanhlagwebu28@gmail.com</v>
      </c>
      <c r="G78" s="86" t="str">
        <f ca="1">IFERROR(__xludf.DUMMYFUNCTION("""COMPUTED_VALUE"""),"Student need to pass TPG201T, attend 85% full time, and attend all interventions.")</f>
        <v>Student need to pass TPG201T, attend 85% full time, and attend all interventions.</v>
      </c>
      <c r="I78" t="s">
        <v>400</v>
      </c>
      <c r="K78" t="s">
        <v>401</v>
      </c>
    </row>
    <row r="79" spans="1:14" ht="51.75">
      <c r="A79" s="86">
        <f ca="1">IFERROR(__xludf.DUMMYFUNCTION("""COMPUTED_VALUE"""),217593654)</f>
        <v>217593654</v>
      </c>
      <c r="B79" s="86" t="str">
        <f ca="1">IFERROR(__xludf.DUMMYFUNCTION("""COMPUTED_VALUE"""),"Nakedi")</f>
        <v>Nakedi</v>
      </c>
      <c r="C79" s="86" t="str">
        <f ca="1">IFERROR(__xludf.DUMMYFUNCTION("""COMPUTED_VALUE"""),"KRJ")</f>
        <v>KRJ</v>
      </c>
      <c r="D79" s="82" t="s">
        <v>308</v>
      </c>
      <c r="E79" s="86" t="str">
        <f ca="1">IFERROR(__xludf.DUMMYFUNCTION("""COMPUTED_VALUE"""),"0712059921")</f>
        <v>0712059921</v>
      </c>
      <c r="F79" s="86" t="str">
        <f ca="1">IFERROR(__xludf.DUMMYFUNCTION("""COMPUTED_VALUE"""),"kamogelot96@gmail.com")</f>
        <v>kamogelot96@gmail.com</v>
      </c>
      <c r="G79" s="86" t="str">
        <f ca="1">IFERROR(__xludf.DUMMYFUNCTION("""COMPUTED_VALUE"""),"Student need to pass DSO23AT,ISY23BT, and TPG201T, attend 85% full time, and attend all interventions.")</f>
        <v>Student need to pass DSO23AT,ISY23BT, and TPG201T, attend 85% full time, and attend all interventions.</v>
      </c>
      <c r="I79" t="s">
        <v>400</v>
      </c>
      <c r="K79" t="s">
        <v>401</v>
      </c>
    </row>
    <row r="80" spans="1:14" ht="39">
      <c r="A80" s="85">
        <f ca="1">IFERROR(__xludf.DUMMYFUNCTION("""COMPUTED_VALUE"""),217602203)</f>
        <v>217602203</v>
      </c>
      <c r="B80" s="85" t="str">
        <f ca="1">IFERROR(__xludf.DUMMYFUNCTION("""COMPUTED_VALUE"""),"Mabena ")</f>
        <v xml:space="preserve">Mabena </v>
      </c>
      <c r="C80" s="85" t="str">
        <f ca="1">IFERROR(__xludf.DUMMYFUNCTION("""COMPUTED_VALUE"""),"TM")</f>
        <v>TM</v>
      </c>
      <c r="D80" s="84" t="s">
        <v>308</v>
      </c>
      <c r="E80" s="85" t="str">
        <f ca="1">IFERROR(__xludf.DUMMYFUNCTION("""COMPUTED_VALUE"""),"0796017958")</f>
        <v>0796017958</v>
      </c>
      <c r="F80" s="85" t="str">
        <f ca="1">IFERROR(__xludf.DUMMYFUNCTION("""COMPUTED_VALUE"""),"217602203@tut4life.ac.za")</f>
        <v>217602203@tut4life.ac.za</v>
      </c>
      <c r="G80" s="85" t="str">
        <f ca="1">IFERROR(__xludf.DUMMYFUNCTION("""COMPUTED_VALUE"""),"Student must pass TPG111T and ISY23AT, and TPG201T, attend 85% full time, and attend all interventions.")</f>
        <v>Student must pass TPG111T and ISY23AT, and TPG201T, attend 85% full time, and attend all interventions.</v>
      </c>
      <c r="I80" s="172" t="s">
        <v>403</v>
      </c>
      <c r="K80" t="s">
        <v>401</v>
      </c>
    </row>
    <row r="81" spans="1:14" ht="60">
      <c r="A81" s="86">
        <f ca="1">IFERROR(__xludf.DUMMYFUNCTION("""COMPUTED_VALUE"""),217603722)</f>
        <v>217603722</v>
      </c>
      <c r="B81" s="86" t="str">
        <f ca="1">IFERROR(__xludf.DUMMYFUNCTION("""COMPUTED_VALUE"""),"Mabasa")</f>
        <v>Mabasa</v>
      </c>
      <c r="C81" s="86" t="str">
        <f ca="1">IFERROR(__xludf.DUMMYFUNCTION("""COMPUTED_VALUE"""),"F")</f>
        <v>F</v>
      </c>
      <c r="D81" s="82" t="s">
        <v>308</v>
      </c>
      <c r="E81" s="86" t="str">
        <f ca="1">IFERROR(__xludf.DUMMYFUNCTION("""COMPUTED_VALUE"""),"0799206179")</f>
        <v>0799206179</v>
      </c>
      <c r="F81" s="86" t="str">
        <f ca="1">IFERROR(__xludf.DUMMYFUNCTION("""COMPUTED_VALUE"""),"217603722@tut4life.ac.za")</f>
        <v>217603722@tut4life.ac.za</v>
      </c>
      <c r="G81" s="86" t="str">
        <f ca="1">IFERROR(__xludf.DUMMYFUNCTION("""COMPUTED_VALUE"""),"Student need to pass ISY23AT and TPG201T, attend 85% full time, and attend all interventions.")</f>
        <v>Student need to pass ISY23AT and TPG201T, attend 85% full time, and attend all interventions.</v>
      </c>
      <c r="H81" s="87"/>
      <c r="I81" s="87" t="s">
        <v>400</v>
      </c>
      <c r="J81" s="87" t="s">
        <v>405</v>
      </c>
      <c r="K81" s="87" t="s">
        <v>401</v>
      </c>
      <c r="L81" s="232" t="s">
        <v>431</v>
      </c>
      <c r="M81" s="87"/>
      <c r="N81" s="232" t="s">
        <v>432</v>
      </c>
    </row>
    <row r="82" spans="1:14" ht="51.75">
      <c r="A82" s="85">
        <f ca="1">IFERROR(__xludf.DUMMYFUNCTION("""COMPUTED_VALUE"""),217612446)</f>
        <v>217612446</v>
      </c>
      <c r="B82" s="85" t="str">
        <f ca="1">IFERROR(__xludf.DUMMYFUNCTION("""COMPUTED_VALUE"""),"MANGANYE ")</f>
        <v xml:space="preserve">MANGANYE </v>
      </c>
      <c r="C82" s="85" t="str">
        <f ca="1">IFERROR(__xludf.DUMMYFUNCTION("""COMPUTED_VALUE"""),"VS ")</f>
        <v xml:space="preserve">VS </v>
      </c>
      <c r="D82" s="84" t="s">
        <v>308</v>
      </c>
      <c r="E82" s="85" t="str">
        <f ca="1">IFERROR(__xludf.DUMMYFUNCTION("""COMPUTED_VALUE"""),"0712312745")</f>
        <v>0712312745</v>
      </c>
      <c r="F82" s="85" t="str">
        <f ca="1">IFERROR(__xludf.DUMMYFUNCTION("""COMPUTED_VALUE"""),"manganyesurprise369@gmail.com")</f>
        <v>manganyesurprise369@gmail.com</v>
      </c>
      <c r="G82" s="85" t="str">
        <f ca="1">IFERROR(__xludf.DUMMYFUNCTION("""COMPUTED_VALUE"""),"Student need to pass TPG201T, ISY34AT, ISY34BT, and DSO34AT, attend 85% full time, and attend all interventions.")</f>
        <v>Student need to pass TPG201T, ISY34AT, ISY34BT, and DSO34AT, attend 85% full time, and attend all interventions.</v>
      </c>
      <c r="I82" s="172" t="s">
        <v>403</v>
      </c>
      <c r="J82" t="s">
        <v>405</v>
      </c>
      <c r="K82" t="s">
        <v>401</v>
      </c>
      <c r="L82" s="233" t="s">
        <v>433</v>
      </c>
      <c r="N82" t="s">
        <v>409</v>
      </c>
    </row>
    <row r="83" spans="1:14" ht="51.75">
      <c r="A83" s="85">
        <f ca="1">IFERROR(__xludf.DUMMYFUNCTION("""COMPUTED_VALUE"""),218014739)</f>
        <v>218014739</v>
      </c>
      <c r="B83" s="85" t="str">
        <f ca="1">IFERROR(__xludf.DUMMYFUNCTION("""COMPUTED_VALUE"""),"ngobeni")</f>
        <v>ngobeni</v>
      </c>
      <c r="C83" s="85" t="str">
        <f ca="1">IFERROR(__xludf.DUMMYFUNCTION("""COMPUTED_VALUE"""),"c")</f>
        <v>c</v>
      </c>
      <c r="D83" s="84" t="s">
        <v>308</v>
      </c>
      <c r="E83" s="85" t="str">
        <f ca="1">IFERROR(__xludf.DUMMYFUNCTION("""COMPUTED_VALUE"""),"+27790674457")</f>
        <v>+27790674457</v>
      </c>
      <c r="F83" s="85" t="str">
        <f ca="1">IFERROR(__xludf.DUMMYFUNCTION("""COMPUTED_VALUE"""),"218014739@tut4life.ac.za")</f>
        <v>218014739@tut4life.ac.za</v>
      </c>
      <c r="G83" s="85" t="str">
        <f ca="1">IFERROR(__xludf.DUMMYFUNCTION("""COMPUTED_VALUE"""),"Student must pass PASS TPG201T, DSO23AT, ISY23AT, and ISY23BT, attend 85% full time, and attend all interventions.")</f>
        <v>Student must pass PASS TPG201T, DSO23AT, ISY23AT, and ISY23BT, attend 85% full time, and attend all interventions.</v>
      </c>
      <c r="I83" s="172" t="s">
        <v>403</v>
      </c>
      <c r="K83" t="s">
        <v>401</v>
      </c>
    </row>
    <row r="84" spans="1:14" ht="26.25">
      <c r="A84" s="86">
        <f ca="1">IFERROR(__xludf.DUMMYFUNCTION("""COMPUTED_VALUE"""),218051740)</f>
        <v>218051740</v>
      </c>
      <c r="B84" s="86" t="str">
        <f ca="1">IFERROR(__xludf.DUMMYFUNCTION("""COMPUTED_VALUE"""),"Nades")</f>
        <v>Nades</v>
      </c>
      <c r="C84" s="86" t="str">
        <f ca="1">IFERROR(__xludf.DUMMYFUNCTION("""COMPUTED_VALUE"""),"P")</f>
        <v>P</v>
      </c>
      <c r="D84" s="82" t="s">
        <v>308</v>
      </c>
      <c r="E84" s="86" t="str">
        <f ca="1">IFERROR(__xludf.DUMMYFUNCTION("""COMPUTED_VALUE"""),"0814637337")</f>
        <v>0814637337</v>
      </c>
      <c r="F84" s="86" t="str">
        <f ca="1">IFERROR(__xludf.DUMMYFUNCTION("""COMPUTED_VALUE"""),"218051740@tut4life.ac.za")</f>
        <v>218051740@tut4life.ac.za</v>
      </c>
      <c r="G84" s="86" t="str">
        <f ca="1">IFERROR(__xludf.DUMMYFUNCTION("""COMPUTED_VALUE"""),"Student need to pass TPG201T, attend 85% full time, and attend all interventions.")</f>
        <v>Student need to pass TPG201T, attend 85% full time, and attend all interventions.</v>
      </c>
      <c r="I84" t="s">
        <v>400</v>
      </c>
      <c r="K84" t="s">
        <v>401</v>
      </c>
    </row>
    <row r="85" spans="1:14" ht="39">
      <c r="A85" s="86">
        <f ca="1">IFERROR(__xludf.DUMMYFUNCTION("""COMPUTED_VALUE"""),218064612)</f>
        <v>218064612</v>
      </c>
      <c r="B85" s="86" t="str">
        <f ca="1">IFERROR(__xludf.DUMMYFUNCTION("""COMPUTED_VALUE"""),"Sithole")</f>
        <v>Sithole</v>
      </c>
      <c r="C85" s="86" t="str">
        <f ca="1">IFERROR(__xludf.DUMMYFUNCTION("""COMPUTED_VALUE"""),"NW")</f>
        <v>NW</v>
      </c>
      <c r="D85" s="82" t="s">
        <v>308</v>
      </c>
      <c r="E85" s="86" t="str">
        <f ca="1">IFERROR(__xludf.DUMMYFUNCTION("""COMPUTED_VALUE"""),"0711994208")</f>
        <v>0711994208</v>
      </c>
      <c r="F85" s="86" t="str">
        <f ca="1">IFERROR(__xludf.DUMMYFUNCTION("""COMPUTED_VALUE"""),"218064612@tut4life.ac.za")</f>
        <v>218064612@tut4life.ac.za</v>
      </c>
      <c r="G85" s="86" t="str">
        <f ca="1">IFERROR(__xludf.DUMMYFUNCTION("""COMPUTED_VALUE"""),"Student must pass TPG201T, ISY34AT, and ISY34BT, attend 85% full time, and attend all interventions.")</f>
        <v>Student must pass TPG201T, ISY34AT, and ISY34BT, attend 85% full time, and attend all interventions.</v>
      </c>
      <c r="I85" t="s">
        <v>400</v>
      </c>
      <c r="J85" t="s">
        <v>405</v>
      </c>
      <c r="K85" t="s">
        <v>401</v>
      </c>
      <c r="L85" t="s">
        <v>428</v>
      </c>
      <c r="N85" t="s">
        <v>409</v>
      </c>
    </row>
    <row r="86" spans="1:14" ht="26.25">
      <c r="A86" s="86">
        <f ca="1">IFERROR(__xludf.DUMMYFUNCTION("""COMPUTED_VALUE"""),218071376)</f>
        <v>218071376</v>
      </c>
      <c r="B86" s="86" t="str">
        <f ca="1">IFERROR(__xludf.DUMMYFUNCTION("""COMPUTED_VALUE"""),"Maluleke")</f>
        <v>Maluleke</v>
      </c>
      <c r="C86" s="86" t="str">
        <f ca="1">IFERROR(__xludf.DUMMYFUNCTION("""COMPUTED_VALUE"""),"Nb")</f>
        <v>Nb</v>
      </c>
      <c r="D86" s="82" t="s">
        <v>308</v>
      </c>
      <c r="E86" s="86" t="str">
        <f ca="1">IFERROR(__xludf.DUMMYFUNCTION("""COMPUTED_VALUE"""),"0649432821")</f>
        <v>0649432821</v>
      </c>
      <c r="F86" s="86" t="str">
        <f ca="1">IFERROR(__xludf.DUMMYFUNCTION("""COMPUTED_VALUE"""),"malulekenb1@gmail.com")</f>
        <v>malulekenb1@gmail.com</v>
      </c>
      <c r="G86" s="86" t="str">
        <f ca="1">IFERROR(__xludf.DUMMYFUNCTION("""COMPUTED_VALUE"""),"Student must pass TPG201T, attend 85% full time, and attend all interventions.")</f>
        <v>Student must pass TPG201T, attend 85% full time, and attend all interventions.</v>
      </c>
      <c r="I86" t="s">
        <v>400</v>
      </c>
      <c r="J86" t="s">
        <v>405</v>
      </c>
      <c r="K86" t="s">
        <v>401</v>
      </c>
    </row>
    <row r="87" spans="1:14" ht="39">
      <c r="A87" s="86">
        <f ca="1">IFERROR(__xludf.DUMMYFUNCTION("""COMPUTED_VALUE"""),218148336)</f>
        <v>218148336</v>
      </c>
      <c r="B87" s="86" t="str">
        <f ca="1">IFERROR(__xludf.DUMMYFUNCTION("""COMPUTED_VALUE"""),"Mulaudzi")</f>
        <v>Mulaudzi</v>
      </c>
      <c r="C87" s="86" t="str">
        <f ca="1">IFERROR(__xludf.DUMMYFUNCTION("""COMPUTED_VALUE"""),"DR")</f>
        <v>DR</v>
      </c>
      <c r="D87" s="82" t="s">
        <v>308</v>
      </c>
      <c r="E87" s="86" t="str">
        <f ca="1">IFERROR(__xludf.DUMMYFUNCTION("""COMPUTED_VALUE"""),"0647374469")</f>
        <v>0647374469</v>
      </c>
      <c r="F87" s="86" t="str">
        <f ca="1">IFERROR(__xludf.DUMMYFUNCTION("""COMPUTED_VALUE"""),"dowelanirm@gmail.com")</f>
        <v>dowelanirm@gmail.com</v>
      </c>
      <c r="G87" s="86" t="str">
        <f ca="1">IFERROR(__xludf.DUMMYFUNCTION("""COMPUTED_VALUE"""),"Student need to pass TPG201T and DSO34BT attend 85% full time, and attend all interventions.")</f>
        <v>Student need to pass TPG201T and DSO34BT attend 85% full time, and attend all interventions.</v>
      </c>
      <c r="I87" t="s">
        <v>400</v>
      </c>
      <c r="K87" t="s">
        <v>401</v>
      </c>
    </row>
    <row r="88" spans="1:14" ht="26.25">
      <c r="A88" s="86">
        <f ca="1">IFERROR(__xludf.DUMMYFUNCTION("""COMPUTED_VALUE"""),218156592)</f>
        <v>218156592</v>
      </c>
      <c r="B88" s="86" t="str">
        <f ca="1">IFERROR(__xludf.DUMMYFUNCTION("""COMPUTED_VALUE"""),"Matsapola")</f>
        <v>Matsapola</v>
      </c>
      <c r="C88" s="86" t="str">
        <f ca="1">IFERROR(__xludf.DUMMYFUNCTION("""COMPUTED_VALUE"""),"A")</f>
        <v>A</v>
      </c>
      <c r="D88" s="82" t="s">
        <v>308</v>
      </c>
      <c r="E88" s="86" t="str">
        <f ca="1">IFERROR(__xludf.DUMMYFUNCTION("""COMPUTED_VALUE"""),"0789875644")</f>
        <v>0789875644</v>
      </c>
      <c r="F88" s="86" t="str">
        <f ca="1">IFERROR(__xludf.DUMMYFUNCTION("""COMPUTED_VALUE"""),"andriesmatsapola97@gmail.com")</f>
        <v>andriesmatsapola97@gmail.com</v>
      </c>
      <c r="G88" s="86" t="str">
        <f ca="1">IFERROR(__xludf.DUMMYFUNCTION("""COMPUTED_VALUE"""),"Student need to pass TPG201T, attend 85% full time, and attend all interventions.")</f>
        <v>Student need to pass TPG201T, attend 85% full time, and attend all interventions.</v>
      </c>
      <c r="I88" t="s">
        <v>400</v>
      </c>
      <c r="K88" t="s">
        <v>401</v>
      </c>
    </row>
    <row r="89" spans="1:14" ht="64.5">
      <c r="A89" s="86">
        <f ca="1">IFERROR(__xludf.DUMMYFUNCTION("""COMPUTED_VALUE"""),218476945)</f>
        <v>218476945</v>
      </c>
      <c r="B89" s="86" t="str">
        <f ca="1">IFERROR(__xludf.DUMMYFUNCTION("""COMPUTED_VALUE"""),"Mashiloane")</f>
        <v>Mashiloane</v>
      </c>
      <c r="C89" s="86" t="str">
        <f ca="1">IFERROR(__xludf.DUMMYFUNCTION("""COMPUTED_VALUE"""),"Ks")</f>
        <v>Ks</v>
      </c>
      <c r="D89" s="82" t="s">
        <v>308</v>
      </c>
      <c r="E89" s="86" t="str">
        <f ca="1">IFERROR(__xludf.DUMMYFUNCTION("""COMPUTED_VALUE"""),"0715409892")</f>
        <v>0715409892</v>
      </c>
      <c r="F89" s="86" t="str">
        <f ca="1">IFERROR(__xludf.DUMMYFUNCTION("""COMPUTED_VALUE"""),"218476945@tut4life.ac.za")</f>
        <v>218476945@tut4life.ac.za</v>
      </c>
      <c r="G89" s="86" t="str">
        <f ca="1">IFERROR(__xludf.DUMMYFUNCTION("""COMPUTED_VALUE"""),"LIFTED, MUST PASS PROBLEMATIC SUBJECT AND CONTINUE WITH REMAINING SUBJECTS and report for academic intervention for TPG201T (problematic subject).")</f>
        <v>LIFTED, MUST PASS PROBLEMATIC SUBJECT AND CONTINUE WITH REMAINING SUBJECTS and report for academic intervention for TPG201T (problematic subject).</v>
      </c>
      <c r="I89" t="s">
        <v>434</v>
      </c>
      <c r="K89" t="s">
        <v>401</v>
      </c>
    </row>
    <row r="90" spans="1:14" ht="39">
      <c r="A90" s="85">
        <f ca="1">IFERROR(__xludf.DUMMYFUNCTION("""COMPUTED_VALUE"""),219695900)</f>
        <v>219695900</v>
      </c>
      <c r="B90" s="85" t="str">
        <f ca="1">IFERROR(__xludf.DUMMYFUNCTION("""COMPUTED_VALUE"""),"Athi")</f>
        <v>Athi</v>
      </c>
      <c r="C90" s="85" t="s">
        <v>28</v>
      </c>
      <c r="D90" s="84" t="s">
        <v>308</v>
      </c>
      <c r="E90" s="85" t="str">
        <f ca="1">IFERROR(__xludf.DUMMYFUNCTION("""COMPUTED_VALUE"""),"629414310")</f>
        <v>629414310</v>
      </c>
      <c r="F90" s="85" t="str">
        <f ca="1">IFERROR(__xludf.DUMMYFUNCTION("""COMPUTED_VALUE"""),"athenkosindzololo978@gmail.com")</f>
        <v>athenkosindzololo978@gmail.com</v>
      </c>
      <c r="G90" s="85" t="str">
        <f ca="1">IFERROR(__xludf.DUMMYFUNCTION("""COMPUTED_VALUE"""),"LIFTED, Student must pass TPG201T, IIS20BT and other subjects and report for academic intervention.")</f>
        <v>LIFTED, Student must pass TPG201T, IIS20BT and other subjects and report for academic intervention.</v>
      </c>
      <c r="I90" s="172" t="s">
        <v>403</v>
      </c>
      <c r="K90" t="s">
        <v>401</v>
      </c>
    </row>
    <row r="91" spans="1:14" ht="51.75">
      <c r="A91" s="86">
        <f ca="1">IFERROR(__xludf.DUMMYFUNCTION("""COMPUTED_VALUE"""),217058570)</f>
        <v>217058570</v>
      </c>
      <c r="B91" s="86" t="str">
        <f ca="1">IFERROR(__xludf.DUMMYFUNCTION("""COMPUTED_VALUE"""),"Phakathi")</f>
        <v>Phakathi</v>
      </c>
      <c r="C91" s="86" t="str">
        <f ca="1">IFERROR(__xludf.DUMMYFUNCTION("""COMPUTED_VALUE"""),"NP")</f>
        <v>NP</v>
      </c>
      <c r="D91" s="82" t="s">
        <v>308</v>
      </c>
      <c r="E91" s="86" t="str">
        <f ca="1">IFERROR(__xludf.DUMMYFUNCTION("""COMPUTED_VALUE"""),"0730205598")</f>
        <v>0730205598</v>
      </c>
      <c r="F91" s="86" t="str">
        <f ca="1">IFERROR(__xludf.DUMMYFUNCTION("""COMPUTED_VALUE"""),"npphakathi.np@gmail.com")</f>
        <v>npphakathi.np@gmail.com</v>
      </c>
      <c r="G91" s="86" t="str">
        <f ca="1">IFERROR(__xludf.DUMMYFUNCTION("""COMPUTED_VALUE"""),"Need to pass during S1 2022 TPG201T, ISY34AT ATTEND 85% CLASSES, and interventions
")</f>
        <v xml:space="preserve">Need to pass during S1 2022 TPG201T, ISY34AT ATTEND 85% CLASSES, and interventions
</v>
      </c>
      <c r="I91" t="s">
        <v>434</v>
      </c>
      <c r="K91" t="s">
        <v>401</v>
      </c>
    </row>
    <row r="92" spans="1:14" ht="39">
      <c r="A92" s="85">
        <f ca="1">IFERROR(__xludf.DUMMYFUNCTION("""COMPUTED_VALUE"""),218487246)</f>
        <v>218487246</v>
      </c>
      <c r="B92" s="85" t="str">
        <f ca="1">IFERROR(__xludf.DUMMYFUNCTION("""COMPUTED_VALUE"""),"Ditinti")</f>
        <v>Ditinti</v>
      </c>
      <c r="C92" s="85" t="str">
        <f ca="1">IFERROR(__xludf.DUMMYFUNCTION("""COMPUTED_VALUE"""),"TE")</f>
        <v>TE</v>
      </c>
      <c r="D92" s="84" t="s">
        <v>308</v>
      </c>
      <c r="E92" s="85" t="str">
        <f ca="1">IFERROR(__xludf.DUMMYFUNCTION("""COMPUTED_VALUE"""),"0642771861")</f>
        <v>0642771861</v>
      </c>
      <c r="F92" s="85" t="str">
        <f ca="1">IFERROR(__xludf.DUMMYFUNCTION("""COMPUTED_VALUE"""),"edgarditinti@gmail.com")</f>
        <v>edgarditinti@gmail.com</v>
      </c>
      <c r="G92" s="85" t="str">
        <f ca="1">IFERROR(__xludf.DUMMYFUNCTION("""COMPUTED_VALUE"""),"Need to pass TPG201T and ISY23BT DURING S1 2022, and attend relevant intervention, also attend 85% of classes.")</f>
        <v>Need to pass TPG201T and ISY23BT DURING S1 2022, and attend relevant intervention, also attend 85% of classes.</v>
      </c>
      <c r="I92" s="172" t="s">
        <v>403</v>
      </c>
      <c r="K92" t="s">
        <v>401</v>
      </c>
      <c r="L92" t="s">
        <v>428</v>
      </c>
      <c r="N92" t="s">
        <v>409</v>
      </c>
    </row>
    <row r="93" spans="1:14" ht="39">
      <c r="A93" s="86">
        <f ca="1">IFERROR(__xludf.DUMMYFUNCTION("""COMPUTED_VALUE"""),218509150)</f>
        <v>218509150</v>
      </c>
      <c r="B93" s="86" t="str">
        <f ca="1">IFERROR(__xludf.DUMMYFUNCTION("""COMPUTED_VALUE"""),"Maswanganye ")</f>
        <v xml:space="preserve">Maswanganye </v>
      </c>
      <c r="C93" s="86" t="str">
        <f ca="1">IFERROR(__xludf.DUMMYFUNCTION("""COMPUTED_VALUE"""),"FK ")</f>
        <v xml:space="preserve">FK </v>
      </c>
      <c r="D93" s="82" t="s">
        <v>308</v>
      </c>
      <c r="E93" s="86" t="str">
        <f ca="1">IFERROR(__xludf.DUMMYFUNCTION("""COMPUTED_VALUE"""),"0789545048")</f>
        <v>0789545048</v>
      </c>
      <c r="F93" s="86" t="str">
        <f ca="1">IFERROR(__xludf.DUMMYFUNCTION("""COMPUTED_VALUE"""),"Firstieyk358@gmail.com")</f>
        <v>Firstieyk358@gmail.com</v>
      </c>
      <c r="G93" s="86" t="str">
        <f ca="1">IFERROR(__xludf.DUMMYFUNCTION("""COMPUTED_VALUE"""),"Student need to pass TPG201T, ISY34AT during S1 2022 and attend all relevant intervention, plus attend 85% of classes")</f>
        <v>Student need to pass TPG201T, ISY34AT during S1 2022 and attend all relevant intervention, plus attend 85% of classes</v>
      </c>
      <c r="I93" t="s">
        <v>434</v>
      </c>
      <c r="J93" t="s">
        <v>405</v>
      </c>
      <c r="K93" t="s">
        <v>401</v>
      </c>
      <c r="L93" t="s">
        <v>428</v>
      </c>
      <c r="N93" t="s">
        <v>409</v>
      </c>
    </row>
    <row r="94" spans="1:14" ht="71.25" customHeight="1">
      <c r="A94" s="86">
        <f ca="1">IFERROR(__xludf.DUMMYFUNCTION("""COMPUTED_VALUE"""),218630634)</f>
        <v>218630634</v>
      </c>
      <c r="B94" s="86" t="str">
        <f ca="1">IFERROR(__xludf.DUMMYFUNCTION("""COMPUTED_VALUE"""),"Mudau")</f>
        <v>Mudau</v>
      </c>
      <c r="C94" s="86" t="str">
        <f ca="1">IFERROR(__xludf.DUMMYFUNCTION("""COMPUTED_VALUE"""),"T")</f>
        <v>T</v>
      </c>
      <c r="D94" s="82" t="s">
        <v>308</v>
      </c>
      <c r="E94" s="86" t="str">
        <f ca="1">IFERROR(__xludf.DUMMYFUNCTION("""COMPUTED_VALUE"""),"0791592228")</f>
        <v>0791592228</v>
      </c>
      <c r="F94" s="86" t="str">
        <f ca="1">IFERROR(__xludf.DUMMYFUNCTION("""COMPUTED_VALUE"""),"218630634@tut4life.ac.za")</f>
        <v>218630634@tut4life.ac.za</v>
      </c>
      <c r="G94" s="86" t="str">
        <f ca="1">IFERROR(__xludf.DUMMYFUNCTION("""COMPUTED_VALUE"""),"student need to pass TPG201T, and ISY23AT during S1 2022, Attend interventions, attend 85% of classes")</f>
        <v>student need to pass TPG201T, and ISY23AT during S1 2022, Attend interventions, attend 85% of classes</v>
      </c>
      <c r="I94" t="s">
        <v>434</v>
      </c>
      <c r="K94" t="s">
        <v>401</v>
      </c>
    </row>
    <row r="95" spans="1:14" ht="39">
      <c r="A95" s="86">
        <f ca="1">IFERROR(__xludf.DUMMYFUNCTION("""COMPUTED_VALUE"""),218654401)</f>
        <v>218654401</v>
      </c>
      <c r="B95" s="86" t="str">
        <f ca="1">IFERROR(__xludf.DUMMYFUNCTION("""COMPUTED_VALUE"""),"MOJELA")</f>
        <v>MOJELA</v>
      </c>
      <c r="C95" s="86" t="str">
        <f ca="1">IFERROR(__xludf.DUMMYFUNCTION("""COMPUTED_VALUE"""),"MP")</f>
        <v>MP</v>
      </c>
      <c r="D95" s="82" t="s">
        <v>308</v>
      </c>
      <c r="E95" s="86" t="str">
        <f ca="1">IFERROR(__xludf.DUMMYFUNCTION("""COMPUTED_VALUE"""),"0799174229")</f>
        <v>0799174229</v>
      </c>
      <c r="F95" s="86" t="str">
        <f ca="1">IFERROR(__xludf.DUMMYFUNCTION("""COMPUTED_VALUE"""),"mzwakhemojela084@gmail.com")</f>
        <v>mzwakhemojela084@gmail.com</v>
      </c>
      <c r="G95" s="86" t="str">
        <f ca="1">IFERROR(__xludf.DUMMYFUNCTION("""COMPUTED_VALUE"""),"student need to pass TPG201T, and ISY34AT, Attend interventions, attend 85% of classes during S1 2022")</f>
        <v>student need to pass TPG201T, and ISY34AT, Attend interventions, attend 85% of classes during S1 2022</v>
      </c>
      <c r="I95" t="s">
        <v>434</v>
      </c>
      <c r="J95" t="s">
        <v>405</v>
      </c>
      <c r="K95" t="s">
        <v>401</v>
      </c>
      <c r="L95" s="233" t="s">
        <v>435</v>
      </c>
      <c r="N95" t="s">
        <v>409</v>
      </c>
    </row>
    <row r="96" spans="1:14" ht="51.75">
      <c r="A96" s="85">
        <f ca="1">IFERROR(__xludf.DUMMYFUNCTION("""COMPUTED_VALUE"""),218701248)</f>
        <v>218701248</v>
      </c>
      <c r="B96" s="85" t="str">
        <f ca="1">IFERROR(__xludf.DUMMYFUNCTION("""COMPUTED_VALUE"""),"MALULEKE")</f>
        <v>MALULEKE</v>
      </c>
      <c r="C96" s="85" t="str">
        <f ca="1">IFERROR(__xludf.DUMMYFUNCTION("""COMPUTED_VALUE"""),"FD")</f>
        <v>FD</v>
      </c>
      <c r="D96" s="84" t="s">
        <v>308</v>
      </c>
      <c r="E96" s="85" t="str">
        <f ca="1">IFERROR(__xludf.DUMMYFUNCTION("""COMPUTED_VALUE"""),"0722843863")</f>
        <v>0722843863</v>
      </c>
      <c r="F96" s="85" t="str">
        <f ca="1">IFERROR(__xludf.DUMMYFUNCTION("""COMPUTED_VALUE"""),"dowenfumani97@gmail.com")</f>
        <v>dowenfumani97@gmail.com</v>
      </c>
      <c r="G96" s="85" t="str">
        <f ca="1">IFERROR(__xludf.DUMMYFUNCTION("""COMPUTED_VALUE"""),"Need to pass TPG201T(3), DSO34BT(2),ISY34AT(2),ISY34BT(2) and attend relevant intervention, and 85% classes during S1 2022")</f>
        <v>Need to pass TPG201T(3), DSO34BT(2),ISY34AT(2),ISY34BT(2) and attend relevant intervention, and 85% classes during S1 2022</v>
      </c>
      <c r="I96" s="172" t="s">
        <v>403</v>
      </c>
      <c r="K96" t="s">
        <v>401</v>
      </c>
    </row>
    <row r="97" spans="1:14" ht="51.75">
      <c r="A97" s="86">
        <f ca="1">IFERROR(__xludf.DUMMYFUNCTION("""COMPUTED_VALUE"""),218725830)</f>
        <v>218725830</v>
      </c>
      <c r="B97" s="86" t="str">
        <f ca="1">IFERROR(__xludf.DUMMYFUNCTION("""COMPUTED_VALUE"""),"Mathekga")</f>
        <v>Mathekga</v>
      </c>
      <c r="C97" s="86" t="s">
        <v>436</v>
      </c>
      <c r="D97" s="82" t="s">
        <v>308</v>
      </c>
      <c r="E97" s="86" t="str">
        <f ca="1">IFERROR(__xludf.DUMMYFUNCTION("""COMPUTED_VALUE"""),"0647326456")</f>
        <v>0647326456</v>
      </c>
      <c r="F97" s="86" t="str">
        <f ca="1">IFERROR(__xludf.DUMMYFUNCTION("""COMPUTED_VALUE"""),"218725830@tut4life.ac.za")</f>
        <v>218725830@tut4life.ac.za</v>
      </c>
      <c r="G97" s="86" t="str">
        <f ca="1">IFERROR(__xludf.DUMMYFUNCTION("""COMPUTED_VALUE"""),"Need to pass TPG201T(3), DSO23BT(2) and attend relevant intervention for TPG201T, and 85% classes during S1 2022")</f>
        <v>Need to pass TPG201T(3), DSO23BT(2) and attend relevant intervention for TPG201T, and 85% classes during S1 2022</v>
      </c>
      <c r="I97" t="s">
        <v>434</v>
      </c>
      <c r="K97" t="s">
        <v>401</v>
      </c>
    </row>
    <row r="98" spans="1:14" ht="51.75">
      <c r="A98" s="86">
        <f ca="1">IFERROR(__xludf.DUMMYFUNCTION("""COMPUTED_VALUE"""),218726070)</f>
        <v>218726070</v>
      </c>
      <c r="B98" s="86" t="str">
        <f ca="1">IFERROR(__xludf.DUMMYFUNCTION("""COMPUTED_VALUE"""),"Mthombothi ")</f>
        <v xml:space="preserve">Mthombothi </v>
      </c>
      <c r="C98" s="86" t="str">
        <f ca="1">IFERROR(__xludf.DUMMYFUNCTION("""COMPUTED_VALUE"""),"NE")</f>
        <v>NE</v>
      </c>
      <c r="D98" s="82" t="s">
        <v>308</v>
      </c>
      <c r="E98" s="86" t="str">
        <f ca="1">IFERROR(__xludf.DUMMYFUNCTION("""COMPUTED_VALUE"""),"0728112342")</f>
        <v>0728112342</v>
      </c>
      <c r="F98" s="86" t="str">
        <f ca="1">IFERROR(__xludf.DUMMYFUNCTION("""COMPUTED_VALUE"""),"Lwazyevidence2@gmail.com")</f>
        <v>Lwazyevidence2@gmail.com</v>
      </c>
      <c r="G98" s="86" t="str">
        <f ca="1">IFERROR(__xludf.DUMMYFUNCTION("""COMPUTED_VALUE"""),"Need to pass TPG201T(3) (academic intervention), DSO34BT(2) and attend relevant intervention, and 85% classes during S1 2022")</f>
        <v>Need to pass TPG201T(3) (academic intervention), DSO34BT(2) and attend relevant intervention, and 85% classes during S1 2022</v>
      </c>
      <c r="I98" t="s">
        <v>434</v>
      </c>
      <c r="K98" t="s">
        <v>401</v>
      </c>
    </row>
    <row r="99" spans="1:14" ht="60">
      <c r="A99" s="86">
        <f ca="1">IFERROR(__xludf.DUMMYFUNCTION("""COMPUTED_VALUE"""),218728472)</f>
        <v>218728472</v>
      </c>
      <c r="B99" s="86" t="str">
        <f ca="1">IFERROR(__xludf.DUMMYFUNCTION("""COMPUTED_VALUE"""),"Khumalo ")</f>
        <v xml:space="preserve">Khumalo </v>
      </c>
      <c r="C99" s="86" t="str">
        <f ca="1">IFERROR(__xludf.DUMMYFUNCTION("""COMPUTED_VALUE"""),"TT")</f>
        <v>TT</v>
      </c>
      <c r="D99" s="82" t="s">
        <v>308</v>
      </c>
      <c r="E99" s="86" t="str">
        <f ca="1">IFERROR(__xludf.DUMMYFUNCTION("""COMPUTED_VALUE"""),"0647861881")</f>
        <v>0647861881</v>
      </c>
      <c r="F99" s="86" t="str">
        <f ca="1">IFERROR(__xludf.DUMMYFUNCTION("""COMPUTED_VALUE"""),"tshepi.khumalot@gmail.com")</f>
        <v>tshepi.khumalot@gmail.com</v>
      </c>
      <c r="G99" s="86" t="str">
        <f ca="1">IFERROR(__xludf.DUMMYFUNCTION("""COMPUTED_VALUE"""),"Need to pass TPG201T, ATTEND 85% OF CLASSES AND RELEVANT INTERVENTIONS during S1 2022")</f>
        <v>Need to pass TPG201T, ATTEND 85% OF CLASSES AND RELEVANT INTERVENTIONS during S1 2022</v>
      </c>
      <c r="H99" s="87"/>
      <c r="I99" s="236" t="s">
        <v>403</v>
      </c>
      <c r="J99" s="87" t="s">
        <v>405</v>
      </c>
      <c r="K99" s="87" t="s">
        <v>401</v>
      </c>
      <c r="L99" s="232" t="s">
        <v>408</v>
      </c>
      <c r="M99" s="87"/>
      <c r="N99" s="232" t="s">
        <v>409</v>
      </c>
    </row>
    <row r="100" spans="1:14" ht="39">
      <c r="A100" s="86">
        <f ca="1">IFERROR(__xludf.DUMMYFUNCTION("""COMPUTED_VALUE"""),218736432)</f>
        <v>218736432</v>
      </c>
      <c r="B100" s="86" t="str">
        <f ca="1">IFERROR(__xludf.DUMMYFUNCTION("""COMPUTED_VALUE"""),"MADIDE")</f>
        <v>MADIDE</v>
      </c>
      <c r="C100" s="86" t="str">
        <f ca="1">IFERROR(__xludf.DUMMYFUNCTION("""COMPUTED_VALUE"""),"LF")</f>
        <v>LF</v>
      </c>
      <c r="D100" s="82" t="s">
        <v>308</v>
      </c>
      <c r="E100" s="86" t="str">
        <f ca="1">IFERROR(__xludf.DUMMYFUNCTION("""COMPUTED_VALUE"""),"0766785632")</f>
        <v>0766785632</v>
      </c>
      <c r="F100" s="86" t="str">
        <f ca="1">IFERROR(__xludf.DUMMYFUNCTION("""COMPUTED_VALUE"""),"lethokuhlefreeman@gmail.com")</f>
        <v>lethokuhlefreeman@gmail.com</v>
      </c>
      <c r="G100" s="86" t="str">
        <f ca="1">IFERROR(__xludf.DUMMYFUNCTION("""COMPUTED_VALUE"""),"Need to pass TPG201T, ATTEND 85% OF CLASSES AND RELEVANT INTERVENTIONS during S1 2022")</f>
        <v>Need to pass TPG201T, ATTEND 85% OF CLASSES AND RELEVANT INTERVENTIONS during S1 2022</v>
      </c>
      <c r="I100" t="s">
        <v>434</v>
      </c>
      <c r="K100" t="s">
        <v>401</v>
      </c>
    </row>
    <row r="101" spans="1:14" ht="39">
      <c r="A101" s="85">
        <f ca="1">IFERROR(__xludf.DUMMYFUNCTION("""COMPUTED_VALUE"""),219770871)</f>
        <v>219770871</v>
      </c>
      <c r="B101" s="85" t="str">
        <f ca="1">IFERROR(__xludf.DUMMYFUNCTION("""COMPUTED_VALUE"""),"Chauke")</f>
        <v>Chauke</v>
      </c>
      <c r="C101" s="85" t="str">
        <f ca="1">IFERROR(__xludf.DUMMYFUNCTION("""COMPUTED_VALUE"""),"NA")</f>
        <v>NA</v>
      </c>
      <c r="D101" s="84" t="s">
        <v>308</v>
      </c>
      <c r="E101" s="85" t="str">
        <f ca="1">IFERROR(__xludf.DUMMYFUNCTION("""COMPUTED_VALUE"""),"0765388658")</f>
        <v>0765388658</v>
      </c>
      <c r="F101" s="85" t="str">
        <f ca="1">IFERROR(__xludf.DUMMYFUNCTION("""COMPUTED_VALUE"""),"219770871@tut4life.ac.za")</f>
        <v>219770871@tut4life.ac.za</v>
      </c>
      <c r="G101" s="85" t="str">
        <f ca="1">IFERROR(__xludf.DUMMYFUNCTION("""COMPUTED_VALUE"""),"Need to pass TPG201T, ATTEND 85% CLASSES, and interventions during S1 2022.")</f>
        <v>Need to pass TPG201T, ATTEND 85% CLASSES, and interventions during S1 2022.</v>
      </c>
      <c r="I101" s="172" t="s">
        <v>403</v>
      </c>
      <c r="K101" t="s">
        <v>411</v>
      </c>
    </row>
    <row r="102" spans="1:14" ht="64.5">
      <c r="A102" s="86">
        <f ca="1">IFERROR(__xludf.DUMMYFUNCTION("""COMPUTED_VALUE"""),219939752)</f>
        <v>219939752</v>
      </c>
      <c r="B102" s="86" t="str">
        <f ca="1">IFERROR(__xludf.DUMMYFUNCTION("""COMPUTED_VALUE"""),"Mukwevho")</f>
        <v>Mukwevho</v>
      </c>
      <c r="C102" s="86" t="str">
        <f ca="1">IFERROR(__xludf.DUMMYFUNCTION("""COMPUTED_VALUE"""),"MG")</f>
        <v>MG</v>
      </c>
      <c r="D102" s="82" t="s">
        <v>308</v>
      </c>
      <c r="E102" s="86" t="str">
        <f ca="1">IFERROR(__xludf.DUMMYFUNCTION("""COMPUTED_VALUE"""),"0766168037")</f>
        <v>0766168037</v>
      </c>
      <c r="F102" s="86" t="str">
        <f ca="1">IFERROR(__xludf.DUMMYFUNCTION("""COMPUTED_VALUE"""),"219939752@tut4life.ac.za")</f>
        <v>219939752@tut4life.ac.za</v>
      </c>
      <c r="G102" s="86"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c r="I102" t="s">
        <v>434</v>
      </c>
      <c r="K102" t="s">
        <v>401</v>
      </c>
    </row>
    <row r="103" spans="1:14" ht="51.75">
      <c r="A103" s="100">
        <v>215487016</v>
      </c>
      <c r="B103" s="101" t="s">
        <v>10</v>
      </c>
      <c r="C103" s="101" t="s">
        <v>10</v>
      </c>
      <c r="D103" s="102"/>
      <c r="E103" s="103" t="s">
        <v>10</v>
      </c>
      <c r="F103" s="101" t="s">
        <v>10</v>
      </c>
      <c r="G103" s="104" t="s">
        <v>437</v>
      </c>
      <c r="I103" s="172" t="s">
        <v>403</v>
      </c>
      <c r="K103" t="s">
        <v>411</v>
      </c>
    </row>
    <row r="104" spans="1:14" ht="39">
      <c r="A104" s="100">
        <v>217606357</v>
      </c>
      <c r="B104" s="101" t="s">
        <v>10</v>
      </c>
      <c r="C104" s="101" t="s">
        <v>10</v>
      </c>
      <c r="D104" s="102"/>
      <c r="E104" s="103" t="s">
        <v>10</v>
      </c>
      <c r="F104" s="101" t="s">
        <v>10</v>
      </c>
      <c r="G104" s="104" t="s">
        <v>438</v>
      </c>
      <c r="I104" s="172" t="s">
        <v>403</v>
      </c>
      <c r="K104" t="s">
        <v>411</v>
      </c>
    </row>
    <row r="105" spans="1:14" ht="51.75">
      <c r="A105" s="100"/>
      <c r="B105" s="101" t="s">
        <v>10</v>
      </c>
      <c r="C105" s="101" t="s">
        <v>10</v>
      </c>
      <c r="D105" s="102"/>
      <c r="E105" s="103" t="s">
        <v>10</v>
      </c>
      <c r="F105" s="101" t="s">
        <v>10</v>
      </c>
      <c r="G105" s="104" t="s">
        <v>439</v>
      </c>
      <c r="I105" s="172" t="s">
        <v>403</v>
      </c>
      <c r="K105" t="s">
        <v>411</v>
      </c>
    </row>
    <row r="106" spans="1:14" ht="53.25" customHeight="1">
      <c r="A106" s="111">
        <v>214484641</v>
      </c>
      <c r="B106" s="114" t="s">
        <v>440</v>
      </c>
      <c r="C106" s="114" t="s">
        <v>441</v>
      </c>
      <c r="D106" s="110"/>
      <c r="E106" s="111">
        <v>764875868</v>
      </c>
      <c r="F106" s="112" t="s">
        <v>442</v>
      </c>
      <c r="G106" s="113" t="s">
        <v>443</v>
      </c>
      <c r="I106" t="s">
        <v>434</v>
      </c>
      <c r="K106" t="s">
        <v>401</v>
      </c>
    </row>
    <row r="107" spans="1:14" ht="39">
      <c r="A107" s="91">
        <v>216324986</v>
      </c>
      <c r="B107" s="130" t="s">
        <v>444</v>
      </c>
      <c r="C107" s="130" t="s">
        <v>445</v>
      </c>
      <c r="D107" s="102"/>
      <c r="E107" s="91">
        <v>795552917</v>
      </c>
      <c r="F107" s="129" t="s">
        <v>446</v>
      </c>
      <c r="G107" s="95" t="s">
        <v>447</v>
      </c>
      <c r="I107" s="172" t="s">
        <v>403</v>
      </c>
      <c r="J107" t="s">
        <v>405</v>
      </c>
      <c r="K107" t="s">
        <v>401</v>
      </c>
      <c r="L107" s="233" t="s">
        <v>448</v>
      </c>
      <c r="N107" t="s">
        <v>409</v>
      </c>
    </row>
    <row r="108" spans="1:14" ht="64.5">
      <c r="A108" s="111">
        <v>218332498</v>
      </c>
      <c r="B108" s="114" t="s">
        <v>449</v>
      </c>
      <c r="C108" s="114" t="s">
        <v>450</v>
      </c>
      <c r="D108" s="110"/>
      <c r="E108" s="111">
        <v>763205850</v>
      </c>
      <c r="F108" s="112" t="s">
        <v>451</v>
      </c>
      <c r="G108" s="113" t="s">
        <v>452</v>
      </c>
      <c r="I108" t="s">
        <v>434</v>
      </c>
      <c r="K108" t="s">
        <v>401</v>
      </c>
    </row>
  </sheetData>
  <hyperlinks>
    <hyperlink ref="F2" r:id="rId1"/>
    <hyperlink ref="F106" r:id="rId2"/>
    <hyperlink ref="F107" r:id="rId3"/>
    <hyperlink ref="F108" r:id="rId4"/>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5" workbookViewId="0">
      <selection activeCell="A12" sqref="A12"/>
    </sheetView>
  </sheetViews>
  <sheetFormatPr defaultRowHeight="15"/>
  <cols>
    <col min="1" max="1" width="21.85546875" customWidth="1"/>
    <col min="2" max="2" width="16.85546875" customWidth="1"/>
    <col min="3" max="3" width="12.85546875" customWidth="1"/>
    <col min="4" max="4" width="17" customWidth="1"/>
    <col min="5" max="5" width="19.85546875" customWidth="1"/>
    <col min="6" max="6" width="21.85546875" customWidth="1"/>
    <col min="7" max="7" width="34.140625" customWidth="1"/>
    <col min="8" max="8" width="4.5703125" customWidth="1"/>
    <col min="9" max="9" width="20.28515625" customWidth="1"/>
    <col min="10" max="10" width="17.5703125" customWidth="1"/>
    <col min="11" max="11" width="13.85546875" customWidth="1"/>
    <col min="12" max="12" width="19.28515625" customWidth="1"/>
  </cols>
  <sheetData>
    <row r="1" spans="1:14">
      <c r="A1" s="1" t="s">
        <v>0</v>
      </c>
      <c r="B1" s="1" t="s">
        <v>1</v>
      </c>
      <c r="C1" s="1" t="s">
        <v>2</v>
      </c>
      <c r="D1" s="1" t="s">
        <v>3</v>
      </c>
      <c r="E1" s="1" t="s">
        <v>4</v>
      </c>
      <c r="F1" s="1" t="s">
        <v>5</v>
      </c>
      <c r="G1" s="1" t="s">
        <v>6</v>
      </c>
    </row>
    <row r="2" spans="1:14" ht="77.2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row>
    <row r="3" spans="1:14" ht="77.25">
      <c r="A3" s="86">
        <f ca="1">IFERROR(__xludf.DUMMYFUNCTION("""COMPUTED_VALUE"""),217334861)</f>
        <v>217334861</v>
      </c>
      <c r="B3" s="86" t="str">
        <f ca="1">IFERROR(__xludf.DUMMYFUNCTION("""COMPUTED_VALUE"""),"Nyawo")</f>
        <v>Nyawo</v>
      </c>
      <c r="C3" s="86" t="str">
        <f ca="1">IFERROR(__xludf.DUMMYFUNCTION("""COMPUTED_VALUE"""),"AP")</f>
        <v>AP</v>
      </c>
      <c r="D3" s="86"/>
      <c r="E3" s="86" t="str">
        <f ca="1">IFERROR(__xludf.DUMMYFUNCTION("""COMPUTED_VALUE"""),"0721965595")</f>
        <v>0721965595</v>
      </c>
      <c r="F3" s="86" t="str">
        <f ca="1">IFERROR(__xludf.DUMMYFUNCTION("""COMPUTED_VALUE"""),"phumelele013@gmail.com")</f>
        <v>phumelele013@gmail.com</v>
      </c>
      <c r="G3"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row>
    <row r="4" spans="1:14" ht="77.25">
      <c r="A4" s="86">
        <f ca="1">IFERROR(__xludf.DUMMYFUNCTION("""COMPUTED_VALUE"""),216185021)</f>
        <v>216185021</v>
      </c>
      <c r="B4" s="86" t="str">
        <f ca="1">IFERROR(__xludf.DUMMYFUNCTION("""COMPUTED_VALUE"""),"Sibiya")</f>
        <v>Sibiya</v>
      </c>
      <c r="C4" s="86" t="str">
        <f ca="1">IFERROR(__xludf.DUMMYFUNCTION("""COMPUTED_VALUE"""),"JT")</f>
        <v>JT</v>
      </c>
      <c r="D4" s="86"/>
      <c r="E4" s="86" t="str">
        <f ca="1">IFERROR(__xludf.DUMMYFUNCTION("""COMPUTED_VALUE"""),"0710294350")</f>
        <v>0710294350</v>
      </c>
      <c r="F4" s="86" t="str">
        <f ca="1">IFERROR(__xludf.DUMMYFUNCTION("""COMPUTED_VALUE"""),"216185021@tut4life.ac.za")</f>
        <v>216185021@tut4life.ac.za</v>
      </c>
      <c r="G4"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row>
    <row r="5" spans="1:14" ht="64.5">
      <c r="A5" s="4">
        <f ca="1">IFERROR(__xludf.DUMMYFUNCTION("""COMPUTED_VALUE"""),210237828)</f>
        <v>210237828</v>
      </c>
      <c r="B5" s="4" t="str">
        <f ca="1">IFERROR(__xludf.DUMMYFUNCTION("""COMPUTED_VALUE"""),"Mathabatha ")</f>
        <v xml:space="preserve">Mathabatha </v>
      </c>
      <c r="C5" s="4" t="str">
        <f ca="1">IFERROR(__xludf.DUMMYFUNCTION("""COMPUTED_VALUE"""),"MR")</f>
        <v>MR</v>
      </c>
      <c r="D5" s="4"/>
      <c r="E5" s="4" t="str">
        <f ca="1">IFERROR(__xludf.DUMMYFUNCTION("""COMPUTED_VALUE"""),"0826761645")</f>
        <v>0826761645</v>
      </c>
      <c r="F5" s="4" t="str">
        <f ca="1">IFERROR(__xludf.DUMMYFUNCTION("""COMPUTED_VALUE"""),"rhinemathabatha@gmail.com")</f>
        <v>rhinemathabatha@gmail.com</v>
      </c>
      <c r="G5"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6" spans="1:14" ht="77.25">
      <c r="A6" s="4">
        <f ca="1">IFERROR(__xludf.DUMMYFUNCTION("""COMPUTED_VALUE"""),218221912)</f>
        <v>218221912</v>
      </c>
      <c r="B6" s="4" t="str">
        <f ca="1">IFERROR(__xludf.DUMMYFUNCTION("""COMPUTED_VALUE"""),"Mokobane")</f>
        <v>Mokobane</v>
      </c>
      <c r="C6" s="4" t="str">
        <f ca="1">IFERROR(__xludf.DUMMYFUNCTION("""COMPUTED_VALUE"""),"MR")</f>
        <v>MR</v>
      </c>
      <c r="D6" s="4"/>
      <c r="E6" s="4" t="str">
        <f ca="1">IFERROR(__xludf.DUMMYFUNCTION("""COMPUTED_VALUE"""),"0794269973")</f>
        <v>0794269973</v>
      </c>
      <c r="F6" s="4" t="str">
        <f ca="1">IFERROR(__xludf.DUMMYFUNCTION("""COMPUTED_VALUE"""),"mokobanemoraka@gmail.com")</f>
        <v>mokobanemoraka@gmail.com</v>
      </c>
      <c r="G6" s="4"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row>
    <row r="7" spans="1:14" ht="127.5" customHeight="1">
      <c r="A7" s="88">
        <f ca="1">IFERROR(__xludf.DUMMYFUNCTION("""COMPUTED_VALUE"""),219624603)</f>
        <v>219624603</v>
      </c>
      <c r="B7" s="88" t="str">
        <f ca="1">IFERROR(__xludf.DUMMYFUNCTION("""COMPUTED_VALUE"""),"Mutavhatsindi")</f>
        <v>Mutavhatsindi</v>
      </c>
      <c r="C7" s="88" t="str">
        <f ca="1">IFERROR(__xludf.DUMMYFUNCTION("""COMPUTED_VALUE"""),"V")</f>
        <v>V</v>
      </c>
      <c r="D7" s="88"/>
      <c r="E7" s="88" t="str">
        <f ca="1">IFERROR(__xludf.DUMMYFUNCTION("""COMPUTED_VALUE"""),"0712121214")</f>
        <v>0712121214</v>
      </c>
      <c r="F7" s="88" t="str">
        <f ca="1">IFERROR(__xludf.DUMMYFUNCTION("""COMPUTED_VALUE"""),"219624603@tut4life.ac.za")</f>
        <v>219624603@tut4life.ac.za</v>
      </c>
      <c r="G7" s="88"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7" s="87"/>
      <c r="I7" s="87" t="s">
        <v>422</v>
      </c>
      <c r="J7" s="87" t="s">
        <v>405</v>
      </c>
      <c r="K7" s="236" t="s">
        <v>401</v>
      </c>
      <c r="L7" s="235" t="s">
        <v>684</v>
      </c>
      <c r="M7" s="87"/>
      <c r="N7" s="232" t="s">
        <v>486</v>
      </c>
    </row>
    <row r="8" spans="1:14" ht="64.5">
      <c r="A8" s="86">
        <f ca="1">IFERROR(__xludf.DUMMYFUNCTION("""COMPUTED_VALUE"""),213157744)</f>
        <v>213157744</v>
      </c>
      <c r="B8" s="86" t="str">
        <f ca="1">IFERROR(__xludf.DUMMYFUNCTION("""COMPUTED_VALUE"""),"Sambo")</f>
        <v>Sambo</v>
      </c>
      <c r="C8" s="86" t="str">
        <f ca="1">IFERROR(__xludf.DUMMYFUNCTION("""COMPUTED_VALUE"""),"NC")</f>
        <v>NC</v>
      </c>
      <c r="D8" s="86"/>
      <c r="E8" s="86" t="str">
        <f ca="1">IFERROR(__xludf.DUMMYFUNCTION("""COMPUTED_VALUE"""),"0790215129")</f>
        <v>0790215129</v>
      </c>
      <c r="F8" s="86" t="str">
        <f ca="1">IFERROR(__xludf.DUMMYFUNCTION("""COMPUTED_VALUE"""),"nonhlesambo501@gmail.com")</f>
        <v>nonhlesambo501@gmail.com</v>
      </c>
      <c r="G8"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row>
    <row r="9" spans="1:14" ht="51.75">
      <c r="A9" s="85">
        <f ca="1">IFERROR(__xludf.DUMMYFUNCTION("""COMPUTED_VALUE"""),217288673)</f>
        <v>217288673</v>
      </c>
      <c r="B9" s="85" t="str">
        <f ca="1">IFERROR(__xludf.DUMMYFUNCTION("""COMPUTED_VALUE"""),"Makwakwa")</f>
        <v>Makwakwa</v>
      </c>
      <c r="C9" s="85" t="str">
        <f ca="1">IFERROR(__xludf.DUMMYFUNCTION("""COMPUTED_VALUE"""),"R")</f>
        <v>R</v>
      </c>
      <c r="D9" s="85"/>
      <c r="E9" s="85" t="str">
        <f ca="1">IFERROR(__xludf.DUMMYFUNCTION("""COMPUTED_VALUE"""),"0770934222")</f>
        <v>0770934222</v>
      </c>
      <c r="F9" s="85" t="str">
        <f ca="1">IFERROR(__xludf.DUMMYFUNCTION("""COMPUTED_VALUE"""),"rifumomakwakwa@gmail.com")</f>
        <v>rifumomakwakwa@gmail.com</v>
      </c>
      <c r="G9" s="85" t="str">
        <f ca="1">IFERROR(__xludf.DUMMYFUNCTION("""COMPUTED_VALUE"""),"Student should register and pass the following modules i.e. COB30BT &amp; TPG12BT, he/she must be monitored strictly.")</f>
        <v>Student should register and pass the following modules i.e. COB30BT &amp; TPG12BT, he/she must be monitored strictly.</v>
      </c>
    </row>
    <row r="10" spans="1:14" ht="64.5">
      <c r="A10" s="86">
        <f ca="1">IFERROR(__xludf.DUMMYFUNCTION("""COMPUTED_VALUE"""),218083951)</f>
        <v>218083951</v>
      </c>
      <c r="B10" s="86" t="str">
        <f ca="1">IFERROR(__xludf.DUMMYFUNCTION("""COMPUTED_VALUE"""),"NTSHANGASE")</f>
        <v>NTSHANGASE</v>
      </c>
      <c r="C10" s="86" t="str">
        <f ca="1">IFERROR(__xludf.DUMMYFUNCTION("""COMPUTED_VALUE"""),"T")</f>
        <v>T</v>
      </c>
      <c r="D10" s="86"/>
      <c r="E10" s="86" t="str">
        <f ca="1">IFERROR(__xludf.DUMMYFUNCTION("""COMPUTED_VALUE"""),"0680575594")</f>
        <v>0680575594</v>
      </c>
      <c r="F10" s="86" t="str">
        <f ca="1">IFERROR(__xludf.DUMMYFUNCTION("""COMPUTED_VALUE"""),"teborokwezi@gmail.com")</f>
        <v>teborokwezi@gmail.com</v>
      </c>
      <c r="G10"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11" spans="1:14" ht="90">
      <c r="A11" s="86">
        <f ca="1">IFERROR(__xludf.DUMMYFUNCTION("""COMPUTED_VALUE"""),218060110)</f>
        <v>218060110</v>
      </c>
      <c r="B11" s="86" t="str">
        <f ca="1">IFERROR(__xludf.DUMMYFUNCTION("""COMPUTED_VALUE"""),"Skosana")</f>
        <v>Skosana</v>
      </c>
      <c r="C11" s="86" t="str">
        <f ca="1">IFERROR(__xludf.DUMMYFUNCTION("""COMPUTED_VALUE"""),"MI")</f>
        <v>MI</v>
      </c>
      <c r="D11" s="86"/>
      <c r="E11" s="86" t="str">
        <f ca="1">IFERROR(__xludf.DUMMYFUNCTION("""COMPUTED_VALUE"""),"0760718694")</f>
        <v>0760718694</v>
      </c>
      <c r="F11" s="86" t="str">
        <f ca="1">IFERROR(__xludf.DUMMYFUNCTION("""COMPUTED_VALUE"""),"218060110@tut4life.ac.za")</f>
        <v>218060110@tut4life.ac.za</v>
      </c>
      <c r="G11"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12" spans="1:14" ht="64.5">
      <c r="A12" s="86">
        <f ca="1">IFERROR(__xludf.DUMMYFUNCTION("""COMPUTED_VALUE"""),213152831)</f>
        <v>213152831</v>
      </c>
      <c r="B12" s="86" t="str">
        <f ca="1">IFERROR(__xludf.DUMMYFUNCTION("""COMPUTED_VALUE"""),"Maqashalala")</f>
        <v>Maqashalala</v>
      </c>
      <c r="C12" s="86" t="str">
        <f ca="1">IFERROR(__xludf.DUMMYFUNCTION("""COMPUTED_VALUE"""),"BC")</f>
        <v>BC</v>
      </c>
      <c r="D12" s="86"/>
      <c r="E12" s="86" t="str">
        <f ca="1">IFERROR(__xludf.DUMMYFUNCTION("""COMPUTED_VALUE"""),"0681428073")</f>
        <v>0681428073</v>
      </c>
      <c r="F12" s="86" t="str">
        <f ca="1">IFERROR(__xludf.DUMMYFUNCTION("""COMPUTED_VALUE"""),"bhekimaqashalala@gmail.com")</f>
        <v>bhekimaqashalala@gmail.com</v>
      </c>
      <c r="G12"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13" spans="1:14" ht="64.5">
      <c r="A13" s="4">
        <f ca="1">IFERROR(__xludf.DUMMYFUNCTION("""COMPUTED_VALUE"""),216873998)</f>
        <v>216873998</v>
      </c>
      <c r="B13" s="4" t="str">
        <f ca="1">IFERROR(__xludf.DUMMYFUNCTION("""COMPUTED_VALUE"""),"Nkuna")</f>
        <v>Nkuna</v>
      </c>
      <c r="C13" s="4" t="str">
        <f ca="1">IFERROR(__xludf.DUMMYFUNCTION("""COMPUTED_VALUE"""),"SG")</f>
        <v>SG</v>
      </c>
      <c r="D13" s="4"/>
      <c r="E13" s="4" t="str">
        <f ca="1">IFERROR(__xludf.DUMMYFUNCTION("""COMPUTED_VALUE"""),"0636060796")</f>
        <v>0636060796</v>
      </c>
      <c r="F13" s="4" t="str">
        <f ca="1">IFERROR(__xludf.DUMMYFUNCTION("""COMPUTED_VALUE"""),"sollygiven31@gmail.com")</f>
        <v>sollygiven31@gmail.com</v>
      </c>
      <c r="G13" s="4"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14" spans="1:14" ht="64.5">
      <c r="A14" s="86">
        <f ca="1">IFERROR(__xludf.DUMMYFUNCTION("""COMPUTED_VALUE"""),217352100)</f>
        <v>217352100</v>
      </c>
      <c r="B14" s="86" t="str">
        <f ca="1">IFERROR(__xludf.DUMMYFUNCTION("""COMPUTED_VALUE"""),"Mahlako ")</f>
        <v xml:space="preserve">Mahlako </v>
      </c>
      <c r="C14" s="86" t="str">
        <f ca="1">IFERROR(__xludf.DUMMYFUNCTION("""COMPUTED_VALUE"""),"K")</f>
        <v>K</v>
      </c>
      <c r="D14" s="86"/>
      <c r="E14" s="86" t="str">
        <f ca="1">IFERROR(__xludf.DUMMYFUNCTION("""COMPUTED_VALUE"""),"0727332603")</f>
        <v>0727332603</v>
      </c>
      <c r="F14" s="86" t="str">
        <f ca="1">IFERROR(__xludf.DUMMYFUNCTION("""COMPUTED_VALUE"""),"kari24july@gmail.com")</f>
        <v>kari24july@gmail.com</v>
      </c>
      <c r="G14"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15" spans="1:14" ht="90">
      <c r="A15" s="85">
        <f ca="1">IFERROR(__xludf.DUMMYFUNCTION("""COMPUTED_VALUE"""),214491966)</f>
        <v>214491966</v>
      </c>
      <c r="B15" s="85" t="str">
        <f ca="1">IFERROR(__xludf.DUMMYFUNCTION("""COMPUTED_VALUE"""),"MAHLAULE")</f>
        <v>MAHLAULE</v>
      </c>
      <c r="C15" s="85" t="str">
        <f ca="1">IFERROR(__xludf.DUMMYFUNCTION("""COMPUTED_VALUE"""),"N")</f>
        <v>N</v>
      </c>
      <c r="D15" s="85"/>
      <c r="E15" s="85" t="str">
        <f ca="1">IFERROR(__xludf.DUMMYFUNCTION("""COMPUTED_VALUE"""),"0793265984")</f>
        <v>0793265984</v>
      </c>
      <c r="F15" s="85" t="str">
        <f ca="1">IFERROR(__xludf.DUMMYFUNCTION("""COMPUTED_VALUE"""),"Ndzalamamahlaule@gmail.com")</f>
        <v>Ndzalamamahlaule@gmail.com</v>
      </c>
      <c r="G15"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6" spans="1:14" ht="90">
      <c r="A16" s="4">
        <f ca="1">IFERROR(__xludf.DUMMYFUNCTION("""COMPUTED_VALUE"""),218412432)</f>
        <v>218412432</v>
      </c>
      <c r="B16" s="4" t="str">
        <f ca="1">IFERROR(__xludf.DUMMYFUNCTION("""COMPUTED_VALUE"""),"SEGOLOANE")</f>
        <v>SEGOLOANE</v>
      </c>
      <c r="C16" s="4" t="str">
        <f ca="1">IFERROR(__xludf.DUMMYFUNCTION("""COMPUTED_VALUE"""),"M")</f>
        <v>M</v>
      </c>
      <c r="D16" s="4"/>
      <c r="E16" s="4" t="str">
        <f ca="1">IFERROR(__xludf.DUMMYFUNCTION("""COMPUTED_VALUE"""),"+27793148421")</f>
        <v>+27793148421</v>
      </c>
      <c r="F16" s="4" t="str">
        <f ca="1">IFERROR(__xludf.DUMMYFUNCTION("""COMPUTED_VALUE"""),"Segoloanei@gmail.com")</f>
        <v>Segoloanei@gmail.com</v>
      </c>
      <c r="G16"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17" spans="1:7" ht="51.75">
      <c r="A17" s="4">
        <f ca="1">IFERROR(__xludf.DUMMYFUNCTION("""COMPUTED_VALUE"""),217488877)</f>
        <v>217488877</v>
      </c>
      <c r="B17" s="4" t="str">
        <f ca="1">IFERROR(__xludf.DUMMYFUNCTION("""COMPUTED_VALUE"""),"Mabasa")</f>
        <v>Mabasa</v>
      </c>
      <c r="C17" s="4" t="str">
        <f ca="1">IFERROR(__xludf.DUMMYFUNCTION("""COMPUTED_VALUE"""),"H")</f>
        <v>H</v>
      </c>
      <c r="D17" s="4"/>
      <c r="E17" s="4" t="str">
        <f ca="1">IFERROR(__xludf.DUMMYFUNCTION("""COMPUTED_VALUE"""),"0834334141")</f>
        <v>0834334141</v>
      </c>
      <c r="F17" s="4" t="str">
        <f ca="1">IFERROR(__xludf.DUMMYFUNCTION("""COMPUTED_VALUE"""),"hitekofait@gmail.com")</f>
        <v>hitekofait@gmail.com</v>
      </c>
      <c r="G17" s="4" t="str">
        <f ca="1">IFERROR(__xludf.DUMMYFUNCTION("""COMPUTED_VALUE"""),"Student is left with one year to complete, he/she must register and pass DSA30BT, COB30BT and IDC30BC in 2022 Academic Year.")</f>
        <v>Student is left with one year to complete, he/she must register and pass DSA30BT, COB30BT and IDC30BC in 2022 Academic Year.</v>
      </c>
    </row>
    <row r="18" spans="1:7" ht="51.75">
      <c r="A18" s="18">
        <v>218470912</v>
      </c>
      <c r="B18" s="21" t="s">
        <v>10</v>
      </c>
      <c r="C18" s="21" t="s">
        <v>10</v>
      </c>
      <c r="D18" s="22"/>
      <c r="E18" s="23" t="s">
        <v>10</v>
      </c>
      <c r="F18" s="24" t="s">
        <v>681</v>
      </c>
      <c r="G18" s="25" t="s">
        <v>682</v>
      </c>
    </row>
    <row r="19" spans="1:7" ht="64.5">
      <c r="A19" s="18">
        <v>212118222</v>
      </c>
      <c r="B19" s="21" t="s">
        <v>10</v>
      </c>
      <c r="C19" s="21" t="s">
        <v>10</v>
      </c>
      <c r="D19" s="22"/>
      <c r="E19" s="23" t="s">
        <v>10</v>
      </c>
      <c r="F19" s="24" t="s">
        <v>590</v>
      </c>
      <c r="G19" s="25" t="s">
        <v>591</v>
      </c>
    </row>
    <row r="20" spans="1:7" ht="51.75">
      <c r="A20" s="18">
        <v>219939108</v>
      </c>
      <c r="B20" s="21" t="s">
        <v>10</v>
      </c>
      <c r="C20" s="21" t="s">
        <v>10</v>
      </c>
      <c r="D20" s="22"/>
      <c r="E20" s="23" t="s">
        <v>10</v>
      </c>
      <c r="F20" s="24" t="s">
        <v>495</v>
      </c>
      <c r="G20" s="25" t="s">
        <v>496</v>
      </c>
    </row>
    <row r="21" spans="1:7" ht="90">
      <c r="A21" s="52">
        <v>219548915</v>
      </c>
      <c r="B21" s="30" t="s">
        <v>10</v>
      </c>
      <c r="C21" s="30" t="s">
        <v>10</v>
      </c>
      <c r="D21" s="22"/>
      <c r="E21" s="41" t="s">
        <v>10</v>
      </c>
      <c r="F21" s="30" t="s">
        <v>10</v>
      </c>
      <c r="G21" s="51" t="s">
        <v>542</v>
      </c>
    </row>
  </sheetData>
  <hyperlinks>
    <hyperlink ref="F18" r:id="rId1"/>
    <hyperlink ref="F19" r:id="rId2"/>
    <hyperlink ref="F20" r:id="rId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A7" sqref="A7"/>
    </sheetView>
  </sheetViews>
  <sheetFormatPr defaultRowHeight="15"/>
  <cols>
    <col min="1" max="1" width="18.5703125" customWidth="1"/>
    <col min="2" max="2" width="23.42578125" customWidth="1"/>
    <col min="4" max="4" width="15.85546875" customWidth="1"/>
    <col min="5" max="5" width="19.5703125" customWidth="1"/>
    <col min="6" max="6" width="25.5703125" customWidth="1"/>
    <col min="7" max="7" width="35.140625" customWidth="1"/>
  </cols>
  <sheetData>
    <row r="1" spans="1:14">
      <c r="A1" s="1" t="s">
        <v>0</v>
      </c>
      <c r="B1" s="1" t="s">
        <v>1</v>
      </c>
      <c r="C1" s="1" t="s">
        <v>2</v>
      </c>
      <c r="D1" s="1" t="s">
        <v>3</v>
      </c>
      <c r="E1" s="1" t="s">
        <v>4</v>
      </c>
      <c r="F1" s="1" t="s">
        <v>5</v>
      </c>
      <c r="G1" s="1" t="s">
        <v>6</v>
      </c>
    </row>
    <row r="2" spans="1:14" ht="77.25">
      <c r="A2" s="86">
        <f ca="1">IFERROR(__xludf.DUMMYFUNCTION("""COMPUTED_VALUE"""),218152155)</f>
        <v>218152155</v>
      </c>
      <c r="B2" s="86" t="str">
        <f ca="1">IFERROR(__xludf.DUMMYFUNCTION("""COMPUTED_VALUE"""),"Komape ")</f>
        <v xml:space="preserve">Komape </v>
      </c>
      <c r="C2" s="86" t="str">
        <f ca="1">IFERROR(__xludf.DUMMYFUNCTION("""COMPUTED_VALUE"""),"U")</f>
        <v>U</v>
      </c>
      <c r="D2" s="86"/>
      <c r="E2" s="86" t="str">
        <f ca="1">IFERROR(__xludf.DUMMYFUNCTION("""COMPUTED_VALUE"""),"0792765450")</f>
        <v>0792765450</v>
      </c>
      <c r="F2" s="86" t="str">
        <f ca="1">IFERROR(__xludf.DUMMYFUNCTION("""COMPUTED_VALUE"""),"218152155@tut4life.ac.za")</f>
        <v>218152155@tut4life.ac.za</v>
      </c>
      <c r="G2" s="86"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3" spans="1:14" ht="64.5">
      <c r="A3" s="86">
        <f ca="1">IFERROR(__xludf.DUMMYFUNCTION("""COMPUTED_VALUE"""),214645971)</f>
        <v>214645971</v>
      </c>
      <c r="B3" s="86" t="str">
        <f ca="1">IFERROR(__xludf.DUMMYFUNCTION("""COMPUTED_VALUE"""),"Mncube ")</f>
        <v xml:space="preserve">Mncube </v>
      </c>
      <c r="C3" s="86" t="str">
        <f ca="1">IFERROR(__xludf.DUMMYFUNCTION("""COMPUTED_VALUE"""),"Z.A")</f>
        <v>Z.A</v>
      </c>
      <c r="D3" s="86"/>
      <c r="E3" s="86" t="str">
        <f ca="1">IFERROR(__xludf.DUMMYFUNCTION("""COMPUTED_VALUE"""),"0736580359")</f>
        <v>0736580359</v>
      </c>
      <c r="F3" s="86" t="str">
        <f ca="1">IFERROR(__xludf.DUMMYFUNCTION("""COMPUTED_VALUE"""),"214645971@tut4life.ac.za")</f>
        <v>214645971@tut4life.ac.za</v>
      </c>
      <c r="G3" s="86"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4" spans="1:14" ht="330">
      <c r="A4" s="86">
        <f ca="1">IFERROR(__xludf.DUMMYFUNCTION("""COMPUTED_VALUE"""),219624603)</f>
        <v>219624603</v>
      </c>
      <c r="B4" s="86" t="str">
        <f ca="1">IFERROR(__xludf.DUMMYFUNCTION("""COMPUTED_VALUE"""),"Mutavhatsindi")</f>
        <v>Mutavhatsindi</v>
      </c>
      <c r="C4" s="86" t="str">
        <f ca="1">IFERROR(__xludf.DUMMYFUNCTION("""COMPUTED_VALUE"""),"V")</f>
        <v>V</v>
      </c>
      <c r="D4" s="86"/>
      <c r="E4" s="86" t="str">
        <f ca="1">IFERROR(__xludf.DUMMYFUNCTION("""COMPUTED_VALUE"""),"0712121214")</f>
        <v>0712121214</v>
      </c>
      <c r="F4" s="86" t="str">
        <f ca="1">IFERROR(__xludf.DUMMYFUNCTION("""COMPUTED_VALUE"""),"219624603@tut4life.ac.za")</f>
        <v>219624603@tut4life.ac.za</v>
      </c>
      <c r="G4"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4" s="87"/>
      <c r="I4" s="87" t="s">
        <v>422</v>
      </c>
      <c r="J4" s="87" t="s">
        <v>405</v>
      </c>
      <c r="K4" s="236" t="s">
        <v>401</v>
      </c>
      <c r="L4" s="235" t="s">
        <v>684</v>
      </c>
      <c r="M4" s="87"/>
      <c r="N4" s="232" t="s">
        <v>486</v>
      </c>
    </row>
    <row r="5" spans="1:14" ht="64.5">
      <c r="A5" s="86">
        <f ca="1">IFERROR(__xludf.DUMMYFUNCTION("""COMPUTED_VALUE"""),218083951)</f>
        <v>218083951</v>
      </c>
      <c r="B5" s="86" t="str">
        <f ca="1">IFERROR(__xludf.DUMMYFUNCTION("""COMPUTED_VALUE"""),"NTSHANGASE")</f>
        <v>NTSHANGASE</v>
      </c>
      <c r="C5" s="86" t="str">
        <f ca="1">IFERROR(__xludf.DUMMYFUNCTION("""COMPUTED_VALUE"""),"T")</f>
        <v>T</v>
      </c>
      <c r="D5" s="86"/>
      <c r="E5" s="86" t="str">
        <f ca="1">IFERROR(__xludf.DUMMYFUNCTION("""COMPUTED_VALUE"""),"0680575594")</f>
        <v>0680575594</v>
      </c>
      <c r="F5" s="86" t="str">
        <f ca="1">IFERROR(__xludf.DUMMYFUNCTION("""COMPUTED_VALUE"""),"teborokwezi@gmail.com")</f>
        <v>teborokwezi@gmail.com</v>
      </c>
      <c r="G5"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6" spans="1:14" ht="90">
      <c r="A6" s="86">
        <f ca="1">IFERROR(__xludf.DUMMYFUNCTION("""COMPUTED_VALUE"""),218060110)</f>
        <v>218060110</v>
      </c>
      <c r="B6" s="86" t="str">
        <f ca="1">IFERROR(__xludf.DUMMYFUNCTION("""COMPUTED_VALUE"""),"Skosana")</f>
        <v>Skosana</v>
      </c>
      <c r="C6" s="86" t="str">
        <f ca="1">IFERROR(__xludf.DUMMYFUNCTION("""COMPUTED_VALUE"""),"MI")</f>
        <v>MI</v>
      </c>
      <c r="D6" s="86"/>
      <c r="E6" s="86" t="str">
        <f ca="1">IFERROR(__xludf.DUMMYFUNCTION("""COMPUTED_VALUE"""),"0760718694")</f>
        <v>0760718694</v>
      </c>
      <c r="F6" s="86" t="str">
        <f ca="1">IFERROR(__xludf.DUMMYFUNCTION("""COMPUTED_VALUE"""),"218060110@tut4life.ac.za")</f>
        <v>218060110@tut4life.ac.za</v>
      </c>
      <c r="G6"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7" spans="1:14" ht="64.5">
      <c r="A7" s="86">
        <f ca="1">IFERROR(__xludf.DUMMYFUNCTION("""COMPUTED_VALUE"""),213152831)</f>
        <v>213152831</v>
      </c>
      <c r="B7" s="86" t="str">
        <f ca="1">IFERROR(__xludf.DUMMYFUNCTION("""COMPUTED_VALUE"""),"Maqashalala")</f>
        <v>Maqashalala</v>
      </c>
      <c r="C7" s="86" t="str">
        <f ca="1">IFERROR(__xludf.DUMMYFUNCTION("""COMPUTED_VALUE"""),"BC")</f>
        <v>BC</v>
      </c>
      <c r="D7" s="86"/>
      <c r="E7" s="86" t="str">
        <f ca="1">IFERROR(__xludf.DUMMYFUNCTION("""COMPUTED_VALUE"""),"0681428073")</f>
        <v>0681428073</v>
      </c>
      <c r="F7" s="86" t="str">
        <f ca="1">IFERROR(__xludf.DUMMYFUNCTION("""COMPUTED_VALUE"""),"bhekimaqashalala@gmail.com")</f>
        <v>bhekimaqashalala@gmail.com</v>
      </c>
      <c r="G7"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8" spans="1:14" ht="64.5">
      <c r="A8" s="86">
        <f ca="1">IFERROR(__xludf.DUMMYFUNCTION("""COMPUTED_VALUE"""),216873998)</f>
        <v>216873998</v>
      </c>
      <c r="B8" s="86" t="str">
        <f ca="1">IFERROR(__xludf.DUMMYFUNCTION("""COMPUTED_VALUE"""),"Nkuna")</f>
        <v>Nkuna</v>
      </c>
      <c r="C8" s="86" t="str">
        <f ca="1">IFERROR(__xludf.DUMMYFUNCTION("""COMPUTED_VALUE"""),"SG")</f>
        <v>SG</v>
      </c>
      <c r="D8" s="86"/>
      <c r="E8" s="86" t="str">
        <f ca="1">IFERROR(__xludf.DUMMYFUNCTION("""COMPUTED_VALUE"""),"0636060796")</f>
        <v>0636060796</v>
      </c>
      <c r="F8" s="86" t="str">
        <f ca="1">IFERROR(__xludf.DUMMYFUNCTION("""COMPUTED_VALUE"""),"sollygiven31@gmail.com")</f>
        <v>sollygiven31@gmail.com</v>
      </c>
      <c r="G8" s="86"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9" spans="1:14" ht="64.5">
      <c r="A9" s="86">
        <f ca="1">IFERROR(__xludf.DUMMYFUNCTION("""COMPUTED_VALUE"""),217352100)</f>
        <v>217352100</v>
      </c>
      <c r="B9" s="86" t="str">
        <f ca="1">IFERROR(__xludf.DUMMYFUNCTION("""COMPUTED_VALUE"""),"Mahlako ")</f>
        <v xml:space="preserve">Mahlako </v>
      </c>
      <c r="C9" s="86" t="str">
        <f ca="1">IFERROR(__xludf.DUMMYFUNCTION("""COMPUTED_VALUE"""),"K")</f>
        <v>K</v>
      </c>
      <c r="D9" s="86"/>
      <c r="E9" s="86" t="str">
        <f ca="1">IFERROR(__xludf.DUMMYFUNCTION("""COMPUTED_VALUE"""),"0727332603")</f>
        <v>0727332603</v>
      </c>
      <c r="F9" s="86" t="str">
        <f ca="1">IFERROR(__xludf.DUMMYFUNCTION("""COMPUTED_VALUE"""),"kari24july@gmail.com")</f>
        <v>kari24july@gmail.com</v>
      </c>
      <c r="G9"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10" spans="1:14" ht="77.25">
      <c r="A10" s="98">
        <f ca="1">IFERROR(__xludf.DUMMYFUNCTION("""COMPUTED_VALUE"""),214491966)</f>
        <v>214491966</v>
      </c>
      <c r="B10" s="98" t="str">
        <f ca="1">IFERROR(__xludf.DUMMYFUNCTION("""COMPUTED_VALUE"""),"MAHLAULE")</f>
        <v>MAHLAULE</v>
      </c>
      <c r="C10" s="98" t="str">
        <f ca="1">IFERROR(__xludf.DUMMYFUNCTION("""COMPUTED_VALUE"""),"N")</f>
        <v>N</v>
      </c>
      <c r="D10" s="98"/>
      <c r="E10" s="98" t="str">
        <f ca="1">IFERROR(__xludf.DUMMYFUNCTION("""COMPUTED_VALUE"""),"0793265984")</f>
        <v>0793265984</v>
      </c>
      <c r="F10" s="98" t="str">
        <f ca="1">IFERROR(__xludf.DUMMYFUNCTION("""COMPUTED_VALUE"""),"Ndzalamamahlaule@gmail.com")</f>
        <v>Ndzalamamahlaule@gmail.com</v>
      </c>
      <c r="G10" s="98"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1" spans="1:14" ht="39">
      <c r="A11" s="85">
        <v>216323947</v>
      </c>
      <c r="B11" s="85" t="str">
        <f ca="1">IFERROR(__xludf.DUMMYFUNCTION("""COMPUTED_VALUE"""),"Mdluli ")</f>
        <v xml:space="preserve">Mdluli </v>
      </c>
      <c r="C11" s="85" t="str">
        <f ca="1">IFERROR(__xludf.DUMMYFUNCTION("""COMPUTED_VALUE"""),"O.N")</f>
        <v>O.N</v>
      </c>
      <c r="D11" s="85"/>
      <c r="E11" s="85" t="str">
        <f ca="1">IFERROR(__xludf.DUMMYFUNCTION("""COMPUTED_VALUE"""),"0639707936")</f>
        <v>0639707936</v>
      </c>
      <c r="F11" s="85" t="str">
        <f ca="1">IFERROR(__xludf.DUMMYFUNCTION("""COMPUTED_VALUE"""),"olemdluli@gmail.com")</f>
        <v>olemdluli@gmail.com</v>
      </c>
      <c r="G11" s="85" t="str">
        <f ca="1">IFERROR(__xludf.DUMMYFUNCTION("""COMPUTED_VALUE"""),"Student should register and pass the following DSA30AT and DSA30BT in 2022 Academic Year.")</f>
        <v>Student should register and pass the following DSA30AT and DSA30BT in 2022 Academic Year.</v>
      </c>
    </row>
    <row r="12" spans="1:14" ht="51.75">
      <c r="A12" s="18">
        <v>218470912</v>
      </c>
      <c r="B12" s="21" t="s">
        <v>10</v>
      </c>
      <c r="C12" s="21" t="s">
        <v>10</v>
      </c>
      <c r="D12" s="22"/>
      <c r="E12" s="23" t="s">
        <v>10</v>
      </c>
      <c r="F12" s="24" t="s">
        <v>681</v>
      </c>
      <c r="G12" s="25" t="s">
        <v>682</v>
      </c>
    </row>
    <row r="13" spans="1:14" ht="64.5">
      <c r="A13" s="18">
        <v>212118222</v>
      </c>
      <c r="B13" s="21" t="s">
        <v>10</v>
      </c>
      <c r="C13" s="21" t="s">
        <v>10</v>
      </c>
      <c r="D13" s="22"/>
      <c r="E13" s="23" t="s">
        <v>10</v>
      </c>
      <c r="F13" s="24" t="s">
        <v>590</v>
      </c>
      <c r="G13" s="25" t="s">
        <v>591</v>
      </c>
    </row>
  </sheetData>
  <hyperlinks>
    <hyperlink ref="F12" r:id="rId1"/>
    <hyperlink ref="F13" r:id="rId2"/>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A9" sqref="A9:G9"/>
    </sheetView>
  </sheetViews>
  <sheetFormatPr defaultRowHeight="15"/>
  <cols>
    <col min="1" max="1" width="16.28515625" customWidth="1"/>
    <col min="2" max="2" width="20.140625" customWidth="1"/>
    <col min="3" max="3" width="12" customWidth="1"/>
    <col min="4" max="4" width="14.28515625" customWidth="1"/>
    <col min="5" max="5" width="24.140625" customWidth="1"/>
    <col min="6" max="6" width="24.85546875" customWidth="1"/>
    <col min="7" max="7" width="35.140625" customWidth="1"/>
  </cols>
  <sheetData>
    <row r="1" spans="1:7">
      <c r="A1" s="1" t="s">
        <v>0</v>
      </c>
      <c r="B1" s="1" t="s">
        <v>1</v>
      </c>
      <c r="C1" s="1" t="s">
        <v>2</v>
      </c>
      <c r="D1" s="1" t="s">
        <v>3</v>
      </c>
      <c r="E1" s="1" t="s">
        <v>4</v>
      </c>
      <c r="F1" s="1" t="s">
        <v>5</v>
      </c>
      <c r="G1" s="1" t="s">
        <v>6</v>
      </c>
    </row>
    <row r="2" spans="1:7" ht="64.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row>
    <row r="3" spans="1:7" ht="64.5">
      <c r="A3" s="86">
        <f ca="1">IFERROR(__xludf.DUMMYFUNCTION("""COMPUTED_VALUE"""),213157744)</f>
        <v>213157744</v>
      </c>
      <c r="B3" s="86" t="str">
        <f ca="1">IFERROR(__xludf.DUMMYFUNCTION("""COMPUTED_VALUE"""),"Sambo")</f>
        <v>Sambo</v>
      </c>
      <c r="C3" s="86" t="str">
        <f ca="1">IFERROR(__xludf.DUMMYFUNCTION("""COMPUTED_VALUE"""),"NC")</f>
        <v>NC</v>
      </c>
      <c r="D3" s="86"/>
      <c r="E3" s="86" t="str">
        <f ca="1">IFERROR(__xludf.DUMMYFUNCTION("""COMPUTED_VALUE"""),"0790215129")</f>
        <v>0790215129</v>
      </c>
      <c r="F3" s="86" t="str">
        <f ca="1">IFERROR(__xludf.DUMMYFUNCTION("""COMPUTED_VALUE"""),"nonhlesambo501@gmail.com")</f>
        <v>nonhlesambo501@gmail.com</v>
      </c>
      <c r="G3"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row>
    <row r="4" spans="1:7" ht="64.5">
      <c r="A4" s="86">
        <f ca="1">IFERROR(__xludf.DUMMYFUNCTION("""COMPUTED_VALUE"""),218083951)</f>
        <v>218083951</v>
      </c>
      <c r="B4" s="86" t="str">
        <f ca="1">IFERROR(__xludf.DUMMYFUNCTION("""COMPUTED_VALUE"""),"NTSHANGASE")</f>
        <v>NTSHANGASE</v>
      </c>
      <c r="C4" s="86" t="str">
        <f ca="1">IFERROR(__xludf.DUMMYFUNCTION("""COMPUTED_VALUE"""),"T")</f>
        <v>T</v>
      </c>
      <c r="D4" s="86"/>
      <c r="E4" s="86" t="str">
        <f ca="1">IFERROR(__xludf.DUMMYFUNCTION("""COMPUTED_VALUE"""),"0680575594")</f>
        <v>0680575594</v>
      </c>
      <c r="F4" s="86" t="str">
        <f ca="1">IFERROR(__xludf.DUMMYFUNCTION("""COMPUTED_VALUE"""),"teborokwezi@gmail.com")</f>
        <v>teborokwezi@gmail.com</v>
      </c>
      <c r="G4"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5" spans="1:7" ht="90">
      <c r="A5" s="86">
        <f ca="1">IFERROR(__xludf.DUMMYFUNCTION("""COMPUTED_VALUE"""),218060110)</f>
        <v>218060110</v>
      </c>
      <c r="B5" s="86" t="str">
        <f ca="1">IFERROR(__xludf.DUMMYFUNCTION("""COMPUTED_VALUE"""),"Skosana")</f>
        <v>Skosana</v>
      </c>
      <c r="C5" s="86" t="str">
        <f ca="1">IFERROR(__xludf.DUMMYFUNCTION("""COMPUTED_VALUE"""),"MI")</f>
        <v>MI</v>
      </c>
      <c r="D5" s="86"/>
      <c r="E5" s="86" t="str">
        <f ca="1">IFERROR(__xludf.DUMMYFUNCTION("""COMPUTED_VALUE"""),"0760718694")</f>
        <v>0760718694</v>
      </c>
      <c r="F5" s="86" t="str">
        <f ca="1">IFERROR(__xludf.DUMMYFUNCTION("""COMPUTED_VALUE"""),"218060110@tut4life.ac.za")</f>
        <v>218060110@tut4life.ac.za</v>
      </c>
      <c r="G5"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6" spans="1:7" ht="64.5">
      <c r="A6" s="86">
        <f ca="1">IFERROR(__xludf.DUMMYFUNCTION("""COMPUTED_VALUE"""),213152831)</f>
        <v>213152831</v>
      </c>
      <c r="B6" s="86" t="str">
        <f ca="1">IFERROR(__xludf.DUMMYFUNCTION("""COMPUTED_VALUE"""),"Maqashalala")</f>
        <v>Maqashalala</v>
      </c>
      <c r="C6" s="86" t="str">
        <f ca="1">IFERROR(__xludf.DUMMYFUNCTION("""COMPUTED_VALUE"""),"BC")</f>
        <v>BC</v>
      </c>
      <c r="D6" s="86"/>
      <c r="E6" s="86" t="str">
        <f ca="1">IFERROR(__xludf.DUMMYFUNCTION("""COMPUTED_VALUE"""),"0681428073")</f>
        <v>0681428073</v>
      </c>
      <c r="F6" s="86" t="str">
        <f ca="1">IFERROR(__xludf.DUMMYFUNCTION("""COMPUTED_VALUE"""),"bhekimaqashalala@gmail.com")</f>
        <v>bhekimaqashalala@gmail.com</v>
      </c>
      <c r="G6"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7" spans="1:7" ht="64.5">
      <c r="A7" s="86">
        <f ca="1">IFERROR(__xludf.DUMMYFUNCTION("""COMPUTED_VALUE"""),216873998)</f>
        <v>216873998</v>
      </c>
      <c r="B7" s="86" t="str">
        <f ca="1">IFERROR(__xludf.DUMMYFUNCTION("""COMPUTED_VALUE"""),"Nkuna")</f>
        <v>Nkuna</v>
      </c>
      <c r="C7" s="86" t="str">
        <f ca="1">IFERROR(__xludf.DUMMYFUNCTION("""COMPUTED_VALUE"""),"SG")</f>
        <v>SG</v>
      </c>
      <c r="D7" s="86"/>
      <c r="E7" s="86" t="str">
        <f ca="1">IFERROR(__xludf.DUMMYFUNCTION("""COMPUTED_VALUE"""),"0636060796")</f>
        <v>0636060796</v>
      </c>
      <c r="F7" s="86" t="str">
        <f ca="1">IFERROR(__xludf.DUMMYFUNCTION("""COMPUTED_VALUE"""),"sollygiven31@gmail.com")</f>
        <v>sollygiven31@gmail.com</v>
      </c>
      <c r="G7" s="86"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8" spans="1:7" ht="64.5">
      <c r="A8" s="86">
        <f ca="1">IFERROR(__xludf.DUMMYFUNCTION("""COMPUTED_VALUE"""),217352100)</f>
        <v>217352100</v>
      </c>
      <c r="B8" s="86" t="str">
        <f ca="1">IFERROR(__xludf.DUMMYFUNCTION("""COMPUTED_VALUE"""),"Mahlako ")</f>
        <v xml:space="preserve">Mahlako </v>
      </c>
      <c r="C8" s="86" t="str">
        <f ca="1">IFERROR(__xludf.DUMMYFUNCTION("""COMPUTED_VALUE"""),"K")</f>
        <v>K</v>
      </c>
      <c r="D8" s="86"/>
      <c r="E8" s="86" t="str">
        <f ca="1">IFERROR(__xludf.DUMMYFUNCTION("""COMPUTED_VALUE"""),"0727332603")</f>
        <v>0727332603</v>
      </c>
      <c r="F8" s="86" t="str">
        <f ca="1">IFERROR(__xludf.DUMMYFUNCTION("""COMPUTED_VALUE"""),"kari24july@gmail.com")</f>
        <v>kari24july@gmail.com</v>
      </c>
      <c r="G8"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9" spans="1:7" ht="77.25">
      <c r="A9" s="85">
        <f ca="1">IFERROR(__xludf.DUMMYFUNCTION("""COMPUTED_VALUE"""),214491966)</f>
        <v>214491966</v>
      </c>
      <c r="B9" s="85" t="str">
        <f ca="1">IFERROR(__xludf.DUMMYFUNCTION("""COMPUTED_VALUE"""),"MAHLAULE")</f>
        <v>MAHLAULE</v>
      </c>
      <c r="C9" s="85" t="str">
        <f ca="1">IFERROR(__xludf.DUMMYFUNCTION("""COMPUTED_VALUE"""),"N")</f>
        <v>N</v>
      </c>
      <c r="D9" s="85"/>
      <c r="E9" s="85" t="str">
        <f ca="1">IFERROR(__xludf.DUMMYFUNCTION("""COMPUTED_VALUE"""),"0793265984")</f>
        <v>0793265984</v>
      </c>
      <c r="F9" s="85" t="str">
        <f ca="1">IFERROR(__xludf.DUMMYFUNCTION("""COMPUTED_VALUE"""),"Ndzalamamahlaule@gmail.com")</f>
        <v>Ndzalamamahlaule@gmail.com</v>
      </c>
      <c r="G9"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0" spans="1:7" ht="39">
      <c r="A10" s="4">
        <f ca="1">IFERROR(__xludf.DUMMYFUNCTION("""COMPUTED_VALUE"""),216348931)</f>
        <v>216348931</v>
      </c>
      <c r="B10" s="4" t="str">
        <f ca="1">IFERROR(__xludf.DUMMYFUNCTION("""COMPUTED_VALUE"""),"Gumede")</f>
        <v>Gumede</v>
      </c>
      <c r="C10" s="4" t="str">
        <f ca="1">IFERROR(__xludf.DUMMYFUNCTION("""COMPUTED_VALUE"""),"NA")</f>
        <v>NA</v>
      </c>
      <c r="D10" s="4"/>
      <c r="E10" s="4" t="str">
        <f ca="1">IFERROR(__xludf.DUMMYFUNCTION("""COMPUTED_VALUE"""),"0762643080")</f>
        <v>0762643080</v>
      </c>
      <c r="F10" s="4" t="str">
        <f ca="1">IFERROR(__xludf.DUMMYFUNCTION("""COMPUTED_VALUE"""),"noxoloandile96@gmail.com")</f>
        <v>noxoloandile96@gmail.com</v>
      </c>
      <c r="G10" s="4" t="str">
        <f ca="1">IFERROR(__xludf.DUMMYFUNCTION("""COMPUTED_VALUE"""),"Student should register and pass the following modules i.e DSA30BT and IDC30BC in 2022 Academic Year.")</f>
        <v>Student should register and pass the following modules i.e DSA30BT and IDC30BC in 2022 Academic Year.</v>
      </c>
    </row>
    <row r="11" spans="1:7" ht="39">
      <c r="A11" s="4">
        <v>216323947</v>
      </c>
      <c r="B11" s="4" t="str">
        <f ca="1">IFERROR(__xludf.DUMMYFUNCTION("""COMPUTED_VALUE"""),"Mdluli ")</f>
        <v xml:space="preserve">Mdluli </v>
      </c>
      <c r="C11" s="4" t="str">
        <f ca="1">IFERROR(__xludf.DUMMYFUNCTION("""COMPUTED_VALUE"""),"O.N")</f>
        <v>O.N</v>
      </c>
      <c r="D11" s="4"/>
      <c r="E11" s="4" t="str">
        <f ca="1">IFERROR(__xludf.DUMMYFUNCTION("""COMPUTED_VALUE"""),"0639707936")</f>
        <v>0639707936</v>
      </c>
      <c r="F11" s="4" t="str">
        <f ca="1">IFERROR(__xludf.DUMMYFUNCTION("""COMPUTED_VALUE"""),"olemdluli@gmail.com")</f>
        <v>olemdluli@gmail.com</v>
      </c>
      <c r="G11" s="4" t="str">
        <f ca="1">IFERROR(__xludf.DUMMYFUNCTION("""COMPUTED_VALUE"""),"Student should register and pass the following DSA30AT and DSA30BT in 2022 Academic Year.")</f>
        <v>Student should register and pass the following DSA30AT and DSA30BT in 2022 Academic Year.</v>
      </c>
    </row>
    <row r="12" spans="1:7" ht="64.5">
      <c r="A12" s="4">
        <f ca="1">IFERROR(__xludf.DUMMYFUNCTION("""COMPUTED_VALUE"""),216474589)</f>
        <v>216474589</v>
      </c>
      <c r="B12" s="4" t="str">
        <f ca="1">IFERROR(__xludf.DUMMYFUNCTION("""COMPUTED_VALUE"""),"Kawa")</f>
        <v>Kawa</v>
      </c>
      <c r="C12" s="4" t="str">
        <f ca="1">IFERROR(__xludf.DUMMYFUNCTION("""COMPUTED_VALUE"""),"Nfs")</f>
        <v>Nfs</v>
      </c>
      <c r="D12" s="4"/>
      <c r="E12" s="4" t="str">
        <f ca="1">IFERROR(__xludf.DUMMYFUNCTION("""COMPUTED_VALUE"""),"0818320545")</f>
        <v>0818320545</v>
      </c>
      <c r="F12" s="4" t="str">
        <f ca="1">IFERROR(__xludf.DUMMYFUNCTION("""COMPUTED_VALUE"""),"www.kfestival@gmail.com")</f>
        <v>www.kfestival@gmail.com</v>
      </c>
      <c r="G12" s="4" t="str">
        <f ca="1">IFERROR(__xludf.DUMMYFUNCTION("""COMPUTED_VALUE"""),"Failed DSA30BT first semster and passed it 2nd semester and the student is left only with DSA30BT to finish all theory modules. student should uplifted and register IDC30BC")</f>
        <v>Failed DSA30BT first semster and passed it 2nd semester and the student is left only with DSA30BT to finish all theory modules. student should uplifted and register IDC30BC</v>
      </c>
    </row>
    <row r="13" spans="1:7" ht="51.75">
      <c r="A13" s="4">
        <f ca="1">IFERROR(__xludf.DUMMYFUNCTION("""COMPUTED_VALUE"""),217488877)</f>
        <v>217488877</v>
      </c>
      <c r="B13" s="4" t="str">
        <f ca="1">IFERROR(__xludf.DUMMYFUNCTION("""COMPUTED_VALUE"""),"Mabasa")</f>
        <v>Mabasa</v>
      </c>
      <c r="C13" s="4" t="str">
        <f ca="1">IFERROR(__xludf.DUMMYFUNCTION("""COMPUTED_VALUE"""),"H")</f>
        <v>H</v>
      </c>
      <c r="D13" s="4"/>
      <c r="E13" s="4" t="str">
        <f ca="1">IFERROR(__xludf.DUMMYFUNCTION("""COMPUTED_VALUE"""),"0834334141")</f>
        <v>0834334141</v>
      </c>
      <c r="F13" s="4" t="str">
        <f ca="1">IFERROR(__xludf.DUMMYFUNCTION("""COMPUTED_VALUE"""),"hitekofait@gmail.com")</f>
        <v>hitekofait@gmail.com</v>
      </c>
      <c r="G13" s="4" t="str">
        <f ca="1">IFERROR(__xludf.DUMMYFUNCTION("""COMPUTED_VALUE"""),"Student is left with one year to complete, he/she must register and pass DSA30BT, COB30BT and IDC30BC in 2022 Academic Year.")</f>
        <v>Student is left with one year to complete, he/she must register and pass DSA30BT, COB30BT and IDC30BC in 2022 Academic Year.</v>
      </c>
    </row>
    <row r="14" spans="1:7" ht="39">
      <c r="A14" s="18">
        <v>214544709</v>
      </c>
      <c r="B14" s="21" t="s">
        <v>10</v>
      </c>
      <c r="C14" s="21" t="s">
        <v>10</v>
      </c>
      <c r="D14" s="22"/>
      <c r="E14" s="23" t="s">
        <v>10</v>
      </c>
      <c r="F14" s="24" t="s">
        <v>685</v>
      </c>
      <c r="G14" s="25" t="s">
        <v>686</v>
      </c>
    </row>
    <row r="15" spans="1:7" ht="51.75">
      <c r="A15" s="18">
        <v>218470912</v>
      </c>
      <c r="B15" s="21" t="s">
        <v>10</v>
      </c>
      <c r="C15" s="21" t="s">
        <v>10</v>
      </c>
      <c r="D15" s="22"/>
      <c r="E15" s="23" t="s">
        <v>10</v>
      </c>
      <c r="F15" s="24" t="s">
        <v>681</v>
      </c>
      <c r="G15" s="25" t="s">
        <v>682</v>
      </c>
    </row>
    <row r="16" spans="1:7" ht="64.5">
      <c r="A16" s="18">
        <v>212118222</v>
      </c>
      <c r="B16" s="21" t="s">
        <v>10</v>
      </c>
      <c r="C16" s="21" t="s">
        <v>10</v>
      </c>
      <c r="D16" s="22"/>
      <c r="E16" s="23" t="s">
        <v>10</v>
      </c>
      <c r="F16" s="24" t="s">
        <v>590</v>
      </c>
      <c r="G16" s="25" t="s">
        <v>591</v>
      </c>
    </row>
  </sheetData>
  <hyperlinks>
    <hyperlink ref="F14" r:id="rId1"/>
    <hyperlink ref="F15" r:id="rId2"/>
    <hyperlink ref="F16" r:id="rId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 sqref="A2:G2"/>
    </sheetView>
  </sheetViews>
  <sheetFormatPr defaultRowHeight="15"/>
  <cols>
    <col min="1" max="1" width="21" customWidth="1"/>
    <col min="2" max="2" width="22.28515625" customWidth="1"/>
    <col min="3" max="3" width="10.85546875" customWidth="1"/>
    <col min="4" max="4" width="14.5703125" customWidth="1"/>
    <col min="5" max="5" width="20.28515625" customWidth="1"/>
    <col min="6" max="6" width="19.42578125" customWidth="1"/>
    <col min="7" max="7" width="31.85546875" customWidth="1"/>
  </cols>
  <sheetData>
    <row r="1" spans="1:7">
      <c r="A1" s="1" t="s">
        <v>0</v>
      </c>
      <c r="B1" s="1" t="s">
        <v>1</v>
      </c>
      <c r="C1" s="1" t="s">
        <v>2</v>
      </c>
      <c r="D1" s="1" t="s">
        <v>3</v>
      </c>
      <c r="E1" s="1" t="s">
        <v>4</v>
      </c>
      <c r="F1" s="1" t="s">
        <v>5</v>
      </c>
      <c r="G1" s="1" t="s">
        <v>6</v>
      </c>
    </row>
    <row r="2" spans="1:7" ht="77.2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
        <v>687</v>
      </c>
    </row>
    <row r="3" spans="1:7" ht="77.25">
      <c r="A3" s="4">
        <f ca="1">IFERROR(__xludf.DUMMYFUNCTION("""COMPUTED_VALUE"""),214645971)</f>
        <v>214645971</v>
      </c>
      <c r="B3" s="4" t="str">
        <f ca="1">IFERROR(__xludf.DUMMYFUNCTION("""COMPUTED_VALUE"""),"Mncube ")</f>
        <v xml:space="preserve">Mncube </v>
      </c>
      <c r="C3" s="4" t="str">
        <f ca="1">IFERROR(__xludf.DUMMYFUNCTION("""COMPUTED_VALUE"""),"Z.A")</f>
        <v>Z.A</v>
      </c>
      <c r="D3" s="4"/>
      <c r="E3" s="4" t="str">
        <f ca="1">IFERROR(__xludf.DUMMYFUNCTION("""COMPUTED_VALUE"""),"0736580359")</f>
        <v>0736580359</v>
      </c>
      <c r="F3" s="4" t="str">
        <f ca="1">IFERROR(__xludf.DUMMYFUNCTION("""COMPUTED_VALUE"""),"214645971@tut4life.ac.za")</f>
        <v>214645971@tut4life.ac.za</v>
      </c>
      <c r="G3"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4" spans="1:7" ht="26.25">
      <c r="A4" s="4">
        <f ca="1">IFERROR(__xludf.DUMMYFUNCTION("""COMPUTED_VALUE"""),216874897)</f>
        <v>216874897</v>
      </c>
      <c r="B4" s="4" t="str">
        <f ca="1">IFERROR(__xludf.DUMMYFUNCTION("""COMPUTED_VALUE"""),"MODIBA")</f>
        <v>MODIBA</v>
      </c>
      <c r="C4" s="4" t="str">
        <f ca="1">IFERROR(__xludf.DUMMYFUNCTION("""COMPUTED_VALUE"""),"SA")</f>
        <v>SA</v>
      </c>
      <c r="D4" s="4"/>
      <c r="E4" s="4" t="str">
        <f ca="1">IFERROR(__xludf.DUMMYFUNCTION("""COMPUTED_VALUE"""),"0609337316")</f>
        <v>0609337316</v>
      </c>
      <c r="F4" s="4" t="str">
        <f ca="1">IFERROR(__xludf.DUMMYFUNCTION("""COMPUTED_VALUE"""),"sipho.abinero@gmail.com")</f>
        <v>sipho.abinero@gmail.com</v>
      </c>
      <c r="G4" s="4" t="str">
        <f ca="1">IFERROR(__xludf.DUMMYFUNCTION("""COMPUTED_VALUE"""),"Student left only with IDC30BT")</f>
        <v>Student left only with IDC30BT</v>
      </c>
    </row>
    <row r="5" spans="1:7" ht="26.25">
      <c r="A5" s="4">
        <f ca="1">IFERROR(__xludf.DUMMYFUNCTION("""COMPUTED_VALUE"""),217070554)</f>
        <v>217070554</v>
      </c>
      <c r="B5" s="4" t="str">
        <f ca="1">IFERROR(__xludf.DUMMYFUNCTION("""COMPUTED_VALUE"""),"Shezi")</f>
        <v>Shezi</v>
      </c>
      <c r="C5" s="4" t="s">
        <v>688</v>
      </c>
      <c r="D5" s="4"/>
      <c r="E5" s="4" t="str">
        <f ca="1">IFERROR(__xludf.DUMMYFUNCTION("""COMPUTED_VALUE"""),"+27720487129")</f>
        <v>+27720487129</v>
      </c>
      <c r="F5" s="4" t="str">
        <f ca="1">IFERROR(__xludf.DUMMYFUNCTION("""COMPUTED_VALUE"""),"cbshezi5@gmail.com")</f>
        <v>cbshezi5@gmail.com</v>
      </c>
      <c r="G5" s="4" t="str">
        <f ca="1">IFERROR(__xludf.DUMMYFUNCTION("""COMPUTED_VALUE"""),"Student must complete IDC30BT this year.")</f>
        <v>Student must complete IDC30BT this year.</v>
      </c>
    </row>
    <row r="6" spans="1:7" ht="26.25">
      <c r="A6" s="11">
        <v>215786552</v>
      </c>
      <c r="B6" s="12" t="s">
        <v>689</v>
      </c>
      <c r="C6" s="12" t="s">
        <v>690</v>
      </c>
      <c r="D6" s="12" t="s">
        <v>10</v>
      </c>
      <c r="E6" s="12">
        <v>616637798</v>
      </c>
      <c r="F6" s="12" t="s">
        <v>691</v>
      </c>
      <c r="G6" s="12" t="s">
        <v>692</v>
      </c>
    </row>
    <row r="7" spans="1:7" ht="26.25">
      <c r="A7" s="11">
        <v>212468576</v>
      </c>
      <c r="B7" s="12" t="s">
        <v>693</v>
      </c>
      <c r="C7" s="12" t="s">
        <v>688</v>
      </c>
      <c r="D7" s="12" t="s">
        <v>10</v>
      </c>
      <c r="E7" s="12">
        <v>789054327</v>
      </c>
      <c r="F7" s="12" t="s">
        <v>694</v>
      </c>
      <c r="G7" s="12" t="s">
        <v>695</v>
      </c>
    </row>
    <row r="8" spans="1:7" ht="26.25">
      <c r="A8" s="11">
        <v>217234050</v>
      </c>
      <c r="B8" s="12" t="s">
        <v>696</v>
      </c>
      <c r="C8" s="12" t="s">
        <v>697</v>
      </c>
      <c r="D8" s="12" t="s">
        <v>10</v>
      </c>
      <c r="E8" s="12">
        <v>760925964</v>
      </c>
      <c r="F8" s="12" t="s">
        <v>698</v>
      </c>
      <c r="G8" s="12" t="s">
        <v>695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A3" sqref="A3"/>
    </sheetView>
  </sheetViews>
  <sheetFormatPr defaultRowHeight="15"/>
  <cols>
    <col min="1" max="1" width="17.7109375" customWidth="1"/>
    <col min="2" max="2" width="16.85546875" customWidth="1"/>
    <col min="3" max="3" width="12.140625" customWidth="1"/>
    <col min="4" max="4" width="15.140625" customWidth="1"/>
    <col min="5" max="5" width="20" customWidth="1"/>
    <col min="6" max="6" width="21" customWidth="1"/>
    <col min="7" max="7" width="33.28515625" customWidth="1"/>
    <col min="8" max="8" width="21.140625" customWidth="1"/>
    <col min="9" max="9" width="20.85546875" customWidth="1"/>
    <col min="10" max="10" width="34.140625" customWidth="1"/>
    <col min="11" max="11" width="24.5703125" customWidth="1"/>
    <col min="12" max="12" width="21" customWidth="1"/>
    <col min="13" max="13" width="20.7109375" customWidth="1"/>
    <col min="14" max="14" width="15.7109375" customWidth="1"/>
  </cols>
  <sheetData>
    <row r="1" spans="1:14" ht="39.75" customHeight="1">
      <c r="A1" s="1" t="s">
        <v>0</v>
      </c>
      <c r="B1" s="1" t="s">
        <v>1</v>
      </c>
      <c r="C1" s="1" t="s">
        <v>2</v>
      </c>
      <c r="D1" s="1" t="s">
        <v>3</v>
      </c>
      <c r="E1" s="1" t="s">
        <v>4</v>
      </c>
      <c r="F1" s="1" t="s">
        <v>5</v>
      </c>
      <c r="G1" s="1" t="s">
        <v>6</v>
      </c>
      <c r="H1" s="67" t="s">
        <v>699</v>
      </c>
      <c r="I1" s="202" t="s">
        <v>391</v>
      </c>
      <c r="J1" s="202" t="s">
        <v>392</v>
      </c>
      <c r="K1" s="202" t="s">
        <v>393</v>
      </c>
      <c r="L1" s="202" t="s">
        <v>394</v>
      </c>
      <c r="M1" s="227" t="s">
        <v>395</v>
      </c>
      <c r="N1" s="202" t="s">
        <v>396</v>
      </c>
    </row>
    <row r="2" spans="1:14" ht="63" customHeight="1">
      <c r="A2" s="4">
        <f ca="1">IFERROR(__xludf.DUMMYFUNCTION("""COMPUTED_VALUE"""),217345740)</f>
        <v>217345740</v>
      </c>
      <c r="B2" s="4"/>
      <c r="C2" s="4"/>
      <c r="D2" s="3" t="s">
        <v>338</v>
      </c>
      <c r="E2" s="4"/>
      <c r="F2" s="136" t="s">
        <v>700</v>
      </c>
      <c r="G2" s="2" t="str">
        <f ca="1">IFERROR(__xludf.DUMMYFUNCTION("""COMPUTED_VALUE"""),"STUDENT NEED TO PASS IIE20BT, IIS20BT, DIC101T, TPG201T DURING S1 2022 AND REPORT FOR ACADEMIC INTERVENTION.")</f>
        <v>STUDENT NEED TO PASS IIE20BT, IIS20BT, DIC101T, TPG201T DURING S1 2022 AND REPORT FOR ACADEMIC INTERVENTION.</v>
      </c>
      <c r="I2" t="s">
        <v>596</v>
      </c>
      <c r="K2" t="s">
        <v>701</v>
      </c>
    </row>
    <row r="3" spans="1:14" ht="120">
      <c r="A3" s="86">
        <f ca="1">IFERROR(__xludf.DUMMYFUNCTION("""COMPUTED_VALUE"""),218465269)</f>
        <v>218465269</v>
      </c>
      <c r="B3" s="86" t="str">
        <f ca="1">IFERROR(__xludf.DUMMYFUNCTION("""COMPUTED_VALUE"""),"Ngobeni ")</f>
        <v xml:space="preserve">Ngobeni </v>
      </c>
      <c r="C3" s="86" t="str">
        <f ca="1">IFERROR(__xludf.DUMMYFUNCTION("""COMPUTED_VALUE"""),"S")</f>
        <v>S</v>
      </c>
      <c r="D3" s="82" t="s">
        <v>308</v>
      </c>
      <c r="E3" s="86" t="str">
        <f ca="1">IFERROR(__xludf.DUMMYFUNCTION("""COMPUTED_VALUE"""),"0637505832")</f>
        <v>0637505832</v>
      </c>
      <c r="F3" s="86" t="str">
        <f ca="1">IFERROR(__xludf.DUMMYFUNCTION("""COMPUTED_VALUE"""),"singitangobeni8@gmail.com")</f>
        <v>singitangobeni8@gmail.com</v>
      </c>
      <c r="G3" s="86" t="str">
        <f ca="1">IFERROR(__xludf.DUMMYFUNCTION("""COMPUTED_VALUE"""),"STUDENT MUST PASS TPG201T AND IIS20AT DURING S1 2022 AND REPORT FOR ACADEMIC INTERVENTION.")</f>
        <v>STUDENT MUST PASS TPG201T AND IIS20AT DURING S1 2022 AND REPORT FOR ACADEMIC INTERVENTION.</v>
      </c>
      <c r="I3" t="s">
        <v>400</v>
      </c>
      <c r="J3" t="s">
        <v>405</v>
      </c>
      <c r="K3" t="s">
        <v>401</v>
      </c>
      <c r="L3" s="233" t="s">
        <v>420</v>
      </c>
      <c r="M3" t="s">
        <v>338</v>
      </c>
      <c r="N3" s="233" t="s">
        <v>421</v>
      </c>
    </row>
  </sheetData>
  <hyperlinks>
    <hyperlink ref="F2" r:id="rId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85546875" customWidth="1"/>
    <col min="2" max="2" width="18" customWidth="1"/>
    <col min="3" max="3" width="9.42578125" customWidth="1"/>
    <col min="4" max="4" width="14.5703125" customWidth="1"/>
    <col min="5" max="5" width="18.42578125" customWidth="1"/>
    <col min="6" max="6" width="23.85546875" customWidth="1"/>
    <col min="7" max="7" width="25.7109375" customWidth="1"/>
  </cols>
  <sheetData>
    <row r="1" spans="1:7">
      <c r="A1" s="1" t="s">
        <v>0</v>
      </c>
      <c r="B1" s="1" t="s">
        <v>1</v>
      </c>
      <c r="C1" s="1" t="s">
        <v>2</v>
      </c>
      <c r="D1" s="1" t="s">
        <v>3</v>
      </c>
      <c r="E1" s="1" t="s">
        <v>4</v>
      </c>
      <c r="F1" s="1" t="s">
        <v>5</v>
      </c>
      <c r="G1" s="1" t="s">
        <v>6</v>
      </c>
    </row>
    <row r="2" spans="1:7" ht="64.5">
      <c r="A2" s="98">
        <f ca="1">IFERROR(__xludf.DUMMYFUNCTION("""COMPUTED_VALUE"""),218005896)</f>
        <v>218005896</v>
      </c>
      <c r="B2" s="98" t="str">
        <f ca="1">IFERROR(__xludf.DUMMYFUNCTION("""COMPUTED_VALUE"""),"Mosiamedi")</f>
        <v>Mosiamedi</v>
      </c>
      <c r="C2" s="98" t="str">
        <f ca="1">IFERROR(__xludf.DUMMYFUNCTION("""COMPUTED_VALUE"""),"MN")</f>
        <v>MN</v>
      </c>
      <c r="D2" s="98" t="s">
        <v>366</v>
      </c>
      <c r="E2" s="98" t="str">
        <f ca="1">IFERROR(__xludf.DUMMYFUNCTION("""COMPUTED_VALUE"""),"0765992566")</f>
        <v>0765992566</v>
      </c>
      <c r="F2" s="98" t="str">
        <f ca="1">IFERROR(__xludf.DUMMYFUNCTION("""COMPUTED_VALUE"""),"mayitha2566@gmail.com")</f>
        <v>mayitha2566@gmail.com</v>
      </c>
      <c r="G2" s="98" t="str">
        <f ca="1">IFERROR(__xludf.DUMMYFUNCTION("""COMPUTED_VALUE"""),"STUDENT NEED TO PASS TPG201T AND ITS20BT DURING S1 2022 AND REPORT FOR ACADEMIC INTERVENTION.")</f>
        <v>STUDENT NEED TO PASS TPG201T AND ITS20BT DURING S1 2022 AND REPORT FOR ACADEMIC INTERVENTION.</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3" sqref="A3"/>
    </sheetView>
  </sheetViews>
  <sheetFormatPr defaultRowHeight="15"/>
  <cols>
    <col min="1" max="1" width="16.85546875" customWidth="1"/>
    <col min="2" max="2" width="17.85546875" customWidth="1"/>
    <col min="3" max="3" width="9.42578125" customWidth="1"/>
    <col min="4" max="4" width="17.42578125" customWidth="1"/>
    <col min="5" max="5" width="20.28515625" customWidth="1"/>
    <col min="6" max="6" width="29.28515625" customWidth="1"/>
    <col min="7" max="7" width="37.140625" customWidth="1"/>
  </cols>
  <sheetData>
    <row r="1" spans="1:7">
      <c r="A1" s="1" t="s">
        <v>0</v>
      </c>
      <c r="B1" s="1" t="s">
        <v>1</v>
      </c>
      <c r="C1" s="1" t="s">
        <v>2</v>
      </c>
      <c r="D1" s="1" t="s">
        <v>3</v>
      </c>
      <c r="E1" s="1" t="s">
        <v>4</v>
      </c>
      <c r="F1" s="1" t="s">
        <v>5</v>
      </c>
      <c r="G1" s="1" t="s">
        <v>6</v>
      </c>
    </row>
    <row r="2" spans="1:7" ht="39">
      <c r="A2" s="4">
        <f ca="1">IFERROR(__xludf.DUMMYFUNCTION("""COMPUTED_VALUE"""),218604390)</f>
        <v>218604390</v>
      </c>
      <c r="B2" s="4" t="str">
        <f ca="1">IFERROR(__xludf.DUMMYFUNCTION("""COMPUTED_VALUE"""),"Nemukovhani ")</f>
        <v xml:space="preserve">Nemukovhani </v>
      </c>
      <c r="C2" s="4" t="str">
        <f ca="1">IFERROR(__xludf.DUMMYFUNCTION("""COMPUTED_VALUE"""),"G")</f>
        <v>G</v>
      </c>
      <c r="D2" s="4" t="s">
        <v>359</v>
      </c>
      <c r="E2" s="4" t="str">
        <f ca="1">IFERROR(__xludf.DUMMYFUNCTION("""COMPUTED_VALUE"""),"0792312482")</f>
        <v>0792312482</v>
      </c>
      <c r="F2" s="4" t="str">
        <f ca="1">IFERROR(__xludf.DUMMYFUNCTION("""COMPUTED_VALUE"""),"gundo.info@gmail.com")</f>
        <v>gundo.info@gmail.com</v>
      </c>
      <c r="G2" s="4" t="str">
        <f ca="1">IFERROR(__xludf.DUMMYFUNCTION("""COMPUTED_VALUE"""),"STUDENT NEED TO PASS IIS20AT AND TPG201T DURING S1 2022 AND REPORT FOR ACADEMIC INTERVENTION.")</f>
        <v>STUDENT NEED TO PASS IIS20AT AND TPG201T DURING S1 2022 AND REPORT FOR ACADEMIC INTERVENTION.</v>
      </c>
    </row>
    <row r="3" spans="1:7" ht="39">
      <c r="A3" s="4">
        <f ca="1">IFERROR(__xludf.DUMMYFUNCTION("""COMPUTED_VALUE"""),218465269)</f>
        <v>218465269</v>
      </c>
      <c r="B3" s="4" t="str">
        <f ca="1">IFERROR(__xludf.DUMMYFUNCTION("""COMPUTED_VALUE"""),"Ngobeni ")</f>
        <v xml:space="preserve">Ngobeni </v>
      </c>
      <c r="C3" s="4" t="str">
        <f ca="1">IFERROR(__xludf.DUMMYFUNCTION("""COMPUTED_VALUE"""),"S")</f>
        <v>S</v>
      </c>
      <c r="D3" s="4" t="s">
        <v>359</v>
      </c>
      <c r="E3" s="4" t="str">
        <f ca="1">IFERROR(__xludf.DUMMYFUNCTION("""COMPUTED_VALUE"""),"0637505832")</f>
        <v>0637505832</v>
      </c>
      <c r="F3" s="4" t="str">
        <f ca="1">IFERROR(__xludf.DUMMYFUNCTION("""COMPUTED_VALUE"""),"singitangobeni8@gmail.com")</f>
        <v>singitangobeni8@gmail.com</v>
      </c>
      <c r="G3" s="4" t="str">
        <f ca="1">IFERROR(__xludf.DUMMYFUNCTION("""COMPUTED_VALUE"""),"STUDENT MUST PASS TPG201T AND IIS20AT DURING S1 2022 AND REPORT FOR ACADEMIC INTERVENTION.")</f>
        <v>STUDENT MUST PASS TPG201T AND IIS20AT DURING S1 2022 AND REPORT FOR ACADEMIC INTERVENTION.</v>
      </c>
    </row>
    <row r="4" spans="1:7" ht="51.75">
      <c r="A4" s="86">
        <f ca="1">IFERROR(__xludf.DUMMYFUNCTION("""COMPUTED_VALUE"""),220040798)</f>
        <v>220040798</v>
      </c>
      <c r="B4" s="86" t="str">
        <f ca="1">IFERROR(__xludf.DUMMYFUNCTION("""COMPUTED_VALUE"""),"Korreia")</f>
        <v>Korreia</v>
      </c>
      <c r="C4" s="86" t="str">
        <f ca="1">IFERROR(__xludf.DUMMYFUNCTION("""COMPUTED_VALUE"""),"NP")</f>
        <v>NP</v>
      </c>
      <c r="D4" s="86"/>
      <c r="E4" s="86" t="str">
        <f ca="1">IFERROR(__xludf.DUMMYFUNCTION("""COMPUTED_VALUE"""),"0718947362")</f>
        <v>0718947362</v>
      </c>
      <c r="F4" s="86" t="str">
        <f ca="1">IFERROR(__xludf.DUMMYFUNCTION("""COMPUTED_VALUE"""),"palesantokozo36@gmail.com")</f>
        <v>palesantokozo36@gmail.com</v>
      </c>
      <c r="G4" s="86" t="str">
        <f ca="1">IFERROR(__xludf.DUMMYFUNCTION("""COMPUTED_VALUE"""),"STUDENT NEED TO PASS GPM20AT, IIS20AT AND TPG111T DURING S1 2022 AND REPORT FOR ACADEMIC INTERVENTION.")</f>
        <v>STUDENT NEED TO PASS GPM20AT, IIS20AT AND TPG111T DURING S1 2022 AND REPORT FOR ACADEMIC INTERVENTION.</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H1" sqref="H1:M1"/>
    </sheetView>
  </sheetViews>
  <sheetFormatPr defaultRowHeight="15"/>
  <cols>
    <col min="1" max="1" width="17.28515625" customWidth="1"/>
    <col min="2" max="2" width="16.28515625" customWidth="1"/>
    <col min="4" max="4" width="15.140625" customWidth="1"/>
    <col min="5" max="5" width="14.42578125" customWidth="1"/>
    <col min="6" max="6" width="19.42578125" customWidth="1"/>
    <col min="7" max="7" width="38.42578125" customWidth="1"/>
    <col min="8" max="8" width="22.28515625" bestFit="1" customWidth="1"/>
    <col min="9" max="9" width="35.140625" bestFit="1" customWidth="1"/>
    <col min="10" max="10" width="18.5703125" bestFit="1" customWidth="1"/>
    <col min="11" max="11" width="19.5703125" customWidth="1"/>
    <col min="12" max="12" width="20.7109375" customWidth="1"/>
    <col min="13" max="13" width="18.7109375" customWidth="1"/>
  </cols>
  <sheetData>
    <row r="1" spans="1:13" ht="44.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39">
      <c r="A2" s="86">
        <f ca="1">IFERROR(__xludf.DUMMYFUNCTION("""COMPUTED_VALUE"""),209295806)</f>
        <v>209295806</v>
      </c>
      <c r="B2" s="86" t="str">
        <f ca="1">IFERROR(__xludf.DUMMYFUNCTION("""COMPUTED_VALUE"""),"Dlamini")</f>
        <v>Dlamini</v>
      </c>
      <c r="C2" s="86" t="str">
        <f ca="1">IFERROR(__xludf.DUMMYFUNCTION("""COMPUTED_VALUE"""),"V.T")</f>
        <v>V.T</v>
      </c>
      <c r="D2" s="86"/>
      <c r="E2" s="86" t="str">
        <f ca="1">IFERROR(__xludf.DUMMYFUNCTION("""COMPUTED_VALUE"""),"0768906529")</f>
        <v>0768906529</v>
      </c>
      <c r="F2" s="86" t="str">
        <f ca="1">IFERROR(__xludf.DUMMYFUNCTION("""COMPUTED_VALUE"""),"vonanitys@gmail.com")</f>
        <v>vonanitys@gmail.com</v>
      </c>
      <c r="G2" s="161" t="str">
        <f ca="1">IFERROR(__xludf.DUMMYFUNCTION("""COMPUTED_VALUE"""),"Student must complete TPG12AT , ITN20AT in 2022 S1.  Student must report for academic intervention.")</f>
        <v>Student must complete TPG12AT , ITN20AT in 2022 S1.  Student must report for academic intervention.</v>
      </c>
      <c r="H2" s="159" t="s">
        <v>400</v>
      </c>
      <c r="I2" s="159"/>
      <c r="J2" s="159" t="s">
        <v>401</v>
      </c>
    </row>
    <row r="3" spans="1:13" ht="39">
      <c r="A3" s="85">
        <f ca="1">IFERROR(__xludf.DUMMYFUNCTION("""COMPUTED_VALUE"""),216721713)</f>
        <v>216721713</v>
      </c>
      <c r="B3" s="85" t="str">
        <f ca="1">IFERROR(__xludf.DUMMYFUNCTION("""COMPUTED_VALUE"""),"Tsholo")</f>
        <v>Tsholo</v>
      </c>
      <c r="C3" s="85" t="str">
        <f ca="1">IFERROR(__xludf.DUMMYFUNCTION("""COMPUTED_VALUE"""),"M")</f>
        <v>M</v>
      </c>
      <c r="D3" s="85"/>
      <c r="E3" s="85" t="str">
        <f ca="1">IFERROR(__xludf.DUMMYFUNCTION("""COMPUTED_VALUE"""),"0665033490")</f>
        <v>0665033490</v>
      </c>
      <c r="F3" s="85" t="str">
        <f ca="1">IFERROR(__xludf.DUMMYFUNCTION("""COMPUTED_VALUE"""),"216721713@tut4life.ac.za")</f>
        <v>216721713@tut4life.ac.za</v>
      </c>
      <c r="G3" s="162" t="str">
        <f ca="1">IFERROR(__xludf.DUMMYFUNCTION("""COMPUTED_VALUE"""),"Student must pass TPG12AT and ITN20AT in 2022 Semester 1 and report for academic intervention.")</f>
        <v>Student must pass TPG12AT and ITN20AT in 2022 Semester 1 and report for academic intervention.</v>
      </c>
      <c r="H3" s="159" t="s">
        <v>702</v>
      </c>
      <c r="I3" s="159"/>
      <c r="J3" s="159" t="s">
        <v>401</v>
      </c>
    </row>
    <row r="4" spans="1:13" ht="51.75">
      <c r="A4" s="85">
        <f ca="1">IFERROR(__xludf.DUMMYFUNCTION("""COMPUTED_VALUE"""),217472032)</f>
        <v>217472032</v>
      </c>
      <c r="B4" s="85" t="str">
        <f ca="1">IFERROR(__xludf.DUMMYFUNCTION("""COMPUTED_VALUE"""),"Thabethe")</f>
        <v>Thabethe</v>
      </c>
      <c r="C4" s="85" t="str">
        <f ca="1">IFERROR(__xludf.DUMMYFUNCTION("""COMPUTED_VALUE"""),"BVJ")</f>
        <v>BVJ</v>
      </c>
      <c r="D4" s="85"/>
      <c r="E4" s="85" t="str">
        <f ca="1">IFERROR(__xludf.DUMMYFUNCTION("""COMPUTED_VALUE"""),"0736608587")</f>
        <v>0736608587</v>
      </c>
      <c r="F4" s="85" t="str">
        <f ca="1">IFERROR(__xludf.DUMMYFUNCTION("""COMPUTED_VALUE"""),"vukilejuniorthabethe@gmail.com")</f>
        <v>vukilejuniorthabethe@gmail.com</v>
      </c>
      <c r="G4"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4" s="159" t="s">
        <v>702</v>
      </c>
      <c r="I4" s="159"/>
      <c r="J4" s="159" t="s">
        <v>401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15.7109375" customWidth="1"/>
    <col min="2" max="2" width="17" customWidth="1"/>
    <col min="4" max="4" width="17.85546875" customWidth="1"/>
    <col min="5" max="5" width="14.5703125" customWidth="1"/>
    <col min="6" max="6" width="35.85546875" customWidth="1"/>
    <col min="7" max="7" width="36.140625" customWidth="1"/>
    <col min="8" max="8" width="22.28515625" bestFit="1" customWidth="1"/>
    <col min="9" max="9" width="35.140625" bestFit="1" customWidth="1"/>
    <col min="10" max="10" width="18.5703125" bestFit="1" customWidth="1"/>
    <col min="11" max="11" width="22.7109375" customWidth="1"/>
    <col min="12" max="12" width="20.85546875" customWidth="1"/>
    <col min="13" max="13" width="14.85546875" customWidth="1"/>
  </cols>
  <sheetData>
    <row r="1" spans="1:13" ht="53.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2.5" customHeight="1">
      <c r="A2" s="86">
        <f ca="1">IFERROR(__xludf.DUMMYFUNCTION("""COMPUTED_VALUE"""),217489547)</f>
        <v>217489547</v>
      </c>
      <c r="B2" s="86" t="str">
        <f ca="1">IFERROR(__xludf.DUMMYFUNCTION("""COMPUTED_VALUE"""),"Njomboni")</f>
        <v>Njomboni</v>
      </c>
      <c r="C2" s="86" t="str">
        <f ca="1">IFERROR(__xludf.DUMMYFUNCTION("""COMPUTED_VALUE"""),"M")</f>
        <v>M</v>
      </c>
      <c r="D2" s="86"/>
      <c r="E2" s="86" t="str">
        <f ca="1">IFERROR(__xludf.DUMMYFUNCTION("""COMPUTED_VALUE"""),"0727813405")</f>
        <v>0727813405</v>
      </c>
      <c r="F2" s="86" t="str">
        <f ca="1">IFERROR(__xludf.DUMMYFUNCTION("""COMPUTED_VALUE"""),"mpilo.chris.jr@gmail.com")</f>
        <v>mpilo.chris.jr@gmail.com</v>
      </c>
      <c r="G2" s="161" t="str">
        <f ca="1">IFERROR(__xludf.DUMMYFUNCTION("""COMPUTED_VALUE"""),"Student must pass GIU10AT, TPG12AT and ISY23BT in 2022 Semester 1 and report for academic intervention.")</f>
        <v>Student must pass GIU10AT, TPG12AT and ISY23BT in 2022 Semester 1 and report for academic intervention.</v>
      </c>
      <c r="H2" s="159" t="s">
        <v>400</v>
      </c>
      <c r="I2" s="159"/>
      <c r="J2" s="159" t="s">
        <v>401</v>
      </c>
    </row>
    <row r="3" spans="1:13" ht="71.25" customHeight="1">
      <c r="A3" s="85">
        <f ca="1">IFERROR(__xludf.DUMMYFUNCTION("""COMPUTED_VALUE"""),217472032)</f>
        <v>217472032</v>
      </c>
      <c r="B3" s="85" t="str">
        <f ca="1">IFERROR(__xludf.DUMMYFUNCTION("""COMPUTED_VALUE"""),"Thabethe")</f>
        <v>Thabethe</v>
      </c>
      <c r="C3" s="85" t="str">
        <f ca="1">IFERROR(__xludf.DUMMYFUNCTION("""COMPUTED_VALUE"""),"BVJ")</f>
        <v>BVJ</v>
      </c>
      <c r="D3" s="85"/>
      <c r="E3" s="85" t="str">
        <f ca="1">IFERROR(__xludf.DUMMYFUNCTION("""COMPUTED_VALUE"""),"0736608587")</f>
        <v>0736608587</v>
      </c>
      <c r="F3" s="85" t="str">
        <f ca="1">IFERROR(__xludf.DUMMYFUNCTION("""COMPUTED_VALUE"""),"vukilejuniorthabethe@gmail.com")</f>
        <v>vukilejuniorthabethe@gmail.com</v>
      </c>
      <c r="G3"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3" s="159" t="s">
        <v>702</v>
      </c>
      <c r="I3" s="159"/>
      <c r="J3" s="159" t="s">
        <v>401</v>
      </c>
    </row>
    <row r="4" spans="1:13" ht="120">
      <c r="A4" s="237">
        <v>218266282</v>
      </c>
      <c r="B4" s="238" t="s">
        <v>518</v>
      </c>
      <c r="C4" s="238" t="s">
        <v>519</v>
      </c>
      <c r="D4" s="238" t="s">
        <v>520</v>
      </c>
      <c r="E4" s="238">
        <v>662972323</v>
      </c>
      <c r="F4" s="238" t="s">
        <v>521</v>
      </c>
      <c r="G4" s="239" t="s">
        <v>522</v>
      </c>
      <c r="H4" s="194" t="s">
        <v>400</v>
      </c>
      <c r="I4" s="194" t="s">
        <v>405</v>
      </c>
      <c r="J4" s="194" t="s">
        <v>401</v>
      </c>
      <c r="K4" s="232" t="s">
        <v>524</v>
      </c>
      <c r="L4" s="87" t="s">
        <v>525</v>
      </c>
      <c r="M4" s="232" t="s">
        <v>563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5" sqref="F5"/>
    </sheetView>
  </sheetViews>
  <sheetFormatPr defaultRowHeight="15"/>
  <cols>
    <col min="1" max="1" width="16.85546875" customWidth="1"/>
    <col min="2" max="2" width="19.140625" customWidth="1"/>
    <col min="3" max="3" width="11.140625" customWidth="1"/>
    <col min="4" max="4" width="13.7109375" customWidth="1"/>
    <col min="5" max="5" width="15.85546875" customWidth="1"/>
    <col min="6" max="6" width="25.42578125" customWidth="1"/>
    <col min="7" max="7" width="26.42578125" customWidth="1"/>
  </cols>
  <sheetData>
    <row r="1" spans="1:7">
      <c r="A1" s="1" t="s">
        <v>0</v>
      </c>
      <c r="B1" s="1" t="s">
        <v>1</v>
      </c>
      <c r="C1" s="1" t="s">
        <v>2</v>
      </c>
      <c r="D1" s="1" t="s">
        <v>3</v>
      </c>
      <c r="E1" s="1" t="s">
        <v>4</v>
      </c>
      <c r="F1" s="1" t="s">
        <v>5</v>
      </c>
      <c r="G1" s="1" t="s">
        <v>6</v>
      </c>
    </row>
    <row r="2" spans="1:7" ht="90">
      <c r="A2" s="86">
        <f ca="1">IFERROR(__xludf.DUMMYFUNCTION("""COMPUTED_VALUE"""),219502028)</f>
        <v>219502028</v>
      </c>
      <c r="B2" s="86" t="str">
        <f ca="1">IFERROR(__xludf.DUMMYFUNCTION("""COMPUTED_VALUE"""),"Khange")</f>
        <v>Khange</v>
      </c>
      <c r="C2" s="86" t="s">
        <v>53</v>
      </c>
      <c r="D2" s="86"/>
      <c r="E2" s="86" t="str">
        <f ca="1">IFERROR(__xludf.DUMMYFUNCTION("""COMPUTED_VALUE"""),"+27725623726")</f>
        <v>+27725623726</v>
      </c>
      <c r="F2" s="86" t="str">
        <f ca="1">IFERROR(__xludf.DUMMYFUNCTION("""COMPUTED_VALUE"""),"ndugiseloaustin@gmail.com")</f>
        <v>ndugiseloaustin@gmail.com</v>
      </c>
      <c r="G2" s="86" t="s">
        <v>703</v>
      </c>
    </row>
    <row r="3" spans="1:7" ht="51" customHeight="1">
      <c r="A3" s="85">
        <f ca="1">IFERROR(__xludf.DUMMYFUNCTION("""COMPUTED_VALUE"""),218065465)</f>
        <v>218065465</v>
      </c>
      <c r="B3" s="85"/>
      <c r="C3" s="85"/>
      <c r="D3" s="85"/>
      <c r="E3" s="85"/>
      <c r="F3" s="85"/>
      <c r="G3" s="85" t="str">
        <f ca="1">IFERROR(__xludf.DUMMYFUNCTION("""COMPUTED_VALUE"""),"STUDENT MUST PASS TPG12AT, IDC30AT &amp; DSA20AT DURING S1 2022.")</f>
        <v>STUDENT MUST PASS TPG12AT, IDC30AT &amp; DSA20AT DURING S1 2022.</v>
      </c>
    </row>
    <row r="4" spans="1:7" ht="90">
      <c r="A4" s="4">
        <f ca="1">IFERROR(__xludf.DUMMYFUNCTION("""COMPUTED_VALUE"""),220034372)</f>
        <v>220034372</v>
      </c>
      <c r="B4" s="4" t="str">
        <f ca="1">IFERROR(__xludf.DUMMYFUNCTION("""COMPUTED_VALUE"""),"Kekana")</f>
        <v>Kekana</v>
      </c>
      <c r="C4" s="4" t="str">
        <f ca="1">IFERROR(__xludf.DUMMYFUNCTION("""COMPUTED_VALUE"""),"L.P")</f>
        <v>L.P</v>
      </c>
      <c r="D4" s="4"/>
      <c r="E4" s="4" t="str">
        <f ca="1">IFERROR(__xludf.DUMMYFUNCTION("""COMPUTED_VALUE"""),"0607997164")</f>
        <v>0607997164</v>
      </c>
      <c r="F4" s="4" t="str">
        <f ca="1">IFERROR(__xludf.DUMMYFUNCTION("""COMPUTED_VALUE"""),"plesego334@gmail.com")</f>
        <v>plesego334@gmail.com</v>
      </c>
      <c r="G4" s="4" t="s">
        <v>704</v>
      </c>
    </row>
    <row r="5" spans="1:7" ht="102.75">
      <c r="A5" s="86">
        <f ca="1">IFERROR(__xludf.DUMMYFUNCTION("""COMPUTED_VALUE"""),218315780)</f>
        <v>218315780</v>
      </c>
      <c r="B5" s="86" t="str">
        <f ca="1">IFERROR(__xludf.DUMMYFUNCTION("""COMPUTED_VALUE"""),"Mashwama ")</f>
        <v xml:space="preserve">Mashwama </v>
      </c>
      <c r="C5" s="86" t="str">
        <f ca="1">IFERROR(__xludf.DUMMYFUNCTION("""COMPUTED_VALUE"""),"BH")</f>
        <v>BH</v>
      </c>
      <c r="D5" s="86"/>
      <c r="E5" s="86" t="str">
        <f ca="1">IFERROR(__xludf.DUMMYFUNCTION("""COMPUTED_VALUE"""),"714609774")</f>
        <v>714609774</v>
      </c>
      <c r="F5" s="86" t="str">
        <f ca="1">IFERROR(__xludf.DUMMYFUNCTION("""COMPUTED_VALUE"""),"218315780@tut4life.ac.za")</f>
        <v>218315780@tut4life.ac.za</v>
      </c>
      <c r="G5" s="86" t="s">
        <v>705</v>
      </c>
    </row>
    <row r="6" spans="1:7" ht="102.75">
      <c r="A6" s="4">
        <f ca="1">IFERROR(__xludf.DUMMYFUNCTION("""COMPUTED_VALUE"""),218595782)</f>
        <v>218595782</v>
      </c>
      <c r="B6" s="4" t="str">
        <f ca="1">IFERROR(__xludf.DUMMYFUNCTION("""COMPUTED_VALUE"""),"Masingi ")</f>
        <v xml:space="preserve">Masingi </v>
      </c>
      <c r="C6" s="4" t="str">
        <f ca="1">IFERROR(__xludf.DUMMYFUNCTION("""COMPUTED_VALUE"""),"A")</f>
        <v>A</v>
      </c>
      <c r="D6" s="4"/>
      <c r="E6" s="4" t="str">
        <f ca="1">IFERROR(__xludf.DUMMYFUNCTION("""COMPUTED_VALUE"""),"0603364048")</f>
        <v>0603364048</v>
      </c>
      <c r="F6" s="4" t="str">
        <f ca="1">IFERROR(__xludf.DUMMYFUNCTION("""COMPUTED_VALUE"""),"auberdinho11@gmail.com")</f>
        <v>auberdinho11@gmail.com</v>
      </c>
      <c r="G6" s="4" t="s">
        <v>706</v>
      </c>
    </row>
    <row r="7" spans="1:7" ht="51.75">
      <c r="A7" s="4">
        <f ca="1">IFERROR(__xludf.DUMMYFUNCTION("""COMPUTED_VALUE"""),218097839)</f>
        <v>218097839</v>
      </c>
      <c r="B7" s="4" t="str">
        <f ca="1">IFERROR(__xludf.DUMMYFUNCTION("""COMPUTED_VALUE"""),"Peta")</f>
        <v>Peta</v>
      </c>
      <c r="C7" s="4" t="s">
        <v>707</v>
      </c>
      <c r="D7" s="4"/>
      <c r="E7" s="4" t="str">
        <f ca="1">IFERROR(__xludf.DUMMYFUNCTION("""COMPUTED_VALUE"""),"0834763148")</f>
        <v>0834763148</v>
      </c>
      <c r="F7" s="4" t="str">
        <f ca="1">IFERROR(__xludf.DUMMYFUNCTION("""COMPUTED_VALUE"""),"ipelengpeta7@gmail.com")</f>
        <v>ipelengpeta7@gmail.com</v>
      </c>
      <c r="G7" s="4" t="s">
        <v>708</v>
      </c>
    </row>
    <row r="8" spans="1:7" ht="64.5">
      <c r="A8" s="86">
        <f ca="1">IFERROR(__xludf.DUMMYFUNCTION("""COMPUTED_VALUE"""),216131550)</f>
        <v>216131550</v>
      </c>
      <c r="B8" s="86" t="str">
        <f ca="1">IFERROR(__xludf.DUMMYFUNCTION("""COMPUTED_VALUE"""),"Mafitshe")</f>
        <v>Mafitshe</v>
      </c>
      <c r="C8" s="86" t="str">
        <f ca="1">IFERROR(__xludf.DUMMYFUNCTION("""COMPUTED_VALUE"""),"NS")</f>
        <v>NS</v>
      </c>
      <c r="D8" s="86"/>
      <c r="E8" s="86" t="str">
        <f ca="1">IFERROR(__xludf.DUMMYFUNCTION("""COMPUTED_VALUE"""),"833905935")</f>
        <v>833905935</v>
      </c>
      <c r="F8" s="86" t="str">
        <f ca="1">IFERROR(__xludf.DUMMYFUNCTION("""COMPUTED_VALUE"""),"selby196@gmail.com")</f>
        <v>selby196@gmail.com</v>
      </c>
      <c r="G8" s="86" t="str">
        <f ca="1">IFERROR(__xludf.DUMMYFUNCTION("""COMPUTED_VALUE"""),"Student should register and pass the following modules i.e.  DSA20BT, IDC30AT and some 3rd year modules in 2022 Academic Year.")</f>
        <v>Student should register and pass the following modules i.e.  DSA20BT, IDC30AT and some 3rd year modules in 2022 Academic Year.</v>
      </c>
    </row>
    <row r="9" spans="1:7" ht="243">
      <c r="A9" s="91">
        <v>218086845</v>
      </c>
      <c r="B9" s="92" t="s">
        <v>10</v>
      </c>
      <c r="C9" s="92" t="s">
        <v>10</v>
      </c>
      <c r="D9" s="102"/>
      <c r="E9" s="131" t="s">
        <v>10</v>
      </c>
      <c r="F9" s="92" t="s">
        <v>10</v>
      </c>
      <c r="G9" s="95" t="s">
        <v>541</v>
      </c>
    </row>
    <row r="10" spans="1:7" ht="128.25">
      <c r="A10" s="91">
        <v>219548915</v>
      </c>
      <c r="B10" s="92" t="s">
        <v>10</v>
      </c>
      <c r="C10" s="92" t="s">
        <v>10</v>
      </c>
      <c r="D10" s="102"/>
      <c r="E10" s="131" t="s">
        <v>10</v>
      </c>
      <c r="F10" s="92" t="s">
        <v>10</v>
      </c>
      <c r="G10" s="95"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A27" sqref="A1:XFD1048576"/>
    </sheetView>
  </sheetViews>
  <sheetFormatPr defaultRowHeight="15"/>
  <cols>
    <col min="1" max="1" width="19.85546875" customWidth="1"/>
    <col min="2" max="2" width="18.28515625" customWidth="1"/>
    <col min="3" max="3" width="19.140625" customWidth="1"/>
    <col min="4" max="4" width="23.140625" customWidth="1"/>
    <col min="5" max="5" width="20.42578125" customWidth="1"/>
    <col min="6" max="6" width="25.85546875" customWidth="1"/>
    <col min="7" max="7" width="37.140625" customWidth="1"/>
    <col min="8" max="8" width="35.7109375" customWidth="1"/>
    <col min="9" max="9" width="33.85546875" customWidth="1"/>
    <col min="10" max="10" width="37" customWidth="1"/>
    <col min="11" max="11" width="36.42578125" customWidth="1"/>
    <col min="12" max="12" width="19.140625" customWidth="1"/>
    <col min="13" max="13" width="21" customWidth="1"/>
    <col min="14" max="14" width="23.42578125" customWidth="1"/>
  </cols>
  <sheetData>
    <row r="1" spans="1:14" ht="32.25" customHeight="1">
      <c r="A1" s="1" t="s">
        <v>0</v>
      </c>
      <c r="B1" s="1" t="s">
        <v>1</v>
      </c>
      <c r="C1" s="1" t="s">
        <v>2</v>
      </c>
      <c r="D1" s="1" t="s">
        <v>3</v>
      </c>
      <c r="E1" s="1" t="s">
        <v>4</v>
      </c>
      <c r="F1" s="1" t="s">
        <v>5</v>
      </c>
      <c r="G1" s="1" t="s">
        <v>6</v>
      </c>
      <c r="H1" s="202" t="s">
        <v>390</v>
      </c>
      <c r="I1" s="202" t="s">
        <v>391</v>
      </c>
      <c r="J1" s="202" t="s">
        <v>392</v>
      </c>
      <c r="K1" s="202" t="s">
        <v>393</v>
      </c>
      <c r="L1" s="202" t="s">
        <v>394</v>
      </c>
      <c r="M1" s="227" t="s">
        <v>395</v>
      </c>
      <c r="N1" s="202" t="s">
        <v>396</v>
      </c>
    </row>
    <row r="2" spans="1:14" ht="39">
      <c r="A2" s="86">
        <f ca="1">IFERROR(__xludf.DUMMYFUNCTION("""COMPUTED_VALUE"""),217602203)</f>
        <v>217602203</v>
      </c>
      <c r="B2" s="86" t="str">
        <f ca="1">IFERROR(__xludf.DUMMYFUNCTION("""COMPUTED_VALUE"""),"Mabena ")</f>
        <v xml:space="preserve">Mabena </v>
      </c>
      <c r="C2" s="86" t="str">
        <f ca="1">IFERROR(__xludf.DUMMYFUNCTION("""COMPUTED_VALUE"""),"TM")</f>
        <v>TM</v>
      </c>
      <c r="D2" s="86" t="s">
        <v>307</v>
      </c>
      <c r="E2" s="86" t="str">
        <f ca="1">IFERROR(__xludf.DUMMYFUNCTION("""COMPUTED_VALUE"""),"0796017958")</f>
        <v>0796017958</v>
      </c>
      <c r="F2" s="86" t="str">
        <f ca="1">IFERROR(__xludf.DUMMYFUNCTION("""COMPUTED_VALUE"""),"217602203@tut4life.ac.za")</f>
        <v>217602203@tut4life.ac.za</v>
      </c>
      <c r="G2" s="86" t="str">
        <f ca="1">IFERROR(__xludf.DUMMYFUNCTION("""COMPUTED_VALUE"""),"Student must pass TPG111T and ISY23AT, and TPG201T, attend 85% full time, and attend all interventions.")</f>
        <v>Student must pass TPG111T and ISY23AT, and TPG201T, attend 85% full time, and attend all interventions.</v>
      </c>
      <c r="I2" t="s">
        <v>400</v>
      </c>
      <c r="K2" t="s">
        <v>401</v>
      </c>
    </row>
    <row r="3" spans="1:14" ht="26.25">
      <c r="A3" s="4">
        <f ca="1">IFERROR(__xludf.DUMMYFUNCTION("""COMPUTED_VALUE"""),216575474)</f>
        <v>216575474</v>
      </c>
      <c r="B3" s="4" t="str">
        <f ca="1">IFERROR(__xludf.DUMMYFUNCTION("""COMPUTED_VALUE"""),"Rameetse ")</f>
        <v xml:space="preserve">Rameetse </v>
      </c>
      <c r="C3" s="4" t="str">
        <f ca="1">IFERROR(__xludf.DUMMYFUNCTION("""COMPUTED_VALUE"""),"M D")</f>
        <v>M D</v>
      </c>
      <c r="D3" s="4"/>
      <c r="E3" s="4" t="str">
        <f ca="1">IFERROR(__xludf.DUMMYFUNCTION("""COMPUTED_VALUE"""),"723274038")</f>
        <v>723274038</v>
      </c>
      <c r="F3" s="4" t="str">
        <f ca="1">IFERROR(__xludf.DUMMYFUNCTION("""COMPUTED_VALUE"""),"moredezz@gmail.cim")</f>
        <v>moredezz@gmail.cim</v>
      </c>
      <c r="G3" s="4" t="str">
        <f ca="1">IFERROR(__xludf.DUMMYFUNCTION("""COMPUTED_VALUE"""),"Student need to pass TPG111T during S1 2022 and report for academic intervention")</f>
        <v>Student need to pass TPG111T during S1 2022 and report for academic intervention</v>
      </c>
      <c r="I3" t="s">
        <v>403</v>
      </c>
      <c r="K3" t="s">
        <v>453</v>
      </c>
    </row>
    <row r="4" spans="1:14" ht="39">
      <c r="A4" s="86">
        <f ca="1">IFERROR(__xludf.DUMMYFUNCTION("""COMPUTED_VALUE"""),219418426)</f>
        <v>219418426</v>
      </c>
      <c r="B4" s="86" t="str">
        <f ca="1">IFERROR(__xludf.DUMMYFUNCTION("""COMPUTED_VALUE"""),"Seragatlala ")</f>
        <v xml:space="preserve">Seragatlala </v>
      </c>
      <c r="C4" s="86" t="str">
        <f ca="1">IFERROR(__xludf.DUMMYFUNCTION("""COMPUTED_VALUE"""),"DO")</f>
        <v>DO</v>
      </c>
      <c r="D4" s="86"/>
      <c r="E4" s="86" t="str">
        <f ca="1">IFERROR(__xludf.DUMMYFUNCTION("""COMPUTED_VALUE"""),"0760114117")</f>
        <v>0760114117</v>
      </c>
      <c r="F4" s="86" t="str">
        <f ca="1">IFERROR(__xludf.DUMMYFUNCTION("""COMPUTED_VALUE"""),"oscarsuffix@gmail.com")</f>
        <v>oscarsuffix@gmail.com</v>
      </c>
      <c r="G4" s="86" t="str">
        <f ca="1">IFERROR(__xludf.DUMMYFUNCTION("""COMPUTED_VALUE"""),"STUDENT MUST PASS TPG111T DURING S1 2022 + REPORT FOR ACADEMIC INTERVENTION")</f>
        <v>STUDENT MUST PASS TPG111T DURING S1 2022 + REPORT FOR ACADEMIC INTERVENTION</v>
      </c>
      <c r="I4" t="s">
        <v>400</v>
      </c>
      <c r="K4" t="s">
        <v>401</v>
      </c>
    </row>
    <row r="5" spans="1:14" ht="51.75">
      <c r="A5" s="86">
        <f ca="1">IFERROR(__xludf.DUMMYFUNCTION("""COMPUTED_VALUE"""),220040798)</f>
        <v>220040798</v>
      </c>
      <c r="B5" s="86" t="str">
        <f ca="1">IFERROR(__xludf.DUMMYFUNCTION("""COMPUTED_VALUE"""),"Korreia")</f>
        <v>Korreia</v>
      </c>
      <c r="C5" s="86" t="str">
        <f ca="1">IFERROR(__xludf.DUMMYFUNCTION("""COMPUTED_VALUE"""),"NP")</f>
        <v>NP</v>
      </c>
      <c r="D5" s="86"/>
      <c r="E5" s="86" t="str">
        <f ca="1">IFERROR(__xludf.DUMMYFUNCTION("""COMPUTED_VALUE"""),"0718947362")</f>
        <v>0718947362</v>
      </c>
      <c r="F5" s="86" t="str">
        <f ca="1">IFERROR(__xludf.DUMMYFUNCTION("""COMPUTED_VALUE"""),"palesantokozo36@gmail.com")</f>
        <v>palesantokozo36@gmail.com</v>
      </c>
      <c r="G5" s="86" t="str">
        <f ca="1">IFERROR(__xludf.DUMMYFUNCTION("""COMPUTED_VALUE"""),"STUDENT NEED TO PASS GPM20AT, IIS20AT AND TPG111T DURING S1 2022 AND REPORT FOR ACADEMIC INTERVENTION.")</f>
        <v>STUDENT NEED TO PASS GPM20AT, IIS20AT AND TPG111T DURING S1 2022 AND REPORT FOR ACADEMIC INTERVENTION.</v>
      </c>
      <c r="I5" t="s">
        <v>400</v>
      </c>
      <c r="K5" t="s">
        <v>401</v>
      </c>
    </row>
    <row r="6" spans="1:14">
      <c r="A6" s="85">
        <f ca="1">IFERROR(__xludf.DUMMYFUNCTION("""COMPUTED_VALUE"""),218471749)</f>
        <v>218471749</v>
      </c>
      <c r="B6" s="85"/>
      <c r="C6" s="85"/>
      <c r="D6" s="85"/>
      <c r="E6" s="85"/>
      <c r="F6" s="85"/>
      <c r="G6" s="85" t="str">
        <f ca="1">IFERROR(__xludf.DUMMYFUNCTION("""COMPUTED_VALUE"""),"STUDENT NEED TO PASS TPG111T AND REMAINING SUBJECTS DURING S1 2022 AND REPORT FOR ACADEMIC INTERVENTION AND MAKE AN APPOINTMENT WITH THE HOD.")</f>
        <v>STUDENT NEED TO PASS TPG111T AND REMAINING SUBJECTS DURING S1 2022 AND REPORT FOR ACADEMIC INTERVENTION AND MAKE AN APPOINTMENT WITH THE HOD.</v>
      </c>
      <c r="I6" t="s">
        <v>403</v>
      </c>
    </row>
    <row r="7" spans="1:14" ht="26.25">
      <c r="A7" s="4">
        <f ca="1">IFERROR(__xludf.DUMMYFUNCTION("""COMPUTED_VALUE"""),218677274)</f>
        <v>218677274</v>
      </c>
      <c r="B7" s="4" t="str">
        <f ca="1">IFERROR(__xludf.DUMMYFUNCTION("""COMPUTED_VALUE"""),"Makhata")</f>
        <v>Makhata</v>
      </c>
      <c r="C7" s="4" t="str">
        <f ca="1">IFERROR(__xludf.DUMMYFUNCTION("""COMPUTED_VALUE"""),"Ofentse Xoliso ")</f>
        <v xml:space="preserve">Ofentse Xoliso </v>
      </c>
      <c r="D7" s="4"/>
      <c r="E7" s="4" t="str">
        <f ca="1">IFERROR(__xludf.DUMMYFUNCTION("""COMPUTED_VALUE"""),"0843061302")</f>
        <v>0843061302</v>
      </c>
      <c r="F7" s="4" t="str">
        <f ca="1">IFERROR(__xludf.DUMMYFUNCTION("""COMPUTED_VALUE"""),"ofentsemakhata098@gmail.com")</f>
        <v>ofentsemakhata098@gmail.com</v>
      </c>
      <c r="G7" s="4" t="str">
        <f ca="1">IFERROR(__xludf.DUMMYFUNCTION("""COMPUTED_VALUE"""),"Student must pass TPG111T, ISY23AT.")</f>
        <v>Student must pass TPG111T, ISY23AT.</v>
      </c>
      <c r="I7" t="s">
        <v>403</v>
      </c>
      <c r="K7" t="s">
        <v>401</v>
      </c>
    </row>
    <row r="8" spans="1:14" ht="26.25">
      <c r="A8" s="4">
        <f ca="1">IFERROR(__xludf.DUMMYFUNCTION("""COMPUTED_VALUE"""),219142145)</f>
        <v>219142145</v>
      </c>
      <c r="B8" s="4" t="str">
        <f ca="1">IFERROR(__xludf.DUMMYFUNCTION("""COMPUTED_VALUE"""),"KGOBODI")</f>
        <v>KGOBODI</v>
      </c>
      <c r="C8" s="4" t="str">
        <f ca="1">IFERROR(__xludf.DUMMYFUNCTION("""COMPUTED_VALUE"""),"M")</f>
        <v>M</v>
      </c>
      <c r="D8" s="4"/>
      <c r="E8" s="4" t="str">
        <f ca="1">IFERROR(__xludf.DUMMYFUNCTION("""COMPUTED_VALUE"""),"0762574152")</f>
        <v>0762574152</v>
      </c>
      <c r="F8" s="4" t="str">
        <f ca="1">IFERROR(__xludf.DUMMYFUNCTION("""COMPUTED_VALUE"""),"motheokgobodi@gmail.com")</f>
        <v>motheokgobodi@gmail.com</v>
      </c>
      <c r="G8" s="4" t="str">
        <f ca="1">IFERROR(__xludf.DUMMYFUNCTION("""COMPUTED_VALUE"""),"student need to pass TPG111T adn ISY23AT.")</f>
        <v>student need to pass TPG111T adn ISY23AT.</v>
      </c>
      <c r="I8" t="s">
        <v>403</v>
      </c>
      <c r="K8" t="s">
        <v>401</v>
      </c>
    </row>
    <row r="9" spans="1:14" ht="120">
      <c r="A9" s="86">
        <f ca="1">IFERROR(__xludf.DUMMYFUNCTION("""COMPUTED_VALUE"""),219670338)</f>
        <v>219670338</v>
      </c>
      <c r="B9" s="86" t="str">
        <f ca="1">IFERROR(__xludf.DUMMYFUNCTION("""COMPUTED_VALUE"""),"Spotsie ")</f>
        <v xml:space="preserve">Spotsie </v>
      </c>
      <c r="C9" s="86" t="str">
        <f ca="1">IFERROR(__xludf.DUMMYFUNCTION("""COMPUTED_VALUE"""),"ZM")</f>
        <v>ZM</v>
      </c>
      <c r="D9" s="86"/>
      <c r="E9" s="86" t="str">
        <f ca="1">IFERROR(__xludf.DUMMYFUNCTION("""COMPUTED_VALUE"""),"0679340294")</f>
        <v>0679340294</v>
      </c>
      <c r="F9" s="86" t="str">
        <f ca="1">IFERROR(__xludf.DUMMYFUNCTION("""COMPUTED_VALUE"""),"masibulelehalala@gmail.com")</f>
        <v>masibulelehalala@gmail.com</v>
      </c>
      <c r="G9" s="86" t="str">
        <f ca="1">IFERROR(__xludf.DUMMYFUNCTION("""COMPUTED_VALUE"""),"Student need to pass TPG111T and ISY23AT.")</f>
        <v>Student need to pass TPG111T and ISY23AT.</v>
      </c>
      <c r="I9" t="s">
        <v>400</v>
      </c>
      <c r="J9" t="s">
        <v>454</v>
      </c>
      <c r="K9" t="s">
        <v>401</v>
      </c>
      <c r="L9" s="240" t="s">
        <v>455</v>
      </c>
      <c r="M9" s="233" t="s">
        <v>456</v>
      </c>
      <c r="N9" s="233" t="s">
        <v>457</v>
      </c>
    </row>
    <row r="10" spans="1:14" ht="39">
      <c r="A10" s="86">
        <f ca="1">IFERROR(__xludf.DUMMYFUNCTION("""COMPUTED_VALUE"""),215264033)</f>
        <v>215264033</v>
      </c>
      <c r="B10" s="86" t="str">
        <f ca="1">IFERROR(__xludf.DUMMYFUNCTION("""COMPUTED_VALUE"""),"Munyai")</f>
        <v>Munyai</v>
      </c>
      <c r="C10" s="86" t="str">
        <f ca="1">IFERROR(__xludf.DUMMYFUNCTION("""COMPUTED_VALUE"""),"MB")</f>
        <v>MB</v>
      </c>
      <c r="D10" s="86"/>
      <c r="E10" s="86" t="str">
        <f ca="1">IFERROR(__xludf.DUMMYFUNCTION("""COMPUTED_VALUE"""),"0817209804")</f>
        <v>0817209804</v>
      </c>
      <c r="F10" s="86" t="str">
        <f ca="1">IFERROR(__xludf.DUMMYFUNCTION("""COMPUTED_VALUE"""),"blessingmunyai3@gmail.com")</f>
        <v>blessingmunyai3@gmail.com</v>
      </c>
      <c r="G10" s="86" t="str">
        <f ca="1">IFERROR(__xludf.DUMMYFUNCTION("""COMPUTED_VALUE"""),"Student need to pass TPG111T, attend 85% class, and attend academic intervention classes.")</f>
        <v>Student need to pass TPG111T, attend 85% class, and attend academic intervention classes.</v>
      </c>
      <c r="I10" t="s">
        <v>400</v>
      </c>
      <c r="K10" t="s">
        <v>401</v>
      </c>
    </row>
    <row r="11" spans="1:14" ht="39">
      <c r="A11" s="86">
        <f ca="1">IFERROR(__xludf.DUMMYFUNCTION("""COMPUTED_VALUE"""),215699757)</f>
        <v>215699757</v>
      </c>
      <c r="B11" s="86" t="str">
        <f ca="1">IFERROR(__xludf.DUMMYFUNCTION("""COMPUTED_VALUE"""),"Mlambo")</f>
        <v>Mlambo</v>
      </c>
      <c r="C11" s="86" t="str">
        <f ca="1">IFERROR(__xludf.DUMMYFUNCTION("""COMPUTED_VALUE"""),"ZP")</f>
        <v>ZP</v>
      </c>
      <c r="D11" s="86"/>
      <c r="E11" s="86" t="str">
        <f ca="1">IFERROR(__xludf.DUMMYFUNCTION("""COMPUTED_VALUE"""),"0731063314")</f>
        <v>0731063314</v>
      </c>
      <c r="F11" s="86" t="str">
        <f ca="1">IFERROR(__xludf.DUMMYFUNCTION("""COMPUTED_VALUE"""),"zamasondiya7@gmail.com")</f>
        <v>zamasondiya7@gmail.com</v>
      </c>
      <c r="G11" s="86" t="str">
        <f ca="1">IFERROR(__xludf.DUMMYFUNCTION("""COMPUTED_VALUE"""),"Student need to pass TPG111T and ISY23BT, attend 85% full time, and attend all interventions.")</f>
        <v>Student need to pass TPG111T and ISY23BT, attend 85% full time, and attend all interventions.</v>
      </c>
      <c r="I11" t="s">
        <v>400</v>
      </c>
      <c r="K11" t="s">
        <v>401</v>
      </c>
    </row>
    <row r="12" spans="1:14" ht="120">
      <c r="A12" s="4">
        <f ca="1">IFERROR(__xludf.DUMMYFUNCTION("""COMPUTED_VALUE"""),215758800)</f>
        <v>215758800</v>
      </c>
      <c r="B12" s="4" t="str">
        <f ca="1">IFERROR(__xludf.DUMMYFUNCTION("""COMPUTED_VALUE"""),"Mbevhana")</f>
        <v>Mbevhana</v>
      </c>
      <c r="C12" s="4" t="str">
        <f ca="1">IFERROR(__xludf.DUMMYFUNCTION("""COMPUTED_VALUE"""),"M")</f>
        <v>M</v>
      </c>
      <c r="D12" s="4"/>
      <c r="E12" s="4" t="str">
        <f ca="1">IFERROR(__xludf.DUMMYFUNCTION("""COMPUTED_VALUE"""),"0606299792")</f>
        <v>0606299792</v>
      </c>
      <c r="F12" s="4" t="str">
        <f ca="1">IFERROR(__xludf.DUMMYFUNCTION("""COMPUTED_VALUE"""),"masalambevhana02@gmail.com")</f>
        <v>masalambevhana02@gmail.com</v>
      </c>
      <c r="G12" s="4" t="str">
        <f ca="1">IFERROR(__xludf.DUMMYFUNCTION("""COMPUTED_VALUE"""),"Student need to pass TPG111T and DSO23AT, attend 85% full time, and attend all interventions.")</f>
        <v>Student need to pass TPG111T and DSO23AT, attend 85% full time, and attend all interventions.</v>
      </c>
      <c r="I12" t="s">
        <v>403</v>
      </c>
      <c r="J12" t="s">
        <v>454</v>
      </c>
      <c r="K12" t="s">
        <v>401</v>
      </c>
      <c r="L12" s="233" t="s">
        <v>458</v>
      </c>
      <c r="M12" t="s">
        <v>320</v>
      </c>
      <c r="N12" s="233" t="s">
        <v>459</v>
      </c>
    </row>
    <row r="13" spans="1:14" ht="119.25" customHeight="1">
      <c r="A13" s="86">
        <f ca="1">IFERROR(__xludf.DUMMYFUNCTION("""COMPUTED_VALUE"""),216103033)</f>
        <v>216103033</v>
      </c>
      <c r="B13" s="86" t="str">
        <f ca="1">IFERROR(__xludf.DUMMYFUNCTION("""COMPUTED_VALUE"""),"UBISI")</f>
        <v>UBISI</v>
      </c>
      <c r="C13" s="86" t="str">
        <f ca="1">IFERROR(__xludf.DUMMYFUNCTION("""COMPUTED_VALUE"""),"N")</f>
        <v>N</v>
      </c>
      <c r="D13" s="86"/>
      <c r="E13" s="86" t="str">
        <f ca="1">IFERROR(__xludf.DUMMYFUNCTION("""COMPUTED_VALUE"""),"0794647855")</f>
        <v>0794647855</v>
      </c>
      <c r="F13" s="86" t="str">
        <f ca="1">IFERROR(__xludf.DUMMYFUNCTION("""COMPUTED_VALUE"""),"ntiyisou@gmail.com")</f>
        <v>ntiyisou@gmail.com</v>
      </c>
      <c r="G13" s="86" t="str">
        <f ca="1">IFERROR(__xludf.DUMMYFUNCTION("""COMPUTED_VALUE"""),"Student need to pass TPG111T, attend 85% full time, and attend all interventions.")</f>
        <v>Student need to pass TPG111T, attend 85% full time, and attend all interventions.</v>
      </c>
      <c r="I13" t="s">
        <v>400</v>
      </c>
      <c r="J13" t="s">
        <v>454</v>
      </c>
      <c r="K13" t="s">
        <v>401</v>
      </c>
      <c r="L13" s="233" t="s">
        <v>460</v>
      </c>
      <c r="M13" t="s">
        <v>318</v>
      </c>
      <c r="N13" s="233" t="s">
        <v>461</v>
      </c>
    </row>
    <row r="14" spans="1:14" ht="39">
      <c r="A14" s="86">
        <f ca="1">IFERROR(__xludf.DUMMYFUNCTION("""COMPUTED_VALUE"""),216639260)</f>
        <v>216639260</v>
      </c>
      <c r="B14" s="86" t="str">
        <f ca="1">IFERROR(__xludf.DUMMYFUNCTION("""COMPUTED_VALUE"""),"Ngomane")</f>
        <v>Ngomane</v>
      </c>
      <c r="C14" s="86" t="str">
        <f ca="1">IFERROR(__xludf.DUMMYFUNCTION("""COMPUTED_VALUE"""),"P. S")</f>
        <v>P. S</v>
      </c>
      <c r="D14" s="86"/>
      <c r="E14" s="86" t="str">
        <f ca="1">IFERROR(__xludf.DUMMYFUNCTION("""COMPUTED_VALUE"""),"0763078565")</f>
        <v>0763078565</v>
      </c>
      <c r="F14" s="86" t="str">
        <f ca="1">IFERROR(__xludf.DUMMYFUNCTION("""COMPUTED_VALUE"""),"surprisephumlani@gmail.com")</f>
        <v>surprisephumlani@gmail.com</v>
      </c>
      <c r="G14" s="86" t="str">
        <f ca="1">IFERROR(__xludf.DUMMYFUNCTION("""COMPUTED_VALUE"""),"Student need to pass TPG111T, and ISY34AT, attend 85% full time, and attend all interventions.")</f>
        <v>Student need to pass TPG111T, and ISY34AT, attend 85% full time, and attend all interventions.</v>
      </c>
      <c r="I14" t="s">
        <v>400</v>
      </c>
      <c r="K14" t="s">
        <v>401</v>
      </c>
    </row>
    <row r="15" spans="1:14" ht="26.25">
      <c r="A15" s="86">
        <f ca="1">IFERROR(__xludf.DUMMYFUNCTION("""COMPUTED_VALUE"""),216659350)</f>
        <v>216659350</v>
      </c>
      <c r="B15" s="86" t="str">
        <f ca="1">IFERROR(__xludf.DUMMYFUNCTION("""COMPUTED_VALUE"""),"Lusenga")</f>
        <v>Lusenga</v>
      </c>
      <c r="C15" s="86" t="str">
        <f ca="1">IFERROR(__xludf.DUMMYFUNCTION("""COMPUTED_VALUE"""),"BM")</f>
        <v>BM</v>
      </c>
      <c r="D15" s="86"/>
      <c r="E15" s="86" t="str">
        <f ca="1">IFERROR(__xludf.DUMMYFUNCTION("""COMPUTED_VALUE"""),"0665829335")</f>
        <v>0665829335</v>
      </c>
      <c r="F15" s="86" t="str">
        <f ca="1">IFERROR(__xludf.DUMMYFUNCTION("""COMPUTED_VALUE"""),"216659350@tut4life.ac.za")</f>
        <v>216659350@tut4life.ac.za</v>
      </c>
      <c r="G15" s="86" t="str">
        <f ca="1">IFERROR(__xludf.DUMMYFUNCTION("""COMPUTED_VALUE"""),"Student need to pass TPG111T and DSO23AT.")</f>
        <v>Student need to pass TPG111T and DSO23AT.</v>
      </c>
      <c r="I15" t="s">
        <v>400</v>
      </c>
      <c r="K15" t="s">
        <v>401</v>
      </c>
    </row>
    <row r="16" spans="1:14" ht="39">
      <c r="A16" s="85">
        <f ca="1">IFERROR(__xludf.DUMMYFUNCTION("""COMPUTED_VALUE"""),216863038)</f>
        <v>216863038</v>
      </c>
      <c r="B16" s="85" t="str">
        <f ca="1">IFERROR(__xludf.DUMMYFUNCTION("""COMPUTED_VALUE"""),"Zucula")</f>
        <v>Zucula</v>
      </c>
      <c r="C16" s="85" t="str">
        <f ca="1">IFERROR(__xludf.DUMMYFUNCTION("""COMPUTED_VALUE"""),"T.F")</f>
        <v>T.F</v>
      </c>
      <c r="D16" s="85"/>
      <c r="E16" s="85" t="str">
        <f ca="1">IFERROR(__xludf.DUMMYFUNCTION("""COMPUTED_VALUE"""),"0797033143")</f>
        <v>0797033143</v>
      </c>
      <c r="F16" s="85" t="str">
        <f ca="1">IFERROR(__xludf.DUMMYFUNCTION("""COMPUTED_VALUE"""),"tfikizucula@gmail.com")</f>
        <v>tfikizucula@gmail.com</v>
      </c>
      <c r="G16" s="85" t="str">
        <f ca="1">IFERROR(__xludf.DUMMYFUNCTION("""COMPUTED_VALUE"""),"Need to pass DSO23AT, TPG111T, and ISY23ATattend 85% full time, and attend all interventions.")</f>
        <v>Need to pass DSO23AT, TPG111T, and ISY23ATattend 85% full time, and attend all interventions.</v>
      </c>
      <c r="I16" t="s">
        <v>403</v>
      </c>
      <c r="K16" t="s">
        <v>401</v>
      </c>
    </row>
    <row r="17" spans="1:14" ht="39">
      <c r="A17" s="86">
        <f ca="1">IFERROR(__xludf.DUMMYFUNCTION("""COMPUTED_VALUE"""),216874803)</f>
        <v>216874803</v>
      </c>
      <c r="B17" s="86" t="str">
        <f ca="1">IFERROR(__xludf.DUMMYFUNCTION("""COMPUTED_VALUE"""),"Mashigo")</f>
        <v>Mashigo</v>
      </c>
      <c r="C17" s="86" t="str">
        <f ca="1">IFERROR(__xludf.DUMMYFUNCTION("""COMPUTED_VALUE"""),"KB")</f>
        <v>KB</v>
      </c>
      <c r="D17" s="86"/>
      <c r="E17" s="86" t="str">
        <f ca="1">IFERROR(__xludf.DUMMYFUNCTION("""COMPUTED_VALUE"""),"0825444425")</f>
        <v>0825444425</v>
      </c>
      <c r="F17" s="86" t="str">
        <f ca="1">IFERROR(__xludf.DUMMYFUNCTION("""COMPUTED_VALUE"""),"kabelomashigo19@gmail.com")</f>
        <v>kabelomashigo19@gmail.com</v>
      </c>
      <c r="G17" s="86" t="str">
        <f ca="1">IFERROR(__xludf.DUMMYFUNCTION("""COMPUTED_VALUE"""),"NEED TO PASS TPG111T and DSO23AT, attend 85% full time, and attend all interventions.")</f>
        <v>NEED TO PASS TPG111T and DSO23AT, attend 85% full time, and attend all interventions.</v>
      </c>
      <c r="I17" t="s">
        <v>400</v>
      </c>
      <c r="K17" t="s">
        <v>401</v>
      </c>
    </row>
    <row r="18" spans="1:14" ht="26.25">
      <c r="A18" s="86">
        <f ca="1">IFERROR(__xludf.DUMMYFUNCTION("""COMPUTED_VALUE"""),217613710)</f>
        <v>217613710</v>
      </c>
      <c r="B18" s="86" t="str">
        <f ca="1">IFERROR(__xludf.DUMMYFUNCTION("""COMPUTED_VALUE"""),"Manini")</f>
        <v>Manini</v>
      </c>
      <c r="C18" s="86" t="str">
        <f ca="1">IFERROR(__xludf.DUMMYFUNCTION("""COMPUTED_VALUE"""),"TB")</f>
        <v>TB</v>
      </c>
      <c r="D18" s="86"/>
      <c r="E18" s="86" t="str">
        <f ca="1">IFERROR(__xludf.DUMMYFUNCTION("""COMPUTED_VALUE"""),"0604695403")</f>
        <v>0604695403</v>
      </c>
      <c r="F18" s="86" t="str">
        <f ca="1">IFERROR(__xludf.DUMMYFUNCTION("""COMPUTED_VALUE"""),"217613710@tut4life.ac.za")</f>
        <v>217613710@tut4life.ac.za</v>
      </c>
      <c r="G18" s="86" t="str">
        <f ca="1">IFERROR(__xludf.DUMMYFUNCTION("""COMPUTED_VALUE"""),"Student need to pass TPG111T and report for academic intervention.")</f>
        <v>Student need to pass TPG111T and report for academic intervention.</v>
      </c>
      <c r="I18" t="s">
        <v>400</v>
      </c>
      <c r="K18" t="s">
        <v>401</v>
      </c>
    </row>
    <row r="19" spans="1:14" ht="39">
      <c r="A19" s="85">
        <v>218014810</v>
      </c>
      <c r="B19" s="85" t="str">
        <f ca="1">IFERROR(__xludf.DUMMYFUNCTION("""COMPUTED_VALUE"""),"MNCUBE")</f>
        <v>MNCUBE</v>
      </c>
      <c r="C19" s="85" t="str">
        <f ca="1">IFERROR(__xludf.DUMMYFUNCTION("""COMPUTED_VALUE"""),"BJ")</f>
        <v>BJ</v>
      </c>
      <c r="D19" s="85"/>
      <c r="E19" s="85" t="str">
        <f ca="1">IFERROR(__xludf.DUMMYFUNCTION("""COMPUTED_VALUE"""),"0717699979")</f>
        <v>0717699979</v>
      </c>
      <c r="F19" s="85" t="str">
        <f ca="1">IFERROR(__xludf.DUMMYFUNCTION("""COMPUTED_VALUE"""),"bongz5839@gmail.com")</f>
        <v>bongz5839@gmail.com</v>
      </c>
      <c r="G19" s="85" t="str">
        <f ca="1">IFERROR(__xludf.DUMMYFUNCTION("""COMPUTED_VALUE"""),"Student must pass DSO23AT, TPG111T, and ISY23BT, and ISY23BT, attend 85% full time, and attend all interventions.")</f>
        <v>Student must pass DSO23AT, TPG111T, and ISY23BT, and ISY23BT, attend 85% full time, and attend all interventions.</v>
      </c>
      <c r="I19" t="s">
        <v>403</v>
      </c>
      <c r="K19" t="s">
        <v>401</v>
      </c>
    </row>
    <row r="20" spans="1:14" ht="39">
      <c r="A20" s="4">
        <f ca="1">IFERROR(__xludf.DUMMYFUNCTION("""COMPUTED_VALUE"""),218019692)</f>
        <v>218019692</v>
      </c>
      <c r="B20" s="4" t="str">
        <f ca="1">IFERROR(__xludf.DUMMYFUNCTION("""COMPUTED_VALUE"""),"Ndhlovu")</f>
        <v>Ndhlovu</v>
      </c>
      <c r="C20" s="4" t="str">
        <f ca="1">IFERROR(__xludf.DUMMYFUNCTION("""COMPUTED_VALUE"""),"F.K")</f>
        <v>F.K</v>
      </c>
      <c r="D20" s="4"/>
      <c r="E20" s="4" t="str">
        <f ca="1">IFERROR(__xludf.DUMMYFUNCTION("""COMPUTED_VALUE"""),"0791436212")</f>
        <v>0791436212</v>
      </c>
      <c r="F20" s="4" t="str">
        <f ca="1">IFERROR(__xludf.DUMMYFUNCTION("""COMPUTED_VALUE"""),"218019692@tut4life.ac.za")</f>
        <v>218019692@tut4life.ac.za</v>
      </c>
      <c r="G20" s="4" t="str">
        <f ca="1">IFERROR(__xludf.DUMMYFUNCTION("""COMPUTED_VALUE"""),"Student must pass TPG111T and ISY23AT, attend 85% full time, and attend all interventions.")</f>
        <v>Student must pass TPG111T and ISY23AT, attend 85% full time, and attend all interventions.</v>
      </c>
      <c r="I20" t="s">
        <v>403</v>
      </c>
      <c r="K20" t="s">
        <v>401</v>
      </c>
    </row>
    <row r="21" spans="1:14" ht="39">
      <c r="A21" s="86">
        <f ca="1">IFERROR(__xludf.DUMMYFUNCTION("""COMPUTED_VALUE"""),218320821)</f>
        <v>218320821</v>
      </c>
      <c r="B21" s="86" t="str">
        <f ca="1">IFERROR(__xludf.DUMMYFUNCTION("""COMPUTED_VALUE"""),"Ntsoane ")</f>
        <v xml:space="preserve">Ntsoane </v>
      </c>
      <c r="C21" s="86" t="str">
        <f ca="1">IFERROR(__xludf.DUMMYFUNCTION("""COMPUTED_VALUE"""),"DL")</f>
        <v>DL</v>
      </c>
      <c r="D21" s="86"/>
      <c r="E21" s="86" t="str">
        <f ca="1">IFERROR(__xludf.DUMMYFUNCTION("""COMPUTED_VALUE"""),"0728498172")</f>
        <v>0728498172</v>
      </c>
      <c r="F21" s="86" t="str">
        <f ca="1">IFERROR(__xludf.DUMMYFUNCTION("""COMPUTED_VALUE"""),"ntsoanelilly246@gmail.com")</f>
        <v>ntsoanelilly246@gmail.com</v>
      </c>
      <c r="G21" s="86" t="str">
        <f ca="1">IFERROR(__xludf.DUMMYFUNCTION("""COMPUTED_VALUE"""),"Need to pass DSO34AT, TPG111T during S1 2022 and attend relevant interventions and attend 85% of contact classes.")</f>
        <v>Need to pass DSO34AT, TPG111T during S1 2022 and attend relevant interventions and attend 85% of contact classes.</v>
      </c>
      <c r="I21" t="s">
        <v>400</v>
      </c>
      <c r="K21" t="s">
        <v>453</v>
      </c>
    </row>
    <row r="22" spans="1:14" ht="39">
      <c r="A22" s="86">
        <f ca="1">IFERROR(__xludf.DUMMYFUNCTION("""COMPUTED_VALUE"""),218326463)</f>
        <v>218326463</v>
      </c>
      <c r="B22" s="86" t="str">
        <f ca="1">IFERROR(__xludf.DUMMYFUNCTION("""COMPUTED_VALUE"""),"Hlolani")</f>
        <v>Hlolani</v>
      </c>
      <c r="C22" s="86" t="str">
        <f ca="1">IFERROR(__xludf.DUMMYFUNCTION("""COMPUTED_VALUE"""),"AP")</f>
        <v>AP</v>
      </c>
      <c r="D22" s="86"/>
      <c r="E22" s="86" t="str">
        <f ca="1">IFERROR(__xludf.DUMMYFUNCTION("""COMPUTED_VALUE"""),"0767304335")</f>
        <v>0767304335</v>
      </c>
      <c r="F22" s="86" t="str">
        <f ca="1">IFERROR(__xludf.DUMMYFUNCTION("""COMPUTED_VALUE"""),"ahlolani@gmail.com")</f>
        <v>ahlolani@gmail.com</v>
      </c>
      <c r="G22" s="86" t="str">
        <f ca="1">IFERROR(__xludf.DUMMYFUNCTION("""COMPUTED_VALUE"""),"Need to pass TPG111T during S1 2022, attend 85% of contact classes, and attend relevant interventions")</f>
        <v>Need to pass TPG111T during S1 2022, attend 85% of contact classes, and attend relevant interventions</v>
      </c>
      <c r="I22" t="s">
        <v>400</v>
      </c>
      <c r="K22" t="s">
        <v>401</v>
      </c>
    </row>
    <row r="23" spans="1:14" ht="39">
      <c r="A23" s="86">
        <f ca="1">IFERROR(__xludf.DUMMYFUNCTION("""COMPUTED_VALUE"""),218501583)</f>
        <v>218501583</v>
      </c>
      <c r="B23" s="86" t="str">
        <f ca="1">IFERROR(__xludf.DUMMYFUNCTION("""COMPUTED_VALUE"""),"Skosana")</f>
        <v>Skosana</v>
      </c>
      <c r="C23" s="86" t="str">
        <f ca="1">IFERROR(__xludf.DUMMYFUNCTION("""COMPUTED_VALUE"""),"M.N")</f>
        <v>M.N</v>
      </c>
      <c r="D23" s="86"/>
      <c r="E23" s="86" t="str">
        <f ca="1">IFERROR(__xludf.DUMMYFUNCTION("""COMPUTED_VALUE"""),"0676456022")</f>
        <v>0676456022</v>
      </c>
      <c r="F23" s="86" t="str">
        <f ca="1">IFERROR(__xludf.DUMMYFUNCTION("""COMPUTED_VALUE"""),"mbongeni27sk@gmail.com")</f>
        <v>mbongeni27sk@gmail.com</v>
      </c>
      <c r="G23" s="86" t="str">
        <f ca="1">IFERROR(__xludf.DUMMYFUNCTION("""COMPUTED_VALUE"""),"student need to pass TPG111T, and ISY23AT During S1 2022 , and attend relevant interventions")</f>
        <v>student need to pass TPG111T, and ISY23AT During S1 2022 , and attend relevant interventions</v>
      </c>
      <c r="I23" t="s">
        <v>400</v>
      </c>
      <c r="K23" t="s">
        <v>401</v>
      </c>
    </row>
    <row r="24" spans="1:14" ht="90">
      <c r="A24" s="86">
        <f ca="1">IFERROR(__xludf.DUMMYFUNCTION("""COMPUTED_VALUE"""),218589081)</f>
        <v>218589081</v>
      </c>
      <c r="B24" s="86" t="str">
        <f ca="1">IFERROR(__xludf.DUMMYFUNCTION("""COMPUTED_VALUE"""),"Tshivule")</f>
        <v>Tshivule</v>
      </c>
      <c r="C24" s="86" t="str">
        <f ca="1">IFERROR(__xludf.DUMMYFUNCTION("""COMPUTED_VALUE"""),"E")</f>
        <v>E</v>
      </c>
      <c r="D24" s="86"/>
      <c r="E24" s="86" t="str">
        <f ca="1">IFERROR(__xludf.DUMMYFUNCTION("""COMPUTED_VALUE"""),"+27608667583")</f>
        <v>+27608667583</v>
      </c>
      <c r="F24" s="86" t="str">
        <f ca="1">IFERROR(__xludf.DUMMYFUNCTION("""COMPUTED_VALUE"""),"tshivuleemmanuel@gmail.com")</f>
        <v>tshivuleemmanuel@gmail.com</v>
      </c>
      <c r="G24" s="86" t="str">
        <f ca="1">IFERROR(__xludf.DUMMYFUNCTION("""COMPUTED_VALUE"""),"student need to pass TPG111T, and ISY23AT during S1 2022, Attend interventions, attend 85% of classes")</f>
        <v>student need to pass TPG111T, and ISY23AT during S1 2022, Attend interventions, attend 85% of classes</v>
      </c>
      <c r="I24" t="s">
        <v>400</v>
      </c>
      <c r="J24" t="s">
        <v>454</v>
      </c>
      <c r="K24" t="s">
        <v>401</v>
      </c>
      <c r="L24" s="233" t="s">
        <v>462</v>
      </c>
      <c r="N24" s="233" t="s">
        <v>463</v>
      </c>
    </row>
    <row r="25" spans="1:14" ht="39">
      <c r="A25" s="4">
        <f ca="1">IFERROR(__xludf.DUMMYFUNCTION("""COMPUTED_VALUE"""),218664334)</f>
        <v>218664334</v>
      </c>
      <c r="B25" s="4" t="str">
        <f ca="1">IFERROR(__xludf.DUMMYFUNCTION("""COMPUTED_VALUE"""),"Conradie ")</f>
        <v xml:space="preserve">Conradie </v>
      </c>
      <c r="C25" s="4" t="str">
        <f ca="1">IFERROR(__xludf.DUMMYFUNCTION("""COMPUTED_VALUE"""),"NT")</f>
        <v>NT</v>
      </c>
      <c r="D25" s="4"/>
      <c r="E25" s="4" t="str">
        <f ca="1">IFERROR(__xludf.DUMMYFUNCTION("""COMPUTED_VALUE"""),"0651884243")</f>
        <v>0651884243</v>
      </c>
      <c r="F25" s="4" t="str">
        <f ca="1">IFERROR(__xludf.DUMMYFUNCTION("""COMPUTED_VALUE"""),"218664334@tut4life.ac.za")</f>
        <v>218664334@tut4life.ac.za</v>
      </c>
      <c r="G25" s="4" t="str">
        <f ca="1">IFERROR(__xludf.DUMMYFUNCTION("""COMPUTED_VALUE"""),"student need to pass TPG111T, Attend interventions, attend 85% of classes during S1 2022")</f>
        <v>student need to pass TPG111T, Attend interventions, attend 85% of classes during S1 2022</v>
      </c>
      <c r="I25" t="s">
        <v>403</v>
      </c>
      <c r="K25" t="s">
        <v>401</v>
      </c>
    </row>
    <row r="26" spans="1:14">
      <c r="A26" s="86">
        <f ca="1">IFERROR(__xludf.DUMMYFUNCTION("""COMPUTED_VALUE"""),218727239)</f>
        <v>218727239</v>
      </c>
      <c r="B26" s="86" t="str">
        <f ca="1">IFERROR(__xludf.DUMMYFUNCTION("""COMPUTED_VALUE"""),"Magadani")</f>
        <v>Magadani</v>
      </c>
      <c r="C26" s="86" t="str">
        <f ca="1">IFERROR(__xludf.DUMMYFUNCTION("""COMPUTED_VALUE"""),"TT")</f>
        <v>TT</v>
      </c>
      <c r="D26" s="86"/>
      <c r="E26" s="86" t="str">
        <f ca="1">IFERROR(__xludf.DUMMYFUNCTION("""COMPUTED_VALUE"""),"0727503558")</f>
        <v>0727503558</v>
      </c>
      <c r="F26" s="86"/>
      <c r="G26" s="86" t="str">
        <f ca="1">IFERROR(__xludf.DUMMYFUNCTION("""COMPUTED_VALUE"""),"Need to pass DSO23BT(3), TPG111T(3), ATTEND 85% OF CLASSES AND RELEVANT INTERVENTIONS during S1 2022")</f>
        <v>Need to pass DSO23BT(3), TPG111T(3), ATTEND 85% OF CLASSES AND RELEVANT INTERVENTIONS during S1 2022</v>
      </c>
      <c r="I26" t="s">
        <v>400</v>
      </c>
      <c r="K26" t="s">
        <v>453</v>
      </c>
    </row>
    <row r="27" spans="1:14" ht="64.5">
      <c r="A27" s="86">
        <f ca="1">IFERROR(__xludf.DUMMYFUNCTION("""COMPUTED_VALUE"""),218748562)</f>
        <v>218748562</v>
      </c>
      <c r="B27" s="86" t="str">
        <f ca="1">IFERROR(__xludf.DUMMYFUNCTION("""COMPUTED_VALUE"""),"Msomi")</f>
        <v>Msomi</v>
      </c>
      <c r="C27" s="86" t="str">
        <f ca="1">IFERROR(__xludf.DUMMYFUNCTION("""COMPUTED_VALUE"""),"S")</f>
        <v>S</v>
      </c>
      <c r="D27" s="86"/>
      <c r="E27" s="86" t="str">
        <f ca="1">IFERROR(__xludf.DUMMYFUNCTION("""COMPUTED_VALUE"""),"0663251353")</f>
        <v>0663251353</v>
      </c>
      <c r="F27" s="86" t="str">
        <f ca="1">IFERROR(__xludf.DUMMYFUNCTION("""COMPUTED_VALUE"""),"218748562@tut4life.ac.za")</f>
        <v>218748562@tut4life.ac.za</v>
      </c>
      <c r="G27" s="86"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c r="I27" t="s">
        <v>400</v>
      </c>
      <c r="K27" t="s">
        <v>401</v>
      </c>
    </row>
    <row r="28" spans="1:14" ht="135">
      <c r="A28" s="86">
        <f ca="1">IFERROR(__xludf.DUMMYFUNCTION("""COMPUTED_VALUE"""),219124520)</f>
        <v>219124520</v>
      </c>
      <c r="B28" s="86" t="str">
        <f ca="1">IFERROR(__xludf.DUMMYFUNCTION("""COMPUTED_VALUE"""),"Ngema")</f>
        <v>Ngema</v>
      </c>
      <c r="C28" s="86" t="str">
        <f ca="1">IFERROR(__xludf.DUMMYFUNCTION("""COMPUTED_VALUE"""),"SK")</f>
        <v>SK</v>
      </c>
      <c r="D28" s="86"/>
      <c r="E28" s="86" t="str">
        <f ca="1">IFERROR(__xludf.DUMMYFUNCTION("""COMPUTED_VALUE"""),"0672640006")</f>
        <v>0672640006</v>
      </c>
      <c r="F28" s="86" t="str">
        <f ca="1">IFERROR(__xludf.DUMMYFUNCTION("""COMPUTED_VALUE"""),"Sphesihlengema04@gmail.com")</f>
        <v>Sphesihlengema04@gmail.com</v>
      </c>
      <c r="G28" s="86" t="str">
        <f ca="1">IFERROR(__xludf.DUMMYFUNCTION("""COMPUTED_VALUE"""),"Need to pass TPG111T(2), ISY23AT(2), SSF24AT(3) , attend 85% of classes, and interventions during S1 2022.")</f>
        <v>Need to pass TPG111T(2), ISY23AT(2), SSF24AT(3) , attend 85% of classes, and interventions during S1 2022.</v>
      </c>
      <c r="I28" t="s">
        <v>400</v>
      </c>
      <c r="J28" t="s">
        <v>405</v>
      </c>
      <c r="K28" t="s">
        <v>401</v>
      </c>
      <c r="L28" s="233" t="s">
        <v>460</v>
      </c>
      <c r="M28" s="244"/>
      <c r="N28" s="233" t="s">
        <v>464</v>
      </c>
    </row>
    <row r="29" spans="1:14" ht="64.5">
      <c r="A29" s="86">
        <f ca="1">IFERROR(__xludf.DUMMYFUNCTION("""COMPUTED_VALUE"""),219529198)</f>
        <v>219529198</v>
      </c>
      <c r="B29" s="86" t="str">
        <f ca="1">IFERROR(__xludf.DUMMYFUNCTION("""COMPUTED_VALUE"""),"Khoza")</f>
        <v>Khoza</v>
      </c>
      <c r="C29" s="86" t="str">
        <f ca="1">IFERROR(__xludf.DUMMYFUNCTION("""COMPUTED_VALUE"""),"A.A")</f>
        <v>A.A</v>
      </c>
      <c r="D29" s="86"/>
      <c r="E29" s="86" t="str">
        <f ca="1">IFERROR(__xludf.DUMMYFUNCTION("""COMPUTED_VALUE"""),"766580536")</f>
        <v>766580536</v>
      </c>
      <c r="F29" s="86" t="str">
        <f ca="1">IFERROR(__xludf.DUMMYFUNCTION("""COMPUTED_VALUE"""),"amazingkhoza4569@gmail.com")</f>
        <v>amazingkhoza4569@gmail.com</v>
      </c>
      <c r="G29" s="86"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I29" t="s">
        <v>400</v>
      </c>
      <c r="J29" t="s">
        <v>405</v>
      </c>
      <c r="K29" t="s">
        <v>401</v>
      </c>
      <c r="L29" s="233" t="s">
        <v>465</v>
      </c>
      <c r="M29" s="233" t="s">
        <v>466</v>
      </c>
      <c r="N29" s="233" t="s">
        <v>467</v>
      </c>
    </row>
    <row r="30" spans="1:14">
      <c r="A30" s="4">
        <f ca="1">IFERROR(__xludf.DUMMYFUNCTION("""COMPUTED_VALUE"""),217610931)</f>
        <v>217610931</v>
      </c>
      <c r="B30" s="4"/>
      <c r="C30" s="4"/>
      <c r="D30" s="4"/>
      <c r="E30" s="4"/>
      <c r="F30" s="4"/>
      <c r="G30" s="4" t="str">
        <f ca="1">IFERROR(__xludf.DUMMYFUNCTION("""COMPUTED_VALUE"""),"LIFTED, STUDENT MUST PASS TPG111,ISY23BT AND OTHER SUBJECT AND REPORT FOR ACADEMIC INTERVENTION.")</f>
        <v>LIFTED, STUDENT MUST PASS TPG111,ISY23BT AND OTHER SUBJECT AND REPORT FOR ACADEMIC INTERVENTION.</v>
      </c>
      <c r="I30" t="s">
        <v>403</v>
      </c>
    </row>
    <row r="31" spans="1:14" ht="39">
      <c r="A31" s="151">
        <v>218296793</v>
      </c>
      <c r="B31" s="152" t="s">
        <v>468</v>
      </c>
      <c r="C31" s="152" t="s">
        <v>469</v>
      </c>
      <c r="D31" s="153"/>
      <c r="E31" s="151">
        <v>786904252</v>
      </c>
      <c r="F31" s="154" t="s">
        <v>470</v>
      </c>
      <c r="G31" s="155" t="s">
        <v>471</v>
      </c>
      <c r="I31" t="s">
        <v>403</v>
      </c>
      <c r="K31" t="s">
        <v>453</v>
      </c>
    </row>
    <row r="32" spans="1:14" ht="55.5" customHeight="1">
      <c r="A32" s="100">
        <v>218719988</v>
      </c>
      <c r="B32" s="101" t="s">
        <v>10</v>
      </c>
      <c r="C32" s="101" t="s">
        <v>10</v>
      </c>
      <c r="D32" s="102"/>
      <c r="E32" s="103" t="s">
        <v>10</v>
      </c>
      <c r="F32" s="101" t="s">
        <v>10</v>
      </c>
      <c r="G32" s="104" t="s">
        <v>472</v>
      </c>
      <c r="I32" t="s">
        <v>403</v>
      </c>
      <c r="K32" t="s">
        <v>453</v>
      </c>
    </row>
    <row r="33" spans="1:12" ht="51.75">
      <c r="A33" s="94">
        <v>218499228</v>
      </c>
      <c r="B33" s="107" t="s">
        <v>10</v>
      </c>
      <c r="C33" s="107" t="s">
        <v>10</v>
      </c>
      <c r="D33" s="102"/>
      <c r="E33" s="94" t="s">
        <v>10</v>
      </c>
      <c r="F33" s="107" t="s">
        <v>10</v>
      </c>
      <c r="G33" s="95" t="s">
        <v>473</v>
      </c>
      <c r="I33" t="s">
        <v>403</v>
      </c>
      <c r="K33" t="s">
        <v>453</v>
      </c>
    </row>
    <row r="34" spans="1:12" ht="60">
      <c r="A34" s="111">
        <v>217024790</v>
      </c>
      <c r="B34" s="114" t="s">
        <v>85</v>
      </c>
      <c r="C34" s="114" t="s">
        <v>187</v>
      </c>
      <c r="D34" s="110"/>
      <c r="E34" s="111">
        <v>848212353</v>
      </c>
      <c r="F34" s="112" t="s">
        <v>474</v>
      </c>
      <c r="G34" s="113" t="s">
        <v>475</v>
      </c>
      <c r="I34" t="s">
        <v>400</v>
      </c>
      <c r="J34" t="s">
        <v>454</v>
      </c>
      <c r="K34" t="s">
        <v>453</v>
      </c>
      <c r="L34" s="233" t="s">
        <v>476</v>
      </c>
    </row>
  </sheetData>
  <hyperlinks>
    <hyperlink ref="F31" r:id="rId1"/>
    <hyperlink ref="F34" r:id="rId2"/>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1" sqref="H1"/>
    </sheetView>
  </sheetViews>
  <sheetFormatPr defaultRowHeight="15"/>
  <cols>
    <col min="1" max="1" width="14.28515625" customWidth="1"/>
    <col min="2" max="2" width="11.42578125" customWidth="1"/>
    <col min="4" max="4" width="13.7109375" customWidth="1"/>
    <col min="5" max="5" width="15.85546875" customWidth="1"/>
    <col min="6" max="6" width="26" customWidth="1"/>
    <col min="7" max="7" width="28.5703125" customWidth="1"/>
  </cols>
  <sheetData>
    <row r="1" spans="1:7">
      <c r="A1" s="1" t="s">
        <v>0</v>
      </c>
      <c r="B1" s="1" t="s">
        <v>1</v>
      </c>
      <c r="C1" s="1" t="s">
        <v>2</v>
      </c>
      <c r="D1" s="1" t="s">
        <v>3</v>
      </c>
      <c r="E1" s="1" t="s">
        <v>4</v>
      </c>
      <c r="F1" s="1" t="s">
        <v>5</v>
      </c>
      <c r="G1" s="1" t="s">
        <v>6</v>
      </c>
    </row>
    <row r="2" spans="1:7" ht="94.5" customHeight="1">
      <c r="A2" s="86">
        <f ca="1">IFERROR(__xludf.DUMMYFUNCTION("""COMPUTED_VALUE"""),220040798)</f>
        <v>220040798</v>
      </c>
      <c r="B2" s="86" t="str">
        <f ca="1">IFERROR(__xludf.DUMMYFUNCTION("""COMPUTED_VALUE"""),"Korreia")</f>
        <v>Korreia</v>
      </c>
      <c r="C2" s="86" t="str">
        <f ca="1">IFERROR(__xludf.DUMMYFUNCTION("""COMPUTED_VALUE"""),"NP")</f>
        <v>NP</v>
      </c>
      <c r="D2" s="86"/>
      <c r="E2" s="86" t="str">
        <f ca="1">IFERROR(__xludf.DUMMYFUNCTION("""COMPUTED_VALUE"""),"0718947362")</f>
        <v>0718947362</v>
      </c>
      <c r="F2" s="86" t="str">
        <f ca="1">IFERROR(__xludf.DUMMYFUNCTION("""COMPUTED_VALUE"""),"palesantokozo36@gmail.com")</f>
        <v>palesantokozo36@gmail.com</v>
      </c>
      <c r="G2" s="86" t="str">
        <f ca="1">IFERROR(__xludf.DUMMYFUNCTION("""COMPUTED_VALUE"""),"STUDENT NEED TO PASS GPM20AT, IIS20AT AND TPG111T DURING S1 2022 AND REPORT FOR ACADEMIC INTERVENTION.")</f>
        <v>STUDENT NEED TO PASS GPM20AT, IIS20AT AND TPG111T DURING S1 2022 AND REPORT FOR ACADEMIC INTERVENTION.</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G7"/>
    </sheetView>
  </sheetViews>
  <sheetFormatPr defaultRowHeight="15"/>
  <cols>
    <col min="1" max="1" width="15.7109375" customWidth="1"/>
    <col min="2" max="2" width="13.85546875" customWidth="1"/>
    <col min="4" max="4" width="15.85546875" customWidth="1"/>
    <col min="5" max="5" width="15" customWidth="1"/>
    <col min="6" max="6" width="23.85546875" customWidth="1"/>
    <col min="7" max="7" width="29.85546875" customWidth="1"/>
  </cols>
  <sheetData>
    <row r="1" spans="1:7">
      <c r="A1" s="1" t="s">
        <v>0</v>
      </c>
      <c r="B1" s="1" t="s">
        <v>1</v>
      </c>
      <c r="C1" s="1" t="s">
        <v>2</v>
      </c>
      <c r="D1" s="1" t="s">
        <v>3</v>
      </c>
      <c r="E1" s="1" t="s">
        <v>4</v>
      </c>
      <c r="F1" s="1" t="s">
        <v>5</v>
      </c>
      <c r="G1" s="1" t="s">
        <v>6</v>
      </c>
    </row>
    <row r="2" spans="1:7" ht="39">
      <c r="A2" s="4">
        <f ca="1">IFERROR(__xludf.DUMMYFUNCTION("""COMPUTED_VALUE"""),217077001)</f>
        <v>217077001</v>
      </c>
      <c r="B2" s="4" t="str">
        <f ca="1">IFERROR(__xludf.DUMMYFUNCTION("""COMPUTED_VALUE"""),"Nsibande ")</f>
        <v xml:space="preserve">Nsibande </v>
      </c>
      <c r="C2" s="4" t="str">
        <f ca="1">IFERROR(__xludf.DUMMYFUNCTION("""COMPUTED_VALUE"""),"SJ ")</f>
        <v xml:space="preserve">SJ </v>
      </c>
      <c r="D2" s="4"/>
      <c r="E2" s="4" t="str">
        <f ca="1">IFERROR(__xludf.DUMMYFUNCTION("""COMPUTED_VALUE"""),"712841707")</f>
        <v>712841707</v>
      </c>
      <c r="F2" s="4" t="str">
        <f ca="1">IFERROR(__xludf.DUMMYFUNCTION("""COMPUTED_VALUE"""),"siyabongajacob26@gmail.com")</f>
        <v>siyabongajacob26@gmail.com</v>
      </c>
      <c r="G2" s="4" t="str">
        <f ca="1">IFERROR(__xludf.DUMMYFUNCTION("""COMPUTED_VALUE"""),"DSO23AT, BUA20BT AND MIS22AT PASS S1 2022 + ACADEMIC INTERVENTION")</f>
        <v>DSO23AT, BUA20BT AND MIS22AT PASS S1 2022 + ACADEMIC INTERVENTION</v>
      </c>
    </row>
    <row r="3" spans="1:7" ht="26.25">
      <c r="A3" s="15">
        <v>215732010</v>
      </c>
      <c r="B3" s="28" t="s">
        <v>624</v>
      </c>
      <c r="C3" s="28" t="s">
        <v>283</v>
      </c>
      <c r="D3" s="22"/>
      <c r="E3" s="15">
        <v>679378130</v>
      </c>
      <c r="F3" s="29" t="s">
        <v>625</v>
      </c>
      <c r="G3" s="35" t="s">
        <v>626</v>
      </c>
    </row>
    <row r="4" spans="1:7" ht="39">
      <c r="A4" s="18">
        <v>217202809</v>
      </c>
      <c r="B4" s="31" t="s">
        <v>607</v>
      </c>
      <c r="C4" s="31" t="s">
        <v>608</v>
      </c>
      <c r="D4" s="22"/>
      <c r="E4" s="18">
        <v>634957786</v>
      </c>
      <c r="F4" s="24" t="s">
        <v>609</v>
      </c>
      <c r="G4" s="25" t="s">
        <v>610</v>
      </c>
    </row>
    <row r="5" spans="1:7" ht="77.25">
      <c r="A5" s="18">
        <v>217580641</v>
      </c>
      <c r="B5" s="31" t="s">
        <v>279</v>
      </c>
      <c r="C5" s="31" t="s">
        <v>498</v>
      </c>
      <c r="D5" s="22"/>
      <c r="E5" s="18">
        <v>729365928</v>
      </c>
      <c r="F5" s="24" t="s">
        <v>499</v>
      </c>
      <c r="G5" s="25" t="s">
        <v>500</v>
      </c>
    </row>
    <row r="6" spans="1:7" ht="64.5">
      <c r="A6" s="18">
        <v>218474624</v>
      </c>
      <c r="B6" s="31" t="s">
        <v>611</v>
      </c>
      <c r="C6" s="31" t="s">
        <v>612</v>
      </c>
      <c r="D6" s="22"/>
      <c r="E6" s="18">
        <v>842675559</v>
      </c>
      <c r="F6" s="24" t="s">
        <v>613</v>
      </c>
      <c r="G6" s="25" t="s">
        <v>614</v>
      </c>
    </row>
    <row r="7" spans="1:7" ht="77.25">
      <c r="A7" s="18">
        <v>219655045</v>
      </c>
      <c r="B7" s="31" t="s">
        <v>504</v>
      </c>
      <c r="C7" s="31" t="s">
        <v>505</v>
      </c>
      <c r="D7" s="22"/>
      <c r="E7" s="18" t="s">
        <v>506</v>
      </c>
      <c r="F7" s="24" t="s">
        <v>507</v>
      </c>
      <c r="G7" s="35" t="s">
        <v>508</v>
      </c>
    </row>
  </sheetData>
  <hyperlinks>
    <hyperlink ref="F3" r:id="rId1"/>
    <hyperlink ref="F4" r:id="rId2"/>
    <hyperlink ref="F5" r:id="rId3"/>
    <hyperlink ref="F6" r:id="rId4"/>
    <hyperlink ref="F7" r:id="rId5"/>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4" sqref="A4"/>
    </sheetView>
  </sheetViews>
  <sheetFormatPr defaultRowHeight="15"/>
  <cols>
    <col min="1" max="1" width="16.7109375" customWidth="1"/>
    <col min="2" max="2" width="17.140625" customWidth="1"/>
    <col min="4" max="4" width="18.5703125" customWidth="1"/>
    <col min="5" max="5" width="14.28515625" customWidth="1"/>
    <col min="6" max="6" width="20.85546875" customWidth="1"/>
    <col min="7" max="7" width="26.28515625" customWidth="1"/>
  </cols>
  <sheetData>
    <row r="1" spans="1:7">
      <c r="A1" s="1" t="s">
        <v>0</v>
      </c>
      <c r="B1" s="1" t="s">
        <v>1</v>
      </c>
      <c r="C1" s="1" t="s">
        <v>2</v>
      </c>
      <c r="D1" s="1" t="s">
        <v>3</v>
      </c>
      <c r="E1" s="1" t="s">
        <v>4</v>
      </c>
      <c r="F1" s="1" t="s">
        <v>5</v>
      </c>
      <c r="G1" s="1" t="s">
        <v>6</v>
      </c>
    </row>
    <row r="2" spans="1:7" ht="39">
      <c r="A2" s="4">
        <f ca="1">IFERROR(__xludf.DUMMYFUNCTION("""COMPUTED_VALUE"""),218324967)</f>
        <v>218324967</v>
      </c>
      <c r="B2" s="4" t="str">
        <f ca="1">IFERROR(__xludf.DUMMYFUNCTION("""COMPUTED_VALUE"""),"Sibiya")</f>
        <v>Sibiya</v>
      </c>
      <c r="C2" s="4" t="str">
        <f ca="1">IFERROR(__xludf.DUMMYFUNCTION("""COMPUTED_VALUE"""),"AM")</f>
        <v>AM</v>
      </c>
      <c r="D2" s="4"/>
      <c r="E2" s="4" t="str">
        <f ca="1">IFERROR(__xludf.DUMMYFUNCTION("""COMPUTED_VALUE"""),"0731052152")</f>
        <v>0731052152</v>
      </c>
      <c r="F2" s="4" t="str">
        <f ca="1">IFERROR(__xludf.DUMMYFUNCTION("""COMPUTED_VALUE"""),"Sibiya_a@yahoo.com")</f>
        <v>Sibiya_a@yahoo.com</v>
      </c>
      <c r="G2" s="4" t="str">
        <f ca="1">IFERROR(__xludf.DUMMYFUNCTION("""COMPUTED_VALUE"""),"BUA30AT BUA30BT DSO23BT PASS S1 2022 + ACADEMIC INTERVENTION")</f>
        <v>BUA30AT BUA30BT DSO23BT PASS S1 2022 + ACADEMIC INTERVENTION</v>
      </c>
    </row>
    <row r="3" spans="1:7" ht="26.25">
      <c r="A3" s="18">
        <v>216049594</v>
      </c>
      <c r="B3" s="31" t="s">
        <v>627</v>
      </c>
      <c r="C3" s="31" t="s">
        <v>24</v>
      </c>
      <c r="D3" s="22"/>
      <c r="E3" s="18">
        <v>767627401</v>
      </c>
      <c r="F3" s="24" t="s">
        <v>628</v>
      </c>
      <c r="G3" s="33" t="s">
        <v>629</v>
      </c>
    </row>
    <row r="4" spans="1:7" ht="26.25">
      <c r="A4" s="15">
        <v>216797850</v>
      </c>
      <c r="B4" s="28" t="s">
        <v>709</v>
      </c>
      <c r="C4" s="28" t="s">
        <v>230</v>
      </c>
      <c r="D4" s="22"/>
      <c r="E4" s="15">
        <v>713074860</v>
      </c>
      <c r="F4" s="29" t="s">
        <v>710</v>
      </c>
      <c r="G4" s="35" t="s">
        <v>711</v>
      </c>
    </row>
    <row r="5" spans="1:7" ht="39">
      <c r="A5" s="122">
        <v>217159482</v>
      </c>
      <c r="B5" s="123" t="s">
        <v>663</v>
      </c>
      <c r="C5" s="123" t="s">
        <v>664</v>
      </c>
      <c r="D5" s="110"/>
      <c r="E5" s="122">
        <v>738752912</v>
      </c>
      <c r="F5" s="124" t="s">
        <v>665</v>
      </c>
      <c r="G5" s="142" t="s">
        <v>666</v>
      </c>
    </row>
    <row r="6" spans="1:7" ht="179.25">
      <c r="A6" s="52">
        <v>214752042</v>
      </c>
      <c r="B6" s="61" t="s">
        <v>660</v>
      </c>
      <c r="C6" s="61" t="s">
        <v>187</v>
      </c>
      <c r="D6" s="22"/>
      <c r="E6" s="52">
        <v>681539798</v>
      </c>
      <c r="F6" s="29" t="s">
        <v>661</v>
      </c>
      <c r="G6" s="51" t="s">
        <v>662</v>
      </c>
    </row>
  </sheetData>
  <hyperlinks>
    <hyperlink ref="F3" r:id="rId1"/>
    <hyperlink ref="F4" r:id="rId2"/>
    <hyperlink ref="F5" r:id="rId3"/>
    <hyperlink ref="F6" r:id="rId4"/>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G6"/>
    </sheetView>
  </sheetViews>
  <sheetFormatPr defaultRowHeight="15"/>
  <cols>
    <col min="1" max="1" width="16.5703125" customWidth="1"/>
    <col min="2" max="2" width="15" customWidth="1"/>
    <col min="4" max="4" width="15.85546875" customWidth="1"/>
    <col min="5" max="5" width="17.28515625" customWidth="1"/>
    <col min="6" max="6" width="22.7109375" customWidth="1"/>
    <col min="7" max="7" width="28.7109375" customWidth="1"/>
  </cols>
  <sheetData>
    <row r="1" spans="1:7">
      <c r="A1" s="1" t="s">
        <v>0</v>
      </c>
      <c r="B1" s="1" t="s">
        <v>1</v>
      </c>
      <c r="C1" s="1" t="s">
        <v>2</v>
      </c>
      <c r="D1" s="1" t="s">
        <v>3</v>
      </c>
      <c r="E1" s="1" t="s">
        <v>4</v>
      </c>
      <c r="F1" s="1" t="s">
        <v>5</v>
      </c>
      <c r="G1" s="1" t="s">
        <v>6</v>
      </c>
    </row>
    <row r="2" spans="1:7" ht="48" customHeight="1">
      <c r="A2" s="4">
        <f ca="1">IFERROR(__xludf.DUMMYFUNCTION("""COMPUTED_VALUE"""),218324967)</f>
        <v>218324967</v>
      </c>
      <c r="B2" s="4" t="str">
        <f ca="1">IFERROR(__xludf.DUMMYFUNCTION("""COMPUTED_VALUE"""),"Sibiya")</f>
        <v>Sibiya</v>
      </c>
      <c r="C2" s="4" t="str">
        <f ca="1">IFERROR(__xludf.DUMMYFUNCTION("""COMPUTED_VALUE"""),"AM")</f>
        <v>AM</v>
      </c>
      <c r="D2" s="4"/>
      <c r="E2" s="4" t="str">
        <f ca="1">IFERROR(__xludf.DUMMYFUNCTION("""COMPUTED_VALUE"""),"0731052152")</f>
        <v>0731052152</v>
      </c>
      <c r="F2" s="4" t="str">
        <f ca="1">IFERROR(__xludf.DUMMYFUNCTION("""COMPUTED_VALUE"""),"Sibiya_a@yahoo.com")</f>
        <v>Sibiya_a@yahoo.com</v>
      </c>
      <c r="G2" s="4" t="str">
        <f ca="1">IFERROR(__xludf.DUMMYFUNCTION("""COMPUTED_VALUE"""),"BUA30AT BUA30BT DSO23BT PASS S1 2022 + ACADEMIC INTERVENTION")</f>
        <v>BUA30AT BUA30BT DSO23BT PASS S1 2022 + ACADEMIC INTERVENTION</v>
      </c>
    </row>
    <row r="3" spans="1:7" ht="51.75">
      <c r="A3" s="4">
        <f ca="1">IFERROR(__xludf.DUMMYFUNCTION("""COMPUTED_VALUE"""),218097839)</f>
        <v>218097839</v>
      </c>
      <c r="B3" s="4" t="str">
        <f ca="1">IFERROR(__xludf.DUMMYFUNCTION("""COMPUTED_VALUE"""),"Peta")</f>
        <v>Peta</v>
      </c>
      <c r="C3" s="4" t="s">
        <v>707</v>
      </c>
      <c r="D3" s="4"/>
      <c r="E3" s="4" t="str">
        <f ca="1">IFERROR(__xludf.DUMMYFUNCTION("""COMPUTED_VALUE"""),"0834763148")</f>
        <v>0834763148</v>
      </c>
      <c r="F3" s="4" t="str">
        <f ca="1">IFERROR(__xludf.DUMMYFUNCTION("""COMPUTED_VALUE"""),"ipelengpeta7@gmail.com")</f>
        <v>ipelengpeta7@gmail.com</v>
      </c>
      <c r="G3" s="4" t="str">
        <f ca="1">IFERROR(__xludf.DUMMYFUNCTION("""COMPUTED_VALUE"""),"PASS ISY23BT, BUA30BT AND IDC30AT S1 2022 + REPORT FOR ACADEMIC INTERVENTION")</f>
        <v>PASS ISY23BT, BUA30BT AND IDC30AT S1 2022 + REPORT FOR ACADEMIC INTERVENTION</v>
      </c>
    </row>
    <row r="4" spans="1:7" ht="26.25">
      <c r="A4" s="18">
        <v>214043718</v>
      </c>
      <c r="B4" s="31" t="s">
        <v>653</v>
      </c>
      <c r="C4" s="31" t="s">
        <v>654</v>
      </c>
      <c r="D4" s="22"/>
      <c r="E4" s="18">
        <v>732384995</v>
      </c>
      <c r="F4" s="24" t="s">
        <v>655</v>
      </c>
      <c r="G4" s="25" t="s">
        <v>656</v>
      </c>
    </row>
    <row r="5" spans="1:7" ht="39">
      <c r="A5" s="122">
        <v>217159482</v>
      </c>
      <c r="B5" s="123" t="s">
        <v>663</v>
      </c>
      <c r="C5" s="123" t="s">
        <v>664</v>
      </c>
      <c r="D5" s="110"/>
      <c r="E5" s="122">
        <v>738752912</v>
      </c>
      <c r="F5" s="124" t="s">
        <v>665</v>
      </c>
      <c r="G5" s="142" t="s">
        <v>666</v>
      </c>
    </row>
    <row r="6" spans="1:7" ht="153.75">
      <c r="A6" s="52">
        <v>217348064</v>
      </c>
      <c r="B6" s="61" t="s">
        <v>638</v>
      </c>
      <c r="C6" s="61" t="s">
        <v>639</v>
      </c>
      <c r="D6" s="22"/>
      <c r="E6" s="52">
        <v>733901238</v>
      </c>
      <c r="F6" s="29" t="s">
        <v>640</v>
      </c>
      <c r="G6" s="51" t="s">
        <v>641</v>
      </c>
    </row>
  </sheetData>
  <hyperlinks>
    <hyperlink ref="F4" r:id="rId1"/>
    <hyperlink ref="F5" r:id="rId2"/>
    <hyperlink ref="F6" r:id="rId3"/>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G6"/>
    </sheetView>
  </sheetViews>
  <sheetFormatPr defaultRowHeight="15"/>
  <cols>
    <col min="1" max="1" width="12.28515625" customWidth="1"/>
    <col min="2" max="2" width="12" customWidth="1"/>
    <col min="4" max="4" width="16.7109375" customWidth="1"/>
    <col min="5" max="5" width="17.85546875" customWidth="1"/>
    <col min="6" max="6" width="29" customWidth="1"/>
    <col min="7" max="7" width="30.28515625" customWidth="1"/>
  </cols>
  <sheetData>
    <row r="1" spans="1:7">
      <c r="A1" s="1" t="s">
        <v>0</v>
      </c>
      <c r="B1" s="1" t="s">
        <v>1</v>
      </c>
      <c r="C1" s="1" t="s">
        <v>2</v>
      </c>
      <c r="D1" s="1" t="s">
        <v>3</v>
      </c>
      <c r="E1" s="1" t="s">
        <v>4</v>
      </c>
      <c r="F1" s="1" t="s">
        <v>5</v>
      </c>
      <c r="G1" s="1" t="s">
        <v>6</v>
      </c>
    </row>
    <row r="2" spans="1:7" ht="49.5" customHeight="1">
      <c r="A2" s="4">
        <f ca="1">IFERROR(__xludf.DUMMYFUNCTION("""COMPUTED_VALUE"""),217077001)</f>
        <v>217077001</v>
      </c>
      <c r="B2" s="4" t="str">
        <f ca="1">IFERROR(__xludf.DUMMYFUNCTION("""COMPUTED_VALUE"""),"Nsibande ")</f>
        <v xml:space="preserve">Nsibande </v>
      </c>
      <c r="C2" s="4" t="str">
        <f ca="1">IFERROR(__xludf.DUMMYFUNCTION("""COMPUTED_VALUE"""),"SJ ")</f>
        <v xml:space="preserve">SJ </v>
      </c>
      <c r="D2" s="4"/>
      <c r="E2" s="4" t="str">
        <f ca="1">IFERROR(__xludf.DUMMYFUNCTION("""COMPUTED_VALUE"""),"712841707")</f>
        <v>712841707</v>
      </c>
      <c r="F2" s="4" t="str">
        <f ca="1">IFERROR(__xludf.DUMMYFUNCTION("""COMPUTED_VALUE"""),"siyabongajacob26@gmail.com")</f>
        <v>siyabongajacob26@gmail.com</v>
      </c>
      <c r="G2" s="4" t="str">
        <f ca="1">IFERROR(__xludf.DUMMYFUNCTION("""COMPUTED_VALUE"""),"DSO23AT, BUA20BT AND MIS22AT PASS S1 2022 + ACADEMIC INTERVENTION")</f>
        <v>DSO23AT, BUA20BT AND MIS22AT PASS S1 2022 + ACADEMIC INTERVENTION</v>
      </c>
    </row>
    <row r="3" spans="1:7" ht="77.25">
      <c r="A3" s="18">
        <v>216691830</v>
      </c>
      <c r="B3" s="31" t="s">
        <v>630</v>
      </c>
      <c r="C3" s="31" t="s">
        <v>203</v>
      </c>
      <c r="D3" s="22"/>
      <c r="E3" s="18">
        <v>644060707</v>
      </c>
      <c r="F3" s="24" t="s">
        <v>631</v>
      </c>
      <c r="G3" s="38" t="s">
        <v>632</v>
      </c>
    </row>
    <row r="4" spans="1:7" ht="39">
      <c r="A4" s="18">
        <v>217202809</v>
      </c>
      <c r="B4" s="31" t="s">
        <v>607</v>
      </c>
      <c r="C4" s="31" t="s">
        <v>608</v>
      </c>
      <c r="D4" s="22"/>
      <c r="E4" s="18">
        <v>634957786</v>
      </c>
      <c r="F4" s="24" t="s">
        <v>609</v>
      </c>
      <c r="G4" s="25" t="s">
        <v>610</v>
      </c>
    </row>
    <row r="5" spans="1:7" ht="77.25">
      <c r="A5" s="18">
        <v>217580641</v>
      </c>
      <c r="B5" s="31" t="s">
        <v>279</v>
      </c>
      <c r="C5" s="31" t="s">
        <v>498</v>
      </c>
      <c r="D5" s="22"/>
      <c r="E5" s="18">
        <v>729365928</v>
      </c>
      <c r="F5" s="24" t="s">
        <v>499</v>
      </c>
      <c r="G5" s="25" t="s">
        <v>500</v>
      </c>
    </row>
    <row r="6" spans="1:7" ht="77.25">
      <c r="A6" s="18">
        <v>219655045</v>
      </c>
      <c r="B6" s="31" t="s">
        <v>504</v>
      </c>
      <c r="C6" s="31" t="s">
        <v>505</v>
      </c>
      <c r="D6" s="22"/>
      <c r="E6" s="18" t="s">
        <v>506</v>
      </c>
      <c r="F6" s="24" t="s">
        <v>507</v>
      </c>
      <c r="G6" s="35" t="s">
        <v>508</v>
      </c>
    </row>
  </sheetData>
  <hyperlinks>
    <hyperlink ref="F3" r:id="rId1"/>
    <hyperlink ref="F4" r:id="rId2"/>
    <hyperlink ref="F5" r:id="rId3"/>
    <hyperlink ref="F6" r:id="rId4"/>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G7"/>
    </sheetView>
  </sheetViews>
  <sheetFormatPr defaultRowHeight="15"/>
  <cols>
    <col min="1" max="1" width="15.5703125" customWidth="1"/>
    <col min="2" max="2" width="17.85546875" customWidth="1"/>
    <col min="4" max="4" width="14.28515625" customWidth="1"/>
    <col min="5" max="5" width="15.85546875" customWidth="1"/>
    <col min="6" max="6" width="22.140625" customWidth="1"/>
    <col min="7" max="7" width="29.28515625" customWidth="1"/>
  </cols>
  <sheetData>
    <row r="1" spans="1:7">
      <c r="A1" s="1" t="s">
        <v>0</v>
      </c>
      <c r="B1" s="1" t="s">
        <v>1</v>
      </c>
      <c r="C1" s="1" t="s">
        <v>2</v>
      </c>
      <c r="D1" s="1" t="s">
        <v>3</v>
      </c>
      <c r="E1" s="1" t="s">
        <v>4</v>
      </c>
      <c r="F1" s="1" t="s">
        <v>5</v>
      </c>
      <c r="G1" s="1" t="s">
        <v>6</v>
      </c>
    </row>
    <row r="2" spans="1:7" ht="39">
      <c r="A2" s="4">
        <f ca="1">IFERROR(__xludf.DUMMYFUNCTION("""COMPUTED_VALUE"""),213379593)</f>
        <v>213379593</v>
      </c>
      <c r="B2" s="4" t="str">
        <f ca="1">IFERROR(__xludf.DUMMYFUNCTION("""COMPUTED_VALUE"""),"Ngomane")</f>
        <v>Ngomane</v>
      </c>
      <c r="C2" s="4" t="str">
        <f ca="1">IFERROR(__xludf.DUMMYFUNCTION("""COMPUTED_VALUE"""),"Mxolisi")</f>
        <v>Mxolisi</v>
      </c>
      <c r="D2" s="4"/>
      <c r="E2" s="4" t="str">
        <f ca="1">IFERROR(__xludf.DUMMYFUNCTION("""COMPUTED_VALUE"""),"0832641997")</f>
        <v>0832641997</v>
      </c>
      <c r="F2" s="4" t="str">
        <f ca="1">IFERROR(__xludf.DUMMYFUNCTION("""COMPUTED_VALUE"""),"mc.mshika@hotmail.com")</f>
        <v>mc.mshika@hotmail.com</v>
      </c>
      <c r="G2" s="4" t="str">
        <f ca="1">IFERROR(__xludf.DUMMYFUNCTION("""COMPUTED_VALUE"""),"Student need to pass ELC211B during S1 2022 and report for academic intervention.")</f>
        <v>Student need to pass ELC211B during S1 2022 and report for academic intervention.</v>
      </c>
    </row>
    <row r="3" spans="1:7" ht="64.5">
      <c r="A3" s="4">
        <f ca="1">IFERROR(__xludf.DUMMYFUNCTION("""COMPUTED_VALUE"""),213414186)</f>
        <v>213414186</v>
      </c>
      <c r="B3" s="4" t="str">
        <f ca="1">IFERROR(__xludf.DUMMYFUNCTION("""COMPUTED_VALUE"""),"Thipe")</f>
        <v>Thipe</v>
      </c>
      <c r="C3" s="4" t="str">
        <f ca="1">IFERROR(__xludf.DUMMYFUNCTION("""COMPUTED_VALUE"""),"TC")</f>
        <v>TC</v>
      </c>
      <c r="D3" s="4"/>
      <c r="E3" s="4" t="str">
        <f ca="1">IFERROR(__xludf.DUMMYFUNCTION("""COMPUTED_VALUE"""),"0839537436")</f>
        <v>0839537436</v>
      </c>
      <c r="F3" s="4" t="str">
        <f ca="1">IFERROR(__xludf.DUMMYFUNCTION("""COMPUTED_VALUE"""),"thipetshegofatso84@gmail.com")</f>
        <v>thipetshegofatso84@gmail.com</v>
      </c>
      <c r="G3" s="4" t="str">
        <f ca="1">IFERROR(__xludf.DUMMYFUNCTION("""COMPUTED_VALUE"""),"STUDENT NEED TO PASS LOD311B, ELC211B, MMA301T AND SFC311T DURING S1 2022.  REPORT FOR ACADEMIC INTERVENTION.")</f>
        <v>STUDENT NEED TO PASS LOD311B, ELC211B, MMA301T AND SFC311T DURING S1 2022.  REPORT FOR ACADEMIC INTERVENTION.</v>
      </c>
    </row>
    <row r="4" spans="1:7" ht="64.5">
      <c r="A4" s="4">
        <f ca="1">IFERROR(__xludf.DUMMYFUNCTION("""COMPUTED_VALUE"""),214666065)</f>
        <v>214666065</v>
      </c>
      <c r="B4" s="4" t="str">
        <f ca="1">IFERROR(__xludf.DUMMYFUNCTION("""COMPUTED_VALUE"""),"Motshweni")</f>
        <v>Motshweni</v>
      </c>
      <c r="C4" s="4" t="str">
        <f ca="1">IFERROR(__xludf.DUMMYFUNCTION("""COMPUTED_VALUE"""),"TFM")</f>
        <v>TFM</v>
      </c>
      <c r="D4" s="4"/>
      <c r="E4" s="4" t="str">
        <f ca="1">IFERROR(__xludf.DUMMYFUNCTION("""COMPUTED_VALUE"""),"0640125352")</f>
        <v>0640125352</v>
      </c>
      <c r="F4" s="4" t="str">
        <f ca="1">IFERROR(__xludf.DUMMYFUNCTION("""COMPUTED_VALUE"""),"tmotshweni11@gmail.com")</f>
        <v>tmotshweni11@gmail.com</v>
      </c>
      <c r="G4" s="4" t="str">
        <f ca="1">IFERROR(__xludf.DUMMYFUNCTION("""COMPUTED_VALUE"""),"LIFTED, STUDENT MUST PASS ELC211B,PJD301B, AND OTHER SUBJECTS AND REPORT FOR ACADEMIC INTERVENTION.")</f>
        <v>LIFTED, STUDENT MUST PASS ELC211B,PJD301B, AND OTHER SUBJECTS AND REPORT FOR ACADEMIC INTERVENTION.</v>
      </c>
    </row>
    <row r="5" spans="1:7" ht="64.5">
      <c r="A5" s="4">
        <f ca="1">IFERROR(__xludf.DUMMYFUNCTION("""COMPUTED_VALUE"""),217021286)</f>
        <v>217021286</v>
      </c>
      <c r="B5" s="4" t="str">
        <f ca="1">IFERROR(__xludf.DUMMYFUNCTION("""COMPUTED_VALUE"""),"Mthunywa ")</f>
        <v xml:space="preserve">Mthunywa </v>
      </c>
      <c r="C5" s="4" t="str">
        <f ca="1">IFERROR(__xludf.DUMMYFUNCTION("""COMPUTED_VALUE"""),"Pz")</f>
        <v>Pz</v>
      </c>
      <c r="D5" s="4"/>
      <c r="E5" s="4" t="str">
        <f ca="1">IFERROR(__xludf.DUMMYFUNCTION("""COMPUTED_VALUE"""),"646507999")</f>
        <v>646507999</v>
      </c>
      <c r="F5" s="4" t="str">
        <f ca="1">IFERROR(__xludf.DUMMYFUNCTION("""COMPUTED_VALUE"""),"pertuniamthunywa@gmail.com")</f>
        <v>pertuniamthunywa@gmail.com</v>
      </c>
      <c r="G5" s="4" t="str">
        <f ca="1">IFERROR(__xludf.DUMMYFUNCTION("""COMPUTED_VALUE"""),"LIFTED, STUDENT MUST PASS ELC211B, PGG311T AND OTHER SUBJECT AND REPORT FOR ACADEMIC INTERVENTION.")</f>
        <v>LIFTED, STUDENT MUST PASS ELC211B, PGG311T AND OTHER SUBJECT AND REPORT FOR ACADEMIC INTERVENTION.</v>
      </c>
    </row>
    <row r="6" spans="1:7" ht="26.25">
      <c r="A6" s="11">
        <v>215017117</v>
      </c>
      <c r="B6" s="12" t="s">
        <v>712</v>
      </c>
      <c r="C6" s="12" t="s">
        <v>713</v>
      </c>
      <c r="D6" s="12" t="s">
        <v>10</v>
      </c>
      <c r="E6" s="12">
        <v>820993432</v>
      </c>
      <c r="F6" s="12" t="s">
        <v>714</v>
      </c>
      <c r="G6" s="12" t="s">
        <v>715</v>
      </c>
    </row>
    <row r="7" spans="1:7" ht="64.5">
      <c r="A7" s="18">
        <v>219107200</v>
      </c>
      <c r="B7" s="21" t="s">
        <v>10</v>
      </c>
      <c r="C7" s="21" t="s">
        <v>10</v>
      </c>
      <c r="D7" s="22"/>
      <c r="E7" s="23" t="s">
        <v>10</v>
      </c>
      <c r="F7" s="21" t="s">
        <v>10</v>
      </c>
      <c r="G7" s="25" t="s">
        <v>566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4" sqref="A4:G4"/>
    </sheetView>
  </sheetViews>
  <sheetFormatPr defaultRowHeight="15"/>
  <cols>
    <col min="1" max="1" width="15.7109375" customWidth="1"/>
    <col min="2" max="2" width="17.85546875" customWidth="1"/>
    <col min="4" max="4" width="13.28515625" customWidth="1"/>
    <col min="5" max="5" width="18.42578125" customWidth="1"/>
    <col min="6" max="6" width="22.85546875" customWidth="1"/>
    <col min="7" max="7" width="25.140625" customWidth="1"/>
  </cols>
  <sheetData>
    <row r="1" spans="1:7">
      <c r="A1" s="1" t="s">
        <v>0</v>
      </c>
      <c r="B1" s="1" t="s">
        <v>1</v>
      </c>
      <c r="C1" s="1" t="s">
        <v>2</v>
      </c>
      <c r="D1" s="1" t="s">
        <v>3</v>
      </c>
      <c r="E1" s="1" t="s">
        <v>4</v>
      </c>
      <c r="F1" s="1" t="s">
        <v>5</v>
      </c>
      <c r="G1" s="1" t="s">
        <v>6</v>
      </c>
    </row>
    <row r="2" spans="1:7" ht="64.5">
      <c r="A2" s="4">
        <f ca="1">IFERROR(__xludf.DUMMYFUNCTION("""COMPUTED_VALUE"""),215097056)</f>
        <v>215097056</v>
      </c>
      <c r="B2" s="4" t="str">
        <f ca="1">IFERROR(__xludf.DUMMYFUNCTION("""COMPUTED_VALUE"""),"Mathlatsi ")</f>
        <v xml:space="preserve">Mathlatsi </v>
      </c>
      <c r="C2" s="4" t="str">
        <f ca="1">IFERROR(__xludf.DUMMYFUNCTION("""COMPUTED_VALUE"""),"Ik")</f>
        <v>Ik</v>
      </c>
      <c r="D2" s="4"/>
      <c r="E2" s="4" t="str">
        <f ca="1">IFERROR(__xludf.DUMMYFUNCTION("""COMPUTED_VALUE"""),"0797852096")</f>
        <v>0797852096</v>
      </c>
      <c r="F2" s="4" t="str">
        <f ca="1">IFERROR(__xludf.DUMMYFUNCTION("""COMPUTED_VALUE"""),"kaymatlhatsi@gmail.com")</f>
        <v>kaymatlhatsi@gmail.com</v>
      </c>
      <c r="G2" s="4" t="str">
        <f ca="1">IFERROR(__xludf.DUMMYFUNCTION("""COMPUTED_VALUE"""),"STUDENT MUST PASS DBR311T AND PGG311T DURING S1 2022 AND REPORT FOR ACADEMIC INTERVENTION.")</f>
        <v>STUDENT MUST PASS DBR311T AND PGG311T DURING S1 2022 AND REPORT FOR ACADEMIC INTERVENTION.</v>
      </c>
    </row>
    <row r="3" spans="1:7" ht="69.75" customHeight="1">
      <c r="A3" s="85">
        <f ca="1">IFERROR(__xludf.DUMMYFUNCTION("""COMPUTED_VALUE"""),215455858)</f>
        <v>215455858</v>
      </c>
      <c r="B3" s="85"/>
      <c r="C3" s="85"/>
      <c r="D3" s="85"/>
      <c r="E3" s="85"/>
      <c r="F3" s="85"/>
      <c r="G3" s="85" t="str">
        <f ca="1">IFERROR(__xludf.DUMMYFUNCTION("""COMPUTED_VALUE"""),"STUDENT MUST PASS LOD311B, PGG311T AND DBR311T DURING S1 2022 AND REPORT FOR ACADEMIC INTERVENTION.")</f>
        <v>STUDENT MUST PASS LOD311B, PGG311T AND DBR311T DURING S1 2022 AND REPORT FOR ACADEMIC INTERVENTION.</v>
      </c>
    </row>
    <row r="4" spans="1:7" ht="64.5">
      <c r="A4" s="4">
        <f ca="1">IFERROR(__xludf.DUMMYFUNCTION("""COMPUTED_VALUE"""),217634440)</f>
        <v>217634440</v>
      </c>
      <c r="B4" s="4" t="str">
        <f ca="1">IFERROR(__xludf.DUMMYFUNCTION("""COMPUTED_VALUE"""),"Silabi")</f>
        <v>Silabi</v>
      </c>
      <c r="C4" s="4" t="str">
        <f ca="1">IFERROR(__xludf.DUMMYFUNCTION("""COMPUTED_VALUE"""),"KI")</f>
        <v>KI</v>
      </c>
      <c r="D4" s="4"/>
      <c r="E4" s="4" t="str">
        <f ca="1">IFERROR(__xludf.DUMMYFUNCTION("""COMPUTED_VALUE"""),"0672643262")</f>
        <v>0672643262</v>
      </c>
      <c r="F4" s="4" t="str">
        <f ca="1">IFERROR(__xludf.DUMMYFUNCTION("""COMPUTED_VALUE"""),"kabelosilabi573@gmail.com")</f>
        <v>kabelosilabi573@gmail.com</v>
      </c>
      <c r="G4" s="4" t="str">
        <f ca="1">IFERROR(__xludf.DUMMYFUNCTION("""COMPUTED_VALUE"""),"STUDENT MUST PASS PGG311T AND DBR311T DURING S1 2022 AND REPORT FOR ACADEMIC INTERVENTION.")</f>
        <v>STUDENT MUST PASS PGG311T AND DBR311T DURING S1 2022 AND REPORT FOR ACADEMIC INTERVENTION.</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topLeftCell="G1" workbookViewId="0">
      <selection activeCell="L6" sqref="L6"/>
    </sheetView>
  </sheetViews>
  <sheetFormatPr defaultRowHeight="15"/>
  <cols>
    <col min="1" max="1" width="15.28515625" customWidth="1"/>
    <col min="2" max="2" width="18.5703125" customWidth="1"/>
    <col min="4" max="4" width="13.7109375" customWidth="1"/>
    <col min="5" max="5" width="18.140625" customWidth="1"/>
    <col min="6" max="6" width="21.140625" customWidth="1"/>
    <col min="7" max="7" width="27.85546875" customWidth="1"/>
    <col min="8" max="8" width="21.85546875" customWidth="1"/>
    <col min="9" max="9" width="22" customWidth="1"/>
    <col min="10" max="10" width="28.5703125" customWidth="1"/>
    <col min="11" max="11" width="20.140625" customWidth="1"/>
    <col min="12" max="12" width="19.85546875" customWidth="1"/>
    <col min="13" max="13" width="22.28515625" customWidth="1"/>
    <col min="14" max="14" width="23.7109375" customWidth="1"/>
  </cols>
  <sheetData>
    <row r="1" spans="1:14" ht="42" customHeight="1">
      <c r="A1" s="1" t="s">
        <v>0</v>
      </c>
      <c r="B1" s="1" t="s">
        <v>1</v>
      </c>
      <c r="C1" s="1" t="s">
        <v>2</v>
      </c>
      <c r="D1" s="1" t="s">
        <v>3</v>
      </c>
      <c r="E1" s="1" t="s">
        <v>4</v>
      </c>
      <c r="F1" s="1" t="s">
        <v>5</v>
      </c>
      <c r="G1" s="1" t="s">
        <v>6</v>
      </c>
      <c r="H1" s="67" t="s">
        <v>699</v>
      </c>
      <c r="I1" s="202" t="s">
        <v>391</v>
      </c>
      <c r="J1" s="202" t="s">
        <v>392</v>
      </c>
      <c r="K1" s="202" t="s">
        <v>393</v>
      </c>
      <c r="L1" s="202" t="s">
        <v>394</v>
      </c>
      <c r="M1" s="227" t="s">
        <v>395</v>
      </c>
      <c r="N1" s="202" t="s">
        <v>396</v>
      </c>
    </row>
    <row r="2" spans="1:14" s="132" customFormat="1">
      <c r="A2" s="85">
        <f ca="1">IFERROR(__xludf.DUMMYFUNCTION("""COMPUTED_VALUE"""),216797400)</f>
        <v>216797400</v>
      </c>
      <c r="B2" s="85"/>
      <c r="C2" s="85"/>
      <c r="D2" s="85"/>
      <c r="E2" s="85"/>
      <c r="F2" s="85"/>
      <c r="G2" s="85" t="str">
        <f ca="1">IFERROR(__xludf.DUMMYFUNCTION("""COMPUTED_VALUE"""),"STUDENT NEED TO PASS LOD311B DURING S1 2022 AND REPORT FOR ACADEMIC INTERVENTION.")</f>
        <v>STUDENT NEED TO PASS LOD311B DURING S1 2022 AND REPORT FOR ACADEMIC INTERVENTION.</v>
      </c>
      <c r="I2" s="132" t="s">
        <v>716</v>
      </c>
      <c r="K2" s="132" t="s">
        <v>701</v>
      </c>
    </row>
    <row r="3" spans="1:14" s="87" customFormat="1" ht="64.5">
      <c r="A3" s="86">
        <f ca="1">IFERROR(__xludf.DUMMYFUNCTION("""COMPUTED_VALUE"""),217066905)</f>
        <v>217066905</v>
      </c>
      <c r="B3" s="86" t="str">
        <f ca="1">IFERROR(__xludf.DUMMYFUNCTION("""COMPUTED_VALUE"""),"Mazibuko")</f>
        <v>Mazibuko</v>
      </c>
      <c r="C3" s="86" t="s">
        <v>119</v>
      </c>
      <c r="D3" s="86"/>
      <c r="E3" s="86" t="str">
        <f ca="1">IFERROR(__xludf.DUMMYFUNCTION("""COMPUTED_VALUE"""),"0719377742")</f>
        <v>0719377742</v>
      </c>
      <c r="F3" s="86" t="str">
        <f ca="1">IFERROR(__xludf.DUMMYFUNCTION("""COMPUTED_VALUE"""),"217066905@tut4life.ac.za")</f>
        <v>217066905@tut4life.ac.za</v>
      </c>
      <c r="G3" s="86" t="str">
        <f ca="1">IFERROR(__xludf.DUMMYFUNCTION("""COMPUTED_VALUE"""),"STUDENT NEED TO PASS LOD311B AND PGG211T DURING S1 2022 AND REPORT FOR ACADEMIC INTERVENTION.")</f>
        <v>STUDENT NEED TO PASS LOD311B AND PGG211T DURING S1 2022 AND REPORT FOR ACADEMIC INTERVENTION.</v>
      </c>
      <c r="H3" s="231" t="s">
        <v>717</v>
      </c>
      <c r="I3" s="87" t="s">
        <v>599</v>
      </c>
      <c r="K3" s="87" t="s">
        <v>718</v>
      </c>
    </row>
    <row r="4" spans="1:14" s="132" customFormat="1" ht="64.5">
      <c r="A4" s="85">
        <f ca="1">IFERROR(__xludf.DUMMYFUNCTION("""COMPUTED_VALUE"""),217188628)</f>
        <v>217188628</v>
      </c>
      <c r="B4" s="85" t="str">
        <f ca="1">IFERROR(__xludf.DUMMYFUNCTION("""COMPUTED_VALUE"""),"MOSENA")</f>
        <v>MOSENA</v>
      </c>
      <c r="C4" s="85" t="str">
        <f ca="1">IFERROR(__xludf.DUMMYFUNCTION("""COMPUTED_VALUE"""),"MS")</f>
        <v>MS</v>
      </c>
      <c r="D4" s="85"/>
      <c r="E4" s="85" t="str">
        <f ca="1">IFERROR(__xludf.DUMMYFUNCTION("""COMPUTED_VALUE"""),"0761373786")</f>
        <v>0761373786</v>
      </c>
      <c r="F4" s="85" t="str">
        <f ca="1">IFERROR(__xludf.DUMMYFUNCTION("""COMPUTED_VALUE"""),"Mashilo158@gmail.com")</f>
        <v>Mashilo158@gmail.com</v>
      </c>
      <c r="G4" s="85" t="str">
        <f ca="1">IFERROR(__xludf.DUMMYFUNCTION("""COMPUTED_VALUE"""),"STUDENT MUST PASS PGG211T AND LOD311B DURING S1 2022 AND REPORT FOR ACADEMIC INTERVENTION.")</f>
        <v>STUDENT MUST PASS PGG211T AND LOD311B DURING S1 2022 AND REPORT FOR ACADEMIC INTERVENTION.</v>
      </c>
      <c r="I4" s="132" t="s">
        <v>596</v>
      </c>
      <c r="K4" s="132" t="s">
        <v>719</v>
      </c>
    </row>
    <row r="5" spans="1:14" s="132" customFormat="1" ht="77.25">
      <c r="A5" s="85">
        <f ca="1">IFERROR(__xludf.DUMMYFUNCTION("""COMPUTED_VALUE"""),213414186)</f>
        <v>213414186</v>
      </c>
      <c r="B5" s="85" t="str">
        <f ca="1">IFERROR(__xludf.DUMMYFUNCTION("""COMPUTED_VALUE"""),"Thipe")</f>
        <v>Thipe</v>
      </c>
      <c r="C5" s="85" t="str">
        <f ca="1">IFERROR(__xludf.DUMMYFUNCTION("""COMPUTED_VALUE"""),"TC")</f>
        <v>TC</v>
      </c>
      <c r="D5" s="85"/>
      <c r="E5" s="85" t="str">
        <f ca="1">IFERROR(__xludf.DUMMYFUNCTION("""COMPUTED_VALUE"""),"0839537436")</f>
        <v>0839537436</v>
      </c>
      <c r="F5" s="85" t="str">
        <f ca="1">IFERROR(__xludf.DUMMYFUNCTION("""COMPUTED_VALUE"""),"thipetshegofatso84@gmail.com")</f>
        <v>thipetshegofatso84@gmail.com</v>
      </c>
      <c r="G5" s="85" t="str">
        <f ca="1">IFERROR(__xludf.DUMMYFUNCTION("""COMPUTED_VALUE"""),"STUDENT NEED TO PASS LOD311B, ELC211B, MMA301T AND SFC311T DURING S1 2022.  REPORT FOR ACADEMIC INTERVENTION.")</f>
        <v>STUDENT NEED TO PASS LOD311B, ELC211B, MMA301T AND SFC311T DURING S1 2022.  REPORT FOR ACADEMIC INTERVENTION.</v>
      </c>
      <c r="I5" s="132" t="s">
        <v>596</v>
      </c>
      <c r="K5" s="132" t="s">
        <v>719</v>
      </c>
    </row>
    <row r="6" spans="1:14" s="87" customFormat="1" ht="51.75">
      <c r="A6" s="86">
        <f ca="1">IFERROR(__xludf.DUMMYFUNCTION("""COMPUTED_VALUE"""),214482207)</f>
        <v>214482207</v>
      </c>
      <c r="B6" s="86" t="str">
        <f ca="1">IFERROR(__xludf.DUMMYFUNCTION("""COMPUTED_VALUE"""),"MAHLANGU")</f>
        <v>MAHLANGU</v>
      </c>
      <c r="C6" s="86" t="str">
        <f ca="1">IFERROR(__xludf.DUMMYFUNCTION("""COMPUTED_VALUE"""),"MN")</f>
        <v>MN</v>
      </c>
      <c r="D6" s="86"/>
      <c r="E6" s="86" t="str">
        <f ca="1">IFERROR(__xludf.DUMMYFUNCTION("""COMPUTED_VALUE"""),"0764448346")</f>
        <v>0764448346</v>
      </c>
      <c r="F6" s="86" t="str">
        <f ca="1">IFERROR(__xludf.DUMMYFUNCTION("""COMPUTED_VALUE"""),"seventmandla@gmail.com")</f>
        <v>seventmandla@gmail.com</v>
      </c>
      <c r="G6" s="86" t="str">
        <f ca="1">IFERROR(__xludf.DUMMYFUNCTION("""COMPUTED_VALUE"""),"STUDENT MUST PASS LOD311B DURING S1 2022 AND REPORT FOR ACADEMIC INTERVENTION.")</f>
        <v>STUDENT MUST PASS LOD311B DURING S1 2022 AND REPORT FOR ACADEMIC INTERVENTION.</v>
      </c>
      <c r="I6" s="87" t="s">
        <v>720</v>
      </c>
      <c r="K6" s="87" t="s">
        <v>719</v>
      </c>
    </row>
    <row r="7" spans="1:14" s="87" customFormat="1" ht="51.75">
      <c r="A7" s="86">
        <f ca="1">IFERROR(__xludf.DUMMYFUNCTION("""COMPUTED_VALUE"""),215095797)</f>
        <v>215095797</v>
      </c>
      <c r="B7" s="86" t="str">
        <f ca="1">IFERROR(__xludf.DUMMYFUNCTION("""COMPUTED_VALUE"""),"MALULEKE")</f>
        <v>MALULEKE</v>
      </c>
      <c r="C7" s="86" t="str">
        <f ca="1">IFERROR(__xludf.DUMMYFUNCTION("""COMPUTED_VALUE"""),"RS")</f>
        <v>RS</v>
      </c>
      <c r="D7" s="86"/>
      <c r="E7" s="86" t="str">
        <f ca="1">IFERROR(__xludf.DUMMYFUNCTION("""COMPUTED_VALUE"""),"0793650332")</f>
        <v>0793650332</v>
      </c>
      <c r="F7" s="86" t="str">
        <f ca="1">IFERROR(__xludf.DUMMYFUNCTION("""COMPUTED_VALUE"""),"215095797@tut4life.ac.za")</f>
        <v>215095797@tut4life.ac.za</v>
      </c>
      <c r="G7" s="86" t="str">
        <f ca="1">IFERROR(__xludf.DUMMYFUNCTION("""COMPUTED_VALUE"""),"STUDENT MUST PASS LOD311B DURING S1 2022 AND REPORT FOR ACADEMIC INTERVENTION.")</f>
        <v>STUDENT MUST PASS LOD311B DURING S1 2022 AND REPORT FOR ACADEMIC INTERVENTION.</v>
      </c>
      <c r="I7" s="87" t="s">
        <v>720</v>
      </c>
      <c r="K7" s="87" t="s">
        <v>718</v>
      </c>
      <c r="L7" s="233" t="s">
        <v>721</v>
      </c>
      <c r="M7" s="244"/>
      <c r="N7" s="233" t="s">
        <v>722</v>
      </c>
    </row>
    <row r="8" spans="1:14" s="87" customFormat="1" ht="64.5">
      <c r="A8" s="86">
        <f ca="1">IFERROR(__xludf.DUMMYFUNCTION("""COMPUTED_VALUE"""),215336506)</f>
        <v>215336506</v>
      </c>
      <c r="B8" s="86" t="str">
        <f ca="1">IFERROR(__xludf.DUMMYFUNCTION("""COMPUTED_VALUE"""),"Dladla ")</f>
        <v xml:space="preserve">Dladla </v>
      </c>
      <c r="C8" s="86" t="str">
        <f ca="1">IFERROR(__xludf.DUMMYFUNCTION("""COMPUTED_VALUE"""),"NN")</f>
        <v>NN</v>
      </c>
      <c r="D8" s="86"/>
      <c r="E8" s="86" t="str">
        <f ca="1">IFERROR(__xludf.DUMMYFUNCTION("""COMPUTED_VALUE"""),"658218086")</f>
        <v>658218086</v>
      </c>
      <c r="F8" s="86" t="str">
        <f ca="1">IFERROR(__xludf.DUMMYFUNCTION("""COMPUTED_VALUE"""),"nokuxoladladla.nd@gmail.com")</f>
        <v>nokuxoladladla.nd@gmail.com</v>
      </c>
      <c r="G8" s="86" t="str">
        <f ca="1">IFERROR(__xludf.DUMMYFUNCTION("""COMPUTED_VALUE"""),"STUDENT MUST PASS PGG211T AND LOD311D DURING S1 2022 AND REPORT FOR ACADEMIC INTERVENTION.")</f>
        <v>STUDENT MUST PASS PGG211T AND LOD311D DURING S1 2022 AND REPORT FOR ACADEMIC INTERVENTION.</v>
      </c>
      <c r="I8" s="87" t="s">
        <v>720</v>
      </c>
      <c r="K8" s="87" t="s">
        <v>718</v>
      </c>
    </row>
    <row r="9" spans="1:14" s="132" customFormat="1" ht="66" customHeight="1">
      <c r="A9" s="85">
        <f ca="1">IFERROR(__xludf.DUMMYFUNCTION("""COMPUTED_VALUE"""),215455858)</f>
        <v>215455858</v>
      </c>
      <c r="B9" s="85"/>
      <c r="C9" s="85"/>
      <c r="D9" s="85"/>
      <c r="E9" s="85"/>
      <c r="F9" s="85"/>
      <c r="G9" s="85" t="str">
        <f ca="1">IFERROR(__xludf.DUMMYFUNCTION("""COMPUTED_VALUE"""),"STUDENT MUST PASS LOD311B, PGG311T AND DBR311T DURING S1 2022 AND REPORT FOR ACADEMIC INTERVENTION.")</f>
        <v>STUDENT MUST PASS LOD311B, PGG311T AND DBR311T DURING S1 2022 AND REPORT FOR ACADEMIC INTERVENTION.</v>
      </c>
      <c r="I9" s="132" t="s">
        <v>716</v>
      </c>
      <c r="K9" s="132" t="s">
        <v>701</v>
      </c>
    </row>
    <row r="10" spans="1:14" s="132" customFormat="1" ht="51.75">
      <c r="A10" s="85">
        <f ca="1">IFERROR(__xludf.DUMMYFUNCTION("""COMPUTED_VALUE"""),216633016)</f>
        <v>216633016</v>
      </c>
      <c r="B10" s="85" t="str">
        <f ca="1">IFERROR(__xludf.DUMMYFUNCTION("""COMPUTED_VALUE"""),"MAHLANGU")</f>
        <v>MAHLANGU</v>
      </c>
      <c r="C10" s="85" t="str">
        <f ca="1">IFERROR(__xludf.DUMMYFUNCTION("""COMPUTED_VALUE"""),"KT")</f>
        <v>KT</v>
      </c>
      <c r="D10" s="85"/>
      <c r="E10" s="85" t="str">
        <f ca="1">IFERROR(__xludf.DUMMYFUNCTION("""COMPUTED_VALUE"""),"0676340710")</f>
        <v>0676340710</v>
      </c>
      <c r="F10" s="85" t="str">
        <f ca="1">IFERROR(__xludf.DUMMYFUNCTION("""COMPUTED_VALUE"""),"terrencemahlangu909@gmail.com")</f>
        <v>terrencemahlangu909@gmail.com</v>
      </c>
      <c r="G10" s="85" t="str">
        <f ca="1">IFERROR(__xludf.DUMMYFUNCTION("""COMPUTED_VALUE"""),"STUDENT NEED TO PASS LOD311B DURING S1 2022 AND REPORT FOR ACADEMIC INTERVENTION.")</f>
        <v>STUDENT NEED TO PASS LOD311B DURING S1 2022 AND REPORT FOR ACADEMIC INTERVENTION.</v>
      </c>
      <c r="I10" s="132" t="s">
        <v>596</v>
      </c>
      <c r="K10" s="132" t="s">
        <v>718</v>
      </c>
    </row>
    <row r="11" spans="1:14" s="87" customFormat="1" ht="64.5">
      <c r="A11" s="86" t="s">
        <v>723</v>
      </c>
      <c r="B11" s="86" t="str">
        <f ca="1">IFERROR(__xludf.DUMMYFUNCTION("""COMPUTED_VALUE"""),"Ngoveni")</f>
        <v>Ngoveni</v>
      </c>
      <c r="C11" s="86" t="str">
        <f ca="1">IFERROR(__xludf.DUMMYFUNCTION("""COMPUTED_VALUE"""),"B")</f>
        <v>B</v>
      </c>
      <c r="D11" s="86"/>
      <c r="E11" s="86" t="str">
        <f ca="1">IFERROR(__xludf.DUMMYFUNCTION("""COMPUTED_VALUE"""),"0716386013")</f>
        <v>0716386013</v>
      </c>
      <c r="F11" s="86" t="str">
        <f ca="1">IFERROR(__xludf.DUMMYFUNCTION("""COMPUTED_VALUE"""),"bngobeni10@icloud.com")</f>
        <v>bngobeni10@icloud.com</v>
      </c>
      <c r="G11" s="86" t="str">
        <f ca="1">IFERROR(__xludf.DUMMYFUNCTION("""COMPUTED_VALUE"""),"STUDENT NEED TO PASS LOD311B, PGG311T AND DPC301T DURING S1 2022 AND REPORT FOR ACADEMIC INTERVENTION.")</f>
        <v>STUDENT NEED TO PASS LOD311B, PGG311T AND DPC301T DURING S1 2022 AND REPORT FOR ACADEMIC INTERVENTION.</v>
      </c>
      <c r="I11" s="87" t="s">
        <v>720</v>
      </c>
      <c r="K11" s="87" t="s">
        <v>718</v>
      </c>
    </row>
    <row r="12" spans="1:14" s="132" customFormat="1">
      <c r="A12" s="85">
        <f ca="1">IFERROR(__xludf.DUMMYFUNCTION("""COMPUTED_VALUE"""),218036864)</f>
        <v>218036864</v>
      </c>
      <c r="B12" s="85"/>
      <c r="C12" s="85"/>
      <c r="D12" s="85"/>
      <c r="E12" s="85"/>
      <c r="F12" s="85"/>
      <c r="G12" s="85" t="str">
        <f ca="1">IFERROR(__xludf.DUMMYFUNCTION("""COMPUTED_VALUE"""),"STUDENT NEED TO PASS LOD311B DURING S1 2022 AND REPORT FOR ACADEMIC INTERVENTION.")</f>
        <v>STUDENT NEED TO PASS LOD311B DURING S1 2022 AND REPORT FOR ACADEMIC INTERVENTION.</v>
      </c>
      <c r="I12" s="132" t="s">
        <v>716</v>
      </c>
      <c r="K12" s="132" t="s">
        <v>701</v>
      </c>
    </row>
    <row r="13" spans="1:14" s="132" customFormat="1" ht="51.75">
      <c r="A13" s="85">
        <f ca="1">IFERROR(__xludf.DUMMYFUNCTION("""COMPUTED_VALUE"""),219635850)</f>
        <v>219635850</v>
      </c>
      <c r="B13" s="85" t="str">
        <f ca="1">IFERROR(__xludf.DUMMYFUNCTION("""COMPUTED_VALUE"""),"Malaleka")</f>
        <v>Malaleka</v>
      </c>
      <c r="C13" s="85" t="str">
        <f ca="1">IFERROR(__xludf.DUMMYFUNCTION("""COMPUTED_VALUE"""),"ET")</f>
        <v>ET</v>
      </c>
      <c r="D13" s="85"/>
      <c r="E13" s="85" t="str">
        <f ca="1">IFERROR(__xludf.DUMMYFUNCTION("""COMPUTED_VALUE"""),"0814535114")</f>
        <v>0814535114</v>
      </c>
      <c r="F13" s="85" t="str">
        <f ca="1">IFERROR(__xludf.DUMMYFUNCTION("""COMPUTED_VALUE"""),"e8727438@gmail.com")</f>
        <v>e8727438@gmail.com</v>
      </c>
      <c r="G13" s="85" t="str">
        <f ca="1">IFERROR(__xludf.DUMMYFUNCTION("""COMPUTED_VALUE"""),"STUDENT MUST PASS LOD311B DURING S1 2022 AND REPORT FOR ACADEMIC INTERVENTION.")</f>
        <v>STUDENT MUST PASS LOD311B DURING S1 2022 AND REPORT FOR ACADEMIC INTERVENTION.</v>
      </c>
      <c r="I13" s="132" t="s">
        <v>596</v>
      </c>
      <c r="K13" s="132" t="s">
        <v>719</v>
      </c>
    </row>
    <row r="14" spans="1:14" s="132" customFormat="1">
      <c r="A14" s="85">
        <f ca="1">IFERROR(__xludf.DUMMYFUNCTION("""COMPUTED_VALUE"""),219775636)</f>
        <v>219775636</v>
      </c>
      <c r="B14" s="85"/>
      <c r="C14" s="85"/>
      <c r="D14" s="85"/>
      <c r="E14" s="85"/>
      <c r="F14" s="85"/>
      <c r="G14" s="85" t="str">
        <f ca="1">IFERROR(__xludf.DUMMYFUNCTION("""COMPUTED_VALUE"""),"STUDENT MUST PASS PGG311T AND LOD311B DURING S1 2022 AND REPORT FOR ACADEMIC INTERVENTION.")</f>
        <v>STUDENT MUST PASS PGG311T AND LOD311B DURING S1 2022 AND REPORT FOR ACADEMIC INTERVENTION.</v>
      </c>
      <c r="I14" s="132" t="s">
        <v>716</v>
      </c>
      <c r="K14" s="132" t="s">
        <v>701</v>
      </c>
    </row>
    <row r="15" spans="1:14" s="132" customFormat="1">
      <c r="A15" s="85">
        <f ca="1">IFERROR(__xludf.DUMMYFUNCTION("""COMPUTED_VALUE"""),219813228)</f>
        <v>219813228</v>
      </c>
      <c r="B15" s="85"/>
      <c r="C15" s="85"/>
      <c r="D15" s="85"/>
      <c r="E15" s="85"/>
      <c r="F15" s="85"/>
      <c r="G15" s="85" t="str">
        <f ca="1">IFERROR(__xludf.DUMMYFUNCTION("""COMPUTED_VALUE"""),"STUDENT MUST PASS LOD311B DURING S1 2022 AND REPORT FOR ACADEMIC INTERVENTION.")</f>
        <v>STUDENT MUST PASS LOD311B DURING S1 2022 AND REPORT FOR ACADEMIC INTERVENTION.</v>
      </c>
      <c r="I15" s="132" t="s">
        <v>716</v>
      </c>
      <c r="K15" s="132" t="s">
        <v>701</v>
      </c>
    </row>
    <row r="16" spans="1:14" s="132" customFormat="1" ht="64.5">
      <c r="A16" s="85">
        <f ca="1">IFERROR(__xludf.DUMMYFUNCTION("""COMPUTED_VALUE"""),217053641)</f>
        <v>217053641</v>
      </c>
      <c r="B16" s="85" t="str">
        <f ca="1">IFERROR(__xludf.DUMMYFUNCTION("""COMPUTED_VALUE"""),"Maseng")</f>
        <v>Maseng</v>
      </c>
      <c r="C16" s="85" t="str">
        <f ca="1">IFERROR(__xludf.DUMMYFUNCTION("""COMPUTED_VALUE"""),"L")</f>
        <v>L</v>
      </c>
      <c r="D16" s="85"/>
      <c r="E16" s="85" t="str">
        <f ca="1">IFERROR(__xludf.DUMMYFUNCTION("""COMPUTED_VALUE"""),"0631869576")</f>
        <v>0631869576</v>
      </c>
      <c r="F16" s="85" t="str">
        <f ca="1">IFERROR(__xludf.DUMMYFUNCTION("""COMPUTED_VALUE"""),"lekone.maseng@gmail.com")</f>
        <v>lekone.maseng@gmail.com</v>
      </c>
      <c r="G16" s="85" t="str">
        <f ca="1">IFERROR(__xludf.DUMMYFUNCTION("""COMPUTED_VALUE"""),"LIFTED, Student must pass FPPGG01, LOD311B,PGG211T and other subjects and report for academic intervention.")</f>
        <v>LIFTED, Student must pass FPPGG01, LOD311B,PGG211T and other subjects and report for academic intervention.</v>
      </c>
      <c r="I16" s="132" t="s">
        <v>596</v>
      </c>
      <c r="K16" s="132" t="s">
        <v>719</v>
      </c>
    </row>
    <row r="17" spans="1:11" s="132" customFormat="1" ht="51.75">
      <c r="A17" s="98">
        <v>218492703</v>
      </c>
      <c r="B17" s="99" t="s">
        <v>10</v>
      </c>
      <c r="C17" s="99" t="s">
        <v>10</v>
      </c>
      <c r="D17" s="99" t="s">
        <v>10</v>
      </c>
      <c r="E17" s="99" t="s">
        <v>10</v>
      </c>
      <c r="F17" s="99" t="s">
        <v>10</v>
      </c>
      <c r="G17" s="99" t="s">
        <v>724</v>
      </c>
      <c r="I17" s="132" t="s">
        <v>716</v>
      </c>
      <c r="K17" s="132" t="s">
        <v>701</v>
      </c>
    </row>
    <row r="18" spans="1:11" s="87" customFormat="1" ht="30">
      <c r="A18" s="96">
        <v>215017117</v>
      </c>
      <c r="B18" s="97" t="s">
        <v>712</v>
      </c>
      <c r="C18" s="97" t="s">
        <v>713</v>
      </c>
      <c r="D18" s="97" t="s">
        <v>10</v>
      </c>
      <c r="E18" s="97">
        <v>820993432</v>
      </c>
      <c r="F18" s="97" t="s">
        <v>714</v>
      </c>
      <c r="G18" s="97" t="s">
        <v>715</v>
      </c>
      <c r="H18" s="232" t="s">
        <v>717</v>
      </c>
      <c r="I18" s="87" t="s">
        <v>720</v>
      </c>
      <c r="K18" s="87" t="s">
        <v>701</v>
      </c>
    </row>
    <row r="19" spans="1:11" s="132" customFormat="1" ht="39">
      <c r="A19" s="94">
        <v>219972482</v>
      </c>
      <c r="B19" s="107" t="s">
        <v>17</v>
      </c>
      <c r="C19" s="107" t="s">
        <v>725</v>
      </c>
      <c r="D19" s="102"/>
      <c r="E19" s="91">
        <v>795532039</v>
      </c>
      <c r="F19" s="129" t="s">
        <v>726</v>
      </c>
      <c r="G19" s="95" t="s">
        <v>727</v>
      </c>
      <c r="I19" s="132" t="s">
        <v>596</v>
      </c>
      <c r="K19" s="132" t="s">
        <v>719</v>
      </c>
    </row>
  </sheetData>
  <hyperlinks>
    <hyperlink ref="F19"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J21" sqref="J21"/>
    </sheetView>
  </sheetViews>
  <sheetFormatPr defaultRowHeight="15"/>
  <cols>
    <col min="1" max="1" width="12.5703125" customWidth="1"/>
    <col min="2" max="2" width="16.140625" customWidth="1"/>
    <col min="4" max="4" width="13.5703125" customWidth="1"/>
    <col min="5" max="5" width="17.85546875" customWidth="1"/>
    <col min="6" max="6" width="17.7109375" customWidth="1"/>
    <col min="7" max="7" width="29.42578125" customWidth="1"/>
  </cols>
  <sheetData>
    <row r="1" spans="1:7">
      <c r="A1" s="1" t="s">
        <v>0</v>
      </c>
      <c r="B1" s="1" t="s">
        <v>1</v>
      </c>
      <c r="C1" s="1" t="s">
        <v>2</v>
      </c>
      <c r="D1" s="1" t="s">
        <v>3</v>
      </c>
      <c r="E1" s="1" t="s">
        <v>4</v>
      </c>
      <c r="F1" s="1" t="s">
        <v>5</v>
      </c>
      <c r="G1" s="1" t="s">
        <v>6</v>
      </c>
    </row>
    <row r="2" spans="1:7" ht="68.25" customHeight="1">
      <c r="A2" s="85">
        <f ca="1">IFERROR(__xludf.DUMMYFUNCTION("""COMPUTED_VALUE"""),217390362)</f>
        <v>217390362</v>
      </c>
      <c r="B2" s="85"/>
      <c r="C2" s="85"/>
      <c r="D2" s="85"/>
      <c r="E2" s="85"/>
      <c r="F2" s="85"/>
      <c r="G2" s="85" t="str">
        <f ca="1">IFERROR(__xludf.DUMMYFUNCTION("""COMPUTED_VALUE"""),"STUDENT MUST PASS MMA301T DURING S1 2022 AND REPORT FOR ACADEMIC INTERVENTION.")</f>
        <v>STUDENT MUST PASS MMA301T DURING S1 2022 AND REPORT FOR ACADEMIC INTERVENTION.</v>
      </c>
    </row>
    <row r="3" spans="1:7">
      <c r="A3" s="4"/>
      <c r="B3" s="4"/>
      <c r="C3" s="4"/>
      <c r="D3" s="4"/>
      <c r="E3" s="4"/>
      <c r="F3" s="4"/>
      <c r="G3" s="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3" sqref="A3:G3"/>
    </sheetView>
  </sheetViews>
  <sheetFormatPr defaultRowHeight="15"/>
  <cols>
    <col min="1" max="1" width="15.85546875" customWidth="1"/>
    <col min="2" max="2" width="17.140625" customWidth="1"/>
    <col min="3" max="3" width="10.5703125" customWidth="1"/>
    <col min="4" max="4" width="13.28515625" customWidth="1"/>
    <col min="5" max="5" width="15.42578125" customWidth="1"/>
    <col min="6" max="6" width="20" customWidth="1"/>
    <col min="7" max="7" width="29" customWidth="1"/>
  </cols>
  <sheetData>
    <row r="1" spans="1:7">
      <c r="A1" s="1" t="s">
        <v>0</v>
      </c>
      <c r="B1" s="1" t="s">
        <v>1</v>
      </c>
      <c r="C1" s="1" t="s">
        <v>2</v>
      </c>
      <c r="D1" s="1" t="s">
        <v>3</v>
      </c>
      <c r="E1" s="1" t="s">
        <v>4</v>
      </c>
      <c r="F1" s="1" t="s">
        <v>5</v>
      </c>
      <c r="G1" s="1" t="s">
        <v>6</v>
      </c>
    </row>
    <row r="2" spans="1:7" ht="64.5">
      <c r="A2" s="4">
        <f ca="1">IFERROR(__xludf.DUMMYFUNCTION("""COMPUTED_VALUE"""),213414186)</f>
        <v>213414186</v>
      </c>
      <c r="B2" s="4" t="str">
        <f ca="1">IFERROR(__xludf.DUMMYFUNCTION("""COMPUTED_VALUE"""),"Thipe")</f>
        <v>Thipe</v>
      </c>
      <c r="C2" s="4" t="str">
        <f ca="1">IFERROR(__xludf.DUMMYFUNCTION("""COMPUTED_VALUE"""),"TC")</f>
        <v>TC</v>
      </c>
      <c r="D2" s="4"/>
      <c r="E2" s="4" t="str">
        <f ca="1">IFERROR(__xludf.DUMMYFUNCTION("""COMPUTED_VALUE"""),"0839537436")</f>
        <v>0839537436</v>
      </c>
      <c r="F2" s="4" t="str">
        <f ca="1">IFERROR(__xludf.DUMMYFUNCTION("""COMPUTED_VALUE"""),"thipetshegofatso84@gmail.com")</f>
        <v>thipetshegofatso84@gmail.com</v>
      </c>
      <c r="G2" s="4" t="str">
        <f ca="1">IFERROR(__xludf.DUMMYFUNCTION("""COMPUTED_VALUE"""),"STUDENT NEED TO PASS LOD311B, ELC211B, MMA301T AND SFC311T DURING S1 2022.  REPORT FOR ACADEMIC INTERVENTION.")</f>
        <v>STUDENT NEED TO PASS LOD311B, ELC211B, MMA301T AND SFC311T DURING S1 2022.  REPORT FOR ACADEMIC INTERVENTION.</v>
      </c>
    </row>
    <row r="3" spans="1:7" ht="39">
      <c r="A3" s="23">
        <v>219400195</v>
      </c>
      <c r="B3" s="21" t="s">
        <v>572</v>
      </c>
      <c r="C3" s="21" t="s">
        <v>573</v>
      </c>
      <c r="D3" s="22"/>
      <c r="E3" s="53">
        <v>731586898</v>
      </c>
      <c r="F3" s="24" t="s">
        <v>574</v>
      </c>
      <c r="G3" s="54" t="s">
        <v>575</v>
      </c>
    </row>
  </sheetData>
  <hyperlinks>
    <hyperlink ref="F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2" workbookViewId="0">
      <selection activeCell="A2" sqref="A1:XFD1048576"/>
    </sheetView>
  </sheetViews>
  <sheetFormatPr defaultRowHeight="15"/>
  <cols>
    <col min="1" max="1" width="16.42578125" customWidth="1"/>
    <col min="2" max="2" width="21.42578125" customWidth="1"/>
    <col min="3" max="3" width="15.42578125" customWidth="1"/>
    <col min="4" max="4" width="16" customWidth="1"/>
    <col min="5" max="5" width="18.85546875" customWidth="1"/>
    <col min="6" max="6" width="23.7109375" customWidth="1"/>
    <col min="7" max="7" width="30.7109375" customWidth="1"/>
    <col min="8" max="8" width="27" customWidth="1"/>
    <col min="9" max="9" width="21" customWidth="1"/>
    <col min="10" max="10" width="32.5703125" customWidth="1"/>
    <col min="11" max="11" width="19.42578125" customWidth="1"/>
    <col min="12" max="12" width="25.85546875" customWidth="1"/>
    <col min="13" max="13" width="24.28515625" customWidth="1"/>
    <col min="14" max="14" width="17.28515625" customWidth="1"/>
  </cols>
  <sheetData>
    <row r="1" spans="1:14" ht="49.5" customHeight="1">
      <c r="A1" s="1" t="s">
        <v>0</v>
      </c>
      <c r="B1" s="1" t="s">
        <v>1</v>
      </c>
      <c r="C1" s="1" t="s">
        <v>2</v>
      </c>
      <c r="D1" s="1" t="s">
        <v>3</v>
      </c>
      <c r="E1" s="1" t="s">
        <v>4</v>
      </c>
      <c r="F1" s="1" t="s">
        <v>5</v>
      </c>
      <c r="G1" s="166" t="s">
        <v>6</v>
      </c>
      <c r="H1" s="202" t="s">
        <v>390</v>
      </c>
      <c r="I1" s="202" t="s">
        <v>391</v>
      </c>
      <c r="J1" s="202" t="s">
        <v>392</v>
      </c>
      <c r="K1" s="202" t="s">
        <v>393</v>
      </c>
      <c r="L1" s="202" t="s">
        <v>394</v>
      </c>
      <c r="M1" s="227" t="s">
        <v>395</v>
      </c>
      <c r="N1" s="202" t="s">
        <v>396</v>
      </c>
    </row>
    <row r="2" spans="1:14" ht="77.25">
      <c r="A2" s="86">
        <f ca="1">IFERROR(__xludf.DUMMYFUNCTION("""COMPUTED_VALUE"""),219114648)</f>
        <v>219114648</v>
      </c>
      <c r="B2" s="86" t="str">
        <f ca="1">IFERROR(__xludf.DUMMYFUNCTION("""COMPUTED_VALUE"""),"Ramango ")</f>
        <v xml:space="preserve">Ramango </v>
      </c>
      <c r="C2" s="86" t="str">
        <f ca="1">IFERROR(__xludf.DUMMYFUNCTION("""COMPUTED_VALUE"""),"T.U")</f>
        <v>T.U</v>
      </c>
      <c r="D2" s="86" t="s">
        <v>312</v>
      </c>
      <c r="E2" s="86" t="str">
        <f ca="1">IFERROR(__xludf.DUMMYFUNCTION("""COMPUTED_VALUE"""),"0762384765")</f>
        <v>0762384765</v>
      </c>
      <c r="F2" s="86" t="str">
        <f ca="1">IFERROR(__xludf.DUMMYFUNCTION("""COMPUTED_VALUE"""),"unitymessina@gmail.com")</f>
        <v>unitymessina@gmail.com</v>
      </c>
      <c r="G2"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I2" t="s">
        <v>422</v>
      </c>
      <c r="K2" t="s">
        <v>401</v>
      </c>
    </row>
    <row r="3" spans="1:14" ht="135">
      <c r="A3" s="86">
        <f ca="1">IFERROR(__xludf.DUMMYFUNCTION("""COMPUTED_VALUE"""),216185021)</f>
        <v>216185021</v>
      </c>
      <c r="B3" s="86" t="str">
        <f ca="1">IFERROR(__xludf.DUMMYFUNCTION("""COMPUTED_VALUE"""),"Sibiya")</f>
        <v>Sibiya</v>
      </c>
      <c r="C3" s="86" t="str">
        <f ca="1">IFERROR(__xludf.DUMMYFUNCTION("""COMPUTED_VALUE"""),"JT")</f>
        <v>JT</v>
      </c>
      <c r="D3" s="86" t="s">
        <v>312</v>
      </c>
      <c r="E3" s="86" t="str">
        <f ca="1">IFERROR(__xludf.DUMMYFUNCTION("""COMPUTED_VALUE"""),"0710294350")</f>
        <v>0710294350</v>
      </c>
      <c r="F3" s="86" t="str">
        <f ca="1">IFERROR(__xludf.DUMMYFUNCTION("""COMPUTED_VALUE"""),"216185021@tut4life.ac.za")</f>
        <v>216185021@tut4life.ac.za</v>
      </c>
      <c r="G3"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I3" t="s">
        <v>422</v>
      </c>
      <c r="J3" t="s">
        <v>405</v>
      </c>
      <c r="K3" s="172" t="s">
        <v>401</v>
      </c>
      <c r="L3" s="233" t="s">
        <v>477</v>
      </c>
      <c r="N3" s="242" t="s">
        <v>478</v>
      </c>
    </row>
    <row r="4" spans="1:14" s="115" customFormat="1" ht="105">
      <c r="A4" s="150">
        <f ca="1">IFERROR(__xludf.DUMMYFUNCTION("""COMPUTED_VALUE"""),220034372)</f>
        <v>220034372</v>
      </c>
      <c r="B4" s="150" t="str">
        <f ca="1">IFERROR(__xludf.DUMMYFUNCTION("""COMPUTED_VALUE"""),"Kekana")</f>
        <v>Kekana</v>
      </c>
      <c r="C4" s="150" t="str">
        <f ca="1">IFERROR(__xludf.DUMMYFUNCTION("""COMPUTED_VALUE"""),"L.P")</f>
        <v>L.P</v>
      </c>
      <c r="D4" s="150" t="s">
        <v>312</v>
      </c>
      <c r="E4" s="150" t="str">
        <f ca="1">IFERROR(__xludf.DUMMYFUNCTION("""COMPUTED_VALUE"""),"0607997164")</f>
        <v>0607997164</v>
      </c>
      <c r="F4" s="150" t="str">
        <f ca="1">IFERROR(__xludf.DUMMYFUNCTION("""COMPUTED_VALUE"""),"plesego334@gmail.com")</f>
        <v>plesego334@gmail.com</v>
      </c>
      <c r="G4" s="150"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I4" s="115" t="s">
        <v>479</v>
      </c>
      <c r="J4" s="115" t="s">
        <v>405</v>
      </c>
      <c r="K4" s="254" t="s">
        <v>401</v>
      </c>
      <c r="L4" s="253" t="s">
        <v>480</v>
      </c>
      <c r="M4" s="240" t="s">
        <v>481</v>
      </c>
      <c r="N4" s="253" t="s">
        <v>478</v>
      </c>
    </row>
    <row r="5" spans="1:14" ht="77.25">
      <c r="A5" s="4">
        <f ca="1">IFERROR(__xludf.DUMMYFUNCTION("""COMPUTED_VALUE"""),218152155)</f>
        <v>218152155</v>
      </c>
      <c r="B5" s="4" t="str">
        <f ca="1">IFERROR(__xludf.DUMMYFUNCTION("""COMPUTED_VALUE"""),"Komape ")</f>
        <v xml:space="preserve">Komape </v>
      </c>
      <c r="C5" s="4" t="str">
        <f ca="1">IFERROR(__xludf.DUMMYFUNCTION("""COMPUTED_VALUE"""),"U")</f>
        <v>U</v>
      </c>
      <c r="D5" s="4" t="s">
        <v>312</v>
      </c>
      <c r="E5" s="4" t="str">
        <f ca="1">IFERROR(__xludf.DUMMYFUNCTION("""COMPUTED_VALUE"""),"0792765450")</f>
        <v>0792765450</v>
      </c>
      <c r="F5" s="4" t="str">
        <f ca="1">IFERROR(__xludf.DUMMYFUNCTION("""COMPUTED_VALUE"""),"218152155@tut4life.ac.za")</f>
        <v>218152155@tut4life.ac.za</v>
      </c>
      <c r="G5"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c r="I5" t="s">
        <v>479</v>
      </c>
      <c r="K5" s="172" t="s">
        <v>401</v>
      </c>
    </row>
    <row r="6" spans="1:14" ht="77.25">
      <c r="A6" s="86">
        <f ca="1">IFERROR(__xludf.DUMMYFUNCTION("""COMPUTED_VALUE"""),218315780)</f>
        <v>218315780</v>
      </c>
      <c r="B6" s="86" t="str">
        <f ca="1">IFERROR(__xludf.DUMMYFUNCTION("""COMPUTED_VALUE"""),"Mashwama ")</f>
        <v xml:space="preserve">Mashwama </v>
      </c>
      <c r="C6" s="86" t="str">
        <f ca="1">IFERROR(__xludf.DUMMYFUNCTION("""COMPUTED_VALUE"""),"BH")</f>
        <v>BH</v>
      </c>
      <c r="D6" s="86" t="s">
        <v>312</v>
      </c>
      <c r="E6" s="86" t="str">
        <f ca="1">IFERROR(__xludf.DUMMYFUNCTION("""COMPUTED_VALUE"""),"714609774")</f>
        <v>714609774</v>
      </c>
      <c r="F6" s="86" t="str">
        <f ca="1">IFERROR(__xludf.DUMMYFUNCTION("""COMPUTED_VALUE"""),"218315780@tut4life.ac.za")</f>
        <v>218315780@tut4life.ac.za</v>
      </c>
      <c r="G6"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c r="I6" t="s">
        <v>422</v>
      </c>
      <c r="J6" t="s">
        <v>405</v>
      </c>
      <c r="K6" s="172" t="s">
        <v>401</v>
      </c>
    </row>
    <row r="7" spans="1:14" ht="77.25">
      <c r="A7" s="85">
        <f ca="1">IFERROR(__xludf.DUMMYFUNCTION("""COMPUTED_VALUE"""),218595782)</f>
        <v>218595782</v>
      </c>
      <c r="B7" s="85" t="str">
        <f ca="1">IFERROR(__xludf.DUMMYFUNCTION("""COMPUTED_VALUE"""),"Masingi ")</f>
        <v xml:space="preserve">Masingi </v>
      </c>
      <c r="C7" s="85" t="str">
        <f ca="1">IFERROR(__xludf.DUMMYFUNCTION("""COMPUTED_VALUE"""),"A")</f>
        <v>A</v>
      </c>
      <c r="D7" s="85" t="s">
        <v>312</v>
      </c>
      <c r="E7" s="85" t="str">
        <f ca="1">IFERROR(__xludf.DUMMYFUNCTION("""COMPUTED_VALUE"""),"0603364048")</f>
        <v>0603364048</v>
      </c>
      <c r="F7" s="85" t="str">
        <f ca="1">IFERROR(__xludf.DUMMYFUNCTION("""COMPUTED_VALUE"""),"auberdinho11@gmail.com")</f>
        <v>auberdinho11@gmail.com</v>
      </c>
      <c r="G7"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c r="I7" t="s">
        <v>479</v>
      </c>
      <c r="K7" s="172" t="s">
        <v>401</v>
      </c>
    </row>
    <row r="8" spans="1:14" ht="77.25">
      <c r="A8" s="86">
        <f ca="1">IFERROR(__xludf.DUMMYFUNCTION("""COMPUTED_VALUE"""),210237828)</f>
        <v>210237828</v>
      </c>
      <c r="B8" s="86" t="str">
        <f ca="1">IFERROR(__xludf.DUMMYFUNCTION("""COMPUTED_VALUE"""),"Mathabatha ")</f>
        <v xml:space="preserve">Mathabatha </v>
      </c>
      <c r="C8" s="86" t="str">
        <f ca="1">IFERROR(__xludf.DUMMYFUNCTION("""COMPUTED_VALUE"""),"MR")</f>
        <v>MR</v>
      </c>
      <c r="D8" s="86" t="s">
        <v>312</v>
      </c>
      <c r="E8" s="86" t="str">
        <f ca="1">IFERROR(__xludf.DUMMYFUNCTION("""COMPUTED_VALUE"""),"0826761645")</f>
        <v>0826761645</v>
      </c>
      <c r="F8" s="86" t="str">
        <f ca="1">IFERROR(__xludf.DUMMYFUNCTION("""COMPUTED_VALUE"""),"rhinemathabatha@gmail.com")</f>
        <v>rhinemathabatha@gmail.com</v>
      </c>
      <c r="G8" s="86"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c r="I8" t="s">
        <v>422</v>
      </c>
      <c r="J8" t="s">
        <v>405</v>
      </c>
      <c r="K8" s="172" t="s">
        <v>401</v>
      </c>
      <c r="L8" s="233" t="s">
        <v>482</v>
      </c>
      <c r="N8" s="233" t="s">
        <v>483</v>
      </c>
    </row>
    <row r="9" spans="1:14" ht="77.25">
      <c r="A9" s="86">
        <f ca="1">IFERROR(__xludf.DUMMYFUNCTION("""COMPUTED_VALUE"""),214645971)</f>
        <v>214645971</v>
      </c>
      <c r="B9" s="86" t="str">
        <f ca="1">IFERROR(__xludf.DUMMYFUNCTION("""COMPUTED_VALUE"""),"Mncube ")</f>
        <v xml:space="preserve">Mncube </v>
      </c>
      <c r="C9" s="86" t="str">
        <f ca="1">IFERROR(__xludf.DUMMYFUNCTION("""COMPUTED_VALUE"""),"Z.A")</f>
        <v>Z.A</v>
      </c>
      <c r="D9" s="86" t="s">
        <v>312</v>
      </c>
      <c r="E9" s="86" t="str">
        <f ca="1">IFERROR(__xludf.DUMMYFUNCTION("""COMPUTED_VALUE"""),"0736580359")</f>
        <v>0736580359</v>
      </c>
      <c r="F9" s="86" t="str">
        <f ca="1">IFERROR(__xludf.DUMMYFUNCTION("""COMPUTED_VALUE"""),"214645971@tut4life.ac.za")</f>
        <v>214645971@tut4life.ac.za</v>
      </c>
      <c r="G9" s="86"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c r="I9" t="s">
        <v>422</v>
      </c>
      <c r="J9" t="s">
        <v>405</v>
      </c>
      <c r="K9" s="172" t="s">
        <v>401</v>
      </c>
      <c r="L9" s="233" t="s">
        <v>484</v>
      </c>
      <c r="N9" s="233" t="s">
        <v>483</v>
      </c>
    </row>
    <row r="10" spans="1:14" ht="90">
      <c r="A10" s="89">
        <f ca="1">IFERROR(__xludf.DUMMYFUNCTION("""COMPUTED_VALUE"""),218221912)</f>
        <v>218221912</v>
      </c>
      <c r="B10" s="89" t="str">
        <f ca="1">IFERROR(__xludf.DUMMYFUNCTION("""COMPUTED_VALUE"""),"Mokobane")</f>
        <v>Mokobane</v>
      </c>
      <c r="C10" s="89" t="str">
        <f ca="1">IFERROR(__xludf.DUMMYFUNCTION("""COMPUTED_VALUE"""),"MR")</f>
        <v>MR</v>
      </c>
      <c r="D10" s="89" t="s">
        <v>312</v>
      </c>
      <c r="E10" s="89" t="str">
        <f ca="1">IFERROR(__xludf.DUMMYFUNCTION("""COMPUTED_VALUE"""),"0794269973")</f>
        <v>0794269973</v>
      </c>
      <c r="F10" s="89" t="str">
        <f ca="1">IFERROR(__xludf.DUMMYFUNCTION("""COMPUTED_VALUE"""),"mokobanemoraka@gmail.com")</f>
        <v>mokobanemoraka@gmail.com</v>
      </c>
      <c r="G10" s="89"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I10" t="s">
        <v>479</v>
      </c>
      <c r="K10" s="172" t="s">
        <v>401</v>
      </c>
    </row>
    <row r="11" spans="1:14" ht="90">
      <c r="A11" s="86">
        <f ca="1">IFERROR(__xludf.DUMMYFUNCTION("""COMPUTED_VALUE"""),219624603)</f>
        <v>219624603</v>
      </c>
      <c r="B11" s="86" t="str">
        <f ca="1">IFERROR(__xludf.DUMMYFUNCTION("""COMPUTED_VALUE"""),"Mutavhatsindi")</f>
        <v>Mutavhatsindi</v>
      </c>
      <c r="C11" s="86" t="str">
        <f ca="1">IFERROR(__xludf.DUMMYFUNCTION("""COMPUTED_VALUE"""),"V")</f>
        <v>V</v>
      </c>
      <c r="D11" s="86"/>
      <c r="E11" s="86" t="str">
        <f ca="1">IFERROR(__xludf.DUMMYFUNCTION("""COMPUTED_VALUE"""),"0712121214")</f>
        <v>0712121214</v>
      </c>
      <c r="F11" s="86" t="str">
        <f ca="1">IFERROR(__xludf.DUMMYFUNCTION("""COMPUTED_VALUE"""),"219624603@tut4life.ac.za")</f>
        <v>219624603@tut4life.ac.za</v>
      </c>
      <c r="G11"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11" s="87"/>
      <c r="I11" s="87" t="s">
        <v>422</v>
      </c>
      <c r="J11" s="87" t="s">
        <v>405</v>
      </c>
      <c r="K11" s="236" t="s">
        <v>401</v>
      </c>
      <c r="L11" s="235" t="s">
        <v>485</v>
      </c>
      <c r="M11" s="87"/>
      <c r="N11" s="232" t="s">
        <v>486</v>
      </c>
    </row>
    <row r="12" spans="1:14" ht="90">
      <c r="A12" s="86">
        <f ca="1">IFERROR(__xludf.DUMMYFUNCTION("""COMPUTED_VALUE"""),219390920)</f>
        <v>219390920</v>
      </c>
      <c r="B12" s="86" t="str">
        <f ca="1">IFERROR(__xludf.DUMMYFUNCTION("""COMPUTED_VALUE"""),"Rasemana")</f>
        <v>Rasemana</v>
      </c>
      <c r="C12" s="86" t="str">
        <f ca="1">IFERROR(__xludf.DUMMYFUNCTION("""COMPUTED_VALUE"""),"np")</f>
        <v>np</v>
      </c>
      <c r="D12" s="86"/>
      <c r="E12" s="86" t="str">
        <f ca="1">IFERROR(__xludf.DUMMYFUNCTION("""COMPUTED_VALUE"""),"0715849487")</f>
        <v>0715849487</v>
      </c>
      <c r="F12" s="86" t="str">
        <f ca="1">IFERROR(__xludf.DUMMYFUNCTION("""COMPUTED_VALUE"""),"penelopenkateko72@gmail.com")</f>
        <v>penelopenkateko72@gmail.com</v>
      </c>
      <c r="G12" s="86"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c r="I12" t="s">
        <v>422</v>
      </c>
      <c r="J12" t="s">
        <v>405</v>
      </c>
      <c r="K12" s="172" t="s">
        <v>401</v>
      </c>
      <c r="L12" s="235" t="s">
        <v>487</v>
      </c>
      <c r="N12" s="232" t="s">
        <v>486</v>
      </c>
    </row>
    <row r="13" spans="1:14" ht="77.25">
      <c r="A13" s="86">
        <f ca="1">IFERROR(__xludf.DUMMYFUNCTION("""COMPUTED_VALUE"""),213157744)</f>
        <v>213157744</v>
      </c>
      <c r="B13" s="86" t="str">
        <f ca="1">IFERROR(__xludf.DUMMYFUNCTION("""COMPUTED_VALUE"""),"Sambo")</f>
        <v>Sambo</v>
      </c>
      <c r="C13" s="86" t="str">
        <f ca="1">IFERROR(__xludf.DUMMYFUNCTION("""COMPUTED_VALUE"""),"NC")</f>
        <v>NC</v>
      </c>
      <c r="D13" s="86"/>
      <c r="E13" s="86" t="str">
        <f ca="1">IFERROR(__xludf.DUMMYFUNCTION("""COMPUTED_VALUE"""),"0790215129")</f>
        <v>0790215129</v>
      </c>
      <c r="F13" s="86" t="str">
        <f ca="1">IFERROR(__xludf.DUMMYFUNCTION("""COMPUTED_VALUE"""),"nonhlesambo501@gmail.com")</f>
        <v>nonhlesambo501@gmail.com</v>
      </c>
      <c r="G13"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c r="I13" t="s">
        <v>422</v>
      </c>
      <c r="K13" s="172" t="s">
        <v>401</v>
      </c>
    </row>
    <row r="14" spans="1:14" ht="26.25">
      <c r="A14" s="4">
        <f ca="1">IFERROR(__xludf.DUMMYFUNCTION("""COMPUTED_VALUE"""),213198831)</f>
        <v>213198831</v>
      </c>
      <c r="B14" s="4" t="str">
        <f ca="1">IFERROR(__xludf.DUMMYFUNCTION("""COMPUTED_VALUE"""),"Nkabinde")</f>
        <v>Nkabinde</v>
      </c>
      <c r="C14" s="4" t="str">
        <f ca="1">IFERROR(__xludf.DUMMYFUNCTION("""COMPUTED_VALUE"""),"SW")</f>
        <v>SW</v>
      </c>
      <c r="D14" s="4"/>
      <c r="E14" s="4" t="str">
        <f ca="1">IFERROR(__xludf.DUMMYFUNCTION("""COMPUTED_VALUE"""),"0623241984")</f>
        <v>0623241984</v>
      </c>
      <c r="F14" s="4" t="str">
        <f ca="1">IFERROR(__xludf.DUMMYFUNCTION("""COMPUTED_VALUE"""),"213198831@tut4life.ac.za")</f>
        <v>213198831@tut4life.ac.za</v>
      </c>
      <c r="G14" s="4" t="str">
        <f ca="1">IFERROR(__xludf.DUMMYFUNCTION("""COMPUTED_VALUE"""),"Student must pass DSO17BT in 2022 S1.")</f>
        <v>Student must pass DSO17BT in 2022 S1.</v>
      </c>
      <c r="I14" t="s">
        <v>479</v>
      </c>
      <c r="K14" s="172" t="s">
        <v>401</v>
      </c>
    </row>
    <row r="15" spans="1:14">
      <c r="A15" s="4">
        <f ca="1">IFERROR(__xludf.DUMMYFUNCTION("""COMPUTED_VALUE"""),215254240)</f>
        <v>215254240</v>
      </c>
      <c r="B15" s="4" t="str">
        <f ca="1">IFERROR(__xludf.DUMMYFUNCTION("""COMPUTED_VALUE"""),"Moagi")</f>
        <v>Moagi</v>
      </c>
      <c r="C15" s="4" t="str">
        <f ca="1">IFERROR(__xludf.DUMMYFUNCTION("""COMPUTED_VALUE"""),"MP ")</f>
        <v xml:space="preserve">MP </v>
      </c>
      <c r="D15" s="4"/>
      <c r="E15" s="4" t="str">
        <f ca="1">IFERROR(__xludf.DUMMYFUNCTION("""COMPUTED_VALUE"""),"+27726111583")</f>
        <v>+27726111583</v>
      </c>
      <c r="F15" s="4" t="str">
        <f ca="1">IFERROR(__xludf.DUMMYFUNCTION("""COMPUTED_VALUE"""),"portiamoagi96@gmail.com")</f>
        <v>portiamoagi96@gmail.com</v>
      </c>
      <c r="G15" s="4" t="str">
        <f ca="1">IFERROR(__xludf.DUMMYFUNCTION("""COMPUTED_VALUE"""),"Student must pass DSO17BT.")</f>
        <v>Student must pass DSO17BT.</v>
      </c>
      <c r="I15" t="s">
        <v>479</v>
      </c>
      <c r="K15" s="172" t="s">
        <v>401</v>
      </c>
    </row>
    <row r="16" spans="1:14" ht="39">
      <c r="A16" s="86">
        <f ca="1">IFERROR(__xludf.DUMMYFUNCTION("""COMPUTED_VALUE"""),216211065)</f>
        <v>216211065</v>
      </c>
      <c r="B16" s="86" t="str">
        <f ca="1">IFERROR(__xludf.DUMMYFUNCTION("""COMPUTED_VALUE"""),"Mahlangu ")</f>
        <v xml:space="preserve">Mahlangu </v>
      </c>
      <c r="C16" s="86" t="str">
        <f ca="1">IFERROR(__xludf.DUMMYFUNCTION("""COMPUTED_VALUE"""),"IB ")</f>
        <v xml:space="preserve">IB </v>
      </c>
      <c r="D16" s="86"/>
      <c r="E16" s="86" t="str">
        <f ca="1">IFERROR(__xludf.DUMMYFUNCTION("""COMPUTED_VALUE"""),"712780735")</f>
        <v>712780735</v>
      </c>
      <c r="F16" s="86" t="str">
        <f ca="1">IFERROR(__xludf.DUMMYFUNCTION("""COMPUTED_VALUE"""),"216211065@tut4life.ac.za")</f>
        <v>216211065@tut4life.ac.za</v>
      </c>
      <c r="G16" s="86" t="str">
        <f ca="1">IFERROR(__xludf.DUMMYFUNCTION("""COMPUTED_VALUE"""),"Student need to pass DSO17BT, attend 85% full time, and attend all interventions.")</f>
        <v>Student need to pass DSO17BT, attend 85% full time, and attend all interventions.</v>
      </c>
      <c r="I16" t="s">
        <v>422</v>
      </c>
      <c r="K16" s="172" t="s">
        <v>401</v>
      </c>
    </row>
    <row r="17" spans="1:14" ht="26.25">
      <c r="A17" s="4">
        <f ca="1">IFERROR(__xludf.DUMMYFUNCTION("""COMPUTED_VALUE"""),217521599)</f>
        <v>217521599</v>
      </c>
      <c r="B17" s="4" t="str">
        <f ca="1">IFERROR(__xludf.DUMMYFUNCTION("""COMPUTED_VALUE"""),"Fakude")</f>
        <v>Fakude</v>
      </c>
      <c r="C17" s="4" t="str">
        <f ca="1">IFERROR(__xludf.DUMMYFUNCTION("""COMPUTED_VALUE"""),"M.P")</f>
        <v>M.P</v>
      </c>
      <c r="D17" s="4"/>
      <c r="E17" s="4" t="str">
        <f ca="1">IFERROR(__xludf.DUMMYFUNCTION("""COMPUTED_VALUE"""),"0608997530")</f>
        <v>0608997530</v>
      </c>
      <c r="F17" s="4" t="str">
        <f ca="1">IFERROR(__xludf.DUMMYFUNCTION("""COMPUTED_VALUE"""),"mahlatsepeterfakude@gmail.com")</f>
        <v>mahlatsepeterfakude@gmail.com</v>
      </c>
      <c r="G17" s="4" t="str">
        <f ca="1">IFERROR(__xludf.DUMMYFUNCTION("""COMPUTED_VALUE"""),"Student must pass DSO17BT in 2022 s1.")</f>
        <v>Student must pass DSO17BT in 2022 s1.</v>
      </c>
      <c r="I17" t="s">
        <v>479</v>
      </c>
      <c r="K17" s="172" t="s">
        <v>401</v>
      </c>
    </row>
    <row r="18" spans="1:14" ht="105">
      <c r="A18" s="86">
        <f ca="1">IFERROR(__xludf.DUMMYFUNCTION("""COMPUTED_VALUE"""),219896271)</f>
        <v>219896271</v>
      </c>
      <c r="B18" s="86" t="str">
        <f ca="1">IFERROR(__xludf.DUMMYFUNCTION("""COMPUTED_VALUE"""),"Maseko")</f>
        <v>Maseko</v>
      </c>
      <c r="C18" s="86" t="str">
        <f ca="1">IFERROR(__xludf.DUMMYFUNCTION("""COMPUTED_VALUE"""),"SL")</f>
        <v>SL</v>
      </c>
      <c r="D18" s="86"/>
      <c r="E18" s="86" t="str">
        <f ca="1">IFERROR(__xludf.DUMMYFUNCTION("""COMPUTED_VALUE"""),"0672305247")</f>
        <v>0672305247</v>
      </c>
      <c r="F18" s="86" t="str">
        <f ca="1">IFERROR(__xludf.DUMMYFUNCTION("""COMPUTED_VALUE"""),"219896271@tut4ife.ac.za")</f>
        <v>219896271@tut4ife.ac.za</v>
      </c>
      <c r="G18" s="86" t="str">
        <f ca="1">IFERROR(__xludf.DUMMYFUNCTION("""COMPUTED_VALUE"""),"Student must pass DSO17BT during S1 2022 and report for academic intervention.")</f>
        <v>Student must pass DSO17BT during S1 2022 and report for academic intervention.</v>
      </c>
      <c r="H18" s="87"/>
      <c r="I18" s="87" t="s">
        <v>422</v>
      </c>
      <c r="J18" s="87" t="s">
        <v>405</v>
      </c>
      <c r="K18" s="87" t="s">
        <v>401</v>
      </c>
      <c r="L18" s="235" t="s">
        <v>488</v>
      </c>
      <c r="M18" s="87" t="s">
        <v>321</v>
      </c>
      <c r="N18" s="232" t="s">
        <v>489</v>
      </c>
    </row>
    <row r="19" spans="1:14" ht="109.5" customHeight="1">
      <c r="A19" s="86">
        <f ca="1">IFERROR(__xludf.DUMMYFUNCTION("""COMPUTED_VALUE"""),218241034)</f>
        <v>218241034</v>
      </c>
      <c r="B19" s="86" t="str">
        <f ca="1">IFERROR(__xludf.DUMMYFUNCTION("""COMPUTED_VALUE"""),"Mahlangu ")</f>
        <v xml:space="preserve">Mahlangu </v>
      </c>
      <c r="C19" s="86" t="str">
        <f ca="1">IFERROR(__xludf.DUMMYFUNCTION("""COMPUTED_VALUE"""),"BA")</f>
        <v>BA</v>
      </c>
      <c r="D19" s="86"/>
      <c r="E19" s="86" t="str">
        <f ca="1">IFERROR(__xludf.DUMMYFUNCTION("""COMPUTED_VALUE"""),"0789566433")</f>
        <v>0789566433</v>
      </c>
      <c r="F19" s="86" t="str">
        <f ca="1">IFERROR(__xludf.DUMMYFUNCTION("""COMPUTED_VALUE"""),"218241034@tut4life.ac.za")</f>
        <v>218241034@tut4life.ac.za</v>
      </c>
      <c r="G19" s="86" t="str">
        <f ca="1">IFERROR(__xludf.DUMMYFUNCTION("""COMPUTED_VALUE"""),"Student must pass DSO17BT during S1 2022 and report for academic intervention.")</f>
        <v>Student must pass DSO17BT during S1 2022 and report for academic intervention.</v>
      </c>
      <c r="I19" t="s">
        <v>422</v>
      </c>
      <c r="J19" t="s">
        <v>405</v>
      </c>
      <c r="K19" t="s">
        <v>453</v>
      </c>
      <c r="L19" s="233" t="s">
        <v>490</v>
      </c>
      <c r="M19" t="s">
        <v>351</v>
      </c>
      <c r="N19" s="233" t="s">
        <v>491</v>
      </c>
    </row>
    <row r="20" spans="1:14" ht="90">
      <c r="A20" s="86">
        <f ca="1">IFERROR(__xludf.DUMMYFUNCTION("""COMPUTED_VALUE"""),218473652)</f>
        <v>218473652</v>
      </c>
      <c r="B20" s="86" t="str">
        <f ca="1">IFERROR(__xludf.DUMMYFUNCTION("""COMPUTED_VALUE"""),"Ngema")</f>
        <v>Ngema</v>
      </c>
      <c r="C20" s="86" t="str">
        <f ca="1">IFERROR(__xludf.DUMMYFUNCTION("""COMPUTED_VALUE"""),"Z.P")</f>
        <v>Z.P</v>
      </c>
      <c r="D20" s="86"/>
      <c r="E20" s="86" t="str">
        <f ca="1">IFERROR(__xludf.DUMMYFUNCTION("""COMPUTED_VALUE"""),"0767937852")</f>
        <v>0767937852</v>
      </c>
      <c r="F20" s="86" t="str">
        <f ca="1">IFERROR(__xludf.DUMMYFUNCTION("""COMPUTED_VALUE"""),"zanelemuji437@gmail.com")</f>
        <v>zanelemuji437@gmail.com</v>
      </c>
      <c r="G20" s="86" t="str">
        <f ca="1">IFERROR(__xludf.DUMMYFUNCTION("""COMPUTED_VALUE"""),"STUDENT MUST DSO17BT DURING S1 2022, REPORT FOR ACADEMIC INTERVENTION AND 85% CLASS ATTENDANCE IS COMPULSORY")</f>
        <v>STUDENT MUST DSO17BT DURING S1 2022, REPORT FOR ACADEMIC INTERVENTION AND 85% CLASS ATTENDANCE IS COMPULSORY</v>
      </c>
      <c r="I20" t="s">
        <v>422</v>
      </c>
      <c r="J20" t="s">
        <v>405</v>
      </c>
      <c r="K20" t="s">
        <v>453</v>
      </c>
      <c r="L20" s="242" t="s">
        <v>484</v>
      </c>
      <c r="N20" s="233" t="s">
        <v>492</v>
      </c>
    </row>
    <row r="21" spans="1:14" ht="90">
      <c r="A21" s="4">
        <f ca="1">IFERROR(__xludf.DUMMYFUNCTION("""COMPUTED_VALUE"""),218672094)</f>
        <v>218672094</v>
      </c>
      <c r="B21" s="4" t="str">
        <f ca="1">IFERROR(__xludf.DUMMYFUNCTION("""COMPUTED_VALUE"""),"Sibisi")</f>
        <v>Sibisi</v>
      </c>
      <c r="C21" s="4" t="str">
        <f ca="1">IFERROR(__xludf.DUMMYFUNCTION("""COMPUTED_VALUE"""),"Q")</f>
        <v>Q</v>
      </c>
      <c r="D21" s="4"/>
      <c r="E21" s="4" t="str">
        <f ca="1">IFERROR(__xludf.DUMMYFUNCTION("""COMPUTED_VALUE"""),"0818206858")</f>
        <v>0818206858</v>
      </c>
      <c r="F21" s="4" t="str">
        <f ca="1">IFERROR(__xludf.DUMMYFUNCTION("""COMPUTED_VALUE"""),"qinisani97@gmail.com")</f>
        <v>qinisani97@gmail.com</v>
      </c>
      <c r="G21"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I21" t="s">
        <v>479</v>
      </c>
      <c r="K21" s="172" t="s">
        <v>401</v>
      </c>
    </row>
    <row r="22" spans="1:14" ht="39">
      <c r="A22" s="86">
        <f ca="1">IFERROR(__xludf.DUMMYFUNCTION("""COMPUTED_VALUE"""),219313683)</f>
        <v>219313683</v>
      </c>
      <c r="B22" s="86" t="str">
        <f ca="1">IFERROR(__xludf.DUMMYFUNCTION("""COMPUTED_VALUE"""),"Sithole")</f>
        <v>Sithole</v>
      </c>
      <c r="C22" s="86" t="str">
        <f ca="1">IFERROR(__xludf.DUMMYFUNCTION("""COMPUTED_VALUE"""),"FN")</f>
        <v>FN</v>
      </c>
      <c r="D22" s="86"/>
      <c r="E22" s="86" t="str">
        <f ca="1">IFERROR(__xludf.DUMMYFUNCTION("""COMPUTED_VALUE"""),"0642875744")</f>
        <v>0642875744</v>
      </c>
      <c r="F22" s="86" t="str">
        <f ca="1">IFERROR(__xludf.DUMMYFUNCTION("""COMPUTED_VALUE"""),"fanelelafox2.0@gmail.com")</f>
        <v>fanelelafox2.0@gmail.com</v>
      </c>
      <c r="G22" s="86" t="str">
        <f ca="1">IFERROR(__xludf.DUMMYFUNCTION("""COMPUTED_VALUE"""),"Student must pass DSO17BT during S1 2022 and report for acadamic intervention.")</f>
        <v>Student must pass DSO17BT during S1 2022 and report for acadamic intervention.</v>
      </c>
      <c r="H22" s="87"/>
      <c r="I22" t="s">
        <v>422</v>
      </c>
      <c r="J22" t="s">
        <v>405</v>
      </c>
      <c r="K22" s="172" t="s">
        <v>401</v>
      </c>
    </row>
    <row r="23" spans="1:14" ht="64.5">
      <c r="A23" s="4">
        <f ca="1">IFERROR(__xludf.DUMMYFUNCTION("""COMPUTED_VALUE"""),219659407)</f>
        <v>219659407</v>
      </c>
      <c r="B23" s="4" t="str">
        <f ca="1">IFERROR(__xludf.DUMMYFUNCTION("""COMPUTED_VALUE"""),"Mampane")</f>
        <v>Mampane</v>
      </c>
      <c r="C23" s="4" t="str">
        <f ca="1">IFERROR(__xludf.DUMMYFUNCTION("""COMPUTED_VALUE"""),"OR")</f>
        <v>OR</v>
      </c>
      <c r="D23" s="4"/>
      <c r="E23" s="4" t="str">
        <f ca="1">IFERROR(__xludf.DUMMYFUNCTION("""COMPUTED_VALUE"""),"061 433 2472 ")</f>
        <v xml:space="preserve">061 433 2472 </v>
      </c>
      <c r="F23" s="4" t="str">
        <f ca="1">IFERROR(__xludf.DUMMYFUNCTION("""COMPUTED_VALUE"""),"219659407@tut4life.ac.za")</f>
        <v>219659407@tut4life.ac.za</v>
      </c>
      <c r="G23" s="4" t="str">
        <f ca="1">IFERROR(__xludf.DUMMYFUNCTION("""COMPUTED_VALUE"""),"STUDENT NEED TO PASS DSO17BT DURING S1 2022 AND REPORT FOR ACADEMIC INTERVENTION AND ATTEND 85% OF CONTACT CLASSES.")</f>
        <v>STUDENT NEED TO PASS DSO17BT DURING S1 2022 AND REPORT FOR ACADEMIC INTERVENTION AND ATTEND 85% OF CONTACT CLASSES.</v>
      </c>
      <c r="I23" t="s">
        <v>479</v>
      </c>
      <c r="K23" s="172" t="s">
        <v>401</v>
      </c>
    </row>
    <row r="24" spans="1:14" ht="39">
      <c r="A24" s="86">
        <f ca="1">IFERROR(__xludf.DUMMYFUNCTION("""COMPUTED_VALUE"""),219900368)</f>
        <v>219900368</v>
      </c>
      <c r="B24" s="86" t="str">
        <f ca="1">IFERROR(__xludf.DUMMYFUNCTION("""COMPUTED_VALUE"""),"Mthembu")</f>
        <v>Mthembu</v>
      </c>
      <c r="C24" s="86" t="str">
        <f ca="1">IFERROR(__xludf.DUMMYFUNCTION("""COMPUTED_VALUE"""),"Z")</f>
        <v>Z</v>
      </c>
      <c r="D24" s="86"/>
      <c r="E24" s="86" t="str">
        <f ca="1">IFERROR(__xludf.DUMMYFUNCTION("""COMPUTED_VALUE"""),"0684849139")</f>
        <v>0684849139</v>
      </c>
      <c r="F24" s="86" t="str">
        <f ca="1">IFERROR(__xludf.DUMMYFUNCTION("""COMPUTED_VALUE"""),"219900368@tut4life.ac.za")</f>
        <v>219900368@tut4life.ac.za</v>
      </c>
      <c r="G24" s="86" t="str">
        <f ca="1">IFERROR(__xludf.DUMMYFUNCTION("""COMPUTED_VALUE"""),"Student must pass DSO17BT and ISY23AT during S1 2022 and report for academic intervention.")</f>
        <v>Student must pass DSO17BT and ISY23AT during S1 2022 and report for academic intervention.</v>
      </c>
      <c r="I24" t="s">
        <v>422</v>
      </c>
      <c r="J24" t="s">
        <v>405</v>
      </c>
      <c r="K24" s="172" t="s">
        <v>401</v>
      </c>
    </row>
    <row r="25" spans="1:14" ht="90">
      <c r="A25" s="4">
        <f ca="1">IFERROR(__xludf.DUMMYFUNCTION("""COMPUTED_VALUE"""),219971222)</f>
        <v>219971222</v>
      </c>
      <c r="B25" s="4" t="str">
        <f ca="1">IFERROR(__xludf.DUMMYFUNCTION("""COMPUTED_VALUE"""),"Qakamba ")</f>
        <v xml:space="preserve">Qakamba </v>
      </c>
      <c r="C25" s="4" t="str">
        <f ca="1">IFERROR(__xludf.DUMMYFUNCTION("""COMPUTED_VALUE"""),"S")</f>
        <v>S</v>
      </c>
      <c r="D25" s="4"/>
      <c r="E25" s="4" t="str">
        <f ca="1">IFERROR(__xludf.DUMMYFUNCTION("""COMPUTED_VALUE"""),"0736559893")</f>
        <v>0736559893</v>
      </c>
      <c r="F25" s="4" t="str">
        <f ca="1">IFERROR(__xludf.DUMMYFUNCTION("""COMPUTED_VALUE"""),"219971222@tut4life.ac.za")</f>
        <v>219971222@tut4life.ac.za</v>
      </c>
      <c r="G25" s="4" t="str">
        <f ca="1">IFERROR(__xludf.DUMMYFUNCTION("""COMPUTED_VALUE"""),"STUDENT SHOULD PASS DSO17BT DURING S1 2022 AND REPORT FOR ACADEMIC INTERVENTION, AND ATTEND 85% CONTACT CLASSES.")</f>
        <v>STUDENT SHOULD PASS DSO17BT DURING S1 2022 AND REPORT FOR ACADEMIC INTERVENTION, AND ATTEND 85% CONTACT CLASSES.</v>
      </c>
      <c r="I25" t="s">
        <v>479</v>
      </c>
      <c r="J25" t="s">
        <v>405</v>
      </c>
      <c r="K25" s="172" t="s">
        <v>401</v>
      </c>
      <c r="L25" s="233" t="s">
        <v>484</v>
      </c>
      <c r="N25" s="233" t="s">
        <v>492</v>
      </c>
    </row>
    <row r="26" spans="1:14" ht="64.5">
      <c r="A26" s="86">
        <f ca="1">IFERROR(__xludf.DUMMYFUNCTION("""COMPUTED_VALUE"""),219992084)</f>
        <v>219992084</v>
      </c>
      <c r="B26" s="86" t="str">
        <f ca="1">IFERROR(__xludf.DUMMYFUNCTION("""COMPUTED_VALUE"""),"MSIBI")</f>
        <v>MSIBI</v>
      </c>
      <c r="C26" s="86" t="str">
        <f ca="1">IFERROR(__xludf.DUMMYFUNCTION("""COMPUTED_VALUE"""),"LM")</f>
        <v>LM</v>
      </c>
      <c r="D26" s="86"/>
      <c r="E26" s="86" t="str">
        <f ca="1">IFERROR(__xludf.DUMMYFUNCTION("""COMPUTED_VALUE"""),"0639164923")</f>
        <v>0639164923</v>
      </c>
      <c r="F26" s="86" t="str">
        <f ca="1">IFERROR(__xludf.DUMMYFUNCTION("""COMPUTED_VALUE"""),"makhanjanalindo@gmail.com")</f>
        <v>makhanjanalindo@gmail.com</v>
      </c>
      <c r="G26" s="86" t="str">
        <f ca="1">IFERROR(__xludf.DUMMYFUNCTION("""COMPUTED_VALUE"""),"STUDENT SHOULD PASS DSO17BT DURING S1 2022 AND REPORT FOR ACADEMIC INTERVENTION, AND ATTEND 85% CONTACT CLASSES.")</f>
        <v>STUDENT SHOULD PASS DSO17BT DURING S1 2022 AND REPORT FOR ACADEMIC INTERVENTION, AND ATTEND 85% CONTACT CLASSES.</v>
      </c>
      <c r="I26" t="s">
        <v>422</v>
      </c>
      <c r="J26" t="s">
        <v>405</v>
      </c>
      <c r="K26" s="172" t="s">
        <v>401</v>
      </c>
      <c r="L26" s="233" t="s">
        <v>493</v>
      </c>
      <c r="N26" s="233" t="s">
        <v>494</v>
      </c>
    </row>
    <row r="27" spans="1:14" ht="63" customHeight="1">
      <c r="A27" s="100">
        <v>219939108</v>
      </c>
      <c r="B27" s="101" t="s">
        <v>10</v>
      </c>
      <c r="C27" s="101" t="s">
        <v>10</v>
      </c>
      <c r="D27" s="102"/>
      <c r="E27" s="103" t="s">
        <v>10</v>
      </c>
      <c r="F27" s="105" t="s">
        <v>495</v>
      </c>
      <c r="G27" s="104" t="s">
        <v>496</v>
      </c>
      <c r="I27" t="s">
        <v>479</v>
      </c>
      <c r="K27" t="s">
        <v>497</v>
      </c>
    </row>
    <row r="28" spans="1:14" ht="77.25">
      <c r="A28" s="122">
        <v>217580641</v>
      </c>
      <c r="B28" s="123" t="s">
        <v>279</v>
      </c>
      <c r="C28" s="123" t="s">
        <v>498</v>
      </c>
      <c r="D28" s="110"/>
      <c r="E28" s="122">
        <v>729365928</v>
      </c>
      <c r="F28" s="124" t="s">
        <v>499</v>
      </c>
      <c r="G28" s="128" t="s">
        <v>500</v>
      </c>
      <c r="I28" t="s">
        <v>422</v>
      </c>
      <c r="K28" s="172" t="s">
        <v>401</v>
      </c>
    </row>
    <row r="29" spans="1:14" ht="51.75">
      <c r="A29" s="18">
        <v>217610753</v>
      </c>
      <c r="B29" s="31" t="s">
        <v>501</v>
      </c>
      <c r="C29" s="31" t="s">
        <v>53</v>
      </c>
      <c r="D29" s="22"/>
      <c r="E29" s="18">
        <v>713291752</v>
      </c>
      <c r="F29" s="24" t="s">
        <v>502</v>
      </c>
      <c r="G29" s="25" t="s">
        <v>503</v>
      </c>
      <c r="I29" t="s">
        <v>479</v>
      </c>
      <c r="K29" s="172" t="s">
        <v>401</v>
      </c>
    </row>
    <row r="30" spans="1:14" ht="85.5" customHeight="1">
      <c r="A30" s="122">
        <v>219655045</v>
      </c>
      <c r="B30" s="123" t="s">
        <v>504</v>
      </c>
      <c r="C30" s="123" t="s">
        <v>505</v>
      </c>
      <c r="D30" s="110"/>
      <c r="E30" s="122" t="s">
        <v>506</v>
      </c>
      <c r="F30" s="124" t="s">
        <v>507</v>
      </c>
      <c r="G30" s="125" t="s">
        <v>508</v>
      </c>
      <c r="I30" t="s">
        <v>422</v>
      </c>
      <c r="J30" t="s">
        <v>405</v>
      </c>
      <c r="K30" s="172" t="s">
        <v>401</v>
      </c>
      <c r="L30" s="242" t="s">
        <v>484</v>
      </c>
      <c r="N30" s="233" t="s">
        <v>492</v>
      </c>
    </row>
    <row r="31" spans="1:14" ht="64.5">
      <c r="A31" s="43">
        <v>219017405</v>
      </c>
      <c r="B31" s="44" t="s">
        <v>509</v>
      </c>
      <c r="C31" s="213" t="s">
        <v>510</v>
      </c>
      <c r="D31" s="26"/>
      <c r="E31" s="48">
        <v>664534805</v>
      </c>
      <c r="F31" s="46" t="s">
        <v>511</v>
      </c>
      <c r="G31" s="49" t="s">
        <v>512</v>
      </c>
      <c r="I31" t="s">
        <v>479</v>
      </c>
      <c r="K31" s="172" t="s">
        <v>401</v>
      </c>
    </row>
    <row r="32" spans="1:14">
      <c r="A32" s="204">
        <v>219803885</v>
      </c>
      <c r="B32" s="205" t="s">
        <v>10</v>
      </c>
      <c r="C32" s="211" t="s">
        <v>10</v>
      </c>
      <c r="D32" s="214"/>
      <c r="E32" s="205" t="s">
        <v>10</v>
      </c>
      <c r="F32" s="205" t="s">
        <v>10</v>
      </c>
      <c r="G32" s="208" t="s">
        <v>513</v>
      </c>
      <c r="H32" s="184"/>
      <c r="I32" s="183"/>
      <c r="K32" t="s">
        <v>453</v>
      </c>
    </row>
    <row r="33" spans="1:11">
      <c r="A33" s="206">
        <v>219099053</v>
      </c>
      <c r="B33" s="207" t="s">
        <v>10</v>
      </c>
      <c r="C33" s="212" t="s">
        <v>10</v>
      </c>
      <c r="D33" s="210"/>
      <c r="E33" s="207" t="s">
        <v>10</v>
      </c>
      <c r="F33" s="207" t="s">
        <v>10</v>
      </c>
      <c r="G33" s="209" t="s">
        <v>514</v>
      </c>
      <c r="H33" s="199"/>
      <c r="I33" s="178"/>
      <c r="K33" t="s">
        <v>453</v>
      </c>
    </row>
  </sheetData>
  <hyperlinks>
    <hyperlink ref="F27" r:id="rId1"/>
    <hyperlink ref="F28" r:id="rId2"/>
    <hyperlink ref="F29" r:id="rId3"/>
    <hyperlink ref="F30" r:id="rId4"/>
    <hyperlink ref="F31" r:id="rId5"/>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cols>
    <col min="1" max="1" width="14.5703125" customWidth="1"/>
    <col min="2" max="2" width="13.5703125" customWidth="1"/>
    <col min="4" max="4" width="19.7109375" customWidth="1"/>
    <col min="5" max="5" width="15.85546875" customWidth="1"/>
    <col min="6" max="6" width="16.28515625" customWidth="1"/>
    <col min="7" max="7" width="21.42578125" customWidth="1"/>
  </cols>
  <sheetData>
    <row r="1" spans="1:7">
      <c r="A1" s="1" t="s">
        <v>0</v>
      </c>
      <c r="B1" s="1" t="s">
        <v>1</v>
      </c>
      <c r="C1" s="1" t="s">
        <v>2</v>
      </c>
      <c r="D1" s="1" t="s">
        <v>3</v>
      </c>
      <c r="E1" s="1" t="s">
        <v>4</v>
      </c>
      <c r="F1" s="1" t="s">
        <v>5</v>
      </c>
      <c r="G1" s="1" t="s">
        <v>6</v>
      </c>
    </row>
    <row r="2" spans="1:7" ht="109.5" customHeight="1">
      <c r="A2" s="4">
        <f ca="1">IFERROR(__xludf.DUMMYFUNCTION("""COMPUTED_VALUE"""),213414186)</f>
        <v>213414186</v>
      </c>
      <c r="B2" s="4" t="str">
        <f ca="1">IFERROR(__xludf.DUMMYFUNCTION("""COMPUTED_VALUE"""),"Thipe")</f>
        <v>Thipe</v>
      </c>
      <c r="C2" s="4" t="str">
        <f ca="1">IFERROR(__xludf.DUMMYFUNCTION("""COMPUTED_VALUE"""),"TC")</f>
        <v>TC</v>
      </c>
      <c r="D2" s="4"/>
      <c r="E2" s="4" t="str">
        <f ca="1">IFERROR(__xludf.DUMMYFUNCTION("""COMPUTED_VALUE"""),"0839537436")</f>
        <v>0839537436</v>
      </c>
      <c r="F2" s="4" t="str">
        <f ca="1">IFERROR(__xludf.DUMMYFUNCTION("""COMPUTED_VALUE"""),"thipetshegofatso84@gmail.com")</f>
        <v>thipetshegofatso84@gmail.com</v>
      </c>
      <c r="G2" s="4" t="str">
        <f ca="1">IFERROR(__xludf.DUMMYFUNCTION("""COMPUTED_VALUE"""),"STUDENT NEED TO PASS LOD311B, ELC211B, MMA301T AND SFC311T DURING S1 2022.  REPORT FOR ACADEMIC INTERVENTION.")</f>
        <v>STUDENT NEED TO PASS LOD311B, ELC211B, MMA301T AND SFC311T DURING S1 2022.  REPORT FOR ACADEMIC INTERVENTION.</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cols>
    <col min="1" max="1" width="17.85546875" customWidth="1"/>
    <col min="2" max="2" width="16" customWidth="1"/>
    <col min="4" max="4" width="17.85546875" customWidth="1"/>
    <col min="5" max="5" width="16.28515625" customWidth="1"/>
    <col min="6" max="6" width="21.7109375" customWidth="1"/>
    <col min="7" max="7" width="26" customWidth="1"/>
  </cols>
  <sheetData>
    <row r="1" spans="1:7">
      <c r="A1" s="1" t="s">
        <v>0</v>
      </c>
      <c r="B1" s="1" t="s">
        <v>1</v>
      </c>
      <c r="C1" s="1" t="s">
        <v>2</v>
      </c>
      <c r="D1" s="1" t="s">
        <v>3</v>
      </c>
      <c r="E1" s="1" t="s">
        <v>4</v>
      </c>
      <c r="F1" s="1" t="s">
        <v>5</v>
      </c>
      <c r="G1" s="1" t="s">
        <v>6</v>
      </c>
    </row>
    <row r="2" spans="1:7">
      <c r="A2" s="85">
        <f ca="1">IFERROR(__xludf.DUMMYFUNCTION("""COMPUTED_VALUE"""),216256271)</f>
        <v>216256271</v>
      </c>
      <c r="B2" s="85"/>
      <c r="C2" s="85"/>
      <c r="D2" s="85"/>
      <c r="E2" s="85"/>
      <c r="F2" s="85"/>
      <c r="G2" s="85" t="str">
        <f ca="1">IFERROR(__xludf.DUMMYFUNCTION("""COMPUTED_VALUE"""),"STUDENT MUST PASS SSE311T DURING S1 2022 AND REPORT FOR ACADEMIC INTERVENTION.")</f>
        <v>STUDENT MUST PASS SSE311T DURING S1 2022 AND REPORT FOR ACADEMIC INTERVENTION.</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sqref="A1:G1"/>
    </sheetView>
  </sheetViews>
  <sheetFormatPr defaultRowHeight="15"/>
  <cols>
    <col min="1" max="1" width="16" customWidth="1"/>
    <col min="2" max="2" width="17.42578125" customWidth="1"/>
    <col min="3" max="3" width="12.28515625" customWidth="1"/>
    <col min="4" max="4" width="14.5703125" customWidth="1"/>
    <col min="5" max="6" width="20.28515625" customWidth="1"/>
    <col min="7" max="7" width="27.140625" customWidth="1"/>
  </cols>
  <sheetData>
    <row r="1" spans="1:7">
      <c r="A1" s="1" t="s">
        <v>0</v>
      </c>
      <c r="B1" s="1" t="s">
        <v>1</v>
      </c>
      <c r="C1" s="1" t="s">
        <v>2</v>
      </c>
      <c r="D1" s="1" t="s">
        <v>3</v>
      </c>
      <c r="E1" s="1" t="s">
        <v>4</v>
      </c>
      <c r="F1" s="1" t="s">
        <v>5</v>
      </c>
      <c r="G1" s="1" t="s">
        <v>6</v>
      </c>
    </row>
    <row r="2" spans="1:7">
      <c r="A2" s="85">
        <f ca="1">IFERROR(__xludf.DUMMYFUNCTION("""COMPUTED_VALUE"""),216805127)</f>
        <v>216805127</v>
      </c>
      <c r="B2" s="85"/>
      <c r="C2" s="85"/>
      <c r="D2" s="85"/>
      <c r="E2" s="85"/>
      <c r="F2" s="85"/>
      <c r="G2" s="85" t="str">
        <f ca="1">IFERROR(__xludf.DUMMYFUNCTION("""COMPUTED_VALUE"""),"STUDENT NEED TO PASS SFE311T AND DPC301T DURING S1 2022 AND REPORT FOR ACADEMIC INTERVENTION.")</f>
        <v>STUDENT NEED TO PASS SFE311T AND DPC301T DURING S1 2022 AND REPORT FOR ACADEMIC INTERVENTION.</v>
      </c>
    </row>
    <row r="3" spans="1:7">
      <c r="A3" s="85">
        <f ca="1">IFERROR(__xludf.DUMMYFUNCTION("""COMPUTED_VALUE"""),218723950)</f>
        <v>218723950</v>
      </c>
      <c r="B3" s="85"/>
      <c r="C3" s="85"/>
      <c r="D3" s="85"/>
      <c r="E3" s="85"/>
      <c r="F3" s="85"/>
      <c r="G3" s="85" t="str">
        <f ca="1">IFERROR(__xludf.DUMMYFUNCTION("""COMPUTED_VALUE"""),"STUDENT NEED TO PASS SFE311T DURING S1 2022 AND REPORT FOR ACADEMIC INTERVENTION.")</f>
        <v>STUDENT NEED TO PASS SFE311T DURING S1 2022 AND REPORT FOR ACADEMIC INTERVENTION.</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5703125" customWidth="1"/>
    <col min="2" max="2" width="16.28515625" customWidth="1"/>
    <col min="4" max="4" width="16.5703125" customWidth="1"/>
    <col min="5" max="5" width="15.28515625" customWidth="1"/>
    <col min="6" max="6" width="20.42578125" customWidth="1"/>
    <col min="7" max="7" width="25.5703125" customWidth="1"/>
  </cols>
  <sheetData>
    <row r="1" spans="1:7">
      <c r="A1" s="1" t="s">
        <v>0</v>
      </c>
      <c r="B1" s="1" t="s">
        <v>1</v>
      </c>
      <c r="C1" s="1" t="s">
        <v>2</v>
      </c>
      <c r="D1" s="1" t="s">
        <v>3</v>
      </c>
      <c r="E1" s="1" t="s">
        <v>4</v>
      </c>
      <c r="F1" s="1" t="s">
        <v>5</v>
      </c>
      <c r="G1" s="1" t="s">
        <v>6</v>
      </c>
    </row>
    <row r="2" spans="1:7">
      <c r="A2" s="85">
        <f ca="1">IFERROR(__xludf.DUMMYFUNCTION("""COMPUTED_VALUE"""),220023400)</f>
        <v>220023400</v>
      </c>
      <c r="B2" s="85"/>
      <c r="C2" s="85"/>
      <c r="D2" s="85"/>
      <c r="E2" s="85"/>
      <c r="F2" s="85"/>
      <c r="G2" s="85" t="str">
        <f ca="1">IFERROR(__xludf.DUMMYFUNCTION("""COMPUTED_VALUE"""),"STUDENT NEED TO PASS DPC201T, DSY341C DURING S1 2022 AND REPORT FOR ACADEMIC INTERVENTION.  STUDENT NEED TO MAKE AN APPOINTMENT WITH HOD REGARDING OTHER OUTSTANDING SUBJECTS.")</f>
        <v>STUDENT NEED TO PASS DPC201T, DSY341C DURING S1 2022 AND REPORT FOR ACADEMIC INTERVENTION.  STUDENT NEED TO MAKE AN APPOINTMENT WITH HOD REGARDING OTHER OUTSTANDING SUBJECTS.</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85546875" customWidth="1"/>
    <col min="2" max="2" width="16.7109375" customWidth="1"/>
    <col min="4" max="4" width="16.85546875" customWidth="1"/>
    <col min="5" max="5" width="17.5703125" customWidth="1"/>
    <col min="6" max="6" width="18.5703125" customWidth="1"/>
    <col min="7" max="7" width="26.42578125" customWidth="1"/>
    <col min="8" max="8" width="22.28515625" bestFit="1" customWidth="1"/>
    <col min="9" max="9" width="35.140625" bestFit="1" customWidth="1"/>
    <col min="10" max="10" width="18.5703125" bestFit="1" customWidth="1"/>
    <col min="11" max="11" width="18.42578125" customWidth="1"/>
    <col min="12" max="12" width="21.42578125" customWidth="1"/>
    <col min="13" max="13" width="16.42578125" customWidth="1"/>
  </cols>
  <sheetData>
    <row r="1" spans="1:13" ht="32.2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45">
      <c r="A2" s="85">
        <f ca="1">IFERROR(__xludf.DUMMYFUNCTION("""COMPUTED_VALUE"""),219978146)</f>
        <v>219978146</v>
      </c>
      <c r="B2" s="85" t="str">
        <f ca="1">IFERROR(__xludf.DUMMYFUNCTION("""COMPUTED_VALUE"""),"Ngobeni")</f>
        <v>Ngobeni</v>
      </c>
      <c r="C2" s="85" t="str">
        <f ca="1">IFERROR(__xludf.DUMMYFUNCTION("""COMPUTED_VALUE"""),"M.L")</f>
        <v>M.L</v>
      </c>
      <c r="D2" s="85"/>
      <c r="E2" s="85" t="str">
        <f ca="1">IFERROR(__xludf.DUMMYFUNCTION("""COMPUTED_VALUE"""),"0630929150")</f>
        <v>0630929150</v>
      </c>
      <c r="F2" s="85" t="str">
        <f ca="1">IFERROR(__xludf.DUMMYFUNCTION("""COMPUTED_VALUE"""),"ngobenim335@gmail.com")</f>
        <v>ngobenim335@gmail.com</v>
      </c>
      <c r="G2" s="162" t="str">
        <f ca="1">IFERROR(__xludf.DUMMYFUNCTION("""COMPUTED_VALUE"""),"Student must pass PPB115D and WEB115D.")</f>
        <v>Student must pass PPB115D and WEB115D.</v>
      </c>
      <c r="H2" s="174" t="s">
        <v>728</v>
      </c>
      <c r="I2" s="173"/>
      <c r="J2" s="173" t="s">
        <v>453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L1" sqref="L1"/>
    </sheetView>
  </sheetViews>
  <sheetFormatPr defaultRowHeight="15"/>
  <cols>
    <col min="1" max="1" width="16.140625" customWidth="1"/>
    <col min="2" max="2" width="13.140625" customWidth="1"/>
    <col min="3" max="3" width="10" customWidth="1"/>
    <col min="4" max="4" width="14" customWidth="1"/>
    <col min="5" max="5" width="19.28515625" customWidth="1"/>
    <col min="6" max="6" width="22.5703125" customWidth="1"/>
    <col min="7" max="7" width="26.85546875" customWidth="1"/>
    <col min="8" max="8" width="20.7109375" customWidth="1"/>
    <col min="9" max="9" width="28.5703125" customWidth="1"/>
    <col min="10" max="10" width="20.85546875" customWidth="1"/>
    <col min="11" max="11" width="22.28515625" customWidth="1"/>
    <col min="12" max="12" width="19" customWidth="1"/>
    <col min="13" max="13" width="20.7109375" customWidth="1"/>
  </cols>
  <sheetData>
    <row r="1" spans="1:13" ht="35.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5" customHeight="1">
      <c r="A2" s="85">
        <f ca="1">IFERROR(__xludf.DUMMYFUNCTION("""COMPUTED_VALUE"""),219978146)</f>
        <v>219978146</v>
      </c>
      <c r="B2" s="85" t="str">
        <f ca="1">IFERROR(__xludf.DUMMYFUNCTION("""COMPUTED_VALUE"""),"Ngobeni")</f>
        <v>Ngobeni</v>
      </c>
      <c r="C2" s="85" t="str">
        <f ca="1">IFERROR(__xludf.DUMMYFUNCTION("""COMPUTED_VALUE"""),"M.L")</f>
        <v>M.L</v>
      </c>
      <c r="D2" s="85"/>
      <c r="E2" s="85" t="str">
        <f ca="1">IFERROR(__xludf.DUMMYFUNCTION("""COMPUTED_VALUE"""),"0630929150")</f>
        <v>0630929150</v>
      </c>
      <c r="F2" s="85" t="str">
        <f ca="1">IFERROR(__xludf.DUMMYFUNCTION("""COMPUTED_VALUE"""),"ngobenim335@gmail.com")</f>
        <v>ngobenim335@gmail.com</v>
      </c>
      <c r="G2" s="85" t="str">
        <f ca="1">IFERROR(__xludf.DUMMYFUNCTION("""COMPUTED_VALUE"""),"Student must pass PPB115D and WEB115D.")</f>
        <v>Student must pass PPB115D and WEB115D.</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D1" workbookViewId="0">
      <selection activeCell="A2" sqref="A2:M2"/>
    </sheetView>
  </sheetViews>
  <sheetFormatPr defaultRowHeight="15"/>
  <cols>
    <col min="1" max="1" width="16.140625" customWidth="1"/>
    <col min="2" max="2" width="20.28515625" customWidth="1"/>
    <col min="4" max="4" width="13.7109375" customWidth="1"/>
    <col min="5" max="5" width="17.5703125" customWidth="1"/>
    <col min="6" max="6" width="28.42578125" customWidth="1"/>
    <col min="7" max="7" width="30.28515625" customWidth="1"/>
    <col min="8" max="8" width="18.28515625" customWidth="1"/>
    <col min="9" max="9" width="28.7109375" customWidth="1"/>
    <col min="10" max="10" width="17.7109375" customWidth="1"/>
    <col min="11" max="11" width="27.140625" customWidth="1"/>
    <col min="12" max="12" width="20.5703125" customWidth="1"/>
    <col min="13" max="13" width="23.28515625" customWidth="1"/>
  </cols>
  <sheetData>
    <row r="1" spans="1:13" ht="48.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87" customHeight="1">
      <c r="A2" s="96">
        <v>220787621</v>
      </c>
      <c r="B2" s="97" t="s">
        <v>729</v>
      </c>
      <c r="C2" s="97" t="s">
        <v>730</v>
      </c>
      <c r="D2" s="97" t="s">
        <v>731</v>
      </c>
      <c r="E2" s="97">
        <v>722993789</v>
      </c>
      <c r="F2" s="97" t="s">
        <v>732</v>
      </c>
      <c r="G2" s="97" t="s">
        <v>733</v>
      </c>
      <c r="H2" s="87"/>
      <c r="I2" s="87" t="s">
        <v>405</v>
      </c>
      <c r="J2" s="87"/>
      <c r="K2" s="232" t="s">
        <v>734</v>
      </c>
      <c r="L2" s="87" t="s">
        <v>322</v>
      </c>
      <c r="M2" s="232" t="s">
        <v>735</v>
      </c>
    </row>
    <row r="3" spans="1:13" s="132" customFormat="1" ht="39">
      <c r="A3" s="98">
        <v>214311933</v>
      </c>
      <c r="B3" s="99" t="s">
        <v>736</v>
      </c>
      <c r="C3" s="99" t="s">
        <v>737</v>
      </c>
      <c r="D3" s="99" t="s">
        <v>10</v>
      </c>
      <c r="E3" s="99">
        <v>670358356</v>
      </c>
      <c r="F3" s="99" t="s">
        <v>738</v>
      </c>
      <c r="G3" s="99" t="s">
        <v>739</v>
      </c>
    </row>
    <row r="4" spans="1:13" s="87" customFormat="1" ht="26.25">
      <c r="A4" s="140">
        <v>221216555</v>
      </c>
      <c r="B4" s="141" t="s">
        <v>740</v>
      </c>
      <c r="C4" s="141" t="s">
        <v>741</v>
      </c>
      <c r="D4" s="141" t="s">
        <v>10</v>
      </c>
      <c r="E4" s="141">
        <v>636776367</v>
      </c>
      <c r="F4" s="141" t="s">
        <v>742</v>
      </c>
      <c r="G4" s="141" t="s">
        <v>743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M2"/>
    </sheetView>
  </sheetViews>
  <sheetFormatPr defaultRowHeight="15"/>
  <cols>
    <col min="1" max="1" width="19.42578125" customWidth="1"/>
    <col min="2" max="2" width="15" customWidth="1"/>
    <col min="4" max="4" width="13.5703125" customWidth="1"/>
    <col min="5" max="5" width="14.5703125" customWidth="1"/>
    <col min="6" max="6" width="19.28515625" customWidth="1"/>
    <col min="7" max="7" width="27.7109375" customWidth="1"/>
    <col min="8" max="8" width="18.85546875" customWidth="1"/>
    <col min="9" max="9" width="30.42578125" customWidth="1"/>
    <col min="10" max="10" width="18.28515625" customWidth="1"/>
    <col min="11" max="11" width="20.42578125" customWidth="1"/>
    <col min="12" max="12" width="25.28515625" customWidth="1"/>
    <col min="13" max="13" width="21.28515625" customWidth="1"/>
  </cols>
  <sheetData>
    <row r="1" spans="1:13" ht="36.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s="87" customFormat="1" ht="120">
      <c r="A2" s="96">
        <v>220787621</v>
      </c>
      <c r="B2" s="97" t="s">
        <v>729</v>
      </c>
      <c r="C2" s="97" t="s">
        <v>730</v>
      </c>
      <c r="D2" s="97" t="s">
        <v>731</v>
      </c>
      <c r="E2" s="97">
        <v>722993789</v>
      </c>
      <c r="F2" s="97" t="s">
        <v>732</v>
      </c>
      <c r="G2" s="97" t="s">
        <v>733</v>
      </c>
      <c r="I2" s="87" t="s">
        <v>405</v>
      </c>
      <c r="K2" s="232" t="s">
        <v>734</v>
      </c>
      <c r="L2" s="87" t="s">
        <v>322</v>
      </c>
      <c r="M2" s="232" t="s">
        <v>735</v>
      </c>
    </row>
    <row r="3" spans="1:13" ht="64.5">
      <c r="A3" s="100">
        <v>221222652</v>
      </c>
      <c r="B3" s="101" t="s">
        <v>10</v>
      </c>
      <c r="C3" s="101" t="s">
        <v>10</v>
      </c>
      <c r="D3" s="102"/>
      <c r="E3" s="103" t="s">
        <v>10</v>
      </c>
      <c r="F3" s="101" t="s">
        <v>10</v>
      </c>
      <c r="G3" s="104" t="s">
        <v>744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11" sqref="I11"/>
    </sheetView>
  </sheetViews>
  <sheetFormatPr defaultRowHeight="15"/>
  <cols>
    <col min="1" max="1" width="16.42578125" customWidth="1"/>
    <col min="2" max="2" width="14.85546875" customWidth="1"/>
    <col min="4" max="4" width="10.85546875" customWidth="1"/>
    <col min="5" max="5" width="18.42578125" customWidth="1"/>
    <col min="6" max="6" width="24.5703125" customWidth="1"/>
    <col min="7" max="7" width="31.5703125" customWidth="1"/>
    <col min="8" max="8" width="19.28515625" customWidth="1"/>
    <col min="9" max="9" width="27.7109375" customWidth="1"/>
    <col min="10" max="11" width="20.28515625" customWidth="1"/>
    <col min="12" max="12" width="22.7109375" customWidth="1"/>
    <col min="13" max="13" width="20.85546875" customWidth="1"/>
  </cols>
  <sheetData>
    <row r="1" spans="1:13" ht="4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6">
        <v>220725758</v>
      </c>
      <c r="B2" s="97" t="s">
        <v>151</v>
      </c>
      <c r="C2" s="97" t="s">
        <v>745</v>
      </c>
      <c r="D2" s="97" t="s">
        <v>746</v>
      </c>
      <c r="E2" s="97">
        <v>763921372</v>
      </c>
      <c r="F2" s="97" t="s">
        <v>747</v>
      </c>
      <c r="G2" s="97" t="s">
        <v>748</v>
      </c>
      <c r="H2" s="87"/>
      <c r="I2" s="87"/>
      <c r="J2" s="87"/>
      <c r="K2" s="87"/>
      <c r="L2" s="87"/>
      <c r="M2" s="87"/>
    </row>
    <row r="3" spans="1:13" ht="120">
      <c r="A3" s="96">
        <v>220787621</v>
      </c>
      <c r="B3" s="97" t="s">
        <v>729</v>
      </c>
      <c r="C3" s="97" t="s">
        <v>730</v>
      </c>
      <c r="D3" s="97" t="s">
        <v>731</v>
      </c>
      <c r="E3" s="97">
        <v>722993789</v>
      </c>
      <c r="F3" s="97" t="s">
        <v>732</v>
      </c>
      <c r="G3" s="97" t="s">
        <v>733</v>
      </c>
      <c r="H3" s="87"/>
      <c r="I3" s="87" t="s">
        <v>405</v>
      </c>
      <c r="J3" s="87"/>
      <c r="K3" s="232" t="s">
        <v>734</v>
      </c>
      <c r="L3" s="87" t="s">
        <v>322</v>
      </c>
      <c r="M3" s="232" t="s">
        <v>735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5" customWidth="1"/>
    <col min="2" max="2" width="18.85546875" customWidth="1"/>
    <col min="4" max="4" width="15.42578125" customWidth="1"/>
    <col min="5" max="5" width="14.42578125" customWidth="1"/>
    <col min="6" max="6" width="25" customWidth="1"/>
    <col min="7" max="7" width="32" customWidth="1"/>
    <col min="8" max="8" width="18.7109375" customWidth="1"/>
    <col min="9" max="9" width="29.7109375" customWidth="1"/>
    <col min="10" max="10" width="19.140625" customWidth="1"/>
    <col min="11" max="11" width="19.5703125" customWidth="1"/>
    <col min="12" max="12" width="24.5703125" customWidth="1"/>
    <col min="13" max="13" width="25.7109375" customWidth="1"/>
  </cols>
  <sheetData>
    <row r="1" spans="1:13" ht="36"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220725758</v>
      </c>
      <c r="B2" s="99" t="s">
        <v>151</v>
      </c>
      <c r="C2" s="99" t="s">
        <v>745</v>
      </c>
      <c r="D2" s="99" t="s">
        <v>749</v>
      </c>
      <c r="E2" s="99">
        <v>763921372</v>
      </c>
      <c r="F2" s="99" t="s">
        <v>747</v>
      </c>
      <c r="G2" s="99" t="s">
        <v>748</v>
      </c>
    </row>
    <row r="3" spans="1:13" ht="26.25">
      <c r="A3" s="147">
        <v>221216555</v>
      </c>
      <c r="B3" s="148" t="s">
        <v>740</v>
      </c>
      <c r="C3" s="148" t="s">
        <v>741</v>
      </c>
      <c r="D3" s="148" t="s">
        <v>10</v>
      </c>
      <c r="E3" s="148">
        <v>636776367</v>
      </c>
      <c r="F3" s="148" t="s">
        <v>742</v>
      </c>
      <c r="G3" s="148" t="s">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21" workbookViewId="0">
      <selection activeCell="B21" sqref="A1:XFD1048576"/>
    </sheetView>
  </sheetViews>
  <sheetFormatPr defaultRowHeight="15"/>
  <cols>
    <col min="1" max="1" width="14.28515625" customWidth="1"/>
    <col min="2" max="2" width="18" customWidth="1"/>
    <col min="4" max="4" width="17.5703125" customWidth="1"/>
    <col min="5" max="5" width="15" customWidth="1"/>
    <col min="6" max="6" width="17.28515625" customWidth="1"/>
    <col min="7" max="7" width="32" customWidth="1"/>
    <col min="8" max="8" width="27.85546875" customWidth="1"/>
    <col min="9" max="9" width="35.140625" bestFit="1" customWidth="1"/>
    <col min="10" max="10" width="18.5703125" bestFit="1" customWidth="1"/>
    <col min="11" max="11" width="35.5703125" customWidth="1"/>
    <col min="12" max="12" width="23.7109375" customWidth="1"/>
    <col min="13" max="13" width="25.85546875" customWidth="1"/>
  </cols>
  <sheetData>
    <row r="1" spans="1:13" ht="46.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90">
      <c r="A2" s="85">
        <v>216127102</v>
      </c>
      <c r="B2" s="85" t="str">
        <f ca="1">IFERROR(__xludf.DUMMYFUNCTION("""COMPUTED_VALUE"""),"Segafa")</f>
        <v>Segafa</v>
      </c>
      <c r="C2" s="85" t="str">
        <f ca="1">IFERROR(__xludf.DUMMYFUNCTION("""COMPUTED_VALUE"""),"ME")</f>
        <v>ME</v>
      </c>
      <c r="D2" s="85" t="s">
        <v>311</v>
      </c>
      <c r="E2" s="85" t="str">
        <f ca="1">IFERROR(__xludf.DUMMYFUNCTION("""COMPUTED_VALUE"""),"082 095 1689 ")</f>
        <v xml:space="preserve">082 095 1689 </v>
      </c>
      <c r="F2" s="85" t="str">
        <f ca="1">IFERROR(__xludf.DUMMYFUNCTION("""COMPUTED_VALUE"""),"ellenmatshele@gmail.com")</f>
        <v>ellenmatshele@gmail.com</v>
      </c>
      <c r="G2" s="162" t="s">
        <v>515</v>
      </c>
      <c r="H2" s="174" t="s">
        <v>516</v>
      </c>
      <c r="I2" s="173"/>
      <c r="J2" s="173" t="s">
        <v>453</v>
      </c>
    </row>
    <row r="3" spans="1:13" ht="90">
      <c r="A3" s="86">
        <f ca="1">IFERROR(__xludf.DUMMYFUNCTION("""COMPUTED_VALUE"""),218121519)</f>
        <v>218121519</v>
      </c>
      <c r="B3" s="86" t="str">
        <f ca="1">IFERROR(__xludf.DUMMYFUNCTION("""COMPUTED_VALUE"""),"Ntapane")</f>
        <v>Ntapane</v>
      </c>
      <c r="C3" s="86" t="str">
        <f ca="1">IFERROR(__xludf.DUMMYFUNCTION("""COMPUTED_VALUE"""),"L")</f>
        <v>L</v>
      </c>
      <c r="D3" s="86"/>
      <c r="E3" s="86" t="str">
        <f ca="1">IFERROR(__xludf.DUMMYFUNCTION("""COMPUTED_VALUE"""),"0655942592")</f>
        <v>0655942592</v>
      </c>
      <c r="F3" s="86" t="str">
        <f ca="1">IFERROR(__xludf.DUMMYFUNCTION("""COMPUTED_VALUE"""),"218121519@tut4life.ac.za")</f>
        <v>218121519@tut4life.ac.za</v>
      </c>
      <c r="G3" s="161"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3" s="171" t="s">
        <v>517</v>
      </c>
      <c r="I3" s="159"/>
      <c r="J3" s="159" t="s">
        <v>411</v>
      </c>
    </row>
    <row r="4" spans="1:13" ht="64.5">
      <c r="A4" s="86">
        <f ca="1">IFERROR(__xludf.DUMMYFUNCTION("""COMPUTED_VALUE"""),218674739)</f>
        <v>218674739</v>
      </c>
      <c r="B4" s="86" t="str">
        <f ca="1">IFERROR(__xludf.DUMMYFUNCTION("""COMPUTED_VALUE"""),"MAGWAZA")</f>
        <v>MAGWAZA</v>
      </c>
      <c r="C4" s="86" t="str">
        <f ca="1">IFERROR(__xludf.DUMMYFUNCTION("""COMPUTED_VALUE"""),"SM")</f>
        <v>SM</v>
      </c>
      <c r="D4" s="86"/>
      <c r="E4" s="86" t="str">
        <f ca="1">IFERROR(__xludf.DUMMYFUNCTION("""COMPUTED_VALUE"""),"0607408635")</f>
        <v>0607408635</v>
      </c>
      <c r="F4" s="86" t="str">
        <f ca="1">IFERROR(__xludf.DUMMYFUNCTION("""COMPUTED_VALUE"""),"MANDLASIYABONGA63@GMAI.COM")</f>
        <v>MANDLASIYABONGA63@GMAI.COM</v>
      </c>
      <c r="G4" s="161"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4" s="159" t="s">
        <v>400</v>
      </c>
      <c r="I4" s="159"/>
      <c r="J4" s="159" t="s">
        <v>401</v>
      </c>
    </row>
    <row r="5" spans="1:13" ht="51.75">
      <c r="A5" s="85">
        <f ca="1">IFERROR(__xludf.DUMMYFUNCTION("""COMPUTED_VALUE"""),219159137)</f>
        <v>219159137</v>
      </c>
      <c r="B5" s="85" t="str">
        <f ca="1">IFERROR(__xludf.DUMMYFUNCTION("""COMPUTED_VALUE"""),"Nontsibongo")</f>
        <v>Nontsibongo</v>
      </c>
      <c r="C5" s="85" t="str">
        <f ca="1">IFERROR(__xludf.DUMMYFUNCTION("""COMPUTED_VALUE"""),"S")</f>
        <v>S</v>
      </c>
      <c r="D5" s="85"/>
      <c r="E5" s="85" t="str">
        <f ca="1">IFERROR(__xludf.DUMMYFUNCTION("""COMPUTED_VALUE"""),"0785221806")</f>
        <v>0785221806</v>
      </c>
      <c r="F5" s="85" t="str">
        <f ca="1">IFERROR(__xludf.DUMMYFUNCTION("""COMPUTED_VALUE"""),"sinovuyondlela98@gmail.com")</f>
        <v>sinovuyondlela98@gmail.com</v>
      </c>
      <c r="G5" s="162"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5" s="159" t="s">
        <v>403</v>
      </c>
      <c r="I5" s="159"/>
      <c r="J5" s="159" t="s">
        <v>401</v>
      </c>
    </row>
    <row r="6" spans="1:13" ht="77.25">
      <c r="A6" s="86">
        <f ca="1">IFERROR(__xludf.DUMMYFUNCTION("""COMPUTED_VALUE"""),217334861)</f>
        <v>217334861</v>
      </c>
      <c r="B6" s="86" t="str">
        <f ca="1">IFERROR(__xludf.DUMMYFUNCTION("""COMPUTED_VALUE"""),"Nyawo")</f>
        <v>Nyawo</v>
      </c>
      <c r="C6" s="86" t="str">
        <f ca="1">IFERROR(__xludf.DUMMYFUNCTION("""COMPUTED_VALUE"""),"AP")</f>
        <v>AP</v>
      </c>
      <c r="D6" s="86"/>
      <c r="E6" s="86" t="str">
        <f ca="1">IFERROR(__xludf.DUMMYFUNCTION("""COMPUTED_VALUE"""),"0721965595")</f>
        <v>0721965595</v>
      </c>
      <c r="F6" s="86" t="str">
        <f ca="1">IFERROR(__xludf.DUMMYFUNCTION("""COMPUTED_VALUE"""),"phumelele013@gmail.com")</f>
        <v>phumelele013@gmail.com</v>
      </c>
      <c r="G6" s="161"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6" s="159" t="s">
        <v>400</v>
      </c>
      <c r="I6" s="159"/>
      <c r="J6" s="159" t="s">
        <v>401</v>
      </c>
    </row>
    <row r="7" spans="1:13" ht="128.25">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161"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7" s="159" t="s">
        <v>400</v>
      </c>
      <c r="I7" s="159"/>
      <c r="J7" s="159" t="s">
        <v>401</v>
      </c>
    </row>
    <row r="8" spans="1:13" ht="77.25">
      <c r="A8" s="86">
        <f ca="1">IFERROR(__xludf.DUMMYFUNCTION("""COMPUTED_VALUE"""),219205902)</f>
        <v>219205902</v>
      </c>
      <c r="B8" s="86" t="str">
        <f ca="1">IFERROR(__xludf.DUMMYFUNCTION("""COMPUTED_VALUE"""),"Mafologelo")</f>
        <v>Mafologelo</v>
      </c>
      <c r="C8" s="86" t="str">
        <f ca="1">IFERROR(__xludf.DUMMYFUNCTION("""COMPUTED_VALUE"""),"P")</f>
        <v>P</v>
      </c>
      <c r="D8" s="86"/>
      <c r="E8" s="86" t="str">
        <f ca="1">IFERROR(__xludf.DUMMYFUNCTION("""COMPUTED_VALUE"""),"0714515056")</f>
        <v>0714515056</v>
      </c>
      <c r="F8" s="86" t="str">
        <f ca="1">IFERROR(__xludf.DUMMYFUNCTION("""COMPUTED_VALUE"""),"pontsho5597@gmail.com")</f>
        <v>pontsho5597@gmail.com</v>
      </c>
      <c r="G8" s="161"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8" s="159" t="s">
        <v>400</v>
      </c>
      <c r="I8" s="159"/>
      <c r="J8" s="159" t="s">
        <v>401</v>
      </c>
    </row>
    <row r="9" spans="1:13" ht="77.25">
      <c r="A9" s="86">
        <f ca="1">IFERROR(__xludf.DUMMYFUNCTION("""COMPUTED_VALUE"""),218597130)</f>
        <v>218597130</v>
      </c>
      <c r="B9" s="86" t="str">
        <f ca="1">IFERROR(__xludf.DUMMYFUNCTION("""COMPUTED_VALUE"""),"TSHIHATU ")</f>
        <v xml:space="preserve">TSHIHATU </v>
      </c>
      <c r="C9" s="86" t="str">
        <f ca="1">IFERROR(__xludf.DUMMYFUNCTION("""COMPUTED_VALUE"""),"P")</f>
        <v>P</v>
      </c>
      <c r="D9" s="86"/>
      <c r="E9" s="86" t="str">
        <f ca="1">IFERROR(__xludf.DUMMYFUNCTION("""COMPUTED_VALUE"""),"0788736430")</f>
        <v>0788736430</v>
      </c>
      <c r="F9" s="86" t="str">
        <f ca="1">IFERROR(__xludf.DUMMYFUNCTION("""COMPUTED_VALUE"""),"pfarelotshihatu@gmail.com")</f>
        <v>pfarelotshihatu@gmail.com</v>
      </c>
      <c r="G9" s="161"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9" s="203" t="s">
        <v>517</v>
      </c>
      <c r="I9" s="194"/>
      <c r="J9" s="194" t="s">
        <v>453</v>
      </c>
    </row>
    <row r="10" spans="1:13" ht="64.5">
      <c r="A10" s="86">
        <f ca="1">IFERROR(__xludf.DUMMYFUNCTION("""COMPUTED_VALUE"""),219502028)</f>
        <v>219502028</v>
      </c>
      <c r="B10" s="86" t="str">
        <f ca="1">IFERROR(__xludf.DUMMYFUNCTION("""COMPUTED_VALUE"""),"Khange")</f>
        <v>Khange</v>
      </c>
      <c r="C10" s="86" t="str">
        <f ca="1">IFERROR(__xludf.DUMMYFUNCTION("""COMPUTED_VALUE"""),"Ndugiselo")</f>
        <v>Ndugiselo</v>
      </c>
      <c r="D10" s="86"/>
      <c r="E10" s="86" t="str">
        <f ca="1">IFERROR(__xludf.DUMMYFUNCTION("""COMPUTED_VALUE"""),"+27725623726")</f>
        <v>+27725623726</v>
      </c>
      <c r="F10" s="86" t="str">
        <f ca="1">IFERROR(__xludf.DUMMYFUNCTION("""COMPUTED_VALUE"""),"ndugiseloaustin@gmail.com")</f>
        <v>ndugiseloaustin@gmail.com</v>
      </c>
      <c r="G10" s="161"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10" s="159" t="s">
        <v>400</v>
      </c>
      <c r="I10" s="159"/>
      <c r="J10" s="159" t="s">
        <v>401</v>
      </c>
    </row>
    <row r="11" spans="1:13" ht="77.25">
      <c r="A11" s="86">
        <f ca="1">IFERROR(__xludf.DUMMYFUNCTION("""COMPUTED_VALUE"""),213157744)</f>
        <v>213157744</v>
      </c>
      <c r="B11" s="86" t="str">
        <f ca="1">IFERROR(__xludf.DUMMYFUNCTION("""COMPUTED_VALUE"""),"Sambo")</f>
        <v>Sambo</v>
      </c>
      <c r="C11" s="86" t="str">
        <f ca="1">IFERROR(__xludf.DUMMYFUNCTION("""COMPUTED_VALUE"""),"NC")</f>
        <v>NC</v>
      </c>
      <c r="D11" s="86"/>
      <c r="E11" s="86" t="str">
        <f ca="1">IFERROR(__xludf.DUMMYFUNCTION("""COMPUTED_VALUE"""),"0790215129")</f>
        <v>0790215129</v>
      </c>
      <c r="F11" s="86" t="str">
        <f ca="1">IFERROR(__xludf.DUMMYFUNCTION("""COMPUTED_VALUE"""),"nonhlesambo501@gmail.com")</f>
        <v>nonhlesambo501@gmail.com</v>
      </c>
      <c r="G11" s="161"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c r="H11" s="159" t="s">
        <v>400</v>
      </c>
      <c r="I11" s="159"/>
      <c r="J11" s="159" t="s">
        <v>401</v>
      </c>
    </row>
    <row r="12" spans="1:13" ht="51.75">
      <c r="A12" s="85">
        <f ca="1">IFERROR(__xludf.DUMMYFUNCTION("""COMPUTED_VALUE"""),217288673)</f>
        <v>217288673</v>
      </c>
      <c r="B12" s="85" t="str">
        <f ca="1">IFERROR(__xludf.DUMMYFUNCTION("""COMPUTED_VALUE"""),"Makwakwa")</f>
        <v>Makwakwa</v>
      </c>
      <c r="C12" s="85" t="str">
        <f ca="1">IFERROR(__xludf.DUMMYFUNCTION("""COMPUTED_VALUE"""),"R")</f>
        <v>R</v>
      </c>
      <c r="D12" s="85"/>
      <c r="E12" s="85" t="str">
        <f ca="1">IFERROR(__xludf.DUMMYFUNCTION("""COMPUTED_VALUE"""),"0770934222")</f>
        <v>0770934222</v>
      </c>
      <c r="F12" s="85" t="str">
        <f ca="1">IFERROR(__xludf.DUMMYFUNCTION("""COMPUTED_VALUE"""),"rifumomakwakwa@gmail.com")</f>
        <v>rifumomakwakwa@gmail.com</v>
      </c>
      <c r="G12" s="162" t="str">
        <f ca="1">IFERROR(__xludf.DUMMYFUNCTION("""COMPUTED_VALUE"""),"Student should register and pass the following modules i.e. COB30BT &amp; TPG12BT, he/she must be monitored strictly.")</f>
        <v>Student should register and pass the following modules i.e. COB30BT &amp; TPG12BT, he/she must be monitored strictly.</v>
      </c>
      <c r="H12" s="159" t="s">
        <v>403</v>
      </c>
      <c r="I12" s="159"/>
      <c r="J12" s="159" t="s">
        <v>453</v>
      </c>
    </row>
    <row r="13" spans="1:13" ht="51.75">
      <c r="A13" s="86">
        <f ca="1">IFERROR(__xludf.DUMMYFUNCTION("""COMPUTED_VALUE"""),217228816)</f>
        <v>217228816</v>
      </c>
      <c r="B13" s="86" t="str">
        <f ca="1">IFERROR(__xludf.DUMMYFUNCTION("""COMPUTED_VALUE"""),"Moloko")</f>
        <v>Moloko</v>
      </c>
      <c r="C13" s="86" t="str">
        <f ca="1">IFERROR(__xludf.DUMMYFUNCTION("""COMPUTED_VALUE"""),"AM")</f>
        <v>AM</v>
      </c>
      <c r="D13" s="86"/>
      <c r="E13" s="86" t="str">
        <f ca="1">IFERROR(__xludf.DUMMYFUNCTION("""COMPUTED_VALUE"""),"0649050385")</f>
        <v>0649050385</v>
      </c>
      <c r="F13" s="86" t="str">
        <f ca="1">IFERROR(__xludf.DUMMYFUNCTION("""COMPUTED_VALUE"""),"ammoloko6@gmail.com")</f>
        <v>ammoloko6@gmail.com</v>
      </c>
      <c r="G13" s="161" t="str">
        <f ca="1">IFERROR(__xludf.DUMMYFUNCTION("""COMPUTED_VALUE"""),"Student should register and pass the following modules i.e. TPG12BT and IDC30BC in 2022 Academic Year")</f>
        <v>Student should register and pass the following modules i.e. TPG12BT and IDC30BC in 2022 Academic Year</v>
      </c>
      <c r="H13" s="171" t="s">
        <v>517</v>
      </c>
      <c r="I13" s="159"/>
      <c r="J13" s="159" t="s">
        <v>411</v>
      </c>
    </row>
    <row r="14" spans="1:13" ht="64.5">
      <c r="A14" s="86">
        <f ca="1">IFERROR(__xludf.DUMMYFUNCTION("""COMPUTED_VALUE"""),218083951)</f>
        <v>218083951</v>
      </c>
      <c r="B14" s="86" t="str">
        <f ca="1">IFERROR(__xludf.DUMMYFUNCTION("""COMPUTED_VALUE"""),"NTSHANGASE")</f>
        <v>NTSHANGASE</v>
      </c>
      <c r="C14" s="86" t="str">
        <f ca="1">IFERROR(__xludf.DUMMYFUNCTION("""COMPUTED_VALUE"""),"T")</f>
        <v>T</v>
      </c>
      <c r="D14" s="86"/>
      <c r="E14" s="86" t="str">
        <f ca="1">IFERROR(__xludf.DUMMYFUNCTION("""COMPUTED_VALUE"""),"0680575594")</f>
        <v>0680575594</v>
      </c>
      <c r="F14" s="86" t="str">
        <f ca="1">IFERROR(__xludf.DUMMYFUNCTION("""COMPUTED_VALUE"""),"teborokwezi@gmail.com")</f>
        <v>teborokwezi@gmail.com</v>
      </c>
      <c r="G14" s="161"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c r="H14" s="159" t="s">
        <v>400</v>
      </c>
      <c r="I14" s="159"/>
      <c r="J14" s="159" t="s">
        <v>401</v>
      </c>
    </row>
    <row r="15" spans="1:13" ht="90">
      <c r="A15" s="86">
        <f ca="1">IFERROR(__xludf.DUMMYFUNCTION("""COMPUTED_VALUE"""),218060110)</f>
        <v>218060110</v>
      </c>
      <c r="B15" s="86" t="str">
        <f ca="1">IFERROR(__xludf.DUMMYFUNCTION("""COMPUTED_VALUE"""),"Skosana")</f>
        <v>Skosana</v>
      </c>
      <c r="C15" s="86" t="str">
        <f ca="1">IFERROR(__xludf.DUMMYFUNCTION("""COMPUTED_VALUE"""),"MI")</f>
        <v>MI</v>
      </c>
      <c r="D15" s="86"/>
      <c r="E15" s="86" t="str">
        <f ca="1">IFERROR(__xludf.DUMMYFUNCTION("""COMPUTED_VALUE"""),"0760718694")</f>
        <v>0760718694</v>
      </c>
      <c r="F15" s="86" t="str">
        <f ca="1">IFERROR(__xludf.DUMMYFUNCTION("""COMPUTED_VALUE"""),"218060110@tut4life.ac.za")</f>
        <v>218060110@tut4life.ac.za</v>
      </c>
      <c r="G15" s="161"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c r="H15" s="159" t="s">
        <v>400</v>
      </c>
      <c r="I15" s="159"/>
      <c r="J15" s="159" t="s">
        <v>401</v>
      </c>
    </row>
    <row r="16" spans="1:13" ht="39">
      <c r="A16" s="86">
        <f ca="1">IFERROR(__xludf.DUMMYFUNCTION("""COMPUTED_VALUE"""),217554764)</f>
        <v>217554764</v>
      </c>
      <c r="B16" s="86" t="str">
        <f ca="1">IFERROR(__xludf.DUMMYFUNCTION("""COMPUTED_VALUE"""),"Hlatshwayo")</f>
        <v>Hlatshwayo</v>
      </c>
      <c r="C16" s="86" t="str">
        <f ca="1">IFERROR(__xludf.DUMMYFUNCTION("""COMPUTED_VALUE"""),"Peace")</f>
        <v>Peace</v>
      </c>
      <c r="D16" s="86"/>
      <c r="E16" s="86" t="str">
        <f ca="1">IFERROR(__xludf.DUMMYFUNCTION("""COMPUTED_VALUE"""),"+27661588967")</f>
        <v>+27661588967</v>
      </c>
      <c r="F16" s="86" t="str">
        <f ca="1">IFERROR(__xludf.DUMMYFUNCTION("""COMPUTED_VALUE"""),"hlatshwayopeace@gmail.com")</f>
        <v>hlatshwayopeace@gmail.com</v>
      </c>
      <c r="G16" s="161" t="str">
        <f ca="1">IFERROR(__xludf.DUMMYFUNCTION("""COMPUTED_VALUE"""),"Student must pass TPG12BT in 2022 Semester 1.  Student must report for academic intervention.")</f>
        <v>Student must pass TPG12BT in 2022 Semester 1.  Student must report for academic intervention.</v>
      </c>
      <c r="H16" s="159" t="s">
        <v>400</v>
      </c>
      <c r="I16" s="159"/>
      <c r="J16" s="159" t="s">
        <v>401</v>
      </c>
    </row>
    <row r="17" spans="1:13" ht="75">
      <c r="A17" s="237">
        <v>218266282</v>
      </c>
      <c r="B17" s="238" t="s">
        <v>518</v>
      </c>
      <c r="C17" s="238" t="s">
        <v>519</v>
      </c>
      <c r="D17" s="238" t="s">
        <v>520</v>
      </c>
      <c r="E17" s="238">
        <v>662972323</v>
      </c>
      <c r="F17" s="238" t="s">
        <v>521</v>
      </c>
      <c r="G17" s="239" t="s">
        <v>522</v>
      </c>
      <c r="H17" s="194" t="s">
        <v>400</v>
      </c>
      <c r="I17" s="194" t="s">
        <v>405</v>
      </c>
      <c r="J17" s="203" t="s">
        <v>523</v>
      </c>
      <c r="K17" s="232" t="s">
        <v>524</v>
      </c>
      <c r="L17" s="87" t="s">
        <v>525</v>
      </c>
      <c r="M17" s="232" t="s">
        <v>526</v>
      </c>
    </row>
    <row r="18" spans="1:13" ht="77.25">
      <c r="A18" s="86">
        <f ca="1">IFERROR(__xludf.DUMMYFUNCTION("""COMPUTED_VALUE"""),213152831)</f>
        <v>213152831</v>
      </c>
      <c r="B18" s="86" t="str">
        <f ca="1">IFERROR(__xludf.DUMMYFUNCTION("""COMPUTED_VALUE"""),"Maqashalala")</f>
        <v>Maqashalala</v>
      </c>
      <c r="C18" s="86" t="str">
        <f ca="1">IFERROR(__xludf.DUMMYFUNCTION("""COMPUTED_VALUE"""),"BC")</f>
        <v>BC</v>
      </c>
      <c r="D18" s="86"/>
      <c r="E18" s="86" t="str">
        <f ca="1">IFERROR(__xludf.DUMMYFUNCTION("""COMPUTED_VALUE"""),"0681428073")</f>
        <v>0681428073</v>
      </c>
      <c r="F18" s="86" t="str">
        <f ca="1">IFERROR(__xludf.DUMMYFUNCTION("""COMPUTED_VALUE"""),"bhekimaqashalala@gmail.com")</f>
        <v>bhekimaqashalala@gmail.com</v>
      </c>
      <c r="G18" s="161"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c r="H18" s="159" t="s">
        <v>400</v>
      </c>
      <c r="I18" s="159" t="s">
        <v>405</v>
      </c>
      <c r="J18" s="159" t="s">
        <v>401</v>
      </c>
      <c r="K18" s="233" t="s">
        <v>527</v>
      </c>
      <c r="M18" s="233" t="s">
        <v>528</v>
      </c>
    </row>
    <row r="19" spans="1:13" ht="77.25">
      <c r="A19" s="86">
        <f ca="1">IFERROR(__xludf.DUMMYFUNCTION("""COMPUTED_VALUE"""),216873998)</f>
        <v>216873998</v>
      </c>
      <c r="B19" s="86" t="str">
        <f ca="1">IFERROR(__xludf.DUMMYFUNCTION("""COMPUTED_VALUE"""),"Nkuna")</f>
        <v>Nkuna</v>
      </c>
      <c r="C19" s="86" t="str">
        <f ca="1">IFERROR(__xludf.DUMMYFUNCTION("""COMPUTED_VALUE"""),"SG")</f>
        <v>SG</v>
      </c>
      <c r="D19" s="86"/>
      <c r="E19" s="86" t="str">
        <f ca="1">IFERROR(__xludf.DUMMYFUNCTION("""COMPUTED_VALUE"""),"0636060796")</f>
        <v>0636060796</v>
      </c>
      <c r="F19" s="86" t="str">
        <f ca="1">IFERROR(__xludf.DUMMYFUNCTION("""COMPUTED_VALUE"""),"sollygiven31@gmail.com")</f>
        <v>sollygiven31@gmail.com</v>
      </c>
      <c r="G19" s="161"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c r="H19" s="159" t="s">
        <v>400</v>
      </c>
      <c r="I19" s="159"/>
      <c r="J19" s="159" t="s">
        <v>401</v>
      </c>
    </row>
    <row r="20" spans="1:13" ht="90">
      <c r="A20" s="86">
        <f ca="1">IFERROR(__xludf.DUMMYFUNCTION("""COMPUTED_VALUE"""),217176778)</f>
        <v>217176778</v>
      </c>
      <c r="B20" s="86" t="str">
        <f ca="1">IFERROR(__xludf.DUMMYFUNCTION("""COMPUTED_VALUE"""),"Mashia")</f>
        <v>Mashia</v>
      </c>
      <c r="C20" s="86" t="str">
        <f ca="1">IFERROR(__xludf.DUMMYFUNCTION("""COMPUTED_VALUE"""),"BF")</f>
        <v>BF</v>
      </c>
      <c r="D20" s="86"/>
      <c r="E20" s="86" t="str">
        <f ca="1">IFERROR(__xludf.DUMMYFUNCTION("""COMPUTED_VALUE"""),"0662404742")</f>
        <v>0662404742</v>
      </c>
      <c r="F20" s="86" t="str">
        <f ca="1">IFERROR(__xludf.DUMMYFUNCTION("""COMPUTED_VALUE"""),"fortunemashia@gmail.com")</f>
        <v>fortunemashia@gmail.com</v>
      </c>
      <c r="G20" s="161" t="str">
        <f ca="1">IFERROR(__xludf.DUMMYFUNCTION("""COMPUTED_VALUE"""),"Student has passed all theory modules except TPG12BT and IDC30BC, student should register and pass TPG12BT and IDC30BC in 2022 Academic Year.  The student should report for academic intervention for TPG12BT.")</f>
        <v>Student has passed all theory modules except TPG12BT and IDC30BC, student should register and pass TPG12BT and IDC30BC in 2022 Academic Year.  The student should report for academic intervention for TPG12BT.</v>
      </c>
      <c r="H20" s="159" t="s">
        <v>400</v>
      </c>
      <c r="I20" s="159"/>
      <c r="J20" s="159" t="s">
        <v>401</v>
      </c>
    </row>
    <row r="21" spans="1:13" ht="64.5">
      <c r="A21" s="86">
        <f ca="1">IFERROR(__xludf.DUMMYFUNCTION("""COMPUTED_VALUE"""),217352100)</f>
        <v>217352100</v>
      </c>
      <c r="B21" s="86" t="str">
        <f ca="1">IFERROR(__xludf.DUMMYFUNCTION("""COMPUTED_VALUE"""),"Mahlako ")</f>
        <v xml:space="preserve">Mahlako </v>
      </c>
      <c r="C21" s="86" t="str">
        <f ca="1">IFERROR(__xludf.DUMMYFUNCTION("""COMPUTED_VALUE"""),"K")</f>
        <v>K</v>
      </c>
      <c r="D21" s="86"/>
      <c r="E21" s="86" t="str">
        <f ca="1">IFERROR(__xludf.DUMMYFUNCTION("""COMPUTED_VALUE"""),"0727332603")</f>
        <v>0727332603</v>
      </c>
      <c r="F21" s="86" t="str">
        <f ca="1">IFERROR(__xludf.DUMMYFUNCTION("""COMPUTED_VALUE"""),"kari24july@gmail.com")</f>
        <v>kari24july@gmail.com</v>
      </c>
      <c r="G21" s="161"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c r="H21" s="159" t="s">
        <v>400</v>
      </c>
      <c r="I21" s="159"/>
      <c r="J21" s="159" t="s">
        <v>401</v>
      </c>
    </row>
    <row r="22" spans="1:13" ht="51.75">
      <c r="A22" s="85">
        <f ca="1">IFERROR(__xludf.DUMMYFUNCTION("""COMPUTED_VALUE"""),213068334)</f>
        <v>213068334</v>
      </c>
      <c r="B22" s="85" t="str">
        <f ca="1">IFERROR(__xludf.DUMMYFUNCTION("""COMPUTED_VALUE"""),"Ramabolu")</f>
        <v>Ramabolu</v>
      </c>
      <c r="C22" s="85" t="str">
        <f ca="1">IFERROR(__xludf.DUMMYFUNCTION("""COMPUTED_VALUE"""),"TM")</f>
        <v>TM</v>
      </c>
      <c r="D22" s="85"/>
      <c r="E22" s="85" t="str">
        <f ca="1">IFERROR(__xludf.DUMMYFUNCTION("""COMPUTED_VALUE"""),"0762569277")</f>
        <v>0762569277</v>
      </c>
      <c r="F22" s="85" t="str">
        <f ca="1">IFERROR(__xludf.DUMMYFUNCTION("""COMPUTED_VALUE"""),"213068334@tut4life.ac.za")</f>
        <v>213068334@tut4life.ac.za</v>
      </c>
      <c r="G22" s="162" t="str">
        <f ca="1">IFERROR(__xludf.DUMMYFUNCTION("""COMPUTED_VALUE"""),"Student must pass TPG12BT in 2022 Semester 1 and report for academic intervention.  Student must attend 85% of classes.")</f>
        <v>Student must pass TPG12BT in 2022 Semester 1 and report for academic intervention.  Student must attend 85% of classes.</v>
      </c>
      <c r="H22" s="159" t="s">
        <v>403</v>
      </c>
      <c r="I22" s="159"/>
      <c r="J22" s="159" t="s">
        <v>401</v>
      </c>
    </row>
    <row r="23" spans="1:13" ht="90">
      <c r="A23" s="85">
        <f ca="1">IFERROR(__xludf.DUMMYFUNCTION("""COMPUTED_VALUE"""),214491966)</f>
        <v>214491966</v>
      </c>
      <c r="B23" s="85" t="str">
        <f ca="1">IFERROR(__xludf.DUMMYFUNCTION("""COMPUTED_VALUE"""),"MAHLAULE")</f>
        <v>MAHLAULE</v>
      </c>
      <c r="C23" s="85" t="str">
        <f ca="1">IFERROR(__xludf.DUMMYFUNCTION("""COMPUTED_VALUE"""),"N")</f>
        <v>N</v>
      </c>
      <c r="D23" s="85"/>
      <c r="E23" s="85" t="str">
        <f ca="1">IFERROR(__xludf.DUMMYFUNCTION("""COMPUTED_VALUE"""),"0793265984")</f>
        <v>0793265984</v>
      </c>
      <c r="F23" s="85" t="str">
        <f ca="1">IFERROR(__xludf.DUMMYFUNCTION("""COMPUTED_VALUE"""),"Ndzalamamahlaule@gmail.com")</f>
        <v>Ndzalamamahlaule@gmail.com</v>
      </c>
      <c r="G23" s="162"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c r="H23" s="159" t="s">
        <v>403</v>
      </c>
      <c r="I23" s="159"/>
      <c r="J23" s="159" t="s">
        <v>453</v>
      </c>
    </row>
    <row r="24" spans="1:13" ht="64.5">
      <c r="A24" s="86">
        <f ca="1">IFERROR(__xludf.DUMMYFUNCTION("""COMPUTED_VALUE"""),217094593)</f>
        <v>217094593</v>
      </c>
      <c r="B24" s="86" t="str">
        <f ca="1">IFERROR(__xludf.DUMMYFUNCTION("""COMPUTED_VALUE"""),"Mbatha")</f>
        <v>Mbatha</v>
      </c>
      <c r="C24" s="86" t="str">
        <f ca="1">IFERROR(__xludf.DUMMYFUNCTION("""COMPUTED_VALUE"""),"MT")</f>
        <v>MT</v>
      </c>
      <c r="D24" s="86"/>
      <c r="E24" s="86" t="str">
        <f ca="1">IFERROR(__xludf.DUMMYFUNCTION("""COMPUTED_VALUE"""),"0788743788")</f>
        <v>0788743788</v>
      </c>
      <c r="F24" s="86" t="str">
        <f ca="1">IFERROR(__xludf.DUMMYFUNCTION("""COMPUTED_VALUE"""),"217094593@tut4life.ac.za")</f>
        <v>217094593@tut4life.ac.za</v>
      </c>
      <c r="G24" s="161" t="str">
        <f ca="1">IFERROR(__xludf.DUMMYFUNCTION("""COMPUTED_VALUE"""),"Student must pass ITN20AT and TPG12BT in 2022 Semester 1. Student must report for academic intervention. Student must attend 85% of contact classes.")</f>
        <v>Student must pass ITN20AT and TPG12BT in 2022 Semester 1. Student must report for academic intervention. Student must attend 85% of contact classes.</v>
      </c>
      <c r="H24" s="159" t="s">
        <v>529</v>
      </c>
      <c r="I24" s="159"/>
      <c r="J24" s="159" t="s">
        <v>453</v>
      </c>
    </row>
    <row r="25" spans="1:13" ht="90">
      <c r="A25" s="86">
        <f ca="1">IFERROR(__xludf.DUMMYFUNCTION("""COMPUTED_VALUE"""),219807970)</f>
        <v>219807970</v>
      </c>
      <c r="B25" s="86" t="str">
        <f ca="1">IFERROR(__xludf.DUMMYFUNCTION("""COMPUTED_VALUE"""),"Hlungwani")</f>
        <v>Hlungwani</v>
      </c>
      <c r="C25" s="86" t="str">
        <f ca="1">IFERROR(__xludf.DUMMYFUNCTION("""COMPUTED_VALUE"""),"M")</f>
        <v>M</v>
      </c>
      <c r="D25" s="137"/>
      <c r="E25" s="86" t="str">
        <f ca="1">IFERROR(__xludf.DUMMYFUNCTION("""COMPUTED_VALUE"""),"+27648217447")</f>
        <v>+27648217447</v>
      </c>
      <c r="F25" s="86" t="str">
        <f ca="1">IFERROR(__xludf.DUMMYFUNCTION("""COMPUTED_VALUE"""),"Hlungwanim99l@gmail.com")</f>
        <v>Hlungwanim99l@gmail.com</v>
      </c>
      <c r="G25" s="161" t="str">
        <f ca="1">IFERROR(__xludf.DUMMYFUNCTION("""COMPUTED_VALUE"""),"Lift exclusion, student should register and pass the following module during S1 2022, TPG12BT ")</f>
        <v xml:space="preserve">Lift exclusion, student should register and pass the following module during S1 2022, TPG12BT </v>
      </c>
      <c r="H25" s="159" t="s">
        <v>400</v>
      </c>
      <c r="I25" s="159"/>
      <c r="J25" s="159" t="s">
        <v>401</v>
      </c>
      <c r="K25" s="233" t="s">
        <v>530</v>
      </c>
      <c r="L25" t="s">
        <v>326</v>
      </c>
      <c r="M25" s="233" t="s">
        <v>531</v>
      </c>
    </row>
    <row r="26" spans="1:13" ht="77.25">
      <c r="A26" s="100">
        <v>217049628</v>
      </c>
      <c r="B26" s="138" t="s">
        <v>532</v>
      </c>
      <c r="C26" s="139" t="s">
        <v>28</v>
      </c>
      <c r="D26" s="94"/>
      <c r="E26" s="138">
        <v>731926142</v>
      </c>
      <c r="F26" s="105" t="s">
        <v>533</v>
      </c>
      <c r="G26" s="167" t="s">
        <v>534</v>
      </c>
      <c r="H26" s="159" t="s">
        <v>403</v>
      </c>
      <c r="I26" s="159" t="s">
        <v>405</v>
      </c>
      <c r="J26" s="159" t="s">
        <v>401</v>
      </c>
      <c r="K26" s="233" t="s">
        <v>535</v>
      </c>
      <c r="L26" t="s">
        <v>536</v>
      </c>
    </row>
    <row r="27" spans="1:13" ht="85.5" customHeight="1">
      <c r="A27" s="100">
        <v>212279218</v>
      </c>
      <c r="B27" s="138" t="s">
        <v>537</v>
      </c>
      <c r="C27" s="139" t="s">
        <v>423</v>
      </c>
      <c r="D27" s="94"/>
      <c r="E27" s="138">
        <v>646164042</v>
      </c>
      <c r="F27" s="105" t="s">
        <v>538</v>
      </c>
      <c r="G27" s="167" t="s">
        <v>539</v>
      </c>
      <c r="H27" s="159" t="s">
        <v>403</v>
      </c>
      <c r="I27" s="159"/>
      <c r="J27" s="159" t="s">
        <v>401</v>
      </c>
    </row>
    <row r="28" spans="1:13" ht="64.5">
      <c r="A28" s="100">
        <v>218269249</v>
      </c>
      <c r="B28" s="101" t="s">
        <v>10</v>
      </c>
      <c r="C28" s="101" t="s">
        <v>10</v>
      </c>
      <c r="D28" s="102"/>
      <c r="E28" s="103" t="s">
        <v>10</v>
      </c>
      <c r="F28" s="101" t="s">
        <v>10</v>
      </c>
      <c r="G28" s="167" t="s">
        <v>540</v>
      </c>
      <c r="H28" s="159" t="s">
        <v>403</v>
      </c>
      <c r="I28" s="159"/>
      <c r="J28" s="159" t="s">
        <v>453</v>
      </c>
    </row>
    <row r="29" spans="1:13" ht="192">
      <c r="A29" s="91">
        <v>218086845</v>
      </c>
      <c r="B29" s="92" t="s">
        <v>10</v>
      </c>
      <c r="C29" s="92" t="s">
        <v>10</v>
      </c>
      <c r="D29" s="102"/>
      <c r="E29" s="131" t="s">
        <v>10</v>
      </c>
      <c r="F29" s="92" t="s">
        <v>10</v>
      </c>
      <c r="G29" s="163" t="s">
        <v>541</v>
      </c>
      <c r="H29" s="159" t="s">
        <v>403</v>
      </c>
      <c r="I29" s="159"/>
      <c r="J29" s="159" t="s">
        <v>453</v>
      </c>
    </row>
    <row r="30" spans="1:13" ht="90">
      <c r="A30" s="91">
        <v>219548915</v>
      </c>
      <c r="B30" s="92" t="s">
        <v>10</v>
      </c>
      <c r="C30" s="92" t="s">
        <v>10</v>
      </c>
      <c r="D30" s="102"/>
      <c r="E30" s="131" t="s">
        <v>10</v>
      </c>
      <c r="F30" s="92" t="s">
        <v>10</v>
      </c>
      <c r="G30" s="163" t="s">
        <v>542</v>
      </c>
      <c r="H30" s="159" t="s">
        <v>403</v>
      </c>
      <c r="I30" s="159"/>
      <c r="J30" s="159" t="s">
        <v>453</v>
      </c>
    </row>
  </sheetData>
  <hyperlinks>
    <hyperlink ref="F26" r:id="rId1"/>
    <hyperlink ref="F27" r:id="rId2"/>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7.140625" customWidth="1"/>
    <col min="2" max="2" width="17.5703125" customWidth="1"/>
    <col min="4" max="4" width="14.42578125" customWidth="1"/>
    <col min="5" max="5" width="14.28515625" customWidth="1"/>
    <col min="6" max="6" width="31.5703125" customWidth="1"/>
    <col min="7" max="7" width="26.5703125" customWidth="1"/>
    <col min="8" max="8" width="22.28515625" bestFit="1" customWidth="1"/>
    <col min="9" max="9" width="29.7109375" customWidth="1"/>
    <col min="10" max="10" width="20.5703125" customWidth="1"/>
    <col min="11" max="11" width="21.5703125" customWidth="1"/>
    <col min="12" max="12" width="25" customWidth="1"/>
    <col min="13" max="13" width="26.7109375" customWidth="1"/>
  </cols>
  <sheetData>
    <row r="1" spans="1:13" ht="46.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92.25" customHeight="1">
      <c r="A2" s="96">
        <v>218266282</v>
      </c>
      <c r="B2" s="97" t="s">
        <v>518</v>
      </c>
      <c r="C2" s="97" t="s">
        <v>519</v>
      </c>
      <c r="D2" s="97" t="s">
        <v>520</v>
      </c>
      <c r="E2" s="97">
        <v>662972323</v>
      </c>
      <c r="F2" s="97" t="s">
        <v>521</v>
      </c>
      <c r="G2" s="216" t="s">
        <v>522</v>
      </c>
      <c r="H2" s="194" t="s">
        <v>400</v>
      </c>
      <c r="I2" s="194" t="s">
        <v>405</v>
      </c>
      <c r="J2" s="194" t="s">
        <v>401</v>
      </c>
      <c r="K2" s="232" t="s">
        <v>524</v>
      </c>
      <c r="L2" s="87" t="s">
        <v>525</v>
      </c>
      <c r="M2" s="232" t="s">
        <v>563</v>
      </c>
    </row>
    <row r="3" spans="1:13" ht="39">
      <c r="A3" s="98">
        <v>216535570</v>
      </c>
      <c r="B3" s="99" t="s">
        <v>750</v>
      </c>
      <c r="C3" s="99" t="s">
        <v>751</v>
      </c>
      <c r="D3" s="99" t="s">
        <v>10</v>
      </c>
      <c r="E3" s="99" t="s">
        <v>752</v>
      </c>
      <c r="F3" s="99" t="s">
        <v>753</v>
      </c>
      <c r="G3" s="217" t="s">
        <v>754</v>
      </c>
      <c r="H3" s="159" t="s">
        <v>702</v>
      </c>
      <c r="I3" s="159"/>
      <c r="J3" s="159" t="s">
        <v>401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4.140625" customWidth="1"/>
    <col min="2" max="3" width="16.28515625" customWidth="1"/>
    <col min="4" max="4" width="18.85546875" customWidth="1"/>
    <col min="5" max="5" width="20.42578125" customWidth="1"/>
    <col min="6" max="6" width="22" customWidth="1"/>
    <col min="7" max="7" width="28.28515625" customWidth="1"/>
    <col min="8" max="8" width="22.28515625" bestFit="1" customWidth="1"/>
    <col min="9" max="9" width="32.28515625" customWidth="1"/>
    <col min="10" max="10" width="18.5703125" bestFit="1" customWidth="1"/>
    <col min="11" max="11" width="28.140625" customWidth="1"/>
    <col min="12" max="12" width="23.140625" customWidth="1"/>
    <col min="13" max="13" width="18.140625" customWidth="1"/>
  </cols>
  <sheetData>
    <row r="1" spans="1:13" ht="42.7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77.25" customHeight="1">
      <c r="A2" s="96">
        <v>218266282</v>
      </c>
      <c r="B2" s="97" t="s">
        <v>518</v>
      </c>
      <c r="C2" s="97" t="s">
        <v>519</v>
      </c>
      <c r="D2" s="97" t="s">
        <v>520</v>
      </c>
      <c r="E2" s="97">
        <v>662972323</v>
      </c>
      <c r="F2" s="97" t="s">
        <v>521</v>
      </c>
      <c r="G2" s="216" t="s">
        <v>522</v>
      </c>
      <c r="H2" s="194" t="s">
        <v>400</v>
      </c>
      <c r="I2" s="194" t="s">
        <v>405</v>
      </c>
      <c r="J2" s="194" t="s">
        <v>401</v>
      </c>
      <c r="K2" s="232" t="s">
        <v>524</v>
      </c>
      <c r="L2" s="87" t="s">
        <v>525</v>
      </c>
      <c r="M2" s="232" t="s">
        <v>563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B2" sqref="B2"/>
    </sheetView>
  </sheetViews>
  <sheetFormatPr defaultRowHeight="15"/>
  <cols>
    <col min="1" max="1" width="16.28515625" customWidth="1"/>
    <col min="2" max="2" width="11.7109375" customWidth="1"/>
    <col min="4" max="4" width="13" customWidth="1"/>
    <col min="5" max="5" width="18.5703125" customWidth="1"/>
    <col min="6" max="6" width="31.28515625" customWidth="1"/>
    <col min="7" max="7" width="28.28515625" customWidth="1"/>
    <col min="8" max="8" width="18.140625" customWidth="1"/>
    <col min="9" max="9" width="30.85546875" customWidth="1"/>
    <col min="10" max="10" width="20.42578125" customWidth="1"/>
    <col min="11" max="11" width="29.5703125" customWidth="1"/>
    <col min="12" max="12" width="25.85546875" customWidth="1"/>
    <col min="13" max="13" width="18.140625" customWidth="1"/>
  </cols>
  <sheetData>
    <row r="1" spans="1:13" ht="39.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216735374</v>
      </c>
      <c r="B2" s="99" t="s">
        <v>104</v>
      </c>
      <c r="C2" s="99" t="s">
        <v>755</v>
      </c>
      <c r="D2" s="99" t="s">
        <v>374</v>
      </c>
      <c r="E2" s="99">
        <v>840394723</v>
      </c>
      <c r="F2" s="99" t="s">
        <v>756</v>
      </c>
      <c r="G2" s="99" t="s">
        <v>757</v>
      </c>
    </row>
    <row r="3" spans="1:13" ht="73.5" customHeight="1">
      <c r="A3" s="96">
        <v>216112016</v>
      </c>
      <c r="B3" s="97" t="s">
        <v>758</v>
      </c>
      <c r="C3" s="97" t="s">
        <v>78</v>
      </c>
      <c r="D3" s="97" t="s">
        <v>10</v>
      </c>
      <c r="E3" s="97">
        <v>793574803</v>
      </c>
      <c r="F3" s="97" t="s">
        <v>759</v>
      </c>
      <c r="G3" s="97" t="s">
        <v>760</v>
      </c>
      <c r="K3" s="233" t="s">
        <v>761</v>
      </c>
    </row>
    <row r="4" spans="1:13" ht="102.75">
      <c r="A4" s="100">
        <v>212279218</v>
      </c>
      <c r="B4" s="138" t="s">
        <v>537</v>
      </c>
      <c r="C4" s="138" t="s">
        <v>423</v>
      </c>
      <c r="D4" s="102"/>
      <c r="E4" s="100">
        <v>646164042</v>
      </c>
      <c r="F4" s="105" t="s">
        <v>538</v>
      </c>
      <c r="G4" s="104" t="s">
        <v>539</v>
      </c>
    </row>
  </sheetData>
  <hyperlinks>
    <hyperlink ref="F4" r:id="rId1"/>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4.28515625" customWidth="1"/>
    <col min="2" max="2" width="15.85546875" customWidth="1"/>
    <col min="3" max="3" width="9.42578125" customWidth="1"/>
    <col min="4" max="4" width="16" customWidth="1"/>
    <col min="5" max="5" width="18.140625" customWidth="1"/>
    <col min="6" max="6" width="27.7109375" customWidth="1"/>
    <col min="7" max="7" width="32.7109375" customWidth="1"/>
    <col min="8" max="8" width="21.7109375" customWidth="1"/>
    <col min="9" max="9" width="30.28515625" customWidth="1"/>
    <col min="10" max="10" width="17.5703125" customWidth="1"/>
    <col min="11" max="11" width="18.28515625" customWidth="1"/>
    <col min="12" max="12" width="26.85546875" customWidth="1"/>
    <col min="13" max="13" width="18.5703125" customWidth="1"/>
  </cols>
  <sheetData>
    <row r="1" spans="1:13" ht="53.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214677040</v>
      </c>
      <c r="B2" s="99" t="s">
        <v>762</v>
      </c>
      <c r="C2" s="99" t="s">
        <v>28</v>
      </c>
      <c r="D2" s="99" t="s">
        <v>763</v>
      </c>
      <c r="E2" s="99">
        <v>828433162</v>
      </c>
      <c r="F2" s="99" t="s">
        <v>764</v>
      </c>
      <c r="G2" s="99" t="s">
        <v>765</v>
      </c>
    </row>
    <row r="3" spans="1:13" ht="77.25">
      <c r="A3" s="100">
        <v>212279218</v>
      </c>
      <c r="B3" s="138" t="s">
        <v>537</v>
      </c>
      <c r="C3" s="138" t="s">
        <v>423</v>
      </c>
      <c r="D3" s="102"/>
      <c r="E3" s="100">
        <v>646164042</v>
      </c>
      <c r="F3" s="105" t="s">
        <v>538</v>
      </c>
      <c r="G3" s="104" t="s">
        <v>539</v>
      </c>
    </row>
  </sheetData>
  <hyperlinks>
    <hyperlink ref="F3" r:id="rId1"/>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J3" sqref="J3"/>
    </sheetView>
  </sheetViews>
  <sheetFormatPr defaultRowHeight="15"/>
  <cols>
    <col min="1" max="1" width="16" customWidth="1"/>
    <col min="2" max="2" width="14.5703125" customWidth="1"/>
    <col min="4" max="4" width="14.140625" customWidth="1"/>
    <col min="5" max="5" width="16.7109375" customWidth="1"/>
    <col min="6" max="6" width="27.42578125" customWidth="1"/>
    <col min="7" max="7" width="29.28515625" customWidth="1"/>
    <col min="8" max="8" width="17.85546875" customWidth="1"/>
    <col min="9" max="9" width="31.140625" customWidth="1"/>
    <col min="10" max="10" width="20.140625" customWidth="1"/>
    <col min="11" max="11" width="30.7109375" customWidth="1"/>
    <col min="12" max="12" width="25.140625" customWidth="1"/>
    <col min="13" max="13" width="19.42578125" customWidth="1"/>
  </cols>
  <sheetData>
    <row r="1" spans="1:13" ht="48"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0" customHeight="1">
      <c r="A2" s="96">
        <v>222229057</v>
      </c>
      <c r="B2" s="97" t="s">
        <v>766</v>
      </c>
      <c r="C2" s="97" t="s">
        <v>187</v>
      </c>
      <c r="D2" s="97" t="s">
        <v>767</v>
      </c>
      <c r="E2" s="97">
        <v>605502175</v>
      </c>
      <c r="F2" s="97" t="s">
        <v>768</v>
      </c>
      <c r="G2" s="97" t="s">
        <v>769</v>
      </c>
      <c r="I2" t="s">
        <v>405</v>
      </c>
      <c r="K2" s="233" t="s">
        <v>770</v>
      </c>
      <c r="L2" t="s">
        <v>353</v>
      </c>
      <c r="M2" s="233" t="s">
        <v>771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A2" sqref="A2"/>
    </sheetView>
  </sheetViews>
  <sheetFormatPr defaultRowHeight="15"/>
  <cols>
    <col min="1" max="1" width="15.28515625" customWidth="1"/>
    <col min="2" max="2" width="16.42578125" customWidth="1"/>
    <col min="4" max="4" width="15" customWidth="1"/>
    <col min="5" max="5" width="13.85546875" customWidth="1"/>
    <col min="6" max="6" width="29.140625" customWidth="1"/>
    <col min="7" max="7" width="34.5703125" customWidth="1"/>
    <col min="8" max="8" width="19.5703125" customWidth="1"/>
    <col min="9" max="9" width="29.28515625" customWidth="1"/>
    <col min="10" max="10" width="20.42578125" customWidth="1"/>
    <col min="11" max="11" width="21" customWidth="1"/>
    <col min="12" max="12" width="24" customWidth="1"/>
    <col min="13" max="13" width="19.7109375" customWidth="1"/>
  </cols>
  <sheetData>
    <row r="1" spans="1:13" ht="44.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6">
        <v>222229057</v>
      </c>
      <c r="B2" s="97" t="s">
        <v>766</v>
      </c>
      <c r="C2" s="97" t="s">
        <v>187</v>
      </c>
      <c r="D2" s="97" t="s">
        <v>347</v>
      </c>
      <c r="E2" s="97">
        <v>605502175</v>
      </c>
      <c r="F2" s="97" t="s">
        <v>768</v>
      </c>
      <c r="G2" s="97" t="s">
        <v>769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3" sqref="A3"/>
    </sheetView>
  </sheetViews>
  <sheetFormatPr defaultRowHeight="15"/>
  <cols>
    <col min="1" max="2" width="13.28515625" customWidth="1"/>
    <col min="4" max="4" width="15.28515625" customWidth="1"/>
    <col min="5" max="5" width="18.42578125" customWidth="1"/>
    <col min="6" max="7" width="33.140625" customWidth="1"/>
  </cols>
  <sheetData>
    <row r="1" spans="1:7">
      <c r="A1" s="1" t="s">
        <v>0</v>
      </c>
      <c r="B1" s="1" t="s">
        <v>1</v>
      </c>
      <c r="C1" s="1" t="s">
        <v>2</v>
      </c>
      <c r="D1" s="1" t="s">
        <v>3</v>
      </c>
      <c r="E1" s="1" t="s">
        <v>4</v>
      </c>
      <c r="F1" s="1" t="s">
        <v>5</v>
      </c>
      <c r="G1" s="1" t="s">
        <v>6</v>
      </c>
    </row>
    <row r="2" spans="1:7" ht="26.25">
      <c r="A2" s="98">
        <v>217370361</v>
      </c>
      <c r="B2" s="99" t="s">
        <v>10</v>
      </c>
      <c r="C2" s="99" t="s">
        <v>10</v>
      </c>
      <c r="D2" s="99" t="s">
        <v>772</v>
      </c>
      <c r="E2" s="99" t="s">
        <v>10</v>
      </c>
      <c r="F2" s="99" t="s">
        <v>10</v>
      </c>
      <c r="G2" s="99" t="s">
        <v>773</v>
      </c>
    </row>
    <row r="3" spans="1:7" ht="26.25">
      <c r="A3" s="106">
        <v>216797850</v>
      </c>
      <c r="B3" s="145" t="s">
        <v>709</v>
      </c>
      <c r="C3" s="145" t="s">
        <v>230</v>
      </c>
      <c r="D3" s="102"/>
      <c r="E3" s="106">
        <v>713074860</v>
      </c>
      <c r="F3" s="129" t="s">
        <v>710</v>
      </c>
      <c r="G3" s="146" t="s">
        <v>711</v>
      </c>
    </row>
    <row r="4" spans="1:7" ht="26.25">
      <c r="A4" s="122">
        <v>217159482</v>
      </c>
      <c r="B4" s="123" t="s">
        <v>663</v>
      </c>
      <c r="C4" s="123" t="s">
        <v>664</v>
      </c>
      <c r="D4" s="110"/>
      <c r="E4" s="122">
        <v>738752912</v>
      </c>
      <c r="F4" s="124" t="s">
        <v>665</v>
      </c>
      <c r="G4" s="142" t="s">
        <v>666</v>
      </c>
    </row>
    <row r="5" spans="1:7" ht="141">
      <c r="A5" s="91">
        <v>214752042</v>
      </c>
      <c r="B5" s="130" t="s">
        <v>660</v>
      </c>
      <c r="C5" s="130" t="s">
        <v>187</v>
      </c>
      <c r="D5" s="102"/>
      <c r="E5" s="91">
        <v>681539798</v>
      </c>
      <c r="F5" s="129" t="s">
        <v>661</v>
      </c>
      <c r="G5" s="95" t="s">
        <v>662</v>
      </c>
    </row>
  </sheetData>
  <hyperlinks>
    <hyperlink ref="F3" r:id="rId1"/>
    <hyperlink ref="F4" r:id="rId2"/>
    <hyperlink ref="F5" r:id="rId3"/>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3" sqref="A3:G3"/>
    </sheetView>
  </sheetViews>
  <sheetFormatPr defaultRowHeight="15"/>
  <cols>
    <col min="1" max="1" width="15" customWidth="1"/>
    <col min="2" max="2" width="15.7109375" customWidth="1"/>
    <col min="3" max="3" width="14.28515625" customWidth="1"/>
    <col min="4" max="4" width="17.5703125" customWidth="1"/>
    <col min="5" max="5" width="18.42578125" customWidth="1"/>
    <col min="6" max="6" width="23.5703125" customWidth="1"/>
    <col min="7" max="7" width="35.42578125" customWidth="1"/>
  </cols>
  <sheetData>
    <row r="1" spans="1:7">
      <c r="A1" s="1" t="s">
        <v>0</v>
      </c>
      <c r="B1" s="1" t="s">
        <v>1</v>
      </c>
      <c r="C1" s="1" t="s">
        <v>2</v>
      </c>
      <c r="D1" s="27" t="s">
        <v>3</v>
      </c>
      <c r="E1" s="1" t="s">
        <v>4</v>
      </c>
      <c r="F1" s="1" t="s">
        <v>5</v>
      </c>
      <c r="G1" s="1" t="s">
        <v>6</v>
      </c>
    </row>
    <row r="2" spans="1:7" ht="70.5" customHeight="1">
      <c r="A2" s="100">
        <v>219939108</v>
      </c>
      <c r="B2" s="101" t="s">
        <v>10</v>
      </c>
      <c r="C2" s="143" t="s">
        <v>10</v>
      </c>
      <c r="D2" s="94" t="s">
        <v>328</v>
      </c>
      <c r="E2" s="101" t="s">
        <v>10</v>
      </c>
      <c r="F2" s="105" t="s">
        <v>495</v>
      </c>
      <c r="G2" s="104" t="s">
        <v>496</v>
      </c>
    </row>
    <row r="3" spans="1:7" ht="51.75">
      <c r="A3" s="126">
        <v>217169569</v>
      </c>
      <c r="B3" s="123" t="s">
        <v>657</v>
      </c>
      <c r="C3" s="127" t="s">
        <v>53</v>
      </c>
      <c r="D3" s="110"/>
      <c r="E3" s="122">
        <v>818892087</v>
      </c>
      <c r="F3" s="124" t="s">
        <v>658</v>
      </c>
      <c r="G3" s="128" t="s">
        <v>659</v>
      </c>
    </row>
    <row r="4" spans="1:7" ht="55.5" customHeight="1">
      <c r="A4" s="100">
        <v>218719988</v>
      </c>
      <c r="B4" s="101" t="s">
        <v>10</v>
      </c>
      <c r="C4" s="101" t="s">
        <v>10</v>
      </c>
      <c r="D4" s="102"/>
      <c r="E4" s="103" t="s">
        <v>10</v>
      </c>
      <c r="F4" s="101" t="s">
        <v>10</v>
      </c>
      <c r="G4" s="104" t="s">
        <v>472</v>
      </c>
    </row>
  </sheetData>
  <hyperlinks>
    <hyperlink ref="F2" r:id="rId1"/>
    <hyperlink ref="F3" r:id="rId2"/>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42578125" customWidth="1"/>
    <col min="2" max="2" width="15.42578125" customWidth="1"/>
    <col min="4" max="4" width="15" customWidth="1"/>
    <col min="5" max="5" width="16.140625" customWidth="1"/>
    <col min="6" max="6" width="26" customWidth="1"/>
    <col min="7" max="7" width="25.28515625" customWidth="1"/>
  </cols>
  <sheetData>
    <row r="1" spans="1:7">
      <c r="A1" s="1" t="s">
        <v>0</v>
      </c>
      <c r="B1" s="1" t="s">
        <v>1</v>
      </c>
      <c r="C1" s="1" t="s">
        <v>2</v>
      </c>
      <c r="D1" s="27" t="s">
        <v>3</v>
      </c>
      <c r="E1" s="1" t="s">
        <v>4</v>
      </c>
      <c r="F1" s="1" t="s">
        <v>5</v>
      </c>
      <c r="G1" s="1" t="s">
        <v>6</v>
      </c>
    </row>
    <row r="2" spans="1:7" ht="39">
      <c r="A2" s="100">
        <v>214043718</v>
      </c>
      <c r="B2" s="138" t="s">
        <v>653</v>
      </c>
      <c r="C2" s="138" t="s">
        <v>654</v>
      </c>
      <c r="D2" s="102" t="s">
        <v>370</v>
      </c>
      <c r="E2" s="100">
        <v>732384995</v>
      </c>
      <c r="F2" s="105" t="s">
        <v>655</v>
      </c>
      <c r="G2" s="104" t="s">
        <v>656</v>
      </c>
    </row>
  </sheetData>
  <hyperlinks>
    <hyperlink ref="F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F24" workbookViewId="0">
      <selection activeCell="K28" sqref="K28"/>
    </sheetView>
  </sheetViews>
  <sheetFormatPr defaultRowHeight="15"/>
  <cols>
    <col min="1" max="1" width="12.7109375" customWidth="1"/>
    <col min="2" max="2" width="13" customWidth="1"/>
    <col min="4" max="4" width="15" customWidth="1"/>
    <col min="5" max="5" width="13.28515625" customWidth="1"/>
    <col min="6" max="6" width="32.5703125" customWidth="1"/>
    <col min="7" max="7" width="33.28515625" customWidth="1"/>
    <col min="8" max="8" width="18.140625" customWidth="1"/>
    <col min="9" max="9" width="27.85546875" customWidth="1"/>
    <col min="10" max="10" width="15.28515625" customWidth="1"/>
    <col min="11" max="11" width="17.28515625" customWidth="1"/>
    <col min="12" max="12" width="20" customWidth="1"/>
    <col min="13" max="13" width="13.140625" customWidth="1"/>
  </cols>
  <sheetData>
    <row r="1" spans="1:13" ht="34.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0.5" customHeight="1">
      <c r="A2" s="2">
        <f ca="1">IFERROR(__xludf.DUMMYFUNCTION("query('Imported Data sheet'!A2:AV1930,""SELECT A,B,C,D,E,F,G,H,I,J,K,L,M,N,AP,AQ,AR,AS,AT,AU WHERE AR &gt;= date '""&amp;TEXT(DATEVALUE(Settings!B5 ),""yyyy-mm-dd"")&amp;""' AND AP='Lift Exclusion' ORDER BY AR ASC"",0)"),213061607)</f>
        <v>213061607</v>
      </c>
      <c r="B2" s="3"/>
      <c r="C2" s="3"/>
      <c r="D2" s="3" t="s">
        <v>330</v>
      </c>
      <c r="E2" s="3"/>
      <c r="F2" s="3"/>
      <c r="G2" s="2" t="s">
        <v>543</v>
      </c>
    </row>
    <row r="3" spans="1:13" ht="51.75">
      <c r="A3" s="4">
        <f ca="1">IFERROR(__xludf.DUMMYFUNCTION("""COMPUTED_VALUE"""),215097056)</f>
        <v>215097056</v>
      </c>
      <c r="B3" s="4" t="str">
        <f ca="1">IFERROR(__xludf.DUMMYFUNCTION("""COMPUTED_VALUE"""),"Mathlatsi ")</f>
        <v xml:space="preserve">Mathlatsi </v>
      </c>
      <c r="C3" s="4" t="str">
        <f ca="1">IFERROR(__xludf.DUMMYFUNCTION("""COMPUTED_VALUE"""),"Ik")</f>
        <v>Ik</v>
      </c>
      <c r="D3" s="3" t="s">
        <v>330</v>
      </c>
      <c r="E3" s="4" t="str">
        <f ca="1">IFERROR(__xludf.DUMMYFUNCTION("""COMPUTED_VALUE"""),"0797852096")</f>
        <v>0797852096</v>
      </c>
      <c r="F3" s="4" t="str">
        <f ca="1">IFERROR(__xludf.DUMMYFUNCTION("""COMPUTED_VALUE"""),"kaymatlhatsi@gmail.com")</f>
        <v>kaymatlhatsi@gmail.com</v>
      </c>
      <c r="G3" s="4" t="str">
        <f ca="1">IFERROR(__xludf.DUMMYFUNCTION("""COMPUTED_VALUE"""),"STUDENT MUST PASS DBR311T AND PGG311T DURING S1 2022 AND REPORT FOR ACADEMIC INTERVENTION.")</f>
        <v>STUDENT MUST PASS DBR311T AND PGG311T DURING S1 2022 AND REPORT FOR ACADEMIC INTERVENTION.</v>
      </c>
    </row>
    <row r="4" spans="1:13" ht="39">
      <c r="A4" s="4">
        <f ca="1">IFERROR(__xludf.DUMMYFUNCTION("""COMPUTED_VALUE"""),215176398)</f>
        <v>215176398</v>
      </c>
      <c r="B4" s="4" t="str">
        <f ca="1">IFERROR(__xludf.DUMMYFUNCTION("""COMPUTED_VALUE"""),"Msomi")</f>
        <v>Msomi</v>
      </c>
      <c r="C4" s="4" t="str">
        <f ca="1">IFERROR(__xludf.DUMMYFUNCTION("""COMPUTED_VALUE"""),"S")</f>
        <v>S</v>
      </c>
      <c r="D4" s="3" t="s">
        <v>330</v>
      </c>
      <c r="E4" s="4" t="str">
        <f ca="1">IFERROR(__xludf.DUMMYFUNCTION("""COMPUTED_VALUE"""),"794529241")</f>
        <v>794529241</v>
      </c>
      <c r="F4" s="4" t="str">
        <f ca="1">IFERROR(__xludf.DUMMYFUNCTION("""COMPUTED_VALUE"""),"215176398@Tut4life.ac.za")</f>
        <v>215176398@Tut4life.ac.za</v>
      </c>
      <c r="G4" s="4" t="str">
        <f ca="1">IFERROR(__xludf.DUMMYFUNCTION("""COMPUTED_VALUE"""),"STUDENT MUST PASS PGG311T DURING S1 2022 AND REPORT FOR ACADEMIC INTERVENTION.")</f>
        <v>STUDENT MUST PASS PGG311T DURING S1 2022 AND REPORT FOR ACADEMIC INTERVENTION.</v>
      </c>
    </row>
    <row r="5" spans="1:13" ht="39">
      <c r="A5" s="4">
        <f ca="1">IFERROR(__xludf.DUMMYFUNCTION("""COMPUTED_VALUE"""),216077555)</f>
        <v>216077555</v>
      </c>
      <c r="B5" s="4" t="str">
        <f ca="1">IFERROR(__xludf.DUMMYFUNCTION("""COMPUTED_VALUE"""),"Rivisi")</f>
        <v>Rivisi</v>
      </c>
      <c r="C5" s="4" t="str">
        <f ca="1">IFERROR(__xludf.DUMMYFUNCTION("""COMPUTED_VALUE"""),"R")</f>
        <v>R</v>
      </c>
      <c r="D5" s="3" t="s">
        <v>330</v>
      </c>
      <c r="E5" s="4" t="str">
        <f ca="1">IFERROR(__xludf.DUMMYFUNCTION("""COMPUTED_VALUE"""),"0633567947")</f>
        <v>0633567947</v>
      </c>
      <c r="F5" s="4" t="str">
        <f ca="1">IFERROR(__xludf.DUMMYFUNCTION("""COMPUTED_VALUE"""),"rixongileangie@gmail.com")</f>
        <v>rixongileangie@gmail.com</v>
      </c>
      <c r="G5" s="4" t="str">
        <f ca="1">IFERROR(__xludf.DUMMYFUNCTION("""COMPUTED_VALUE"""),"STUDENT NEED TO PASS PGG311T DURING S1 2022 AND REPORT FOR ACADEMIC INTERVENTION.")</f>
        <v>STUDENT NEED TO PASS PGG311T DURING S1 2022 AND REPORT FOR ACADEMIC INTERVENTION.</v>
      </c>
    </row>
    <row r="6" spans="1:13" ht="39" customHeight="1">
      <c r="A6" s="4">
        <f ca="1">IFERROR(__xludf.DUMMYFUNCTION("""COMPUTED_VALUE"""),216103360)</f>
        <v>216103360</v>
      </c>
      <c r="B6" s="4"/>
      <c r="C6" s="4"/>
      <c r="D6" s="3" t="s">
        <v>330</v>
      </c>
      <c r="E6" s="4"/>
      <c r="F6" s="4"/>
      <c r="G6" s="4" t="s">
        <v>544</v>
      </c>
    </row>
    <row r="7" spans="1:13" ht="39">
      <c r="A7" s="4">
        <f ca="1">IFERROR(__xludf.DUMMYFUNCTION("""COMPUTED_VALUE"""),216288351)</f>
        <v>216288351</v>
      </c>
      <c r="B7" s="4" t="str">
        <f ca="1">IFERROR(__xludf.DUMMYFUNCTION("""COMPUTED_VALUE"""),"Rampyapedi ")</f>
        <v xml:space="preserve">Rampyapedi </v>
      </c>
      <c r="C7" s="4" t="str">
        <f ca="1">IFERROR(__xludf.DUMMYFUNCTION("""COMPUTED_VALUE"""),"JT ")</f>
        <v xml:space="preserve">JT </v>
      </c>
      <c r="D7" s="3" t="s">
        <v>330</v>
      </c>
      <c r="E7" s="4" t="str">
        <f ca="1">IFERROR(__xludf.DUMMYFUNCTION("""COMPUTED_VALUE"""),"722397690")</f>
        <v>722397690</v>
      </c>
      <c r="F7" s="4" t="str">
        <f ca="1">IFERROR(__xludf.DUMMYFUNCTION("""COMPUTED_VALUE"""),"216288351@tut4life.ac.za")</f>
        <v>216288351@tut4life.ac.za</v>
      </c>
      <c r="G7" s="4" t="str">
        <f ca="1">IFERROR(__xludf.DUMMYFUNCTION("""COMPUTED_VALUE"""),"STUDENT MUST PASS PGG311T DURING S1 2022 AND REPORT FOR ACADEMIC INTERVENTION.")</f>
        <v>STUDENT MUST PASS PGG311T DURING S1 2022 AND REPORT FOR ACADEMIC INTERVENTION.</v>
      </c>
    </row>
    <row r="8" spans="1:13" ht="39">
      <c r="A8" s="4">
        <f ca="1">IFERROR(__xludf.DUMMYFUNCTION("""COMPUTED_VALUE"""),216612400)</f>
        <v>216612400</v>
      </c>
      <c r="B8" s="4" t="str">
        <f ca="1">IFERROR(__xludf.DUMMYFUNCTION("""COMPUTED_VALUE"""),"Sehlola")</f>
        <v>Sehlola</v>
      </c>
      <c r="C8" s="4" t="str">
        <f ca="1">IFERROR(__xludf.DUMMYFUNCTION("""COMPUTED_VALUE"""),"IL")</f>
        <v>IL</v>
      </c>
      <c r="D8" s="3" t="s">
        <v>330</v>
      </c>
      <c r="E8" s="8">
        <v>7781361187</v>
      </c>
      <c r="F8" s="4" t="str">
        <f ca="1">IFERROR(__xludf.DUMMYFUNCTION("""COMPUTED_VALUE"""),"Lucia.te30@gmail.com")</f>
        <v>Lucia.te30@gmail.com</v>
      </c>
      <c r="G8" s="4" t="str">
        <f ca="1">IFERROR(__xludf.DUMMYFUNCTION("""COMPUTED_VALUE"""),"STUDENT NEED TO PASS PGG311T DURING S1 2022 AND REPORT FOR ACADEMIC INTERVENTION.")</f>
        <v>STUDENT NEED TO PASS PGG311T DURING S1 2022 AND REPORT FOR ACADEMIC INTERVENTION.</v>
      </c>
    </row>
    <row r="9" spans="1:13" ht="39">
      <c r="A9" s="4">
        <f ca="1">IFERROR(__xludf.DUMMYFUNCTION("""COMPUTED_VALUE"""),217023718)</f>
        <v>217023718</v>
      </c>
      <c r="B9" s="4" t="str">
        <f ca="1">IFERROR(__xludf.DUMMYFUNCTION("""COMPUTED_VALUE"""),"Mkansi")</f>
        <v>Mkansi</v>
      </c>
      <c r="C9" s="4" t="str">
        <f ca="1">IFERROR(__xludf.DUMMYFUNCTION("""COMPUTED_VALUE"""),"D")</f>
        <v>D</v>
      </c>
      <c r="D9" s="3" t="s">
        <v>330</v>
      </c>
      <c r="E9" s="4" t="str">
        <f ca="1">IFERROR(__xludf.DUMMYFUNCTION("""COMPUTED_VALUE"""),"784657290")</f>
        <v>784657290</v>
      </c>
      <c r="F9" s="4" t="str">
        <f ca="1">IFERROR(__xludf.DUMMYFUNCTION("""COMPUTED_VALUE"""),"dzunanimkansi21@gmail.com")</f>
        <v>dzunanimkansi21@gmail.com</v>
      </c>
      <c r="G9" s="4" t="str">
        <f ca="1">IFERROR(__xludf.DUMMYFUNCTION("""COMPUTED_VALUE"""),"STUDENT NEED TO PASS PGG311T DURING S1 2022 AND REPORT FOR ACADEMIC INTERVENTION.")</f>
        <v>STUDENT NEED TO PASS PGG311T DURING S1 2022 AND REPORT FOR ACADEMIC INTERVENTION.</v>
      </c>
    </row>
    <row r="10" spans="1:13" ht="39">
      <c r="A10" s="4">
        <f ca="1">IFERROR(__xludf.DUMMYFUNCTION("""COMPUTED_VALUE"""),215135209)</f>
        <v>215135209</v>
      </c>
      <c r="B10" s="4" t="str">
        <f ca="1">IFERROR(__xludf.DUMMYFUNCTION("""COMPUTED_VALUE"""),"Khorola")</f>
        <v>Khorola</v>
      </c>
      <c r="C10" s="4" t="str">
        <f ca="1">IFERROR(__xludf.DUMMYFUNCTION("""COMPUTED_VALUE"""),"O")</f>
        <v>O</v>
      </c>
      <c r="D10" s="3" t="s">
        <v>330</v>
      </c>
      <c r="E10" s="4" t="str">
        <f ca="1">IFERROR(__xludf.DUMMYFUNCTION("""COMPUTED_VALUE"""),"0846834305")</f>
        <v>0846834305</v>
      </c>
      <c r="F10" s="4" t="str">
        <f ca="1">IFERROR(__xludf.DUMMYFUNCTION("""COMPUTED_VALUE"""),"215135209@tut4life.ac.za")</f>
        <v>215135209@tut4life.ac.za</v>
      </c>
      <c r="G10" s="4" t="str">
        <f ca="1">IFERROR(__xludf.DUMMYFUNCTION("""COMPUTED_VALUE"""),"STUDENT MUST PASS PGG311T DURING S1 2022 AND REPORT FOR ACADEMIC INTERVENTION.")</f>
        <v>STUDENT MUST PASS PGG311T DURING S1 2022 AND REPORT FOR ACADEMIC INTERVENTION.</v>
      </c>
    </row>
    <row r="11" spans="1:13">
      <c r="A11" s="4">
        <f ca="1">IFERROR(__xludf.DUMMYFUNCTION("""COMPUTED_VALUE"""),215455858)</f>
        <v>215455858</v>
      </c>
      <c r="B11" s="4"/>
      <c r="C11" s="4"/>
      <c r="D11" s="3" t="s">
        <v>330</v>
      </c>
      <c r="E11" s="4"/>
      <c r="F11" s="4"/>
      <c r="G11" s="4" t="str">
        <f ca="1">IFERROR(__xludf.DUMMYFUNCTION("""COMPUTED_VALUE"""),"STUDENT MUST PASS LOD311B, PGG311T AND DBR311T DURING S1 2022 AND REPORT FOR ACADEMIC INTERVENTION.")</f>
        <v>STUDENT MUST PASS LOD311B, PGG311T AND DBR311T DURING S1 2022 AND REPORT FOR ACADEMIC INTERVENTION.</v>
      </c>
    </row>
    <row r="12" spans="1:13" ht="39">
      <c r="A12" s="4">
        <f ca="1">IFERROR(__xludf.DUMMYFUNCTION("""COMPUTED_VALUE"""),216955501)</f>
        <v>216955501</v>
      </c>
      <c r="B12" s="4" t="str">
        <f ca="1">IFERROR(__xludf.DUMMYFUNCTION("""COMPUTED_VALUE"""),"Khoza")</f>
        <v>Khoza</v>
      </c>
      <c r="C12" s="4" t="str">
        <f ca="1">IFERROR(__xludf.DUMMYFUNCTION("""COMPUTED_VALUE"""),"P")</f>
        <v>P</v>
      </c>
      <c r="D12" s="3" t="s">
        <v>330</v>
      </c>
      <c r="E12" s="4" t="str">
        <f ca="1">IFERROR(__xludf.DUMMYFUNCTION("""COMPUTED_VALUE"""),"0791374718")</f>
        <v>0791374718</v>
      </c>
      <c r="F12" s="4" t="str">
        <f ca="1">IFERROR(__xludf.DUMMYFUNCTION("""COMPUTED_VALUE"""),"peshlakhosa501@gmail.com")</f>
        <v>peshlakhosa501@gmail.com</v>
      </c>
      <c r="G12" s="4" t="str">
        <f ca="1">IFERROR(__xludf.DUMMYFUNCTION("""COMPUTED_VALUE"""),"STUDENT NEED TO PASS PGG311T DURING S1 2022 AND REPORT FOR ACADEMIC INTERVENTION.")</f>
        <v>STUDENT NEED TO PASS PGG311T DURING S1 2022 AND REPORT FOR ACADEMIC INTERVENTION.</v>
      </c>
    </row>
    <row r="13" spans="1:13">
      <c r="A13" s="4">
        <f ca="1">IFERROR(__xludf.DUMMYFUNCTION("""COMPUTED_VALUE"""),217378370)</f>
        <v>217378370</v>
      </c>
      <c r="B13" s="4"/>
      <c r="C13" s="4"/>
      <c r="D13" s="3" t="s">
        <v>330</v>
      </c>
      <c r="E13" s="4"/>
      <c r="F13" s="4"/>
      <c r="G13" s="4" t="str">
        <f ca="1">IFERROR(__xludf.DUMMYFUNCTION("""COMPUTED_VALUE"""),"STUDENT NEED TO PASS PGG311T DURING S1 2022 AND REPORT FOR ACADEMIC INTERVENTION.")</f>
        <v>STUDENT NEED TO PASS PGG311T DURING S1 2022 AND REPORT FOR ACADEMIC INTERVENTION.</v>
      </c>
    </row>
    <row r="14" spans="1:13" ht="39">
      <c r="A14" s="4">
        <f ca="1">IFERROR(__xludf.DUMMYFUNCTION("""COMPUTED_VALUE"""),217393507)</f>
        <v>217393507</v>
      </c>
      <c r="B14" s="4" t="str">
        <f ca="1">IFERROR(__xludf.DUMMYFUNCTION("""COMPUTED_VALUE"""),"Mudau")</f>
        <v>Mudau</v>
      </c>
      <c r="C14" s="4" t="str">
        <f ca="1">IFERROR(__xludf.DUMMYFUNCTION("""COMPUTED_VALUE"""),"NS")</f>
        <v>NS</v>
      </c>
      <c r="D14" s="3" t="s">
        <v>330</v>
      </c>
      <c r="E14" s="4" t="str">
        <f ca="1">IFERROR(__xludf.DUMMYFUNCTION("""COMPUTED_VALUE"""),"0791123514")</f>
        <v>0791123514</v>
      </c>
      <c r="F14" s="4" t="str">
        <f ca="1">IFERROR(__xludf.DUMMYFUNCTION("""COMPUTED_VALUE"""),"nduvhoshakespeare@gmail.con")</f>
        <v>nduvhoshakespeare@gmail.con</v>
      </c>
      <c r="G14" s="4" t="str">
        <f ca="1">IFERROR(__xludf.DUMMYFUNCTION("""COMPUTED_VALUE"""),"STUDENT NEED TO PASS PGG311T DURING S1 2022 AND REPORT FOR ACADEMIC INTERVENTION.")</f>
        <v>STUDENT NEED TO PASS PGG311T DURING S1 2022 AND REPORT FOR ACADEMIC INTERVENTION.</v>
      </c>
    </row>
    <row r="15" spans="1:13" ht="51.75">
      <c r="A15" s="4">
        <f ca="1">IFERROR(__xludf.DUMMYFUNCTION("""COMPUTED_VALUE"""),217582369)</f>
        <v>217582369</v>
      </c>
      <c r="B15" s="4" t="str">
        <f ca="1">IFERROR(__xludf.DUMMYFUNCTION("""COMPUTED_VALUE"""),"Ngoveni")</f>
        <v>Ngoveni</v>
      </c>
      <c r="C15" s="4" t="str">
        <f ca="1">IFERROR(__xludf.DUMMYFUNCTION("""COMPUTED_VALUE"""),"B")</f>
        <v>B</v>
      </c>
      <c r="D15" s="3" t="s">
        <v>330</v>
      </c>
      <c r="E15" s="4" t="str">
        <f ca="1">IFERROR(__xludf.DUMMYFUNCTION("""COMPUTED_VALUE"""),"0716386013")</f>
        <v>0716386013</v>
      </c>
      <c r="F15" s="4" t="str">
        <f ca="1">IFERROR(__xludf.DUMMYFUNCTION("""COMPUTED_VALUE"""),"bngobeni10@icloud.com")</f>
        <v>bngobeni10@icloud.com</v>
      </c>
      <c r="G15" s="4" t="str">
        <f ca="1">IFERROR(__xludf.DUMMYFUNCTION("""COMPUTED_VALUE"""),"STUDENT NEED TO PASS LOD311B, PGG311T AND DPC301T DURING S1 2022 AND REPORT FOR ACADEMIC INTERVENTION.")</f>
        <v>STUDENT NEED TO PASS LOD311B, PGG311T AND DPC301T DURING S1 2022 AND REPORT FOR ACADEMIC INTERVENTION.</v>
      </c>
    </row>
    <row r="16" spans="1:13" ht="51.75">
      <c r="A16" s="4">
        <f ca="1">IFERROR(__xludf.DUMMYFUNCTION("""COMPUTED_VALUE"""),217634440)</f>
        <v>217634440</v>
      </c>
      <c r="B16" s="4" t="str">
        <f ca="1">IFERROR(__xludf.DUMMYFUNCTION("""COMPUTED_VALUE"""),"Silabi")</f>
        <v>Silabi</v>
      </c>
      <c r="C16" s="4" t="str">
        <f ca="1">IFERROR(__xludf.DUMMYFUNCTION("""COMPUTED_VALUE"""),"KI")</f>
        <v>KI</v>
      </c>
      <c r="D16" s="3" t="s">
        <v>330</v>
      </c>
      <c r="E16" s="4" t="str">
        <f ca="1">IFERROR(__xludf.DUMMYFUNCTION("""COMPUTED_VALUE"""),"0672643262")</f>
        <v>0672643262</v>
      </c>
      <c r="F16" s="4" t="str">
        <f ca="1">IFERROR(__xludf.DUMMYFUNCTION("""COMPUTED_VALUE"""),"kabelosilabi573@gmail.com")</f>
        <v>kabelosilabi573@gmail.com</v>
      </c>
      <c r="G16" s="4" t="str">
        <f ca="1">IFERROR(__xludf.DUMMYFUNCTION("""COMPUTED_VALUE"""),"STUDENT MUST PASS PGG311T AND DBR311T DURING S1 2022 AND REPORT FOR ACADEMIC INTERVENTION.")</f>
        <v>STUDENT MUST PASS PGG311T AND DBR311T DURING S1 2022 AND REPORT FOR ACADEMIC INTERVENTION.</v>
      </c>
    </row>
    <row r="17" spans="1:13" ht="51.75">
      <c r="A17" s="4">
        <f ca="1">IFERROR(__xludf.DUMMYFUNCTION("""COMPUTED_VALUE"""),218037712)</f>
        <v>218037712</v>
      </c>
      <c r="B17" s="4" t="str">
        <f ca="1">IFERROR(__xludf.DUMMYFUNCTION("""COMPUTED_VALUE"""),"Mvango")</f>
        <v>Mvango</v>
      </c>
      <c r="C17" s="4" t="str">
        <f ca="1">IFERROR(__xludf.DUMMYFUNCTION("""COMPUTED_VALUE"""),"B")</f>
        <v>B</v>
      </c>
      <c r="D17" s="3" t="s">
        <v>330</v>
      </c>
      <c r="E17" s="4" t="str">
        <f ca="1">IFERROR(__xludf.DUMMYFUNCTION("""COMPUTED_VALUE"""),"0626887157")</f>
        <v>0626887157</v>
      </c>
      <c r="F17" s="4" t="str">
        <f ca="1">IFERROR(__xludf.DUMMYFUNCTION("""COMPUTED_VALUE"""),"bathandwabathimvango9@gmail.com")</f>
        <v>bathandwabathimvango9@gmail.com</v>
      </c>
      <c r="G17" s="4" t="str">
        <f ca="1">IFERROR(__xludf.DUMMYFUNCTION("""COMPUTED_VALUE"""),"STUDENT NEED TO PASS DPC201T AND PGG311T DURING S1 2022 AND REPORT FOR ACADEMIC INTERVENTION.")</f>
        <v>STUDENT NEED TO PASS DPC201T AND PGG311T DURING S1 2022 AND REPORT FOR ACADEMIC INTERVENTION.</v>
      </c>
    </row>
    <row r="18" spans="1:13" ht="51.75">
      <c r="A18" s="4">
        <f ca="1">IFERROR(__xludf.DUMMYFUNCTION("""COMPUTED_VALUE"""),218076734)</f>
        <v>218076734</v>
      </c>
      <c r="B18" s="4" t="str">
        <f ca="1">IFERROR(__xludf.DUMMYFUNCTION("""COMPUTED_VALUE"""),"Ngema")</f>
        <v>Ngema</v>
      </c>
      <c r="C18" s="4" t="str">
        <f ca="1">IFERROR(__xludf.DUMMYFUNCTION("""COMPUTED_VALUE"""),"SS")</f>
        <v>SS</v>
      </c>
      <c r="D18" s="3" t="s">
        <v>330</v>
      </c>
      <c r="E18" s="4" t="str">
        <f ca="1">IFERROR(__xludf.DUMMYFUNCTION("""COMPUTED_VALUE"""),"0677746212")</f>
        <v>0677746212</v>
      </c>
      <c r="F18" s="4" t="str">
        <f ca="1">IFERROR(__xludf.DUMMYFUNCTION("""COMPUTED_VALUE"""),"sandilengema.sphelele@gmail.com")</f>
        <v>sandilengema.sphelele@gmail.com</v>
      </c>
      <c r="G18" s="4" t="str">
        <f ca="1">IFERROR(__xludf.DUMMYFUNCTION("""COMPUTED_VALUE"""),"STUDENT NEED TO PASS DPC201T AND PGG311T DURING S1 2022 AND REPORT FOR ACADEMIC INTERVENTION.")</f>
        <v>STUDENT NEED TO PASS DPC201T AND PGG311T DURING S1 2022 AND REPORT FOR ACADEMIC INTERVENTION.</v>
      </c>
    </row>
    <row r="19" spans="1:13">
      <c r="A19" s="4">
        <f ca="1">IFERROR(__xludf.DUMMYFUNCTION("""COMPUTED_VALUE"""),218090214)</f>
        <v>218090214</v>
      </c>
      <c r="B19" s="4"/>
      <c r="C19" s="4"/>
      <c r="D19" s="3" t="s">
        <v>330</v>
      </c>
      <c r="E19" s="4"/>
      <c r="F19" s="4"/>
      <c r="G19" s="4" t="str">
        <f ca="1">IFERROR(__xludf.DUMMYFUNCTION("""COMPUTED_VALUE"""),"STUDENT NEED TO PASS PGG311T DURING S1 2022 AND REPORT FOR ACADEMIC INTERVENTION.")</f>
        <v>STUDENT NEED TO PASS PGG311T DURING S1 2022 AND REPORT FOR ACADEMIC INTERVENTION.</v>
      </c>
    </row>
    <row r="20" spans="1:13">
      <c r="A20" s="4">
        <f ca="1">IFERROR(__xludf.DUMMYFUNCTION("""COMPUTED_VALUE"""),218208720)</f>
        <v>218208720</v>
      </c>
      <c r="B20" s="4"/>
      <c r="C20" s="4"/>
      <c r="D20" s="3" t="s">
        <v>330</v>
      </c>
      <c r="E20" s="4"/>
      <c r="F20" s="4"/>
      <c r="G20" s="4" t="str">
        <f ca="1">IFERROR(__xludf.DUMMYFUNCTION("""COMPUTED_VALUE"""),"STUDENT NEED TO PASS PGG311T DURING S1 2022 AND REPORT FOR ACADEMIC INTERVENTION.")</f>
        <v>STUDENT NEED TO PASS PGG311T DURING S1 2022 AND REPORT FOR ACADEMIC INTERVENTION.</v>
      </c>
    </row>
    <row r="21" spans="1:13" ht="39">
      <c r="A21" s="4">
        <f ca="1">IFERROR(__xludf.DUMMYFUNCTION("""COMPUTED_VALUE"""),218670687)</f>
        <v>218670687</v>
      </c>
      <c r="B21" s="4" t="str">
        <f ca="1">IFERROR(__xludf.DUMMYFUNCTION("""COMPUTED_VALUE"""),"Chakela")</f>
        <v>Chakela</v>
      </c>
      <c r="C21" s="4" t="str">
        <f ca="1">IFERROR(__xludf.DUMMYFUNCTION("""COMPUTED_VALUE"""),"SM")</f>
        <v>SM</v>
      </c>
      <c r="D21" s="3" t="s">
        <v>330</v>
      </c>
      <c r="E21" s="4" t="str">
        <f ca="1">IFERROR(__xludf.DUMMYFUNCTION("""COMPUTED_VALUE"""),"0730830710")</f>
        <v>0730830710</v>
      </c>
      <c r="F21" s="4" t="str">
        <f ca="1">IFERROR(__xludf.DUMMYFUNCTION("""COMPUTED_VALUE"""),"sannahc99@gmail.com")</f>
        <v>sannahc99@gmail.com</v>
      </c>
      <c r="G21" s="4" t="str">
        <f ca="1">IFERROR(__xludf.DUMMYFUNCTION("""COMPUTED_VALUE"""),"STUDENT NEED TO PASS PGG311T DURING S1 2022 AND REPORT FOR ACADEMIC INTERVENTION.")</f>
        <v>STUDENT NEED TO PASS PGG311T DURING S1 2022 AND REPORT FOR ACADEMIC INTERVENTION.</v>
      </c>
    </row>
    <row r="22" spans="1:13" ht="39">
      <c r="A22" s="4">
        <f ca="1">IFERROR(__xludf.DUMMYFUNCTION("""COMPUTED_VALUE"""),218726992)</f>
        <v>218726992</v>
      </c>
      <c r="B22" s="4" t="str">
        <f ca="1">IFERROR(__xludf.DUMMYFUNCTION("""COMPUTED_VALUE"""),"Mavhunga")</f>
        <v>Mavhunga</v>
      </c>
      <c r="C22" s="4" t="s">
        <v>7</v>
      </c>
      <c r="D22" s="3" t="s">
        <v>330</v>
      </c>
      <c r="E22" s="4" t="str">
        <f ca="1">IFERROR(__xludf.DUMMYFUNCTION("""COMPUTED_VALUE"""),"0796228843")</f>
        <v>0796228843</v>
      </c>
      <c r="F22" s="4" t="str">
        <f ca="1">IFERROR(__xludf.DUMMYFUNCTION("""COMPUTED_VALUE"""),"mavhungamulondi@gmail.com")</f>
        <v>mavhungamulondi@gmail.com</v>
      </c>
      <c r="G22" s="4" t="str">
        <f ca="1">IFERROR(__xludf.DUMMYFUNCTION("""COMPUTED_VALUE"""),"STUDENT NEED TO PASS PGG311T DURING S1 2022 AND REPORT FOR ACADEMIC INTERVENTION.")</f>
        <v>STUDENT NEED TO PASS PGG311T DURING S1 2022 AND REPORT FOR ACADEMIC INTERVENTION.</v>
      </c>
    </row>
    <row r="23" spans="1:13" ht="39">
      <c r="A23" s="4">
        <f ca="1">IFERROR(__xludf.DUMMYFUNCTION("""COMPUTED_VALUE"""),218735819)</f>
        <v>218735819</v>
      </c>
      <c r="B23" s="4" t="str">
        <f ca="1">IFERROR(__xludf.DUMMYFUNCTION("""COMPUTED_VALUE"""),"MSIBI ")</f>
        <v xml:space="preserve">MSIBI </v>
      </c>
      <c r="C23" s="4" t="str">
        <f ca="1">IFERROR(__xludf.DUMMYFUNCTION("""COMPUTED_VALUE"""),"NP")</f>
        <v>NP</v>
      </c>
      <c r="D23" s="3" t="s">
        <v>330</v>
      </c>
      <c r="E23" s="4" t="str">
        <f ca="1">IFERROR(__xludf.DUMMYFUNCTION("""COMPUTED_VALUE"""),"0636679543")</f>
        <v>0636679543</v>
      </c>
      <c r="F23" s="4" t="str">
        <f ca="1">IFERROR(__xludf.DUMMYFUNCTION("""COMPUTED_VALUE"""),"promisenonkululeko744@gmail.com")</f>
        <v>promisenonkululeko744@gmail.com</v>
      </c>
      <c r="G23" s="4" t="str">
        <f ca="1">IFERROR(__xludf.DUMMYFUNCTION("""COMPUTED_VALUE"""),"STUDENT NEED TO PASS PGG311T DURING S1 2022 AND REPORT FOR ACADEMIC INTERVENTION.")</f>
        <v>STUDENT NEED TO PASS PGG311T DURING S1 2022 AND REPORT FOR ACADEMIC INTERVENTION.</v>
      </c>
    </row>
    <row r="24" spans="1:13" ht="59.25" customHeight="1">
      <c r="A24" s="4">
        <f ca="1">IFERROR(__xludf.DUMMYFUNCTION("""COMPUTED_VALUE"""),219775636)</f>
        <v>219775636</v>
      </c>
      <c r="B24" s="4"/>
      <c r="C24" s="4"/>
      <c r="D24" s="3" t="s">
        <v>330</v>
      </c>
      <c r="E24" s="4"/>
      <c r="F24" s="4"/>
      <c r="G24" s="4" t="str">
        <f ca="1">IFERROR(__xludf.DUMMYFUNCTION("""COMPUTED_VALUE"""),"STUDENT MUST PASS PGG311T AND LOD311B DURING S1 2022 AND REPORT FOR ACADEMIC INTERVENTION.")</f>
        <v>STUDENT MUST PASS PGG311T AND LOD311B DURING S1 2022 AND REPORT FOR ACADEMIC INTERVENTION.</v>
      </c>
    </row>
    <row r="25" spans="1:13" ht="39">
      <c r="A25" s="4">
        <f ca="1">IFERROR(__xludf.DUMMYFUNCTION("""COMPUTED_VALUE"""),219972296)</f>
        <v>219972296</v>
      </c>
      <c r="B25" s="4" t="str">
        <f ca="1">IFERROR(__xludf.DUMMYFUNCTION("""COMPUTED_VALUE"""),"Thabetha")</f>
        <v>Thabetha</v>
      </c>
      <c r="C25" s="4" t="str">
        <f ca="1">IFERROR(__xludf.DUMMYFUNCTION("""COMPUTED_VALUE"""),"SE")</f>
        <v>SE</v>
      </c>
      <c r="D25" s="3" t="s">
        <v>330</v>
      </c>
      <c r="E25" s="8">
        <v>767492603</v>
      </c>
      <c r="F25" s="4" t="str">
        <f ca="1">IFERROR(__xludf.DUMMYFUNCTION("""COMPUTED_VALUE"""),"sethabetha@gmail.com")</f>
        <v>sethabetha@gmail.com</v>
      </c>
      <c r="G25" s="4" t="str">
        <f ca="1">IFERROR(__xludf.DUMMYFUNCTION("""COMPUTED_VALUE"""),"STUDENT NEED TO PASS PGG311T DURING S1 2022 AND REPORT FOR ACADEMIC INTERVENTION.")</f>
        <v>STUDENT NEED TO PASS PGG311T DURING S1 2022 AND REPORT FOR ACADEMIC INTERVENTION.</v>
      </c>
    </row>
    <row r="26" spans="1:13">
      <c r="A26" s="4">
        <f ca="1">IFERROR(__xludf.DUMMYFUNCTION("""COMPUTED_VALUE"""),220061965)</f>
        <v>220061965</v>
      </c>
      <c r="B26" s="4"/>
      <c r="C26" s="4"/>
      <c r="D26" s="3" t="s">
        <v>330</v>
      </c>
      <c r="E26" s="4"/>
      <c r="F26" s="4"/>
      <c r="G26" s="4" t="str">
        <f ca="1">IFERROR(__xludf.DUMMYFUNCTION("""COMPUTED_VALUE"""),"STUDENT NEED TO PASS PGG311T DURING S1 2022 AND NEED TO REPORT FOR ACADEMIC INTERVENTION.")</f>
        <v>STUDENT NEED TO PASS PGG311T DURING S1 2022 AND NEED TO REPORT FOR ACADEMIC INTERVENTION.</v>
      </c>
    </row>
    <row r="27" spans="1:13" ht="51.75">
      <c r="A27" s="4">
        <f ca="1">IFERROR(__xludf.DUMMYFUNCTION("""COMPUTED_VALUE"""),212249122)</f>
        <v>212249122</v>
      </c>
      <c r="B27" s="4" t="str">
        <f ca="1">IFERROR(__xludf.DUMMYFUNCTION("""COMPUTED_VALUE"""),"Mosidi")</f>
        <v>Mosidi</v>
      </c>
      <c r="C27" s="4" t="str">
        <f ca="1">IFERROR(__xludf.DUMMYFUNCTION("""COMPUTED_VALUE"""),"S.G")</f>
        <v>S.G</v>
      </c>
      <c r="D27" s="3" t="s">
        <v>330</v>
      </c>
      <c r="E27" s="4" t="str">
        <f ca="1">IFERROR(__xludf.DUMMYFUNCTION("""COMPUTED_VALUE"""),"0817746448")</f>
        <v>0817746448</v>
      </c>
      <c r="F27" s="4" t="str">
        <f ca="1">IFERROR(__xludf.DUMMYFUNCTION("""COMPUTED_VALUE"""),"shimane.mosidi@gmail.com")</f>
        <v>shimane.mosidi@gmail.com</v>
      </c>
      <c r="G27" s="4" t="str">
        <f ca="1">IFERROR(__xludf.DUMMYFUNCTION("""COMPUTED_VALUE"""),"STUDENT NEED TO PASS PGG311T DURING S1 2022 AND NEED TO REPORT FOR ACADEMIC INTERVENTION.")</f>
        <v>STUDENT NEED TO PASS PGG311T DURING S1 2022 AND NEED TO REPORT FOR ACADEMIC INTERVENTION.</v>
      </c>
    </row>
    <row r="28" spans="1:13" ht="51.75">
      <c r="A28" s="4">
        <f ca="1">IFERROR(__xludf.DUMMYFUNCTION("""COMPUTED_VALUE"""),218302017)</f>
        <v>218302017</v>
      </c>
      <c r="B28" s="4" t="str">
        <f ca="1">IFERROR(__xludf.DUMMYFUNCTION("""COMPUTED_VALUE"""),"Mthuli")</f>
        <v>Mthuli</v>
      </c>
      <c r="C28" s="4" t="str">
        <f ca="1">IFERROR(__xludf.DUMMYFUNCTION("""COMPUTED_VALUE"""),"A.P")</f>
        <v>A.P</v>
      </c>
      <c r="D28" s="3" t="s">
        <v>330</v>
      </c>
      <c r="E28" s="4" t="str">
        <f ca="1">IFERROR(__xludf.DUMMYFUNCTION("""COMPUTED_VALUE"""),"0747717759")</f>
        <v>0747717759</v>
      </c>
      <c r="F28" s="4" t="str">
        <f ca="1">IFERROR(__xludf.DUMMYFUNCTION("""COMPUTED_VALUE"""),"aymein.kevin@gmail.com")</f>
        <v>aymein.kevin@gmail.com</v>
      </c>
      <c r="G28" s="4" t="str">
        <f ca="1">IFERROR(__xludf.DUMMYFUNCTION("""COMPUTED_VALUE"""),"STUDENT NEED TO PASS PGG311T DURING S1 2022 AND NEED TO REPORT FOR ACADEMIC INTERVENTION.")</f>
        <v>STUDENT NEED TO PASS PGG311T DURING S1 2022 AND NEED TO REPORT FOR ACADEMIC INTERVENTION.</v>
      </c>
    </row>
    <row r="29" spans="1:13" ht="77.25">
      <c r="A29" s="4">
        <f ca="1">IFERROR(__xludf.DUMMYFUNCTION("""COMPUTED_VALUE"""),218484840)</f>
        <v>218484840</v>
      </c>
      <c r="B29" s="4" t="str">
        <f ca="1">IFERROR(__xludf.DUMMYFUNCTION("""COMPUTED_VALUE"""),"Rankapole")</f>
        <v>Rankapole</v>
      </c>
      <c r="C29" s="4" t="str">
        <f ca="1">IFERROR(__xludf.DUMMYFUNCTION("""COMPUTED_VALUE"""),"TNM")</f>
        <v>TNM</v>
      </c>
      <c r="D29" s="3" t="s">
        <v>330</v>
      </c>
      <c r="E29" s="4" t="str">
        <f ca="1">IFERROR(__xludf.DUMMYFUNCTION("""COMPUTED_VALUE"""),"+27721359122")</f>
        <v>+27721359122</v>
      </c>
      <c r="F29" s="4" t="str">
        <f ca="1">IFERROR(__xludf.DUMMYFUNCTION("""COMPUTED_VALUE"""),"nuelmarco97@gmail.com")</f>
        <v>nuelmarco97@gmail.com</v>
      </c>
      <c r="G29" s="4" t="str">
        <f ca="1">IFERROR(__xludf.DUMMYFUNCTION("""COMPUTED_VALUE"""),"STUDENT NEED TO PASS PGG311T AND REMAINING SUBJECTS DURING S1 2022 AND REPORT FOR ACADEMIC INTERVENTION AND MAKE AN APPOINTMENT WITH THE HOD.")</f>
        <v>STUDENT NEED TO PASS PGG311T AND REMAINING SUBJECTS DURING S1 2022 AND REPORT FOR ACADEMIC INTERVENTION AND MAKE AN APPOINTMENT WITH THE HOD.</v>
      </c>
    </row>
    <row r="30" spans="1:13" ht="51.75">
      <c r="A30" s="4">
        <f ca="1">IFERROR(__xludf.DUMMYFUNCTION("""COMPUTED_VALUE"""),217021286)</f>
        <v>217021286</v>
      </c>
      <c r="B30" s="4" t="str">
        <f ca="1">IFERROR(__xludf.DUMMYFUNCTION("""COMPUTED_VALUE"""),"Mthunywa ")</f>
        <v xml:space="preserve">Mthunywa </v>
      </c>
      <c r="C30" s="4" t="str">
        <f ca="1">IFERROR(__xludf.DUMMYFUNCTION("""COMPUTED_VALUE"""),"Pz")</f>
        <v>Pz</v>
      </c>
      <c r="D30" s="3" t="s">
        <v>330</v>
      </c>
      <c r="E30" s="4" t="str">
        <f ca="1">IFERROR(__xludf.DUMMYFUNCTION("""COMPUTED_VALUE"""),"646507999")</f>
        <v>646507999</v>
      </c>
      <c r="F30" s="4" t="str">
        <f ca="1">IFERROR(__xludf.DUMMYFUNCTION("""COMPUTED_VALUE"""),"pertuniamthunywa@gmail.com")</f>
        <v>pertuniamthunywa@gmail.com</v>
      </c>
      <c r="G30" s="4" t="str">
        <f ca="1">IFERROR(__xludf.DUMMYFUNCTION("""COMPUTED_VALUE"""),"LIFTED, STUDENT MUST PASS ELC211B, PGG311T AND OTHER SUBJECT AND REPORT FOR ACADEMIC INTERVENTION.")</f>
        <v>LIFTED, STUDENT MUST PASS ELC211B, PGG311T AND OTHER SUBJECT AND REPORT FOR ACADEMIC INTERVENTION.</v>
      </c>
    </row>
    <row r="31" spans="1:13" ht="26.25">
      <c r="A31" s="18">
        <v>218274773</v>
      </c>
      <c r="B31" s="21" t="s">
        <v>10</v>
      </c>
      <c r="C31" s="21" t="s">
        <v>10</v>
      </c>
      <c r="D31" s="3" t="s">
        <v>330</v>
      </c>
      <c r="E31" s="23" t="s">
        <v>10</v>
      </c>
      <c r="F31" s="21" t="s">
        <v>10</v>
      </c>
      <c r="G31" s="25" t="s">
        <v>545</v>
      </c>
    </row>
    <row r="32" spans="1:13" s="115" customFormat="1" ht="75">
      <c r="A32" s="210">
        <v>218553460</v>
      </c>
      <c r="B32" s="258" t="s">
        <v>546</v>
      </c>
      <c r="C32" s="258" t="s">
        <v>436</v>
      </c>
      <c r="D32" s="153" t="s">
        <v>343</v>
      </c>
      <c r="E32" s="204">
        <v>671949846</v>
      </c>
      <c r="F32" s="256" t="s">
        <v>547</v>
      </c>
      <c r="G32" s="257" t="s">
        <v>548</v>
      </c>
      <c r="H32" s="115" t="s">
        <v>400</v>
      </c>
      <c r="I32" s="115" t="s">
        <v>405</v>
      </c>
      <c r="K32" s="240" t="s">
        <v>549</v>
      </c>
      <c r="M32" s="115" t="s">
        <v>550</v>
      </c>
    </row>
  </sheetData>
  <hyperlinks>
    <hyperlink ref="F32" r:id="rId1"/>
  </hyperlinks>
  <pageMargins left="0.7" right="0.7" top="0.75" bottom="0.75" header="0.3" footer="0.3"/>
  <pageSetup paperSize="9" orientation="portrait"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140625" customWidth="1"/>
    <col min="2" max="2" width="15.28515625" customWidth="1"/>
    <col min="4" max="4" width="15.140625" customWidth="1"/>
    <col min="5" max="5" width="16.42578125" customWidth="1"/>
    <col min="6" max="6" width="28.140625" customWidth="1"/>
    <col min="7" max="7" width="27.28515625" customWidth="1"/>
  </cols>
  <sheetData>
    <row r="1" spans="1:7">
      <c r="A1" s="1" t="s">
        <v>0</v>
      </c>
      <c r="B1" s="1" t="s">
        <v>1</v>
      </c>
      <c r="C1" s="1" t="s">
        <v>2</v>
      </c>
      <c r="D1" s="27" t="s">
        <v>3</v>
      </c>
      <c r="E1" s="1" t="s">
        <v>4</v>
      </c>
      <c r="F1" s="1" t="s">
        <v>5</v>
      </c>
      <c r="G1" s="1" t="s">
        <v>6</v>
      </c>
    </row>
    <row r="2" spans="1:7" ht="51.75">
      <c r="A2" s="100">
        <v>217202809</v>
      </c>
      <c r="B2" s="138" t="s">
        <v>607</v>
      </c>
      <c r="C2" s="139" t="s">
        <v>608</v>
      </c>
      <c r="D2" s="144" t="s">
        <v>309</v>
      </c>
      <c r="E2" s="138">
        <v>634957786</v>
      </c>
      <c r="F2" s="105" t="s">
        <v>609</v>
      </c>
      <c r="G2" s="104" t="s">
        <v>610</v>
      </c>
    </row>
  </sheetData>
  <hyperlinks>
    <hyperlink ref="F2" r:id="rId1"/>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8" sqref="F8"/>
    </sheetView>
  </sheetViews>
  <sheetFormatPr defaultRowHeight="15"/>
  <cols>
    <col min="1" max="1" width="14.140625" customWidth="1"/>
    <col min="2" max="2" width="17.140625" customWidth="1"/>
    <col min="4" max="4" width="19.42578125" customWidth="1"/>
    <col min="5" max="5" width="17.140625" customWidth="1"/>
    <col min="6" max="6" width="19.85546875" customWidth="1"/>
    <col min="7" max="7" width="28.7109375" customWidth="1"/>
  </cols>
  <sheetData>
    <row r="1" spans="1:7">
      <c r="A1" s="1" t="s">
        <v>0</v>
      </c>
      <c r="B1" s="1" t="s">
        <v>1</v>
      </c>
      <c r="C1" s="1" t="s">
        <v>2</v>
      </c>
      <c r="D1" s="27" t="s">
        <v>3</v>
      </c>
      <c r="E1" s="1" t="s">
        <v>4</v>
      </c>
      <c r="F1" s="1" t="s">
        <v>5</v>
      </c>
      <c r="G1" s="1" t="s">
        <v>6</v>
      </c>
    </row>
    <row r="2" spans="1:7" ht="89.25" customHeight="1">
      <c r="A2" s="122">
        <v>219655045</v>
      </c>
      <c r="B2" s="123" t="s">
        <v>504</v>
      </c>
      <c r="C2" s="123" t="s">
        <v>505</v>
      </c>
      <c r="D2" s="110" t="s">
        <v>774</v>
      </c>
      <c r="E2" s="122" t="s">
        <v>506</v>
      </c>
      <c r="F2" s="124" t="s">
        <v>507</v>
      </c>
      <c r="G2" s="125" t="s">
        <v>508</v>
      </c>
    </row>
    <row r="3" spans="1:7" ht="166.5">
      <c r="A3" s="91">
        <v>214752042</v>
      </c>
      <c r="B3" s="130" t="s">
        <v>660</v>
      </c>
      <c r="C3" s="130" t="s">
        <v>187</v>
      </c>
      <c r="D3" s="102"/>
      <c r="E3" s="91">
        <v>681539798</v>
      </c>
      <c r="F3" s="129" t="s">
        <v>661</v>
      </c>
      <c r="G3" s="95" t="s">
        <v>662</v>
      </c>
    </row>
  </sheetData>
  <hyperlinks>
    <hyperlink ref="F2" r:id="rId1"/>
    <hyperlink ref="F3" r:id="rId2"/>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A2" sqref="A2"/>
    </sheetView>
  </sheetViews>
  <sheetFormatPr defaultRowHeight="15"/>
  <cols>
    <col min="1" max="1" width="18.140625" customWidth="1"/>
    <col min="2" max="2" width="16.140625" customWidth="1"/>
    <col min="4" max="4" width="21.42578125" customWidth="1"/>
    <col min="5" max="5" width="15.85546875" customWidth="1"/>
    <col min="6" max="6" width="31.28515625" customWidth="1"/>
    <col min="7" max="7" width="30.28515625" customWidth="1"/>
    <col min="8" max="8" width="22.28515625" bestFit="1" customWidth="1"/>
    <col min="9" max="9" width="35.140625" bestFit="1" customWidth="1"/>
    <col min="10" max="10" width="18.5703125" bestFit="1" customWidth="1"/>
    <col min="11" max="11" width="20.5703125" customWidth="1"/>
    <col min="12" max="12" width="19.28515625" customWidth="1"/>
    <col min="13" max="13" width="22.85546875" customWidth="1"/>
  </cols>
  <sheetData>
    <row r="1" spans="1:13" ht="37.5" customHeight="1">
      <c r="A1" s="1" t="s">
        <v>0</v>
      </c>
      <c r="B1" s="1" t="s">
        <v>1</v>
      </c>
      <c r="C1" s="1" t="s">
        <v>2</v>
      </c>
      <c r="D1" s="27" t="s">
        <v>3</v>
      </c>
      <c r="E1" s="1" t="s">
        <v>4</v>
      </c>
      <c r="F1" s="1" t="s">
        <v>5</v>
      </c>
      <c r="G1" s="166" t="s">
        <v>6</v>
      </c>
      <c r="H1" s="202" t="s">
        <v>391</v>
      </c>
      <c r="I1" s="202" t="s">
        <v>392</v>
      </c>
      <c r="J1" s="202" t="s">
        <v>393</v>
      </c>
      <c r="K1" s="202" t="s">
        <v>394</v>
      </c>
      <c r="L1" s="227" t="s">
        <v>395</v>
      </c>
      <c r="M1" s="202" t="s">
        <v>396</v>
      </c>
    </row>
    <row r="2" spans="1:13" ht="151.5" customHeight="1">
      <c r="A2" s="100">
        <v>217049628</v>
      </c>
      <c r="B2" s="138" t="s">
        <v>532</v>
      </c>
      <c r="C2" s="138" t="s">
        <v>28</v>
      </c>
      <c r="D2" s="102" t="s">
        <v>365</v>
      </c>
      <c r="E2" s="100">
        <v>731926142</v>
      </c>
      <c r="F2" s="105" t="s">
        <v>533</v>
      </c>
      <c r="G2" s="167" t="s">
        <v>534</v>
      </c>
      <c r="H2" s="159" t="s">
        <v>702</v>
      </c>
      <c r="I2" s="159" t="s">
        <v>405</v>
      </c>
      <c r="J2" s="159" t="s">
        <v>401</v>
      </c>
      <c r="K2" s="233" t="s">
        <v>535</v>
      </c>
      <c r="L2" t="s">
        <v>536</v>
      </c>
      <c r="M2" s="233" t="s">
        <v>775</v>
      </c>
    </row>
    <row r="3" spans="1:13" ht="102.75">
      <c r="A3" s="100">
        <v>212279218</v>
      </c>
      <c r="B3" s="138" t="s">
        <v>537</v>
      </c>
      <c r="C3" s="138" t="s">
        <v>423</v>
      </c>
      <c r="D3" s="102"/>
      <c r="E3" s="100">
        <v>646164042</v>
      </c>
      <c r="F3" s="105" t="s">
        <v>538</v>
      </c>
      <c r="G3" s="167" t="s">
        <v>539</v>
      </c>
      <c r="H3" s="159" t="s">
        <v>702</v>
      </c>
      <c r="I3" s="159"/>
      <c r="J3" s="159" t="s">
        <v>401</v>
      </c>
    </row>
    <row r="4" spans="1:13" ht="77.25">
      <c r="A4" s="100">
        <v>218269249</v>
      </c>
      <c r="B4" s="101" t="s">
        <v>10</v>
      </c>
      <c r="C4" s="101" t="s">
        <v>10</v>
      </c>
      <c r="D4" s="102"/>
      <c r="E4" s="103" t="s">
        <v>10</v>
      </c>
      <c r="F4" s="101" t="s">
        <v>10</v>
      </c>
      <c r="G4" s="167" t="s">
        <v>540</v>
      </c>
      <c r="H4" s="159" t="s">
        <v>702</v>
      </c>
      <c r="I4" s="159"/>
      <c r="J4" s="159" t="s">
        <v>453</v>
      </c>
    </row>
  </sheetData>
  <hyperlinks>
    <hyperlink ref="F2" r:id="rId1"/>
    <hyperlink ref="F3" r:id="rId2"/>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19.5703125" customWidth="1"/>
    <col min="2" max="2" width="18.85546875" customWidth="1"/>
    <col min="4" max="4" width="15.5703125" customWidth="1"/>
    <col min="5" max="5" width="17.140625" customWidth="1"/>
    <col min="6" max="6" width="25.28515625" customWidth="1"/>
    <col min="7" max="7" width="36" customWidth="1"/>
    <col min="8" max="8" width="22.28515625" bestFit="1" customWidth="1"/>
    <col min="9" max="9" width="35.140625" bestFit="1" customWidth="1"/>
    <col min="10" max="10" width="18.5703125" bestFit="1" customWidth="1"/>
    <col min="11" max="11" width="18.28515625" customWidth="1"/>
    <col min="12" max="12" width="24.28515625" customWidth="1"/>
    <col min="13" max="13" width="21" customWidth="1"/>
  </cols>
  <sheetData>
    <row r="1" spans="1:13" ht="45.75" customHeight="1">
      <c r="A1" s="27" t="s">
        <v>0</v>
      </c>
      <c r="B1" s="27" t="s">
        <v>1</v>
      </c>
      <c r="C1" s="27" t="s">
        <v>2</v>
      </c>
      <c r="D1" s="27" t="s">
        <v>3</v>
      </c>
      <c r="E1" s="27" t="s">
        <v>4</v>
      </c>
      <c r="F1" s="27" t="s">
        <v>5</v>
      </c>
      <c r="G1" s="218" t="s">
        <v>6</v>
      </c>
      <c r="H1" s="202" t="s">
        <v>391</v>
      </c>
      <c r="I1" s="202" t="s">
        <v>392</v>
      </c>
      <c r="J1" s="202" t="s">
        <v>393</v>
      </c>
      <c r="K1" s="202" t="s">
        <v>394</v>
      </c>
      <c r="L1" s="227" t="s">
        <v>395</v>
      </c>
      <c r="M1" s="202" t="s">
        <v>396</v>
      </c>
    </row>
    <row r="2" spans="1:13" ht="57.75" customHeight="1">
      <c r="A2" s="120">
        <v>217169569</v>
      </c>
      <c r="B2" s="120" t="s">
        <v>657</v>
      </c>
      <c r="C2" s="120" t="s">
        <v>53</v>
      </c>
      <c r="D2" s="108"/>
      <c r="E2" s="120">
        <v>818892087</v>
      </c>
      <c r="F2" s="121" t="s">
        <v>658</v>
      </c>
      <c r="G2" s="219" t="s">
        <v>659</v>
      </c>
      <c r="H2" s="159" t="s">
        <v>400</v>
      </c>
      <c r="I2" s="159"/>
      <c r="J2" s="159" t="s">
        <v>401</v>
      </c>
    </row>
    <row r="3" spans="1:13" ht="64.5">
      <c r="A3" s="106">
        <v>218269249</v>
      </c>
      <c r="B3" s="94" t="s">
        <v>10</v>
      </c>
      <c r="C3" s="94" t="s">
        <v>10</v>
      </c>
      <c r="D3" s="94"/>
      <c r="E3" s="94" t="s">
        <v>10</v>
      </c>
      <c r="F3" s="133" t="s">
        <v>776</v>
      </c>
      <c r="G3" s="220" t="s">
        <v>540</v>
      </c>
      <c r="H3" s="159" t="s">
        <v>702</v>
      </c>
      <c r="I3" s="159"/>
      <c r="J3" s="159" t="s">
        <v>453</v>
      </c>
    </row>
    <row r="4" spans="1:13" ht="150">
      <c r="A4" s="88">
        <f ca="1">IFERROR(__xludf.DUMMYFUNCTION("""COMPUTED_VALUE"""),218207278)</f>
        <v>218207278</v>
      </c>
      <c r="B4" s="88" t="str">
        <f ca="1">IFERROR(__xludf.DUMMYFUNCTION("""COMPUTED_VALUE"""),"Themba")</f>
        <v>Themba</v>
      </c>
      <c r="C4" s="88" t="str">
        <f ca="1">IFERROR(__xludf.DUMMYFUNCTION("""COMPUTED_VALUE"""),"CT")</f>
        <v>CT</v>
      </c>
      <c r="D4" s="88"/>
      <c r="E4" s="88" t="str">
        <f ca="1">IFERROR(__xludf.DUMMYFUNCTION("""COMPUTED_VALUE"""),"0825123466")</f>
        <v>0825123466</v>
      </c>
      <c r="F4" s="88" t="str">
        <f ca="1">IFERROR(__xludf.DUMMYFUNCTION("""COMPUTED_VALUE"""),"218207278@tut4life.ac.za")</f>
        <v>218207278@tut4life.ac.za</v>
      </c>
      <c r="G4" s="185" t="str">
        <f ca="1">IFERROR(__xludf.DUMMYFUNCTION("""COMPUTED_VALUE"""),"Student must pass TPG12AT in 2022 Semester 1.")</f>
        <v>Student must pass TPG12AT in 2022 Semester 1.</v>
      </c>
      <c r="H4" s="194" t="s">
        <v>400</v>
      </c>
      <c r="I4" s="194" t="s">
        <v>405</v>
      </c>
      <c r="J4" s="241"/>
      <c r="K4" s="203" t="s">
        <v>561</v>
      </c>
      <c r="L4" s="194" t="s">
        <v>351</v>
      </c>
      <c r="M4" s="203" t="s">
        <v>562</v>
      </c>
    </row>
  </sheetData>
  <hyperlinks>
    <hyperlink ref="F2" r:id="rId1"/>
    <hyperlink ref="F3" r:id="rId2"/>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8" sqref="H28"/>
    </sheetView>
  </sheetViews>
  <sheetFormatPr defaultRowHeight="15"/>
  <cols>
    <col min="1" max="1" width="16.28515625" customWidth="1"/>
    <col min="2" max="2" width="15.28515625" customWidth="1"/>
    <col min="4" max="4" width="18.5703125" customWidth="1"/>
    <col min="5" max="5" width="16.42578125" customWidth="1"/>
    <col min="6" max="6" width="29.85546875" customWidth="1"/>
    <col min="7" max="7" width="33.5703125" customWidth="1"/>
  </cols>
  <sheetData>
    <row r="1" spans="1:7">
      <c r="A1" s="1" t="s">
        <v>0</v>
      </c>
      <c r="B1" s="1" t="s">
        <v>1</v>
      </c>
      <c r="C1" s="1" t="s">
        <v>2</v>
      </c>
      <c r="D1" s="27" t="s">
        <v>3</v>
      </c>
      <c r="E1" s="1" t="s">
        <v>4</v>
      </c>
      <c r="F1" s="1" t="s">
        <v>5</v>
      </c>
      <c r="G1" s="1" t="s">
        <v>6</v>
      </c>
    </row>
    <row r="2" spans="1:7" ht="86.25" customHeight="1">
      <c r="A2" s="126">
        <v>217169569</v>
      </c>
      <c r="B2" s="123" t="s">
        <v>657</v>
      </c>
      <c r="C2" s="127" t="s">
        <v>53</v>
      </c>
      <c r="D2" s="110" t="s">
        <v>376</v>
      </c>
      <c r="E2" s="122">
        <v>818892087</v>
      </c>
      <c r="F2" s="124" t="s">
        <v>658</v>
      </c>
      <c r="G2" s="128" t="s">
        <v>659</v>
      </c>
    </row>
  </sheetData>
  <hyperlinks>
    <hyperlink ref="F2" r:id="rId1"/>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9" customWidth="1"/>
    <col min="2" max="2" width="13.42578125" customWidth="1"/>
    <col min="4" max="4" width="13.140625" customWidth="1"/>
    <col min="5" max="5" width="16.7109375" customWidth="1"/>
    <col min="6" max="6" width="24.85546875" customWidth="1"/>
    <col min="7" max="7" width="26.85546875" customWidth="1"/>
  </cols>
  <sheetData>
    <row r="1" spans="1:7">
      <c r="A1" s="1" t="s">
        <v>0</v>
      </c>
      <c r="B1" s="1" t="s">
        <v>1</v>
      </c>
      <c r="C1" s="1" t="s">
        <v>2</v>
      </c>
      <c r="D1" s="27" t="s">
        <v>3</v>
      </c>
      <c r="E1" s="1" t="s">
        <v>4</v>
      </c>
      <c r="F1" s="1" t="s">
        <v>5</v>
      </c>
      <c r="G1" s="1" t="s">
        <v>6</v>
      </c>
    </row>
    <row r="2" spans="1:7" ht="82.5" customHeight="1">
      <c r="A2" s="100">
        <v>218578489</v>
      </c>
      <c r="B2" s="101" t="s">
        <v>10</v>
      </c>
      <c r="C2" s="101" t="s">
        <v>10</v>
      </c>
      <c r="D2" s="102" t="s">
        <v>777</v>
      </c>
      <c r="E2" s="103" t="s">
        <v>10</v>
      </c>
      <c r="F2" s="101" t="s">
        <v>10</v>
      </c>
      <c r="G2" s="104" t="s">
        <v>439</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4.140625" customWidth="1"/>
    <col min="2" max="2" width="16" customWidth="1"/>
    <col min="4" max="4" width="18.85546875" customWidth="1"/>
    <col min="5" max="5" width="20" customWidth="1"/>
    <col min="6" max="6" width="28.5703125" customWidth="1"/>
    <col min="7" max="7" width="29.5703125" customWidth="1"/>
  </cols>
  <sheetData>
    <row r="1" spans="1:7">
      <c r="A1" s="1" t="s">
        <v>0</v>
      </c>
      <c r="B1" s="1" t="s">
        <v>1</v>
      </c>
      <c r="C1" s="1" t="s">
        <v>2</v>
      </c>
      <c r="D1" s="27" t="s">
        <v>3</v>
      </c>
      <c r="E1" s="1" t="s">
        <v>4</v>
      </c>
      <c r="F1" s="1" t="s">
        <v>5</v>
      </c>
      <c r="G1" s="1" t="s">
        <v>6</v>
      </c>
    </row>
    <row r="2" spans="1:7" ht="99.75" customHeight="1">
      <c r="A2" s="94">
        <v>218499228</v>
      </c>
      <c r="B2" s="107" t="s">
        <v>10</v>
      </c>
      <c r="C2" s="107" t="s">
        <v>10</v>
      </c>
      <c r="D2" s="102" t="s">
        <v>778</v>
      </c>
      <c r="E2" s="94" t="s">
        <v>10</v>
      </c>
      <c r="F2" s="107" t="s">
        <v>10</v>
      </c>
      <c r="G2" s="95" t="s">
        <v>473</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A2:G2"/>
    </sheetView>
  </sheetViews>
  <sheetFormatPr defaultRowHeight="15"/>
  <cols>
    <col min="1" max="1" width="17.7109375" customWidth="1"/>
    <col min="2" max="2" width="13.7109375" customWidth="1"/>
    <col min="4" max="4" width="16.42578125" customWidth="1"/>
    <col min="5" max="5" width="19" customWidth="1"/>
    <col min="6" max="6" width="28" customWidth="1"/>
    <col min="7" max="7" width="25.140625" customWidth="1"/>
  </cols>
  <sheetData>
    <row r="1" spans="1:7">
      <c r="A1" s="1" t="s">
        <v>0</v>
      </c>
      <c r="B1" s="1" t="s">
        <v>1</v>
      </c>
      <c r="C1" s="1" t="s">
        <v>2</v>
      </c>
      <c r="D1" s="27" t="s">
        <v>3</v>
      </c>
      <c r="E1" s="1" t="s">
        <v>4</v>
      </c>
      <c r="F1" s="1" t="s">
        <v>5</v>
      </c>
      <c r="G1" s="1" t="s">
        <v>6</v>
      </c>
    </row>
    <row r="2" spans="1:7" ht="74.25" customHeight="1">
      <c r="A2" s="108">
        <v>218553460</v>
      </c>
      <c r="B2" s="109" t="s">
        <v>546</v>
      </c>
      <c r="C2" s="109" t="s">
        <v>436</v>
      </c>
      <c r="D2" s="110" t="s">
        <v>343</v>
      </c>
      <c r="E2" s="111">
        <v>671949846</v>
      </c>
      <c r="F2" s="112" t="s">
        <v>547</v>
      </c>
      <c r="G2" s="113" t="s">
        <v>548</v>
      </c>
    </row>
  </sheetData>
  <hyperlinks>
    <hyperlink ref="F2" r:id="rId1"/>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RowHeight="15"/>
  <cols>
    <col min="1" max="1" width="16.7109375" customWidth="1"/>
    <col min="2" max="2" width="13.5703125" customWidth="1"/>
    <col min="3" max="4" width="16.42578125" customWidth="1"/>
    <col min="5" max="5" width="15.5703125" customWidth="1"/>
    <col min="6" max="6" width="25.140625" customWidth="1"/>
    <col min="7" max="7" width="25.5703125" customWidth="1"/>
  </cols>
  <sheetData>
    <row r="1" spans="1:7">
      <c r="A1" s="1" t="s">
        <v>0</v>
      </c>
      <c r="B1" s="1" t="s">
        <v>1</v>
      </c>
      <c r="C1" s="1" t="s">
        <v>2</v>
      </c>
      <c r="D1" s="27" t="s">
        <v>3</v>
      </c>
      <c r="E1" s="1" t="s">
        <v>4</v>
      </c>
      <c r="F1" s="1" t="s">
        <v>5</v>
      </c>
      <c r="G1" s="1" t="s">
        <v>6</v>
      </c>
    </row>
    <row r="2" spans="1:7" ht="39">
      <c r="A2" s="108">
        <v>218553460</v>
      </c>
      <c r="B2" s="109" t="s">
        <v>546</v>
      </c>
      <c r="C2" s="109" t="s">
        <v>436</v>
      </c>
      <c r="D2" s="110" t="s">
        <v>380</v>
      </c>
      <c r="E2" s="111">
        <v>671949846</v>
      </c>
      <c r="F2" s="112" t="s">
        <v>547</v>
      </c>
      <c r="G2" s="113" t="s">
        <v>548</v>
      </c>
    </row>
  </sheetData>
  <hyperlinks>
    <hyperlink ref="F2" r:id="rId1"/>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J25" sqref="J25"/>
    </sheetView>
  </sheetViews>
  <sheetFormatPr defaultRowHeight="15"/>
  <cols>
    <col min="1" max="1" width="12" customWidth="1"/>
    <col min="2" max="2" width="12.7109375" customWidth="1"/>
    <col min="4" max="4" width="13.28515625" customWidth="1"/>
    <col min="5" max="5" width="17.28515625" customWidth="1"/>
    <col min="6" max="6" width="22.85546875" customWidth="1"/>
    <col min="7" max="7" width="25.42578125" customWidth="1"/>
  </cols>
  <sheetData>
    <row r="1" spans="1:7">
      <c r="A1" s="1" t="s">
        <v>0</v>
      </c>
      <c r="B1" s="1" t="s">
        <v>1</v>
      </c>
      <c r="C1" s="1" t="s">
        <v>2</v>
      </c>
      <c r="D1" s="27" t="s">
        <v>3</v>
      </c>
      <c r="E1" s="1" t="s">
        <v>4</v>
      </c>
      <c r="F1" s="1" t="s">
        <v>5</v>
      </c>
      <c r="G1" s="1" t="s">
        <v>6</v>
      </c>
    </row>
    <row r="2" spans="1:7" ht="51.75">
      <c r="A2" s="111">
        <v>217024790</v>
      </c>
      <c r="B2" s="114" t="s">
        <v>85</v>
      </c>
      <c r="C2" s="114" t="s">
        <v>187</v>
      </c>
      <c r="D2" s="110" t="s">
        <v>779</v>
      </c>
      <c r="E2" s="111">
        <v>848212353</v>
      </c>
      <c r="F2" s="112" t="s">
        <v>474</v>
      </c>
      <c r="G2" s="113" t="s">
        <v>475</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F1" workbookViewId="0">
      <selection activeCell="H1" sqref="H1:M1"/>
    </sheetView>
  </sheetViews>
  <sheetFormatPr defaultRowHeight="15"/>
  <cols>
    <col min="1" max="1" width="17.7109375" customWidth="1"/>
    <col min="2" max="2" width="16.5703125" customWidth="1"/>
    <col min="4" max="4" width="17.42578125" customWidth="1"/>
    <col min="5" max="5" width="19.140625" customWidth="1"/>
    <col min="6" max="6" width="23.28515625" customWidth="1"/>
    <col min="7" max="7" width="43.42578125" customWidth="1"/>
    <col min="8" max="8" width="26.5703125" bestFit="1" customWidth="1"/>
    <col min="9" max="9" width="35.85546875" bestFit="1" customWidth="1"/>
    <col min="10" max="10" width="26.5703125" bestFit="1" customWidth="1"/>
    <col min="11" max="11" width="27.28515625" customWidth="1"/>
    <col min="12" max="12" width="24.140625" customWidth="1"/>
    <col min="13" max="13" width="27.140625" customWidth="1"/>
  </cols>
  <sheetData>
    <row r="1" spans="1:13" ht="39.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6.75" customHeight="1">
      <c r="A2" s="83">
        <f ca="1">IFERROR(__xludf.DUMMYFUNCTION("""COMPUTED_VALUE"""),219516681)</f>
        <v>219516681</v>
      </c>
      <c r="B2" s="83" t="str">
        <f ca="1">IFERROR(__xludf.DUMMYFUNCTION("""COMPUTED_VALUE"""),"Balazi")</f>
        <v>Balazi</v>
      </c>
      <c r="C2" s="83" t="s">
        <v>551</v>
      </c>
      <c r="D2" s="84" t="s">
        <v>306</v>
      </c>
      <c r="E2" s="83" t="str">
        <f ca="1">IFERROR(__xludf.DUMMYFUNCTION("""COMPUTED_VALUE"""),"0637021767")</f>
        <v>0637021767</v>
      </c>
      <c r="F2" s="83" t="str">
        <f ca="1">IFERROR(__xludf.DUMMYFUNCTION("""COMPUTED_VALUE"""),"219516681@tut4life.ac.za")</f>
        <v>219516681@tut4life.ac.za</v>
      </c>
      <c r="G2" s="160" t="s">
        <v>552</v>
      </c>
      <c r="H2" s="173" t="s">
        <v>403</v>
      </c>
      <c r="I2" s="173"/>
      <c r="J2" s="177" t="s">
        <v>401</v>
      </c>
    </row>
    <row r="3" spans="1:13" ht="105">
      <c r="A3" s="85">
        <v>216127102</v>
      </c>
      <c r="B3" s="85" t="str">
        <f ca="1">IFERROR(__xludf.DUMMYFUNCTION("""COMPUTED_VALUE"""),"Segafa")</f>
        <v>Segafa</v>
      </c>
      <c r="C3" s="85" t="str">
        <f ca="1">IFERROR(__xludf.DUMMYFUNCTION("""COMPUTED_VALUE"""),"ME")</f>
        <v>ME</v>
      </c>
      <c r="D3" s="85"/>
      <c r="E3" s="85" t="str">
        <f ca="1">IFERROR(__xludf.DUMMYFUNCTION("""COMPUTED_VALUE"""),"082 095 1689 ")</f>
        <v xml:space="preserve">082 095 1689 </v>
      </c>
      <c r="F3" s="85" t="str">
        <f ca="1">IFERROR(__xludf.DUMMYFUNCTION("""COMPUTED_VALUE"""),"ellenmatshele@gmail.com")</f>
        <v>ellenmatshele@gmail.com</v>
      </c>
      <c r="G3" s="162"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s="174" t="s">
        <v>516</v>
      </c>
      <c r="I3" s="175"/>
      <c r="J3" s="176" t="s">
        <v>411</v>
      </c>
      <c r="K3" s="232" t="s">
        <v>553</v>
      </c>
      <c r="L3" s="232" t="s">
        <v>554</v>
      </c>
      <c r="M3" s="232" t="s">
        <v>555</v>
      </c>
    </row>
    <row r="4" spans="1:13" ht="64.5">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161"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4" s="159" t="s">
        <v>400</v>
      </c>
      <c r="I4" s="169"/>
      <c r="J4" s="168" t="s">
        <v>401</v>
      </c>
    </row>
    <row r="5" spans="1:13" ht="37.5" customHeight="1">
      <c r="A5" s="86">
        <f ca="1">IFERROR(__xludf.DUMMYFUNCTION("""COMPUTED_VALUE"""),218674739)</f>
        <v>218674739</v>
      </c>
      <c r="B5" s="86" t="str">
        <f ca="1">IFERROR(__xludf.DUMMYFUNCTION("""COMPUTED_VALUE"""),"MAGWAZA")</f>
        <v>MAGWAZA</v>
      </c>
      <c r="C5" s="86" t="str">
        <f ca="1">IFERROR(__xludf.DUMMYFUNCTION("""COMPUTED_VALUE"""),"SM")</f>
        <v>SM</v>
      </c>
      <c r="D5" s="86"/>
      <c r="E5" s="86" t="str">
        <f ca="1">IFERROR(__xludf.DUMMYFUNCTION("""COMPUTED_VALUE"""),"0607408635")</f>
        <v>0607408635</v>
      </c>
      <c r="F5" s="86" t="str">
        <f ca="1">IFERROR(__xludf.DUMMYFUNCTION("""COMPUTED_VALUE"""),"MANDLASIYABONGA63@GMAI.COM")</f>
        <v>MANDLASIYABONGA63@GMAI.COM</v>
      </c>
      <c r="G5" s="161"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5" s="159" t="s">
        <v>400</v>
      </c>
      <c r="I5" s="169"/>
      <c r="J5" s="168" t="s">
        <v>401</v>
      </c>
    </row>
    <row r="6" spans="1:13" ht="51.75">
      <c r="A6" s="86">
        <f ca="1">IFERROR(__xludf.DUMMYFUNCTION("""COMPUTED_VALUE"""),218205917)</f>
        <v>218205917</v>
      </c>
      <c r="B6" s="86" t="str">
        <f ca="1">IFERROR(__xludf.DUMMYFUNCTION("""COMPUTED_VALUE"""),"Majalle")</f>
        <v>Majalle</v>
      </c>
      <c r="C6" s="86" t="str">
        <f ca="1">IFERROR(__xludf.DUMMYFUNCTION("""COMPUTED_VALUE"""),"LG")</f>
        <v>LG</v>
      </c>
      <c r="D6" s="86"/>
      <c r="E6" s="86" t="str">
        <f ca="1">IFERROR(__xludf.DUMMYFUNCTION("""COMPUTED_VALUE"""),"0737074314")</f>
        <v>0737074314</v>
      </c>
      <c r="F6" s="86" t="str">
        <f ca="1">IFERROR(__xludf.DUMMYFUNCTION("""COMPUTED_VALUE"""),"lgmajalle@gmail.com")</f>
        <v>lgmajalle@gmail.com</v>
      </c>
      <c r="G6" s="161"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c r="H6" s="171" t="s">
        <v>556</v>
      </c>
      <c r="I6" s="169"/>
      <c r="J6" s="159" t="s">
        <v>401</v>
      </c>
      <c r="K6" s="232" t="s">
        <v>557</v>
      </c>
      <c r="M6" s="242" t="s">
        <v>558</v>
      </c>
    </row>
    <row r="7" spans="1:13" ht="51.75">
      <c r="A7" s="85">
        <f ca="1">IFERROR(__xludf.DUMMYFUNCTION("""COMPUTED_VALUE"""),219159137)</f>
        <v>219159137</v>
      </c>
      <c r="B7" s="85" t="str">
        <f ca="1">IFERROR(__xludf.DUMMYFUNCTION("""COMPUTED_VALUE"""),"Nontsibongo")</f>
        <v>Nontsibongo</v>
      </c>
      <c r="C7" s="85" t="str">
        <f ca="1">IFERROR(__xludf.DUMMYFUNCTION("""COMPUTED_VALUE"""),"S")</f>
        <v>S</v>
      </c>
      <c r="D7" s="85"/>
      <c r="E7" s="85" t="str">
        <f ca="1">IFERROR(__xludf.DUMMYFUNCTION("""COMPUTED_VALUE"""),"0785221806")</f>
        <v>0785221806</v>
      </c>
      <c r="F7" s="85" t="str">
        <f ca="1">IFERROR(__xludf.DUMMYFUNCTION("""COMPUTED_VALUE"""),"sinovuyondlela98@gmail.com")</f>
        <v>sinovuyondlela98@gmail.com</v>
      </c>
      <c r="G7" s="162"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7" s="173" t="s">
        <v>403</v>
      </c>
      <c r="I7" s="175"/>
      <c r="J7" s="173" t="s">
        <v>401</v>
      </c>
    </row>
    <row r="8" spans="1:13" ht="51.75">
      <c r="A8" s="86">
        <f ca="1">IFERROR(__xludf.DUMMYFUNCTION("""COMPUTED_VALUE"""),216212789)</f>
        <v>216212789</v>
      </c>
      <c r="B8" s="86" t="str">
        <f ca="1">IFERROR(__xludf.DUMMYFUNCTION("""COMPUTED_VALUE"""),"mtombeni")</f>
        <v>mtombeni</v>
      </c>
      <c r="C8" s="86" t="str">
        <f ca="1">IFERROR(__xludf.DUMMYFUNCTION("""COMPUTED_VALUE"""),"T.S")</f>
        <v>T.S</v>
      </c>
      <c r="D8" s="86"/>
      <c r="E8" s="86" t="str">
        <f ca="1">IFERROR(__xludf.DUMMYFUNCTION("""COMPUTED_VALUE"""),"0745762456")</f>
        <v>0745762456</v>
      </c>
      <c r="F8" s="86" t="str">
        <f ca="1">IFERROR(__xludf.DUMMYFUNCTION("""COMPUTED_VALUE"""),"thulanimtombeni96@gmail.com")</f>
        <v>thulanimtombeni96@gmail.com</v>
      </c>
      <c r="G8" s="161"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c r="H8" s="159" t="s">
        <v>559</v>
      </c>
      <c r="I8" s="169" t="s">
        <v>560</v>
      </c>
      <c r="J8" s="168" t="s">
        <v>560</v>
      </c>
    </row>
    <row r="9" spans="1:13" ht="51.75">
      <c r="A9" s="86">
        <f ca="1">IFERROR(__xludf.DUMMYFUNCTION("""COMPUTED_VALUE"""),217334861)</f>
        <v>217334861</v>
      </c>
      <c r="B9" s="86" t="str">
        <f ca="1">IFERROR(__xludf.DUMMYFUNCTION("""COMPUTED_VALUE"""),"Nyawo")</f>
        <v>Nyawo</v>
      </c>
      <c r="C9" s="86" t="str">
        <f ca="1">IFERROR(__xludf.DUMMYFUNCTION("""COMPUTED_VALUE"""),"AP")</f>
        <v>AP</v>
      </c>
      <c r="D9" s="86"/>
      <c r="E9" s="86" t="str">
        <f ca="1">IFERROR(__xludf.DUMMYFUNCTION("""COMPUTED_VALUE"""),"0721965595")</f>
        <v>0721965595</v>
      </c>
      <c r="F9" s="86" t="str">
        <f ca="1">IFERROR(__xludf.DUMMYFUNCTION("""COMPUTED_VALUE"""),"phumelele013@gmail.com")</f>
        <v>phumelele013@gmail.com</v>
      </c>
      <c r="G9" s="161"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9" s="164" t="s">
        <v>400</v>
      </c>
      <c r="I9" s="170"/>
      <c r="J9" s="168" t="s">
        <v>401</v>
      </c>
    </row>
    <row r="10" spans="1:13" ht="51.75">
      <c r="A10" s="86">
        <f ca="1">IFERROR(__xludf.DUMMYFUNCTION("""COMPUTED_VALUE"""),219114648)</f>
        <v>219114648</v>
      </c>
      <c r="B10" s="86" t="str">
        <f ca="1">IFERROR(__xludf.DUMMYFUNCTION("""COMPUTED_VALUE"""),"Ramango ")</f>
        <v xml:space="preserve">Ramango </v>
      </c>
      <c r="C10" s="86" t="str">
        <f ca="1">IFERROR(__xludf.DUMMYFUNCTION("""COMPUTED_VALUE"""),"T.U")</f>
        <v>T.U</v>
      </c>
      <c r="D10" s="86"/>
      <c r="E10" s="86" t="str">
        <f ca="1">IFERROR(__xludf.DUMMYFUNCTION("""COMPUTED_VALUE"""),"0762384765")</f>
        <v>0762384765</v>
      </c>
      <c r="F10" s="86" t="str">
        <f ca="1">IFERROR(__xludf.DUMMYFUNCTION("""COMPUTED_VALUE"""),"unitymessina@gmail.com")</f>
        <v>unitymessina@gmail.com</v>
      </c>
      <c r="G10" s="161"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10" s="159" t="s">
        <v>400</v>
      </c>
      <c r="I10" s="159"/>
      <c r="J10" s="165" t="s">
        <v>401</v>
      </c>
    </row>
    <row r="11" spans="1:13" ht="39">
      <c r="A11" s="86">
        <f ca="1">IFERROR(__xludf.DUMMYFUNCTION("""COMPUTED_VALUE"""),209295806)</f>
        <v>209295806</v>
      </c>
      <c r="B11" s="86" t="str">
        <f ca="1">IFERROR(__xludf.DUMMYFUNCTION("""COMPUTED_VALUE"""),"Dlamini")</f>
        <v>Dlamini</v>
      </c>
      <c r="C11" s="86" t="str">
        <f ca="1">IFERROR(__xludf.DUMMYFUNCTION("""COMPUTED_VALUE"""),"V.T")</f>
        <v>V.T</v>
      </c>
      <c r="D11" s="86"/>
      <c r="E11" s="86" t="str">
        <f ca="1">IFERROR(__xludf.DUMMYFUNCTION("""COMPUTED_VALUE"""),"0768906529")</f>
        <v>0768906529</v>
      </c>
      <c r="F11" s="86" t="str">
        <f ca="1">IFERROR(__xludf.DUMMYFUNCTION("""COMPUTED_VALUE"""),"vonanitys@gmail.com")</f>
        <v>vonanitys@gmail.com</v>
      </c>
      <c r="G11" s="161" t="str">
        <f ca="1">IFERROR(__xludf.DUMMYFUNCTION("""COMPUTED_VALUE"""),"Student must complete TPG12AT , ITN20AT in 2022 S1.  Student must report for academic intervention.")</f>
        <v>Student must complete TPG12AT , ITN20AT in 2022 S1.  Student must report for academic intervention.</v>
      </c>
      <c r="H11" s="159" t="s">
        <v>400</v>
      </c>
      <c r="I11" s="159"/>
      <c r="J11" s="159" t="s">
        <v>401</v>
      </c>
    </row>
    <row r="12" spans="1:13" ht="26.25">
      <c r="A12" s="85">
        <f ca="1">IFERROR(__xludf.DUMMYFUNCTION("""COMPUTED_VALUE"""),218164404)</f>
        <v>218164404</v>
      </c>
      <c r="B12" s="85" t="str">
        <f ca="1">IFERROR(__xludf.DUMMYFUNCTION("""COMPUTED_VALUE"""),"Makhubele")</f>
        <v>Makhubele</v>
      </c>
      <c r="C12" s="85" t="str">
        <f ca="1">IFERROR(__xludf.DUMMYFUNCTION("""COMPUTED_VALUE"""),"W")</f>
        <v>W</v>
      </c>
      <c r="D12" s="85"/>
      <c r="E12" s="85" t="str">
        <f ca="1">IFERROR(__xludf.DUMMYFUNCTION("""COMPUTED_VALUE"""),"0676794093")</f>
        <v>0676794093</v>
      </c>
      <c r="F12" s="85" t="str">
        <f ca="1">IFERROR(__xludf.DUMMYFUNCTION("""COMPUTED_VALUE"""),"wmgwena@gmail.com")</f>
        <v>wmgwena@gmail.com</v>
      </c>
      <c r="G12" s="162" t="str">
        <f ca="1">IFERROR(__xludf.DUMMYFUNCTION("""COMPUTED_VALUE"""),"Student must pass TPG12AT during S1 2022 and report for academic intervention.")</f>
        <v>Student must pass TPG12AT during S1 2022 and report for academic intervention.</v>
      </c>
      <c r="H12" s="159" t="s">
        <v>403</v>
      </c>
      <c r="I12" s="159"/>
      <c r="J12" s="159" t="s">
        <v>401</v>
      </c>
    </row>
    <row r="13" spans="1:13" ht="39">
      <c r="A13" s="85">
        <f ca="1">IFERROR(__xludf.DUMMYFUNCTION("""COMPUTED_VALUE"""),216721713)</f>
        <v>216721713</v>
      </c>
      <c r="B13" s="85" t="str">
        <f ca="1">IFERROR(__xludf.DUMMYFUNCTION("""COMPUTED_VALUE"""),"Tsholo")</f>
        <v>Tsholo</v>
      </c>
      <c r="C13" s="85" t="str">
        <f ca="1">IFERROR(__xludf.DUMMYFUNCTION("""COMPUTED_VALUE"""),"M")</f>
        <v>M</v>
      </c>
      <c r="D13" s="85"/>
      <c r="E13" s="85" t="str">
        <f ca="1">IFERROR(__xludf.DUMMYFUNCTION("""COMPUTED_VALUE"""),"0665033490")</f>
        <v>0665033490</v>
      </c>
      <c r="F13" s="85" t="str">
        <f ca="1">IFERROR(__xludf.DUMMYFUNCTION("""COMPUTED_VALUE"""),"216721713@tut4life.ac.za")</f>
        <v>216721713@tut4life.ac.za</v>
      </c>
      <c r="G13" s="162" t="str">
        <f ca="1">IFERROR(__xludf.DUMMYFUNCTION("""COMPUTED_VALUE"""),"Student must pass TPG12AT and ITN20AT in 2022 Semester 1 and report for academic intervention.")</f>
        <v>Student must pass TPG12AT and ITN20AT in 2022 Semester 1 and report for academic intervention.</v>
      </c>
      <c r="H13" s="159" t="s">
        <v>403</v>
      </c>
      <c r="I13" s="159"/>
      <c r="J13" s="159" t="s">
        <v>401</v>
      </c>
    </row>
    <row r="14" spans="1:13" ht="39">
      <c r="A14" s="86">
        <f ca="1">IFERROR(__xludf.DUMMYFUNCTION("""COMPUTED_VALUE"""),217489547)</f>
        <v>217489547</v>
      </c>
      <c r="B14" s="86" t="str">
        <f ca="1">IFERROR(__xludf.DUMMYFUNCTION("""COMPUTED_VALUE"""),"Njomboni")</f>
        <v>Njomboni</v>
      </c>
      <c r="C14" s="86" t="str">
        <f ca="1">IFERROR(__xludf.DUMMYFUNCTION("""COMPUTED_VALUE"""),"M")</f>
        <v>M</v>
      </c>
      <c r="D14" s="86"/>
      <c r="E14" s="86" t="str">
        <f ca="1">IFERROR(__xludf.DUMMYFUNCTION("""COMPUTED_VALUE"""),"0727813405")</f>
        <v>0727813405</v>
      </c>
      <c r="F14" s="86" t="str">
        <f ca="1">IFERROR(__xludf.DUMMYFUNCTION("""COMPUTED_VALUE"""),"mpilo.chris.jr@gmail.com")</f>
        <v>mpilo.chris.jr@gmail.com</v>
      </c>
      <c r="G14" s="161" t="str">
        <f ca="1">IFERROR(__xludf.DUMMYFUNCTION("""COMPUTED_VALUE"""),"Student must pass GIU10AT, TPG12AT and ISY23BT in 2022 Semester 1 and report for academic intervention.")</f>
        <v>Student must pass GIU10AT, TPG12AT and ISY23BT in 2022 Semester 1 and report for academic intervention.</v>
      </c>
      <c r="H14" s="159" t="s">
        <v>400</v>
      </c>
      <c r="I14" s="159"/>
      <c r="J14" s="159" t="s">
        <v>401</v>
      </c>
    </row>
    <row r="15" spans="1:13" ht="102.75">
      <c r="A15" s="86">
        <f ca="1">IFERROR(__xludf.DUMMYFUNCTION("""COMPUTED_VALUE"""),216880692)</f>
        <v>216880692</v>
      </c>
      <c r="B15" s="86" t="str">
        <f ca="1">IFERROR(__xludf.DUMMYFUNCTION("""COMPUTED_VALUE"""),"Ntuli")</f>
        <v>Ntuli</v>
      </c>
      <c r="C15" s="86" t="str">
        <f ca="1">IFERROR(__xludf.DUMMYFUNCTION("""COMPUTED_VALUE"""),"BL")</f>
        <v>BL</v>
      </c>
      <c r="D15" s="86"/>
      <c r="E15" s="86" t="str">
        <f ca="1">IFERROR(__xludf.DUMMYFUNCTION("""COMPUTED_VALUE"""),"0712497642")</f>
        <v>0712497642</v>
      </c>
      <c r="F15" s="86" t="str">
        <f ca="1">IFERROR(__xludf.DUMMYFUNCTION("""COMPUTED_VALUE"""),"luther.ntuli@gmail.com")</f>
        <v>luther.ntuli@gmail.com</v>
      </c>
      <c r="G15" s="161"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15" s="159" t="s">
        <v>400</v>
      </c>
      <c r="I15" s="159"/>
      <c r="J15" s="159" t="s">
        <v>401</v>
      </c>
    </row>
    <row r="16" spans="1:13" ht="64.5">
      <c r="A16" s="86">
        <f ca="1">IFERROR(__xludf.DUMMYFUNCTION("""COMPUTED_VALUE"""),219205902)</f>
        <v>219205902</v>
      </c>
      <c r="B16" s="86" t="str">
        <f ca="1">IFERROR(__xludf.DUMMYFUNCTION("""COMPUTED_VALUE"""),"Mafologelo")</f>
        <v>Mafologelo</v>
      </c>
      <c r="C16" s="86" t="str">
        <f ca="1">IFERROR(__xludf.DUMMYFUNCTION("""COMPUTED_VALUE"""),"P")</f>
        <v>P</v>
      </c>
      <c r="D16" s="86"/>
      <c r="E16" s="86" t="str">
        <f ca="1">IFERROR(__xludf.DUMMYFUNCTION("""COMPUTED_VALUE"""),"0714515056")</f>
        <v>0714515056</v>
      </c>
      <c r="F16" s="86" t="str">
        <f ca="1">IFERROR(__xludf.DUMMYFUNCTION("""COMPUTED_VALUE"""),"pontsho5597@gmail.com")</f>
        <v>pontsho5597@gmail.com</v>
      </c>
      <c r="G16" s="161"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16" s="159" t="s">
        <v>400</v>
      </c>
      <c r="I16" s="159"/>
      <c r="J16" s="159" t="s">
        <v>401</v>
      </c>
    </row>
    <row r="17" spans="1:13" ht="90">
      <c r="A17" s="86">
        <f ca="1">IFERROR(__xludf.DUMMYFUNCTION("""COMPUTED_VALUE"""),218207278)</f>
        <v>218207278</v>
      </c>
      <c r="B17" s="86" t="str">
        <f ca="1">IFERROR(__xludf.DUMMYFUNCTION("""COMPUTED_VALUE"""),"Themba")</f>
        <v>Themba</v>
      </c>
      <c r="C17" s="86" t="str">
        <f ca="1">IFERROR(__xludf.DUMMYFUNCTION("""COMPUTED_VALUE"""),"CT")</f>
        <v>CT</v>
      </c>
      <c r="D17" s="86"/>
      <c r="E17" s="86" t="str">
        <f ca="1">IFERROR(__xludf.DUMMYFUNCTION("""COMPUTED_VALUE"""),"0825123466")</f>
        <v>0825123466</v>
      </c>
      <c r="F17" s="86" t="str">
        <f ca="1">IFERROR(__xludf.DUMMYFUNCTION("""COMPUTED_VALUE"""),"218207278@tut4life.ac.za")</f>
        <v>218207278@tut4life.ac.za</v>
      </c>
      <c r="G17" s="161" t="str">
        <f ca="1">IFERROR(__xludf.DUMMYFUNCTION("""COMPUTED_VALUE"""),"Student must pass TPG12AT in 2022 Semester 1.")</f>
        <v>Student must pass TPG12AT in 2022 Semester 1.</v>
      </c>
      <c r="H17" s="194" t="s">
        <v>400</v>
      </c>
      <c r="I17" s="194" t="s">
        <v>405</v>
      </c>
      <c r="J17" s="241" t="s">
        <v>401</v>
      </c>
      <c r="K17" s="203" t="s">
        <v>561</v>
      </c>
      <c r="L17" s="194" t="s">
        <v>351</v>
      </c>
      <c r="M17" s="203" t="s">
        <v>562</v>
      </c>
    </row>
    <row r="18" spans="1:13" ht="39">
      <c r="A18" s="85">
        <f ca="1">IFERROR(__xludf.DUMMYFUNCTION("""COMPUTED_VALUE"""),217371333)</f>
        <v>217371333</v>
      </c>
      <c r="B18" s="85" t="str">
        <f ca="1">IFERROR(__xludf.DUMMYFUNCTION("""COMPUTED_VALUE"""),"Mkefa")</f>
        <v>Mkefa</v>
      </c>
      <c r="C18" s="85" t="str">
        <f ca="1">IFERROR(__xludf.DUMMYFUNCTION("""COMPUTED_VALUE"""),"SD")</f>
        <v>SD</v>
      </c>
      <c r="D18" s="85"/>
      <c r="E18" s="85" t="str">
        <f ca="1">IFERROR(__xludf.DUMMYFUNCTION("""COMPUTED_VALUE"""),"0839670510")</f>
        <v>0839670510</v>
      </c>
      <c r="F18" s="85" t="str">
        <f ca="1">IFERROR(__xludf.DUMMYFUNCTION("""COMPUTED_VALUE"""),"dsolethu5@gmail.com")</f>
        <v>dsolethu5@gmail.com</v>
      </c>
      <c r="G18" s="162" t="str">
        <f ca="1">IFERROR(__xludf.DUMMYFUNCTION("""COMPUTED_VALUE"""),"Student must pass TPG12AT and ISY23BT in 2022 Semester 1. student must report for academic intervention.")</f>
        <v>Student must pass TPG12AT and ISY23BT in 2022 Semester 1. student must report for academic intervention.</v>
      </c>
      <c r="H18" s="159" t="s">
        <v>403</v>
      </c>
      <c r="I18" s="159"/>
      <c r="J18" s="159" t="s">
        <v>401</v>
      </c>
    </row>
    <row r="19" spans="1:13" ht="39">
      <c r="A19" s="85">
        <f ca="1">IFERROR(__xludf.DUMMYFUNCTION("""COMPUTED_VALUE"""),217472032)</f>
        <v>217472032</v>
      </c>
      <c r="B19" s="85" t="str">
        <f ca="1">IFERROR(__xludf.DUMMYFUNCTION("""COMPUTED_VALUE"""),"Thabethe")</f>
        <v>Thabethe</v>
      </c>
      <c r="C19" s="85" t="str">
        <f ca="1">IFERROR(__xludf.DUMMYFUNCTION("""COMPUTED_VALUE"""),"BVJ")</f>
        <v>BVJ</v>
      </c>
      <c r="D19" s="85"/>
      <c r="E19" s="85" t="str">
        <f ca="1">IFERROR(__xludf.DUMMYFUNCTION("""COMPUTED_VALUE"""),"0736608587")</f>
        <v>0736608587</v>
      </c>
      <c r="F19" s="85" t="str">
        <f ca="1">IFERROR(__xludf.DUMMYFUNCTION("""COMPUTED_VALUE"""),"vukilejuniorthabethe@gmail.com")</f>
        <v>vukilejuniorthabethe@gmail.com</v>
      </c>
      <c r="G19"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19" s="159" t="s">
        <v>403</v>
      </c>
      <c r="I19" s="159"/>
      <c r="J19" s="159" t="s">
        <v>401</v>
      </c>
    </row>
    <row r="20" spans="1:13" ht="51.75">
      <c r="A20" s="85">
        <f ca="1">IFERROR(__xludf.DUMMYFUNCTION("""COMPUTED_VALUE"""),218597130)</f>
        <v>218597130</v>
      </c>
      <c r="B20" s="85" t="str">
        <f ca="1">IFERROR(__xludf.DUMMYFUNCTION("""COMPUTED_VALUE"""),"TSHIHATU ")</f>
        <v xml:space="preserve">TSHIHATU </v>
      </c>
      <c r="C20" s="85" t="str">
        <f ca="1">IFERROR(__xludf.DUMMYFUNCTION("""COMPUTED_VALUE"""),"P")</f>
        <v>P</v>
      </c>
      <c r="D20" s="85"/>
      <c r="E20" s="85" t="str">
        <f ca="1">IFERROR(__xludf.DUMMYFUNCTION("""COMPUTED_VALUE"""),"0788736430")</f>
        <v>0788736430</v>
      </c>
      <c r="F20" s="85" t="str">
        <f ca="1">IFERROR(__xludf.DUMMYFUNCTION("""COMPUTED_VALUE"""),"pfarelotshihatu@gmail.com")</f>
        <v>pfarelotshihatu@gmail.com</v>
      </c>
      <c r="G20" s="162"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20" s="159" t="s">
        <v>403</v>
      </c>
      <c r="I20" s="159"/>
      <c r="J20" s="159" t="s">
        <v>401</v>
      </c>
    </row>
    <row r="21" spans="1:13" ht="51.75">
      <c r="A21" s="86">
        <f ca="1">IFERROR(__xludf.DUMMYFUNCTION("""COMPUTED_VALUE"""),219502028)</f>
        <v>219502028</v>
      </c>
      <c r="B21" s="86" t="str">
        <f ca="1">IFERROR(__xludf.DUMMYFUNCTION("""COMPUTED_VALUE"""),"Khange")</f>
        <v>Khange</v>
      </c>
      <c r="C21" s="86" t="str">
        <f ca="1">IFERROR(__xludf.DUMMYFUNCTION("""COMPUTED_VALUE"""),"Ndugiselo")</f>
        <v>Ndugiselo</v>
      </c>
      <c r="D21" s="86"/>
      <c r="E21" s="86" t="str">
        <f ca="1">IFERROR(__xludf.DUMMYFUNCTION("""COMPUTED_VALUE"""),"+27725623726")</f>
        <v>+27725623726</v>
      </c>
      <c r="F21" s="86" t="str">
        <f ca="1">IFERROR(__xludf.DUMMYFUNCTION("""COMPUTED_VALUE"""),"ndugiseloaustin@gmail.com")</f>
        <v>ndugiseloaustin@gmail.com</v>
      </c>
      <c r="G21" s="161"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21" s="159" t="s">
        <v>400</v>
      </c>
      <c r="I21" s="159"/>
      <c r="J21" s="159" t="s">
        <v>401</v>
      </c>
    </row>
    <row r="22" spans="1:13" ht="26.25">
      <c r="A22" s="85">
        <f ca="1">IFERROR(__xludf.DUMMYFUNCTION("""COMPUTED_VALUE"""),218065465)</f>
        <v>218065465</v>
      </c>
      <c r="B22" s="85"/>
      <c r="C22" s="85"/>
      <c r="D22" s="90"/>
      <c r="E22" s="85"/>
      <c r="F22" s="85"/>
      <c r="G22" s="162" t="str">
        <f ca="1">IFERROR(__xludf.DUMMYFUNCTION("""COMPUTED_VALUE"""),"STUDENT MUST PASS TPG12AT, IDC30AT &amp; DSA20AT DURING S1 2022.")</f>
        <v>STUDENT MUST PASS TPG12AT, IDC30AT &amp; DSA20AT DURING S1 2022.</v>
      </c>
      <c r="H22" s="165" t="s">
        <v>403</v>
      </c>
      <c r="I22" s="165"/>
      <c r="J22" s="165" t="s">
        <v>453</v>
      </c>
    </row>
    <row r="23" spans="1:13" ht="141">
      <c r="A23" s="91">
        <v>218086845</v>
      </c>
      <c r="B23" s="92" t="s">
        <v>10</v>
      </c>
      <c r="C23" s="93" t="s">
        <v>10</v>
      </c>
      <c r="D23" s="94"/>
      <c r="E23" s="92" t="s">
        <v>10</v>
      </c>
      <c r="F23" s="92" t="s">
        <v>10</v>
      </c>
      <c r="G23" s="163" t="s">
        <v>541</v>
      </c>
      <c r="H23" s="159" t="s">
        <v>403</v>
      </c>
      <c r="I23" s="159"/>
      <c r="J23" s="159" t="s">
        <v>453</v>
      </c>
    </row>
    <row r="24" spans="1:13" ht="77.25">
      <c r="A24" s="91">
        <v>219548915</v>
      </c>
      <c r="B24" s="92" t="s">
        <v>10</v>
      </c>
      <c r="C24" s="93" t="s">
        <v>10</v>
      </c>
      <c r="D24" s="94"/>
      <c r="E24" s="92" t="s">
        <v>10</v>
      </c>
      <c r="F24" s="92" t="s">
        <v>10</v>
      </c>
      <c r="G24" s="163" t="s">
        <v>542</v>
      </c>
      <c r="H24" s="159" t="s">
        <v>403</v>
      </c>
      <c r="I24" s="159"/>
      <c r="J24" s="159" t="s">
        <v>453</v>
      </c>
    </row>
    <row r="25" spans="1:13" ht="105">
      <c r="A25" s="237">
        <v>218266282</v>
      </c>
      <c r="B25" s="238" t="s">
        <v>518</v>
      </c>
      <c r="C25" s="238" t="s">
        <v>519</v>
      </c>
      <c r="D25" s="238" t="s">
        <v>520</v>
      </c>
      <c r="E25" s="238">
        <v>662972323</v>
      </c>
      <c r="F25" s="238" t="s">
        <v>521</v>
      </c>
      <c r="G25" s="239" t="s">
        <v>522</v>
      </c>
      <c r="H25" s="194" t="s">
        <v>400</v>
      </c>
      <c r="I25" s="194" t="s">
        <v>405</v>
      </c>
      <c r="J25" s="194" t="s">
        <v>401</v>
      </c>
      <c r="K25" s="232" t="s">
        <v>524</v>
      </c>
      <c r="L25" s="87" t="s">
        <v>525</v>
      </c>
      <c r="M25" s="232" t="s">
        <v>563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A2:G2"/>
    </sheetView>
  </sheetViews>
  <sheetFormatPr defaultRowHeight="15"/>
  <cols>
    <col min="1" max="1" width="14.5703125" customWidth="1"/>
    <col min="2" max="2" width="15.85546875" customWidth="1"/>
    <col min="3" max="3" width="12.7109375" customWidth="1"/>
    <col min="4" max="4" width="14.140625" customWidth="1"/>
    <col min="5" max="5" width="15.5703125" customWidth="1"/>
    <col min="6" max="6" width="16.7109375" customWidth="1"/>
    <col min="7" max="7" width="22.5703125" customWidth="1"/>
  </cols>
  <sheetData>
    <row r="1" spans="1:7">
      <c r="A1" s="1" t="s">
        <v>0</v>
      </c>
      <c r="B1" s="1" t="s">
        <v>1</v>
      </c>
      <c r="C1" s="1" t="s">
        <v>2</v>
      </c>
      <c r="D1" s="27" t="s">
        <v>3</v>
      </c>
      <c r="E1" s="1" t="s">
        <v>4</v>
      </c>
      <c r="F1" s="1" t="s">
        <v>5</v>
      </c>
      <c r="G1" s="1" t="s">
        <v>6</v>
      </c>
    </row>
    <row r="2" spans="1:7" ht="105" customHeight="1">
      <c r="A2" s="111">
        <v>218758746</v>
      </c>
      <c r="B2" s="114" t="s">
        <v>584</v>
      </c>
      <c r="C2" s="114" t="s">
        <v>585</v>
      </c>
      <c r="D2" s="110" t="s">
        <v>780</v>
      </c>
      <c r="E2" s="111">
        <v>651977806</v>
      </c>
      <c r="F2" s="112" t="s">
        <v>586</v>
      </c>
      <c r="G2" s="113" t="s">
        <v>587</v>
      </c>
    </row>
  </sheetData>
  <hyperlinks>
    <hyperlink ref="F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49C537B8568144AB31F719E38481B7" ma:contentTypeVersion="12" ma:contentTypeDescription="Create a new document." ma:contentTypeScope="" ma:versionID="e02e000bda028a5799029f8ddbbe749c">
  <xsd:schema xmlns:xsd="http://www.w3.org/2001/XMLSchema" xmlns:xs="http://www.w3.org/2001/XMLSchema" xmlns:p="http://schemas.microsoft.com/office/2006/metadata/properties" xmlns:ns2="4e84bb0b-60ac-4166-84b4-feba7d9e0bf7" xmlns:ns3="fbdf6646-0bf1-4bd1-99fa-cc0ce3f4810b" targetNamespace="http://schemas.microsoft.com/office/2006/metadata/properties" ma:root="true" ma:fieldsID="3db6713226b0a00db214e500474180ef" ns2:_="" ns3:_="">
    <xsd:import namespace="4e84bb0b-60ac-4166-84b4-feba7d9e0bf7"/>
    <xsd:import namespace="fbdf6646-0bf1-4bd1-99fa-cc0ce3f481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84bb0b-60ac-4166-84b4-feba7d9e0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df6646-0bf1-4bd1-99fa-cc0ce3f481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92F96D-DA52-4BCB-95C7-CF228F55F8D3}">
  <ds:schemaRefs>
    <ds:schemaRef ds:uri="http://purl.org/dc/terms/"/>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purl.org/dc/elements/1.1/"/>
    <ds:schemaRef ds:uri="fbdf6646-0bf1-4bd1-99fa-cc0ce3f4810b"/>
    <ds:schemaRef ds:uri="4e84bb0b-60ac-4166-84b4-feba7d9e0bf7"/>
    <ds:schemaRef ds:uri="http://schemas.microsoft.com/office/2006/metadata/properties"/>
  </ds:schemaRefs>
</ds:datastoreItem>
</file>

<file path=customXml/itemProps2.xml><?xml version="1.0" encoding="utf-8"?>
<ds:datastoreItem xmlns:ds="http://schemas.openxmlformats.org/officeDocument/2006/customXml" ds:itemID="{0B6EF9A7-871D-476E-B04D-ACEF2DB6A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84bb0b-60ac-4166-84b4-feba7d9e0bf7"/>
    <ds:schemaRef ds:uri="fbdf6646-0bf1-4bd1-99fa-cc0ce3f481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274B6-F647-48A4-B987-922066DAD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B TECH</vt:lpstr>
      <vt:lpstr>NO SUBJECT</vt:lpstr>
      <vt:lpstr>ALL SUBJECTS</vt:lpstr>
      <vt:lpstr>TPG201T</vt:lpstr>
      <vt:lpstr>TPG111T</vt:lpstr>
      <vt:lpstr>DSO17BT</vt:lpstr>
      <vt:lpstr>TPG12BT</vt:lpstr>
      <vt:lpstr>PGG311T</vt:lpstr>
      <vt:lpstr>TPG12AT</vt:lpstr>
      <vt:lpstr>FPPGG01</vt:lpstr>
      <vt:lpstr>PGG111T</vt:lpstr>
      <vt:lpstr>PGG211T</vt:lpstr>
      <vt:lpstr>ITT10BT</vt:lpstr>
      <vt:lpstr>SYA201T</vt:lpstr>
      <vt:lpstr>DPC201T</vt:lpstr>
      <vt:lpstr>DPC301T</vt:lpstr>
      <vt:lpstr>OSY301T</vt:lpstr>
      <vt:lpstr>ISY34BT</vt:lpstr>
      <vt:lpstr>ISY34AB</vt:lpstr>
      <vt:lpstr>IDC30BE</vt:lpstr>
      <vt:lpstr>ITT10AT</vt:lpstr>
      <vt:lpstr> IIE20AT</vt:lpstr>
      <vt:lpstr>COB20BT</vt:lpstr>
      <vt:lpstr>DSA20BT</vt:lpstr>
      <vt:lpstr>DSO23AT</vt:lpstr>
      <vt:lpstr>DSO23BT</vt:lpstr>
      <vt:lpstr>ISY23AT</vt:lpstr>
      <vt:lpstr>SSF24AT</vt:lpstr>
      <vt:lpstr>SSF24BT</vt:lpstr>
      <vt:lpstr>ISY23BT</vt:lpstr>
      <vt:lpstr>ISY34AT</vt:lpstr>
      <vt:lpstr>DSO34BT</vt:lpstr>
      <vt:lpstr>DSO34AT</vt:lpstr>
      <vt:lpstr>IIE30BT</vt:lpstr>
      <vt:lpstr>IIE20BT</vt:lpstr>
      <vt:lpstr>IIS20BT</vt:lpstr>
      <vt:lpstr>COB20AT</vt:lpstr>
      <vt:lpstr>DSA20AT</vt:lpstr>
      <vt:lpstr>COB30AT</vt:lpstr>
      <vt:lpstr>COB30BT</vt:lpstr>
      <vt:lpstr>DSA30AT</vt:lpstr>
      <vt:lpstr>DSA30BT</vt:lpstr>
      <vt:lpstr>IDC30BT</vt:lpstr>
      <vt:lpstr>DIC101T</vt:lpstr>
      <vt:lpstr>ITS20BT </vt:lpstr>
      <vt:lpstr>IIS20AT</vt:lpstr>
      <vt:lpstr>ITN10AT</vt:lpstr>
      <vt:lpstr>GUI10AT</vt:lpstr>
      <vt:lpstr>IDC30AT</vt:lpstr>
      <vt:lpstr>GPM20AT</vt:lpstr>
      <vt:lpstr>BUA20BT</vt:lpstr>
      <vt:lpstr>BUA30AT</vt:lpstr>
      <vt:lpstr>BUA30BT</vt:lpstr>
      <vt:lpstr>MIS22AT</vt:lpstr>
      <vt:lpstr>ELC211B</vt:lpstr>
      <vt:lpstr>DBR311T</vt:lpstr>
      <vt:lpstr>LOD311B</vt:lpstr>
      <vt:lpstr>MMA30AT</vt:lpstr>
      <vt:lpstr>MMA301T</vt:lpstr>
      <vt:lpstr>SFC311T</vt:lpstr>
      <vt:lpstr>SSE311T</vt:lpstr>
      <vt:lpstr>SFE311T</vt:lpstr>
      <vt:lpstr>DSY341C</vt:lpstr>
      <vt:lpstr>PPB115D</vt:lpstr>
      <vt:lpstr>WEB115D</vt:lpstr>
      <vt:lpstr>PPAF05D</vt:lpstr>
      <vt:lpstr> INFF25D</vt:lpstr>
      <vt:lpstr> CFBF15D</vt:lpstr>
      <vt:lpstr> COHFO5D</vt:lpstr>
      <vt:lpstr>ITN20AT</vt:lpstr>
      <vt:lpstr>MMN20AT</vt:lpstr>
      <vt:lpstr>MMX30AT</vt:lpstr>
      <vt:lpstr>MMX30BT</vt:lpstr>
      <vt:lpstr>Sheet1</vt:lpstr>
      <vt:lpstr>HSPF15D</vt:lpstr>
      <vt:lpstr>DSMF06D</vt:lpstr>
      <vt:lpstr> DSO35BT </vt:lpstr>
      <vt:lpstr>CMK10BT</vt:lpstr>
      <vt:lpstr>MIS22BT</vt:lpstr>
      <vt:lpstr>ACS11BT</vt:lpstr>
      <vt:lpstr>ASC11AT</vt:lpstr>
      <vt:lpstr>ITN20BT</vt:lpstr>
      <vt:lpstr>GUI10BT</vt:lpstr>
      <vt:lpstr>MMZ30AT</vt:lpstr>
      <vt:lpstr>IIS301T </vt:lpstr>
      <vt:lpstr>GPM20BT </vt:lpstr>
      <vt:lpstr>DSY231C</vt:lpstr>
      <vt:lpstr>PJT101B</vt:lpstr>
      <vt:lpstr>CFS10BT </vt:lpstr>
      <vt:lpstr>MAT251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Molebogeng Mashilo</dc:creator>
  <cp:keywords/>
  <dc:description/>
  <cp:lastModifiedBy>Windows User</cp:lastModifiedBy>
  <cp:revision/>
  <dcterms:created xsi:type="dcterms:W3CDTF">2022-03-10T08:36:40Z</dcterms:created>
  <dcterms:modified xsi:type="dcterms:W3CDTF">2022-04-13T14:08:40Z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0x010100F749C537B8568144AB31F719E38481B7</vt:lpwstr>
  </property>
</Properties>
</file>