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choolManagement-\Exel files\"/>
    </mc:Choice>
  </mc:AlternateContent>
  <bookViews>
    <workbookView xWindow="0" yWindow="0" windowWidth="25125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1" l="1"/>
  <c r="E101" i="1"/>
  <c r="B100" i="1"/>
  <c r="G98" i="1"/>
  <c r="E97" i="1"/>
  <c r="A96" i="1"/>
  <c r="F94" i="1"/>
  <c r="C93" i="1"/>
  <c r="A92" i="1"/>
  <c r="F90" i="1"/>
  <c r="B89" i="1"/>
  <c r="G87" i="1"/>
  <c r="E86" i="1"/>
  <c r="B85" i="1"/>
  <c r="G83" i="1"/>
  <c r="E82" i="1"/>
  <c r="B81" i="1"/>
  <c r="G79" i="1"/>
  <c r="E78" i="1"/>
  <c r="B77" i="1"/>
  <c r="F75" i="1"/>
  <c r="C74" i="1"/>
  <c r="A73" i="1"/>
  <c r="F71" i="1"/>
  <c r="B70" i="1"/>
  <c r="G68" i="1"/>
  <c r="E67" i="1"/>
  <c r="B66" i="1"/>
  <c r="G64" i="1"/>
  <c r="E63" i="1"/>
  <c r="B62" i="1"/>
  <c r="G60" i="1"/>
  <c r="C59" i="1"/>
  <c r="A58" i="1"/>
  <c r="F56" i="1"/>
  <c r="C55" i="1"/>
  <c r="A54" i="1"/>
  <c r="F52" i="1"/>
  <c r="C51" i="1"/>
  <c r="A50" i="1"/>
  <c r="F48" i="1"/>
  <c r="C47" i="1"/>
  <c r="G45" i="1"/>
  <c r="E44" i="1"/>
  <c r="B43" i="1"/>
  <c r="G41" i="1"/>
  <c r="E40" i="1"/>
  <c r="B39" i="1"/>
  <c r="G37" i="1"/>
  <c r="C36" i="1"/>
  <c r="A35" i="1"/>
  <c r="E33" i="1"/>
  <c r="B32" i="1"/>
  <c r="G30" i="1"/>
  <c r="E29" i="1"/>
  <c r="B28" i="1"/>
  <c r="B26" i="1"/>
  <c r="E23" i="1"/>
  <c r="B22" i="1"/>
  <c r="G18" i="1"/>
  <c r="E17" i="1"/>
  <c r="B16" i="1"/>
  <c r="G14" i="1"/>
  <c r="E13" i="1"/>
  <c r="B12" i="1"/>
  <c r="G10" i="1"/>
  <c r="E9" i="1"/>
  <c r="F6" i="1"/>
  <c r="F102" i="1"/>
  <c r="C101" i="1"/>
  <c r="A100" i="1"/>
  <c r="F98" i="1"/>
  <c r="B97" i="1"/>
  <c r="G95" i="1"/>
  <c r="E94" i="1"/>
  <c r="B93" i="1"/>
  <c r="G91" i="1"/>
  <c r="E90" i="1"/>
  <c r="A89" i="1"/>
  <c r="F87" i="1"/>
  <c r="C86" i="1"/>
  <c r="A85" i="1"/>
  <c r="F83" i="1"/>
  <c r="C82" i="1"/>
  <c r="A81" i="1"/>
  <c r="F79" i="1"/>
  <c r="C78" i="1"/>
  <c r="A77" i="1"/>
  <c r="E75" i="1"/>
  <c r="B74" i="1"/>
  <c r="G72" i="1"/>
  <c r="E71" i="1"/>
  <c r="A70" i="1"/>
  <c r="F68" i="1"/>
  <c r="C67" i="1"/>
  <c r="A66" i="1"/>
  <c r="F64" i="1"/>
  <c r="C63" i="1"/>
  <c r="A62" i="1"/>
  <c r="F60" i="1"/>
  <c r="B59" i="1"/>
  <c r="G57" i="1"/>
  <c r="E56" i="1"/>
  <c r="B55" i="1"/>
  <c r="G53" i="1"/>
  <c r="E52" i="1"/>
  <c r="B51" i="1"/>
  <c r="G49" i="1"/>
  <c r="E48" i="1"/>
  <c r="B47" i="1"/>
  <c r="F45" i="1"/>
  <c r="C44" i="1"/>
  <c r="A43" i="1"/>
  <c r="F41" i="1"/>
  <c r="C40" i="1"/>
  <c r="A39" i="1"/>
  <c r="F37" i="1"/>
  <c r="B36" i="1"/>
  <c r="G34" i="1"/>
  <c r="C33" i="1"/>
  <c r="A32" i="1"/>
  <c r="F30" i="1"/>
  <c r="C29" i="1"/>
  <c r="A28" i="1"/>
  <c r="A26" i="1"/>
  <c r="C23" i="1"/>
  <c r="A22" i="1"/>
  <c r="F18" i="1"/>
  <c r="C17" i="1"/>
  <c r="A16" i="1"/>
  <c r="F14" i="1"/>
  <c r="C13" i="1"/>
  <c r="A12" i="1"/>
  <c r="F10" i="1"/>
  <c r="C9" i="1"/>
  <c r="G7" i="1"/>
  <c r="E6" i="1"/>
  <c r="A5" i="1"/>
  <c r="B3" i="1"/>
  <c r="A3" i="1"/>
  <c r="B6" i="1"/>
  <c r="E2" i="1"/>
  <c r="G13" i="1"/>
  <c r="A7" i="1"/>
  <c r="E3" i="1"/>
  <c r="E102" i="1"/>
  <c r="B101" i="1"/>
  <c r="G99" i="1"/>
  <c r="E98" i="1"/>
  <c r="A97" i="1"/>
  <c r="F95" i="1"/>
  <c r="C94" i="1"/>
  <c r="A93" i="1"/>
  <c r="F91" i="1"/>
  <c r="B90" i="1"/>
  <c r="G88" i="1"/>
  <c r="E87" i="1"/>
  <c r="B86" i="1"/>
  <c r="G84" i="1"/>
  <c r="E83" i="1"/>
  <c r="B82" i="1"/>
  <c r="G80" i="1"/>
  <c r="E79" i="1"/>
  <c r="B78" i="1"/>
  <c r="G76" i="1"/>
  <c r="C75" i="1"/>
  <c r="A74" i="1"/>
  <c r="F72" i="1"/>
  <c r="B71" i="1"/>
  <c r="G69" i="1"/>
  <c r="E68" i="1"/>
  <c r="B67" i="1"/>
  <c r="G65" i="1"/>
  <c r="E64" i="1"/>
  <c r="B63" i="1"/>
  <c r="G61" i="1"/>
  <c r="E60" i="1"/>
  <c r="A59" i="1"/>
  <c r="F57" i="1"/>
  <c r="C56" i="1"/>
  <c r="A55" i="1"/>
  <c r="F53" i="1"/>
  <c r="C52" i="1"/>
  <c r="A51" i="1"/>
  <c r="F49" i="1"/>
  <c r="C48" i="1"/>
  <c r="A47" i="1"/>
  <c r="E45" i="1"/>
  <c r="B44" i="1"/>
  <c r="G42" i="1"/>
  <c r="E41" i="1"/>
  <c r="B40" i="1"/>
  <c r="G38" i="1"/>
  <c r="E37" i="1"/>
  <c r="A36" i="1"/>
  <c r="F34" i="1"/>
  <c r="B33" i="1"/>
  <c r="G31" i="1"/>
  <c r="E30" i="1"/>
  <c r="B29" i="1"/>
  <c r="G27" i="1"/>
  <c r="G25" i="1"/>
  <c r="B23" i="1"/>
  <c r="G21" i="1"/>
  <c r="E18" i="1"/>
  <c r="B17" i="1"/>
  <c r="G15" i="1"/>
  <c r="E14" i="1"/>
  <c r="B13" i="1"/>
  <c r="G11" i="1"/>
  <c r="E10" i="1"/>
  <c r="A9" i="1"/>
  <c r="F7" i="1"/>
  <c r="C6" i="1"/>
  <c r="F4" i="1"/>
  <c r="E7" i="1"/>
  <c r="B15" i="1"/>
  <c r="F5" i="1"/>
  <c r="C102" i="1"/>
  <c r="A101" i="1"/>
  <c r="F99" i="1"/>
  <c r="C98" i="1"/>
  <c r="G96" i="1"/>
  <c r="E95" i="1"/>
  <c r="B94" i="1"/>
  <c r="G92" i="1"/>
  <c r="E91" i="1"/>
  <c r="A90" i="1"/>
  <c r="F88" i="1"/>
  <c r="C87" i="1"/>
  <c r="A86" i="1"/>
  <c r="F84" i="1"/>
  <c r="C83" i="1"/>
  <c r="A82" i="1"/>
  <c r="F80" i="1"/>
  <c r="C79" i="1"/>
  <c r="A78" i="1"/>
  <c r="F76" i="1"/>
  <c r="B75" i="1"/>
  <c r="G73" i="1"/>
  <c r="E72" i="1"/>
  <c r="A71" i="1"/>
  <c r="F69" i="1"/>
  <c r="C68" i="1"/>
  <c r="A67" i="1"/>
  <c r="F65" i="1"/>
  <c r="C64" i="1"/>
  <c r="A63" i="1"/>
  <c r="F61" i="1"/>
  <c r="C60" i="1"/>
  <c r="G58" i="1"/>
  <c r="E57" i="1"/>
  <c r="B56" i="1"/>
  <c r="G54" i="1"/>
  <c r="E53" i="1"/>
  <c r="B52" i="1"/>
  <c r="G50" i="1"/>
  <c r="E49" i="1"/>
  <c r="B48" i="1"/>
  <c r="G46" i="1"/>
  <c r="C45" i="1"/>
  <c r="A44" i="1"/>
  <c r="F42" i="1"/>
  <c r="C41" i="1"/>
  <c r="A40" i="1"/>
  <c r="F38" i="1"/>
  <c r="C37" i="1"/>
  <c r="G35" i="1"/>
  <c r="E34" i="1"/>
  <c r="A33" i="1"/>
  <c r="F31" i="1"/>
  <c r="C30" i="1"/>
  <c r="A29" i="1"/>
  <c r="A27" i="1"/>
  <c r="A25" i="1"/>
  <c r="A23" i="1"/>
  <c r="A21" i="1"/>
  <c r="C18" i="1"/>
  <c r="A17" i="1"/>
  <c r="F15" i="1"/>
  <c r="C14" i="1"/>
  <c r="A13" i="1"/>
  <c r="F11" i="1"/>
  <c r="C10" i="1"/>
  <c r="G8" i="1"/>
  <c r="E4" i="1"/>
  <c r="B11" i="1"/>
  <c r="A2" i="1"/>
  <c r="B102" i="1"/>
  <c r="G100" i="1"/>
  <c r="E99" i="1"/>
  <c r="B98" i="1"/>
  <c r="F96" i="1"/>
  <c r="C95" i="1"/>
  <c r="A94" i="1"/>
  <c r="F92" i="1"/>
  <c r="C91" i="1"/>
  <c r="G89" i="1"/>
  <c r="E88" i="1"/>
  <c r="B87" i="1"/>
  <c r="G85" i="1"/>
  <c r="E84" i="1"/>
  <c r="B83" i="1"/>
  <c r="G81" i="1"/>
  <c r="E80" i="1"/>
  <c r="B79" i="1"/>
  <c r="G77" i="1"/>
  <c r="E76" i="1"/>
  <c r="A75" i="1"/>
  <c r="F73" i="1"/>
  <c r="C72" i="1"/>
  <c r="G70" i="1"/>
  <c r="E69" i="1"/>
  <c r="B68" i="1"/>
  <c r="G66" i="1"/>
  <c r="E65" i="1"/>
  <c r="B64" i="1"/>
  <c r="G62" i="1"/>
  <c r="E61" i="1"/>
  <c r="B60" i="1"/>
  <c r="F58" i="1"/>
  <c r="C57" i="1"/>
  <c r="A56" i="1"/>
  <c r="F54" i="1"/>
  <c r="C53" i="1"/>
  <c r="A52" i="1"/>
  <c r="F50" i="1"/>
  <c r="C49" i="1"/>
  <c r="A48" i="1"/>
  <c r="F46" i="1"/>
  <c r="B45" i="1"/>
  <c r="G43" i="1"/>
  <c r="E42" i="1"/>
  <c r="B41" i="1"/>
  <c r="G39" i="1"/>
  <c r="E38" i="1"/>
  <c r="A37" i="1"/>
  <c r="F35" i="1"/>
  <c r="B34" i="1"/>
  <c r="G32" i="1"/>
  <c r="E31" i="1"/>
  <c r="B30" i="1"/>
  <c r="G28" i="1"/>
  <c r="G26" i="1"/>
  <c r="G24" i="1"/>
  <c r="G22" i="1"/>
  <c r="G20" i="1"/>
  <c r="B18" i="1"/>
  <c r="G16" i="1"/>
  <c r="E15" i="1"/>
  <c r="B14" i="1"/>
  <c r="G12" i="1"/>
  <c r="E11" i="1"/>
  <c r="B10" i="1"/>
  <c r="F8" i="1"/>
  <c r="C7" i="1"/>
  <c r="A6" i="1"/>
  <c r="C4" i="1"/>
  <c r="C2" i="1"/>
  <c r="G17" i="1"/>
  <c r="C8" i="1"/>
  <c r="A102" i="1"/>
  <c r="F100" i="1"/>
  <c r="C99" i="1"/>
  <c r="A98" i="1"/>
  <c r="E96" i="1"/>
  <c r="B95" i="1"/>
  <c r="G93" i="1"/>
  <c r="E92" i="1"/>
  <c r="B91" i="1"/>
  <c r="F89" i="1"/>
  <c r="C88" i="1"/>
  <c r="A87" i="1"/>
  <c r="F85" i="1"/>
  <c r="C84" i="1"/>
  <c r="A83" i="1"/>
  <c r="F81" i="1"/>
  <c r="C80" i="1"/>
  <c r="A79" i="1"/>
  <c r="F77" i="1"/>
  <c r="C76" i="1"/>
  <c r="G74" i="1"/>
  <c r="E73" i="1"/>
  <c r="B72" i="1"/>
  <c r="F70" i="1"/>
  <c r="C69" i="1"/>
  <c r="A68" i="1"/>
  <c r="F66" i="1"/>
  <c r="C65" i="1"/>
  <c r="A64" i="1"/>
  <c r="F62" i="1"/>
  <c r="C61" i="1"/>
  <c r="A60" i="1"/>
  <c r="E58" i="1"/>
  <c r="B57" i="1"/>
  <c r="G55" i="1"/>
  <c r="E54" i="1"/>
  <c r="B53" i="1"/>
  <c r="G51" i="1"/>
  <c r="E50" i="1"/>
  <c r="B49" i="1"/>
  <c r="G47" i="1"/>
  <c r="E46" i="1"/>
  <c r="A45" i="1"/>
  <c r="F43" i="1"/>
  <c r="C42" i="1"/>
  <c r="A41" i="1"/>
  <c r="F39" i="1"/>
  <c r="C38" i="1"/>
  <c r="G36" i="1"/>
  <c r="E35" i="1"/>
  <c r="A34" i="1"/>
  <c r="F32" i="1"/>
  <c r="C31" i="1"/>
  <c r="A30" i="1"/>
  <c r="F28" i="1"/>
  <c r="F26" i="1"/>
  <c r="A24" i="1"/>
  <c r="F22" i="1"/>
  <c r="A20" i="1"/>
  <c r="A18" i="1"/>
  <c r="F16" i="1"/>
  <c r="C15" i="1"/>
  <c r="A14" i="1"/>
  <c r="F12" i="1"/>
  <c r="C11" i="1"/>
  <c r="A10" i="1"/>
  <c r="E8" i="1"/>
  <c r="B7" i="1"/>
  <c r="G5" i="1"/>
  <c r="B4" i="1"/>
  <c r="B2" i="1"/>
  <c r="G19" i="1"/>
  <c r="G9" i="1"/>
  <c r="G101" i="1"/>
  <c r="E100" i="1"/>
  <c r="B99" i="1"/>
  <c r="G97" i="1"/>
  <c r="C96" i="1"/>
  <c r="A95" i="1"/>
  <c r="F93" i="1"/>
  <c r="C92" i="1"/>
  <c r="A91" i="1"/>
  <c r="E89" i="1"/>
  <c r="B88" i="1"/>
  <c r="G86" i="1"/>
  <c r="E85" i="1"/>
  <c r="B84" i="1"/>
  <c r="G82" i="1"/>
  <c r="E81" i="1"/>
  <c r="B80" i="1"/>
  <c r="G78" i="1"/>
  <c r="E77" i="1"/>
  <c r="B76" i="1"/>
  <c r="F74" i="1"/>
  <c r="C73" i="1"/>
  <c r="A72" i="1"/>
  <c r="E70" i="1"/>
  <c r="B69" i="1"/>
  <c r="G67" i="1"/>
  <c r="E66" i="1"/>
  <c r="B65" i="1"/>
  <c r="G63" i="1"/>
  <c r="E62" i="1"/>
  <c r="B61" i="1"/>
  <c r="G59" i="1"/>
  <c r="C58" i="1"/>
  <c r="A57" i="1"/>
  <c r="F55" i="1"/>
  <c r="C54" i="1"/>
  <c r="A53" i="1"/>
  <c r="F51" i="1"/>
  <c r="C50" i="1"/>
  <c r="A49" i="1"/>
  <c r="F47" i="1"/>
  <c r="B46" i="1"/>
  <c r="G44" i="1"/>
  <c r="E43" i="1"/>
  <c r="B42" i="1"/>
  <c r="G40" i="1"/>
  <c r="E39" i="1"/>
  <c r="B38" i="1"/>
  <c r="F36" i="1"/>
  <c r="C35" i="1"/>
  <c r="G33" i="1"/>
  <c r="E32" i="1"/>
  <c r="B31" i="1"/>
  <c r="G29" i="1"/>
  <c r="E28" i="1"/>
  <c r="E26" i="1"/>
  <c r="G23" i="1"/>
  <c r="E22" i="1"/>
  <c r="E16" i="1"/>
  <c r="E12" i="1"/>
  <c r="A4" i="1"/>
  <c r="F101" i="1"/>
  <c r="C100" i="1"/>
  <c r="A99" i="1"/>
  <c r="F97" i="1"/>
  <c r="B96" i="1"/>
  <c r="G94" i="1"/>
  <c r="E93" i="1"/>
  <c r="B92" i="1"/>
  <c r="G90" i="1"/>
  <c r="C89" i="1"/>
  <c r="A88" i="1"/>
  <c r="F86" i="1"/>
  <c r="C85" i="1"/>
  <c r="A84" i="1"/>
  <c r="F82" i="1"/>
  <c r="C81" i="1"/>
  <c r="A80" i="1"/>
  <c r="F78" i="1"/>
  <c r="C77" i="1"/>
  <c r="G75" i="1"/>
  <c r="E74" i="1"/>
  <c r="B73" i="1"/>
  <c r="G71" i="1"/>
  <c r="C70" i="1"/>
  <c r="A69" i="1"/>
  <c r="F67" i="1"/>
  <c r="C66" i="1"/>
  <c r="A65" i="1"/>
  <c r="F63" i="1"/>
  <c r="C62" i="1"/>
  <c r="A61" i="1"/>
  <c r="F59" i="1"/>
  <c r="B58" i="1"/>
  <c r="G56" i="1"/>
  <c r="E55" i="1"/>
  <c r="B54" i="1"/>
  <c r="G52" i="1"/>
  <c r="E51" i="1"/>
  <c r="B50" i="1"/>
  <c r="G48" i="1"/>
  <c r="E47" i="1"/>
  <c r="A46" i="1"/>
  <c r="F44" i="1"/>
  <c r="C43" i="1"/>
  <c r="A42" i="1"/>
  <c r="F40" i="1"/>
  <c r="C39" i="1"/>
  <c r="A38" i="1"/>
  <c r="E36" i="1"/>
  <c r="B35" i="1"/>
  <c r="F33" i="1"/>
  <c r="C32" i="1"/>
  <c r="A31" i="1"/>
  <c r="F29" i="1"/>
  <c r="C28" i="1"/>
  <c r="C26" i="1"/>
  <c r="F23" i="1"/>
  <c r="C22" i="1"/>
  <c r="A19" i="1"/>
  <c r="F17" i="1"/>
  <c r="C16" i="1"/>
  <c r="A15" i="1"/>
  <c r="F13" i="1"/>
  <c r="C12" i="1"/>
  <c r="A11" i="1"/>
  <c r="F9" i="1"/>
  <c r="B8" i="1"/>
  <c r="G6" i="1"/>
  <c r="E5" i="1"/>
  <c r="F3" i="1"/>
  <c r="A8" i="1"/>
  <c r="B5" i="1"/>
</calcChain>
</file>

<file path=xl/sharedStrings.xml><?xml version="1.0" encoding="utf-8"?>
<sst xmlns="http://schemas.openxmlformats.org/spreadsheetml/2006/main" count="453" uniqueCount="78">
  <si>
    <t>STUDENT NO</t>
  </si>
  <si>
    <t xml:space="preserve">SURNAME </t>
  </si>
  <si>
    <t>INITIALS</t>
  </si>
  <si>
    <t>SUBJECT CODE</t>
  </si>
  <si>
    <t>CONTACT NO</t>
  </si>
  <si>
    <t>EMAIL ADDRESS</t>
  </si>
  <si>
    <t>REASON FOR READMISSION</t>
  </si>
  <si>
    <t xml:space="preserve"> Student Condition</t>
  </si>
  <si>
    <t>Information Session</t>
  </si>
  <si>
    <t>Information Session Attendance</t>
  </si>
  <si>
    <t>WhatsApp Status</t>
  </si>
  <si>
    <t>Supported Subjects</t>
  </si>
  <si>
    <t>Additional Subjects to be supported</t>
  </si>
  <si>
    <t>Assigned Tutor</t>
  </si>
  <si>
    <t>TPG201T</t>
  </si>
  <si>
    <t>215761851@tut4life.co.za</t>
  </si>
  <si>
    <t>TPG201T failed 4 times. Left with 2 subjects. No first year subjects outstanding. Student must pass TPG201T. Student must report for academic intervention. Course code NDIS12.</t>
  </si>
  <si>
    <t xml:space="preserve">              </t>
  </si>
  <si>
    <t>Communicated</t>
  </si>
  <si>
    <t>Added</t>
  </si>
  <si>
    <t>L</t>
  </si>
  <si>
    <t>TPG201 repeated 4 times.  Pass TPG201T during S1 2022. Student must report for academic intervention.</t>
  </si>
  <si>
    <t>Unreachable</t>
  </si>
  <si>
    <t xml:space="preserve">STUDENT NEEDS TO REPORT FOR ACADEMIC INTERVENTION.LIFTED,  STUDENT MUST PASS TPG201T,DSO23AT AND OTHER SUBJECTS
</t>
  </si>
  <si>
    <t>T</t>
  </si>
  <si>
    <t>Present</t>
  </si>
  <si>
    <t>Student registered conditional subject (TPG201T, ISY23AT).</t>
  </si>
  <si>
    <t>ISY23AT (Sevezile Maluleke).
TPG201T (Teleki, Lelethu, Tumiso)</t>
  </si>
  <si>
    <t>Student registered conditional subject (TPG201T). However there was an agreement to support other registered subjects (TPG201T)</t>
  </si>
  <si>
    <t>TPG201T (Teleki, Lelethu, Tumiso)</t>
  </si>
  <si>
    <t xml:space="preserve">Mabuza </t>
  </si>
  <si>
    <t>Not Added</t>
  </si>
  <si>
    <t>Student registered conditional subject
 (TPG201T).</t>
  </si>
  <si>
    <t xml:space="preserve">Student registered conditional subject (ISY34AT). </t>
  </si>
  <si>
    <t>Student registered conditional subject (TPG201T, DSO23BT, ISY23AT).</t>
  </si>
  <si>
    <t xml:space="preserve">Teleki Thobejane
Lelethu Sayedwa
</t>
  </si>
  <si>
    <t>Not Registered</t>
  </si>
  <si>
    <t>Student registered conditional subject (TPG201T,IIE30AT). However there was an agreement to support other registered subjects (DIC101T)</t>
  </si>
  <si>
    <t>DIC101T</t>
  </si>
  <si>
    <t>TPG201T(Teleki,Lelethu,Tumiso)
,IIE30AT(Mapitso),
DIC101T(Mapitso)</t>
  </si>
  <si>
    <t xml:space="preserve">Waiting For Exite Exam Results </t>
  </si>
  <si>
    <t>Student registered conditional subject (TPG201T). However there was an agreement to support other registered subjects (TPG201T, DIC101T)</t>
  </si>
  <si>
    <t>TPG201T (Teleki, Lelethu, Tumiso), DIC101T (Mapitso)</t>
  </si>
  <si>
    <t xml:space="preserve">Communicated </t>
  </si>
  <si>
    <t>R</t>
  </si>
  <si>
    <t>SHABANGU</t>
  </si>
  <si>
    <t xml:space="preserve">Did Not Register Module TPG 201T </t>
  </si>
  <si>
    <t xml:space="preserve">Student registered conditional subject
 (TPG201T,ISY23BT,DSO23BT). </t>
  </si>
  <si>
    <t>TPG201T (Teleki, Lelethu, Tumiso),
DSO23BT(Lindokuhle,Sevezile)</t>
  </si>
  <si>
    <t>E</t>
  </si>
  <si>
    <t>S</t>
  </si>
  <si>
    <t>Student registered conditional subject (TPG201T).</t>
  </si>
  <si>
    <t xml:space="preserve">Student registered conditional subjects 
(DSO23AT, ISY23AT,SSF24AT). </t>
  </si>
  <si>
    <t>DSO23AT(Thabang,Lindokuhle)
,ISY23AT(Sevezile)</t>
  </si>
  <si>
    <t>Student registered conditional subjects (TPG201T, ISY23AT). However there was an agreement to support other registered subjects (TPG201T, ISY23AT)</t>
  </si>
  <si>
    <t>TPG201T (Teleki, Lelethu, Tumiso), ISY23AT (Sevezile)</t>
  </si>
  <si>
    <t>Student registered conditional
 subject (TPG201T,ISY34AT,ISY34BT).</t>
  </si>
  <si>
    <t>communicated</t>
  </si>
  <si>
    <t>A</t>
  </si>
  <si>
    <t>Student registered conditional
 subject (TPG201T,ISY34AT).</t>
  </si>
  <si>
    <t>K</t>
  </si>
  <si>
    <t> </t>
  </si>
  <si>
    <t>TPG201T failed 3 times, On Probation for DSO34BT. Need to pass TPG201T, DSO34BT. ATTEND 85% CLASSES and interventions.</t>
  </si>
  <si>
    <t>STUDENT MLIST PASS TPG201T DURING S1 2022 AND REPORT FOR ACADEMIC INTERVENTION.</t>
  </si>
  <si>
    <t>STUDENT MUST PASS TPG201T AND IIS301T DURING S1 2022 AND REPORT FOR ACADEMIC INTERVENTION FOR TPG201T.</t>
  </si>
  <si>
    <t>Skosana</t>
  </si>
  <si>
    <t>TSF</t>
  </si>
  <si>
    <t>Skosie9511@gmail.com</t>
  </si>
  <si>
    <t>LIFT EXCLUSION: CONDITION: Need to pass TPG201T(3), ISY23AT(2), DSO23BT(3), attend 85% of classes, and interventions</t>
  </si>
  <si>
    <t>RAMOLOTSHA</t>
  </si>
  <si>
    <t>MAS</t>
  </si>
  <si>
    <t>216324986@tut4life.ac.za</t>
  </si>
  <si>
    <t>LIFT EXCLUSION: CONDITION: Need to pass TPG201T, and DSO34BT ATTEND 85% CLASSES, and interventions</t>
  </si>
  <si>
    <t>Student registered conditional 
subject (TPG201T,DSO34BT).</t>
  </si>
  <si>
    <t>Boketsu</t>
  </si>
  <si>
    <t>NVW</t>
  </si>
  <si>
    <t>n.boketsu@gmail.com</t>
  </si>
  <si>
    <t>LIFT EXCLUSION: CONDITION: Need to pass TPG201T(3),DSO34AT(2),DSO34BT(2),ISY34AT(2),ISY34BT(2), attend 85% classes, and 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</si>
</sst>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charset val="1"/>
    </font>
    <font>
      <sz val="10"/>
      <color rgb="FF0D0D0D"/>
      <name val="Arial"/>
      <family val="2"/>
    </font>
    <font>
      <sz val="11"/>
      <color rgb="FF0D0D0D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color rgb="FF000000"/>
      <name val="Arial"/>
    </font>
    <font>
      <sz val="10"/>
      <color rgb="FF000000"/>
      <name val="Arial MT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/>
    <xf numFmtId="0" fontId="5" fillId="3" borderId="1" xfId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0" fillId="4" borderId="4" xfId="0" applyFill="1" applyBorder="1"/>
    <xf numFmtId="0" fontId="0" fillId="0" borderId="4" xfId="0" applyBorder="1"/>
    <xf numFmtId="0" fontId="1" fillId="4" borderId="4" xfId="0" applyFont="1" applyFill="1" applyBorder="1"/>
    <xf numFmtId="0" fontId="6" fillId="5" borderId="1" xfId="0" applyFont="1" applyFill="1" applyBorder="1" applyAlignment="1">
      <alignment wrapText="1"/>
    </xf>
    <xf numFmtId="0" fontId="0" fillId="5" borderId="1" xfId="0" applyFill="1" applyBorder="1"/>
    <xf numFmtId="0" fontId="6" fillId="5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0" fillId="3" borderId="1" xfId="0" applyFill="1" applyBorder="1"/>
    <xf numFmtId="0" fontId="7" fillId="0" borderId="0" xfId="0" applyFont="1"/>
    <xf numFmtId="0" fontId="6" fillId="4" borderId="3" xfId="0" applyFont="1" applyFill="1" applyBorder="1" applyAlignment="1">
      <alignment wrapText="1"/>
    </xf>
    <xf numFmtId="0" fontId="0" fillId="4" borderId="1" xfId="0" applyFill="1" applyBorder="1"/>
    <xf numFmtId="0" fontId="0" fillId="4" borderId="0" xfId="0" applyFill="1"/>
    <xf numFmtId="0" fontId="0" fillId="4" borderId="0" xfId="0" applyFill="1" applyAlignment="1">
      <alignment wrapText="1"/>
    </xf>
    <xf numFmtId="0" fontId="7" fillId="4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7" fillId="3" borderId="0" xfId="0" applyFont="1" applyFill="1" applyAlignment="1">
      <alignment wrapText="1"/>
    </xf>
    <xf numFmtId="0" fontId="7" fillId="3" borderId="0" xfId="0" applyFont="1" applyFill="1"/>
    <xf numFmtId="0" fontId="0" fillId="0" borderId="0" xfId="0" applyAlignment="1">
      <alignment wrapText="1"/>
    </xf>
    <xf numFmtId="0" fontId="6" fillId="0" borderId="3" xfId="0" applyFont="1" applyBorder="1" applyAlignment="1">
      <alignment wrapText="1"/>
    </xf>
    <xf numFmtId="0" fontId="0" fillId="0" borderId="1" xfId="0" applyBorder="1"/>
    <xf numFmtId="0" fontId="6" fillId="5" borderId="5" xfId="0" applyFont="1" applyFill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/>
    <xf numFmtId="0" fontId="8" fillId="3" borderId="3" xfId="0" applyFont="1" applyFill="1" applyBorder="1" applyAlignment="1">
      <alignment wrapText="1"/>
    </xf>
    <xf numFmtId="0" fontId="9" fillId="3" borderId="1" xfId="0" applyFont="1" applyFill="1" applyBorder="1"/>
    <xf numFmtId="0" fontId="10" fillId="5" borderId="7" xfId="0" applyFont="1" applyFill="1" applyBorder="1"/>
    <xf numFmtId="0" fontId="11" fillId="5" borderId="8" xfId="0" applyFont="1" applyFill="1" applyBorder="1"/>
    <xf numFmtId="0" fontId="11" fillId="5" borderId="0" xfId="0" applyFont="1" applyFill="1"/>
    <xf numFmtId="0" fontId="11" fillId="5" borderId="7" xfId="0" applyFont="1" applyFill="1" applyBorder="1"/>
    <xf numFmtId="0" fontId="10" fillId="5" borderId="9" xfId="0" applyFont="1" applyFill="1" applyBorder="1" applyAlignment="1">
      <alignment wrapText="1"/>
    </xf>
    <xf numFmtId="0" fontId="12" fillId="3" borderId="3" xfId="0" applyFont="1" applyFill="1" applyBorder="1"/>
    <xf numFmtId="0" fontId="12" fillId="3" borderId="10" xfId="0" applyFont="1" applyFill="1" applyBorder="1"/>
    <xf numFmtId="0" fontId="11" fillId="3" borderId="0" xfId="0" applyFont="1" applyFill="1"/>
    <xf numFmtId="0" fontId="4" fillId="3" borderId="10" xfId="1" applyFill="1" applyBorder="1" applyAlignment="1"/>
    <xf numFmtId="0" fontId="12" fillId="3" borderId="10" xfId="0" applyFont="1" applyFill="1" applyBorder="1" applyAlignment="1">
      <alignment wrapText="1"/>
    </xf>
    <xf numFmtId="0" fontId="12" fillId="5" borderId="3" xfId="0" applyFont="1" applyFill="1" applyBorder="1"/>
    <xf numFmtId="0" fontId="12" fillId="5" borderId="10" xfId="0" applyFont="1" applyFill="1" applyBorder="1"/>
    <xf numFmtId="0" fontId="4" fillId="5" borderId="10" xfId="1" applyFill="1" applyBorder="1" applyAlignment="1"/>
    <xf numFmtId="0" fontId="12" fillId="5" borderId="10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216324986@tut4life.ac.za" TargetMode="External"/><Relationship Id="rId2" Type="http://schemas.openxmlformats.org/officeDocument/2006/relationships/hyperlink" Target="mailto:Skosie9511@gmail.com" TargetMode="External"/><Relationship Id="rId1" Type="http://schemas.openxmlformats.org/officeDocument/2006/relationships/hyperlink" Target="mailto:215761851@tut4life.co.za" TargetMode="External"/><Relationship Id="rId4" Type="http://schemas.openxmlformats.org/officeDocument/2006/relationships/hyperlink" Target="mailto:n.bokets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workbookViewId="0">
      <selection sqref="A1:XFD1048576"/>
    </sheetView>
  </sheetViews>
  <sheetFormatPr defaultRowHeight="15"/>
  <cols>
    <col min="1" max="1" width="15.42578125" customWidth="1"/>
    <col min="2" max="2" width="18.140625" customWidth="1"/>
    <col min="3" max="3" width="9.140625" customWidth="1"/>
    <col min="4" max="4" width="14.7109375" customWidth="1"/>
    <col min="5" max="5" width="15.42578125" customWidth="1"/>
    <col min="6" max="6" width="29.85546875" customWidth="1"/>
    <col min="7" max="7" width="36.42578125" customWidth="1"/>
    <col min="8" max="8" width="19.42578125" customWidth="1"/>
    <col min="9" max="9" width="33" customWidth="1"/>
    <col min="10" max="10" width="29.5703125" customWidth="1"/>
    <col min="11" max="11" width="19.5703125" customWidth="1"/>
    <col min="12" max="12" width="43" customWidth="1"/>
    <col min="13" max="13" width="26" customWidth="1"/>
    <col min="14" max="14" width="33.85546875" customWidth="1"/>
  </cols>
  <sheetData>
    <row r="1" spans="1:14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</row>
    <row r="2" spans="1:14" ht="86.25" customHeight="1">
      <c r="A2" s="5">
        <f ca="1">IFERROR(__xludf.DUMMYFUNCTION("""COMPUTED_VALUE"""),215761851)</f>
        <v>215761851</v>
      </c>
      <c r="B2" s="5" t="str">
        <f ca="1">IFERROR(__xludf.DUMMYFUNCTION("""COMPUTED_VALUE"""),"Masesane")</f>
        <v>Masesane</v>
      </c>
      <c r="C2" s="5" t="str">
        <f ca="1">IFERROR(__xludf.DUMMYFUNCTION("""COMPUTED_VALUE"""),"HJM")</f>
        <v>HJM</v>
      </c>
      <c r="D2" s="6" t="s">
        <v>14</v>
      </c>
      <c r="E2" s="5" t="str">
        <f ca="1">IFERROR(__xludf.DUMMYFUNCTION("""COMPUTED_VALUE"""),"0637379233")</f>
        <v>0637379233</v>
      </c>
      <c r="F2" s="7" t="s">
        <v>15</v>
      </c>
      <c r="G2" s="8" t="s">
        <v>16</v>
      </c>
      <c r="H2" s="9" t="s">
        <v>17</v>
      </c>
      <c r="I2" s="10" t="s">
        <v>18</v>
      </c>
      <c r="J2" s="11"/>
      <c r="K2" t="s">
        <v>19</v>
      </c>
    </row>
    <row r="3" spans="1:14" ht="39">
      <c r="A3" s="12">
        <f ca="1">IFERROR(__xludf.DUMMYFUNCTION("""COMPUTED_VALUE"""),216819632)</f>
        <v>216819632</v>
      </c>
      <c r="B3" s="12" t="str">
        <f ca="1">IFERROR(__xludf.DUMMYFUNCTION("""COMPUTED_VALUE"""),"Baloyi")</f>
        <v>Baloyi</v>
      </c>
      <c r="C3" s="13" t="s">
        <v>20</v>
      </c>
      <c r="D3" s="13" t="s">
        <v>14</v>
      </c>
      <c r="E3" s="12" t="str">
        <f ca="1">IFERROR(__xludf.DUMMYFUNCTION("""COMPUTED_VALUE"""),"+27789833414")</f>
        <v>+27789833414</v>
      </c>
      <c r="F3" s="12" t="str">
        <f ca="1">IFERROR(__xludf.DUMMYFUNCTION("""COMPUTED_VALUE"""),"BanelweBaloyi@gmail.com")</f>
        <v>BanelweBaloyi@gmail.com</v>
      </c>
      <c r="G3" s="12" t="s">
        <v>21</v>
      </c>
      <c r="I3" t="s">
        <v>22</v>
      </c>
      <c r="K3" t="s">
        <v>19</v>
      </c>
    </row>
    <row r="4" spans="1:14" ht="77.25">
      <c r="A4" s="14">
        <f ca="1">IFERROR(__xludf.DUMMYFUNCTION("""COMPUTED_VALUE"""),216842804)</f>
        <v>216842804</v>
      </c>
      <c r="B4" s="14" t="str">
        <f ca="1">IFERROR(__xludf.DUMMYFUNCTION("""COMPUTED_VALUE"""),"Mlahleki ")</f>
        <v xml:space="preserve">Mlahleki </v>
      </c>
      <c r="C4" s="14" t="str">
        <f ca="1">IFERROR(__xludf.DUMMYFUNCTION("""COMPUTED_VALUE"""),"AN")</f>
        <v>AN</v>
      </c>
      <c r="D4" s="13" t="s">
        <v>14</v>
      </c>
      <c r="E4" s="14" t="str">
        <f ca="1">IFERROR(__xludf.DUMMYFUNCTION("""COMPUTED_VALUE"""),"0723348630")</f>
        <v>0723348630</v>
      </c>
      <c r="F4" s="14" t="str">
        <f ca="1">IFERROR(__xludf.DUMMYFUNCTION("""COMPUTED_VALUE"""),"nhlanhlaauthority009@gmail.com")</f>
        <v>nhlanhlaauthority009@gmail.com</v>
      </c>
      <c r="G4" s="14" t="s">
        <v>23</v>
      </c>
      <c r="I4" t="s">
        <v>22</v>
      </c>
      <c r="K4" t="s">
        <v>19</v>
      </c>
    </row>
    <row r="5" spans="1:14" ht="77.25">
      <c r="A5" s="15">
        <f ca="1">IFERROR(__xludf.DUMMYFUNCTION("""COMPUTED_VALUE"""),214073218)</f>
        <v>214073218</v>
      </c>
      <c r="B5" s="15" t="str">
        <f ca="1">IFERROR(__xludf.DUMMYFUNCTION("""COMPUTED_VALUE"""),"Mathebula")</f>
        <v>Mathebula</v>
      </c>
      <c r="C5" s="15" t="s">
        <v>24</v>
      </c>
      <c r="D5" s="16" t="s">
        <v>14</v>
      </c>
      <c r="E5" s="15" t="str">
        <f ca="1">IFERROR(__xludf.DUMMYFUNCTION("""COMPUTED_VALUE"""),"0719127340")</f>
        <v>0719127340</v>
      </c>
      <c r="F5" s="15" t="str">
        <f ca="1">IFERROR(__xludf.DUMMYFUNCTION("""COMPUTED_VALUE"""),"thandy.mathebula94@gmail.com")</f>
        <v>thandy.mathebula94@gmail.com</v>
      </c>
      <c r="G5" s="15" t="str">
        <f ca="1">IFERROR(__xludf.DUMMYFUNCTION("""COMPUTED_VALUE"""),"STUDENT MUST PASS DSO24BT AND TPG201T DURING S1 2022 AND REPORT FOR ACADEMIC INTERVENTION. STUDENT WILL BE ABLE TO FINISH WITHIN TEACH OUT PLAN.")</f>
        <v>STUDENT MUST PASS DSO24BT AND TPG201T DURING S1 2022 AND REPORT FOR ACADEMIC INTERVENTION. STUDENT WILL BE ABLE TO FINISH WITHIN TEACH OUT PLAN.</v>
      </c>
      <c r="I5" t="s">
        <v>18</v>
      </c>
      <c r="K5" t="s">
        <v>19</v>
      </c>
    </row>
    <row r="6" spans="1:14" ht="26.25">
      <c r="A6" s="14">
        <f ca="1">IFERROR(__xludf.DUMMYFUNCTION("""COMPUTED_VALUE"""),214808382)</f>
        <v>214808382</v>
      </c>
      <c r="B6" s="14" t="str">
        <f ca="1">IFERROR(__xludf.DUMMYFUNCTION("""COMPUTED_VALUE"""),"Malungwana")</f>
        <v>Malungwana</v>
      </c>
      <c r="C6" s="14" t="str">
        <f ca="1">IFERROR(__xludf.DUMMYFUNCTION("""COMPUTED_VALUE"""),"T")</f>
        <v>T</v>
      </c>
      <c r="D6" s="13" t="s">
        <v>14</v>
      </c>
      <c r="E6" s="14" t="str">
        <f ca="1">IFERROR(__xludf.DUMMYFUNCTION("""COMPUTED_VALUE"""),"0792775570")</f>
        <v>0792775570</v>
      </c>
      <c r="F6" s="14" t="str">
        <f ca="1">IFERROR(__xludf.DUMMYFUNCTION("""COMPUTED_VALUE"""),"tmalungwana@gmail.com")</f>
        <v>tmalungwana@gmail.com</v>
      </c>
      <c r="G6" s="14" t="str">
        <f ca="1">IFERROR(__xludf.DUMMYFUNCTION("""COMPUTED_VALUE"""),"Student need to pass TPG201T during S1 2022 and report for academic intervention.")</f>
        <v>Student need to pass TPG201T during S1 2022 and report for academic intervention.</v>
      </c>
      <c r="I6" s="17" t="s">
        <v>22</v>
      </c>
      <c r="K6" t="s">
        <v>19</v>
      </c>
    </row>
    <row r="7" spans="1:14" s="20" customFormat="1" ht="39">
      <c r="A7" s="18">
        <f ca="1">IFERROR(__xludf.DUMMYFUNCTION("""COMPUTED_VALUE"""),216394062)</f>
        <v>216394062</v>
      </c>
      <c r="B7" s="18" t="str">
        <f ca="1">IFERROR(__xludf.DUMMYFUNCTION("""COMPUTED_VALUE"""),"Mavasa")</f>
        <v>Mavasa</v>
      </c>
      <c r="C7" s="18" t="str">
        <f ca="1">IFERROR(__xludf.DUMMYFUNCTION("""COMPUTED_VALUE"""),"S")</f>
        <v>S</v>
      </c>
      <c r="D7" s="19" t="s">
        <v>14</v>
      </c>
      <c r="E7" s="18" t="str">
        <f ca="1">IFERROR(__xludf.DUMMYFUNCTION("""COMPUTED_VALUE"""),"0784818616")</f>
        <v>0784818616</v>
      </c>
      <c r="F7" s="18" t="str">
        <f ca="1">IFERROR(__xludf.DUMMYFUNCTION("""COMPUTED_VALUE"""),"Salvations26@gmail.com")</f>
        <v>Salvations26@gmail.com</v>
      </c>
      <c r="G7" s="18" t="str">
        <f ca="1">IFERROR(__xludf.DUMMYFUNCTION("""COMPUTED_VALUE"""),"Student need to pass TPG201T, AND DSO34AT during S1 2022 and has to report for academic intervention")</f>
        <v>Student need to pass TPG201T, AND DSO34AT during S1 2022 and has to report for academic intervention</v>
      </c>
      <c r="I7" s="20" t="s">
        <v>18</v>
      </c>
      <c r="J7" s="20" t="s">
        <v>25</v>
      </c>
      <c r="K7" s="20" t="s">
        <v>19</v>
      </c>
      <c r="L7" s="21" t="s">
        <v>26</v>
      </c>
      <c r="N7" s="21" t="s">
        <v>27</v>
      </c>
    </row>
    <row r="8" spans="1:14" s="20" customFormat="1" ht="60">
      <c r="A8" s="18">
        <f ca="1">IFERROR(__xludf.DUMMYFUNCTION("""COMPUTED_VALUE"""),216413423)</f>
        <v>216413423</v>
      </c>
      <c r="B8" s="18" t="str">
        <f ca="1">IFERROR(__xludf.DUMMYFUNCTION("""COMPUTED_VALUE"""),"Hlungwani ")</f>
        <v xml:space="preserve">Hlungwani </v>
      </c>
      <c r="C8" s="18" t="str">
        <f ca="1">IFERROR(__xludf.DUMMYFUNCTION("""COMPUTED_VALUE"""),"SN")</f>
        <v>SN</v>
      </c>
      <c r="D8" s="19" t="s">
        <v>14</v>
      </c>
      <c r="E8" s="18" t="str">
        <f ca="1">IFERROR(__xludf.DUMMYFUNCTION("""COMPUTED_VALUE"""),"0813971209")</f>
        <v>0813971209</v>
      </c>
      <c r="F8" s="18" t="str">
        <f ca="1">IFERROR(__xludf.DUMMYFUNCTION("""COMPUTED_VALUE"""),"216413423@tut4life.ac.za")</f>
        <v>216413423@tut4life.ac.za</v>
      </c>
      <c r="G8" s="18" t="str">
        <f ca="1">IFERROR(__xludf.DUMMYFUNCTION("""COMPUTED_VALUE"""),"Student need to pass TPG201T during S1 2022 and has to report for academic intervention")</f>
        <v>Student need to pass TPG201T during S1 2022 and has to report for academic intervention</v>
      </c>
      <c r="I8" s="20" t="s">
        <v>18</v>
      </c>
      <c r="J8" s="20" t="s">
        <v>25</v>
      </c>
      <c r="K8" s="20" t="s">
        <v>19</v>
      </c>
      <c r="L8" s="21" t="s">
        <v>28</v>
      </c>
      <c r="N8" s="22" t="s">
        <v>29</v>
      </c>
    </row>
    <row r="9" spans="1:14" ht="51.75">
      <c r="A9" s="15">
        <f ca="1">IFERROR(__xludf.DUMMYFUNCTION("""COMPUTED_VALUE"""),216876202)</f>
        <v>216876202</v>
      </c>
      <c r="B9" s="15" t="s">
        <v>30</v>
      </c>
      <c r="C9" s="15" t="str">
        <f ca="1">IFERROR(__xludf.DUMMYFUNCTION("""COMPUTED_VALUE"""),"mn ")</f>
        <v xml:space="preserve">mn </v>
      </c>
      <c r="D9" s="16" t="s">
        <v>14</v>
      </c>
      <c r="E9" s="15" t="str">
        <f ca="1">IFERROR(__xludf.DUMMYFUNCTION("""COMPUTED_VALUE"""),"0713063986")</f>
        <v>0713063986</v>
      </c>
      <c r="F9" s="15" t="str">
        <f ca="1">IFERROR(__xludf.DUMMYFUNCTION("""COMPUTED_VALUE"""),"mabuzamuzikayifani@gmail.com")</f>
        <v>mabuzamuzikayifani@gmail.com</v>
      </c>
      <c r="G9" s="15" t="str">
        <f ca="1">IFERROR(__xludf.DUMMYFUNCTION("""COMPUTED_VALUE"""),"PASS TPG201T ISY23AT/BT  DSO23BT DURING S1 2022. STUDENT HAS TO REPORT FOR ACADEMIC INTERVENTION. ")</f>
        <v xml:space="preserve">PASS TPG201T ISY23AT/BT  DSO23BT DURING S1 2022. STUDENT HAS TO REPORT FOR ACADEMIC INTERVENTION. </v>
      </c>
      <c r="I9" s="17" t="s">
        <v>18</v>
      </c>
      <c r="K9" t="s">
        <v>31</v>
      </c>
    </row>
    <row r="10" spans="1:14" ht="60">
      <c r="A10" s="15">
        <f ca="1">IFERROR(__xludf.DUMMYFUNCTION("""COMPUTED_VALUE"""),216945417)</f>
        <v>216945417</v>
      </c>
      <c r="B10" s="15" t="str">
        <f ca="1">IFERROR(__xludf.DUMMYFUNCTION("""COMPUTED_VALUE"""),"Bapela ")</f>
        <v xml:space="preserve">Bapela </v>
      </c>
      <c r="C10" s="15" t="str">
        <f ca="1">IFERROR(__xludf.DUMMYFUNCTION("""COMPUTED_VALUE"""),"B")</f>
        <v>B</v>
      </c>
      <c r="D10" s="16" t="s">
        <v>14</v>
      </c>
      <c r="E10" s="15" t="str">
        <f ca="1">IFERROR(__xludf.DUMMYFUNCTION("""COMPUTED_VALUE"""),"797637038")</f>
        <v>797637038</v>
      </c>
      <c r="F10" s="15" t="str">
        <f ca="1">IFERROR(__xludf.DUMMYFUNCTION("""COMPUTED_VALUE"""),"bridgetejake@gmail.com")</f>
        <v>bridgetejake@gmail.com</v>
      </c>
      <c r="G10" s="15" t="str">
        <f ca="1">IFERROR(__xludf.DUMMYFUNCTION("""COMPUTED_VALUE"""),"TPG201T PASS DURING S1 2022. STUDENT HAS TO REPORT FOR ACADEMIC INTERVENTION.")</f>
        <v>TPG201T PASS DURING S1 2022. STUDENT HAS TO REPORT FOR ACADEMIC INTERVENTION.</v>
      </c>
      <c r="H10" s="23"/>
      <c r="I10" s="24" t="s">
        <v>18</v>
      </c>
      <c r="J10" s="24" t="s">
        <v>25</v>
      </c>
      <c r="K10" s="24" t="s">
        <v>19</v>
      </c>
      <c r="L10" s="25" t="s">
        <v>28</v>
      </c>
      <c r="M10" s="24"/>
      <c r="N10" s="26" t="s">
        <v>29</v>
      </c>
    </row>
    <row r="11" spans="1:14" ht="60">
      <c r="A11" s="15">
        <f ca="1">IFERROR(__xludf.DUMMYFUNCTION("""COMPUTED_VALUE"""),216995287)</f>
        <v>216995287</v>
      </c>
      <c r="B11" s="15" t="str">
        <f ca="1">IFERROR(__xludf.DUMMYFUNCTION("""COMPUTED_VALUE"""),"Masinge")</f>
        <v>Masinge</v>
      </c>
      <c r="C11" s="15" t="str">
        <f ca="1">IFERROR(__xludf.DUMMYFUNCTION("""COMPUTED_VALUE"""),"TM")</f>
        <v>TM</v>
      </c>
      <c r="D11" s="16" t="s">
        <v>14</v>
      </c>
      <c r="E11" s="15" t="str">
        <f ca="1">IFERROR(__xludf.DUMMYFUNCTION("""COMPUTED_VALUE"""),"+27678969672")</f>
        <v>+27678969672</v>
      </c>
      <c r="F11" s="15" t="str">
        <f ca="1">IFERROR(__xludf.DUMMYFUNCTION("""COMPUTED_VALUE"""),"216995287@tut4life.ac.za")</f>
        <v>216995287@tut4life.ac.za</v>
      </c>
      <c r="G11" s="15" t="str">
        <f ca="1">IFERROR(__xludf.DUMMYFUNCTION("""COMPUTED_VALUE"""),"TPG201T PASS DURING S1 2022. STUDENT HAS TO REPORT FOR ACADEMIC INTERVENTION.")</f>
        <v>TPG201T PASS DURING S1 2022. STUDENT HAS TO REPORT FOR ACADEMIC INTERVENTION.</v>
      </c>
      <c r="H11" s="24"/>
      <c r="I11" s="27" t="s">
        <v>22</v>
      </c>
      <c r="J11" s="24" t="s">
        <v>25</v>
      </c>
      <c r="K11" s="24" t="s">
        <v>31</v>
      </c>
      <c r="L11" s="25" t="s">
        <v>28</v>
      </c>
      <c r="M11" s="24"/>
      <c r="N11" s="26" t="s">
        <v>29</v>
      </c>
    </row>
    <row r="12" spans="1:14" ht="30">
      <c r="A12" s="15">
        <f ca="1">IFERROR(__xludf.DUMMYFUNCTION("""COMPUTED_VALUE"""),217093910)</f>
        <v>217093910</v>
      </c>
      <c r="B12" s="15" t="str">
        <f ca="1">IFERROR(__xludf.DUMMYFUNCTION("""COMPUTED_VALUE"""),"Masipa")</f>
        <v>Masipa</v>
      </c>
      <c r="C12" s="15" t="str">
        <f ca="1">IFERROR(__xludf.DUMMYFUNCTION("""COMPUTED_VALUE"""),"K")</f>
        <v>K</v>
      </c>
      <c r="D12" s="16" t="s">
        <v>14</v>
      </c>
      <c r="E12" s="15" t="str">
        <f ca="1">IFERROR(__xludf.DUMMYFUNCTION("""COMPUTED_VALUE"""),"768662824")</f>
        <v>768662824</v>
      </c>
      <c r="F12" s="15" t="str">
        <f ca="1">IFERROR(__xludf.DUMMYFUNCTION("""COMPUTED_VALUE"""),"217093910@tut4life.ac.za")</f>
        <v>217093910@tut4life.ac.za</v>
      </c>
      <c r="G12" s="15" t="str">
        <f ca="1">IFERROR(__xludf.DUMMYFUNCTION("""COMPUTED_VALUE"""),"TPG201T PASS S1 2022. ACADEMIC INTERVENTION.")</f>
        <v>TPG201T PASS S1 2022. ACADEMIC INTERVENTION.</v>
      </c>
      <c r="I12" t="s">
        <v>18</v>
      </c>
      <c r="J12" t="s">
        <v>25</v>
      </c>
      <c r="K12" t="s">
        <v>19</v>
      </c>
      <c r="L12" s="28" t="s">
        <v>32</v>
      </c>
      <c r="N12" t="s">
        <v>29</v>
      </c>
    </row>
    <row r="13" spans="1:14" ht="57.75" customHeight="1">
      <c r="A13" s="15">
        <f ca="1">IFERROR(__xludf.DUMMYFUNCTION("""COMPUTED_VALUE"""),217488338)</f>
        <v>217488338</v>
      </c>
      <c r="B13" s="15" t="str">
        <f ca="1">IFERROR(__xludf.DUMMYFUNCTION("""COMPUTED_VALUE"""),"Kobedi")</f>
        <v>Kobedi</v>
      </c>
      <c r="C13" s="15" t="str">
        <f ca="1">IFERROR(__xludf.DUMMYFUNCTION("""COMPUTED_VALUE"""),"P T K O")</f>
        <v>P T K O</v>
      </c>
      <c r="D13" s="16" t="s">
        <v>14</v>
      </c>
      <c r="E13" s="15" t="str">
        <f ca="1">IFERROR(__xludf.DUMMYFUNCTION("""COMPUTED_VALUE"""),"0791620190")</f>
        <v>0791620190</v>
      </c>
      <c r="F13" s="15" t="str">
        <f ca="1">IFERROR(__xludf.DUMMYFUNCTION("""COMPUTED_VALUE"""),"217488338@tut4life.ac.za")</f>
        <v>217488338@tut4life.ac.za</v>
      </c>
      <c r="G13" s="15" t="str">
        <f ca="1">IFERROR(__xludf.DUMMYFUNCTION("""COMPUTED_VALUE"""),"STUDENT MUST ASS TPG201T &amp; ISY34AT DURING S1 2022 +REPORT FOR ACADEMIC INTERVENTION")</f>
        <v>STUDENT MUST ASS TPG201T &amp; ISY34AT DURING S1 2022 +REPORT FOR ACADEMIC INTERVENTION</v>
      </c>
      <c r="H13" s="24"/>
      <c r="I13" s="24" t="s">
        <v>18</v>
      </c>
      <c r="J13" s="24" t="s">
        <v>25</v>
      </c>
      <c r="K13" s="24" t="s">
        <v>19</v>
      </c>
      <c r="L13" s="25" t="s">
        <v>33</v>
      </c>
      <c r="M13" s="24"/>
      <c r="N13" s="24"/>
    </row>
    <row r="14" spans="1:14" ht="39">
      <c r="A14" s="15">
        <f ca="1">IFERROR(__xludf.DUMMYFUNCTION("""COMPUTED_VALUE"""),217525357)</f>
        <v>217525357</v>
      </c>
      <c r="B14" s="15" t="str">
        <f ca="1">IFERROR(__xludf.DUMMYFUNCTION("""COMPUTED_VALUE"""),"ZULU")</f>
        <v>ZULU</v>
      </c>
      <c r="C14" s="15" t="str">
        <f ca="1">IFERROR(__xludf.DUMMYFUNCTION("""COMPUTED_VALUE"""),"VD")</f>
        <v>VD</v>
      </c>
      <c r="D14" s="16" t="s">
        <v>14</v>
      </c>
      <c r="E14" s="15" t="str">
        <f ca="1">IFERROR(__xludf.DUMMYFUNCTION("""COMPUTED_VALUE"""),"0796896541")</f>
        <v>0796896541</v>
      </c>
      <c r="F14" s="15" t="str">
        <f ca="1">IFERROR(__xludf.DUMMYFUNCTION("""COMPUTED_VALUE"""),"diploma.zulu@gmail.com")</f>
        <v>diploma.zulu@gmail.com</v>
      </c>
      <c r="G14" s="15" t="str">
        <f ca="1">IFERROR(__xludf.DUMMYFUNCTION("""COMPUTED_VALUE"""),"DSO23AT TPG201T ISY23BT SSF24BT  PASS S1 2022 + ACADEMIC INTERVENTION")</f>
        <v>DSO23AT TPG201T ISY23BT SSF24BT  PASS S1 2022 + ACADEMIC INTERVENTION</v>
      </c>
      <c r="I14" t="s">
        <v>18</v>
      </c>
      <c r="K14" t="s">
        <v>19</v>
      </c>
    </row>
    <row r="15" spans="1:14" ht="39">
      <c r="A15" s="14">
        <f ca="1">IFERROR(__xludf.DUMMYFUNCTION("""COMPUTED_VALUE"""),218390080)</f>
        <v>218390080</v>
      </c>
      <c r="B15" s="14" t="str">
        <f ca="1">IFERROR(__xludf.DUMMYFUNCTION("""COMPUTED_VALUE"""),"Shekwa")</f>
        <v>Shekwa</v>
      </c>
      <c r="C15" s="14" t="str">
        <f ca="1">IFERROR(__xludf.DUMMYFUNCTION("""COMPUTED_VALUE"""),"NT")</f>
        <v>NT</v>
      </c>
      <c r="D15" s="13" t="s">
        <v>14</v>
      </c>
      <c r="E15" s="14" t="str">
        <f ca="1">IFERROR(__xludf.DUMMYFUNCTION("""COMPUTED_VALUE"""),"0661512368")</f>
        <v>0661512368</v>
      </c>
      <c r="F15" s="14" t="str">
        <f ca="1">IFERROR(__xludf.DUMMYFUNCTION("""COMPUTED_VALUE"""),"nonhlanhlarorisang2020@gmail.com")</f>
        <v>nonhlanhlarorisang2020@gmail.com</v>
      </c>
      <c r="G15" s="14" t="str">
        <f ca="1">IFERROR(__xludf.DUMMYFUNCTION("""COMPUTED_VALUE"""),"STUDENT MUST PASS TPG201T &amp; ISY34AT DURING S1 2022 + REPORT FOR ACADEMIC INTERVENTION")</f>
        <v>STUDENT MUST PASS TPG201T &amp; ISY34AT DURING S1 2022 + REPORT FOR ACADEMIC INTERVENTION</v>
      </c>
      <c r="I15" s="17" t="s">
        <v>22</v>
      </c>
      <c r="K15" t="s">
        <v>31</v>
      </c>
    </row>
    <row r="16" spans="1:14" ht="51.75">
      <c r="A16" s="15">
        <f ca="1">IFERROR(__xludf.DUMMYFUNCTION("""COMPUTED_VALUE"""),219631014)</f>
        <v>219631014</v>
      </c>
      <c r="B16" s="15" t="str">
        <f ca="1">IFERROR(__xludf.DUMMYFUNCTION("""COMPUTED_VALUE"""),"Malatji ")</f>
        <v xml:space="preserve">Malatji </v>
      </c>
      <c r="C16" s="15" t="str">
        <f ca="1">IFERROR(__xludf.DUMMYFUNCTION("""COMPUTED_VALUE"""),"W")</f>
        <v>W</v>
      </c>
      <c r="D16" s="16" t="s">
        <v>14</v>
      </c>
      <c r="E16" s="15" t="str">
        <f ca="1">IFERROR(__xludf.DUMMYFUNCTION("""COMPUTED_VALUE"""),"606386534")</f>
        <v>606386534</v>
      </c>
      <c r="F16" s="15" t="str">
        <f ca="1">IFERROR(__xludf.DUMMYFUNCTION("""COMPUTED_VALUE"""),"219631014@tut4life.ac.za")</f>
        <v>219631014@tut4life.ac.za</v>
      </c>
      <c r="G16" s="15" t="str">
        <f ca="1">IFERROR(__xludf.DUMMYFUNCTION("""COMPUTED_VALUE"""),"Student needs to pass ISY23AT, TPG201T(Probation), AND DSO23BT (Probation) during S1 2022 and report for academic intervention.")</f>
        <v>Student needs to pass ISY23AT, TPG201T(Probation), AND DSO23BT (Probation) during S1 2022 and report for academic intervention.</v>
      </c>
      <c r="I16" t="s">
        <v>18</v>
      </c>
      <c r="J16" t="s">
        <v>25</v>
      </c>
      <c r="K16" t="s">
        <v>19</v>
      </c>
      <c r="L16" s="25" t="s">
        <v>34</v>
      </c>
      <c r="N16" s="28" t="s">
        <v>35</v>
      </c>
    </row>
    <row r="17" spans="1:14" ht="51.75">
      <c r="A17" s="15">
        <f ca="1">IFERROR(__xludf.DUMMYFUNCTION("""COMPUTED_VALUE"""),216842723)</f>
        <v>216842723</v>
      </c>
      <c r="B17" s="15" t="str">
        <f ca="1">IFERROR(__xludf.DUMMYFUNCTION("""COMPUTED_VALUE"""),"Siswana")</f>
        <v>Siswana</v>
      </c>
      <c r="C17" s="15" t="str">
        <f ca="1">IFERROR(__xludf.DUMMYFUNCTION("""COMPUTED_VALUE"""),"B")</f>
        <v>B</v>
      </c>
      <c r="D17" s="16" t="s">
        <v>14</v>
      </c>
      <c r="E17" s="15" t="str">
        <f ca="1">IFERROR(__xludf.DUMMYFUNCTION("""COMPUTED_VALUE"""),"0634442883")</f>
        <v>0634442883</v>
      </c>
      <c r="F17" s="15" t="str">
        <f ca="1">IFERROR(__xludf.DUMMYFUNCTION("""COMPUTED_VALUE"""),"bubusiswana@gmail.com")</f>
        <v>bubusiswana@gmail.com</v>
      </c>
      <c r="G17" s="15" t="str">
        <f ca="1">IFERROR(__xludf.DUMMYFUNCTION("""COMPUTED_VALUE"""),"TPG201T WAS FAILED 3 TIMES, DSO34BT PROBATION - PASS S1 2022 + REPORT FOR ACADEMIC INTERVENTION")</f>
        <v>TPG201T WAS FAILED 3 TIMES, DSO34BT PROBATION - PASS S1 2022 + REPORT FOR ACADEMIC INTERVENTION</v>
      </c>
      <c r="I17" t="s">
        <v>36</v>
      </c>
      <c r="J17" t="s">
        <v>25</v>
      </c>
      <c r="K17" t="s">
        <v>31</v>
      </c>
      <c r="L17" s="28" t="s">
        <v>32</v>
      </c>
      <c r="N17" t="s">
        <v>29</v>
      </c>
    </row>
    <row r="18" spans="1:14" ht="39">
      <c r="A18" s="15">
        <f ca="1">IFERROR(__xludf.DUMMYFUNCTION("""COMPUTED_VALUE"""),216542592)</f>
        <v>216542592</v>
      </c>
      <c r="B18" s="15" t="str">
        <f ca="1">IFERROR(__xludf.DUMMYFUNCTION("""COMPUTED_VALUE"""),"Phahla")</f>
        <v>Phahla</v>
      </c>
      <c r="C18" s="15" t="str">
        <f ca="1">IFERROR(__xludf.DUMMYFUNCTION("""COMPUTED_VALUE"""),"DM")</f>
        <v>DM</v>
      </c>
      <c r="D18" s="16" t="s">
        <v>14</v>
      </c>
      <c r="E18" s="15" t="str">
        <f ca="1">IFERROR(__xludf.DUMMYFUNCTION("""COMPUTED_VALUE"""),"0727006159")</f>
        <v>0727006159</v>
      </c>
      <c r="F18" s="15" t="str">
        <f ca="1">IFERROR(__xludf.DUMMYFUNCTION("""COMPUTED_VALUE"""),"dineophahla61@gmail.com")</f>
        <v>dineophahla61@gmail.com</v>
      </c>
      <c r="G18" s="15" t="str">
        <f ca="1">IFERROR(__xludf.DUMMYFUNCTION("""COMPUTED_VALUE"""),"STUDENT MUST PASS TPG201T DURING S1 2022 AND REPORT FOR ACADEMIC INTERVENTION.")</f>
        <v>STUDENT MUST PASS TPG201T DURING S1 2022 AND REPORT FOR ACADEMIC INTERVENTION.</v>
      </c>
      <c r="I18" t="s">
        <v>18</v>
      </c>
      <c r="J18" t="s">
        <v>25</v>
      </c>
      <c r="K18" t="s">
        <v>31</v>
      </c>
      <c r="L18" s="28" t="s">
        <v>32</v>
      </c>
      <c r="N18" t="s">
        <v>29</v>
      </c>
    </row>
    <row r="19" spans="1:14" ht="47.25" customHeight="1">
      <c r="A19" s="29">
        <f ca="1">IFERROR(__xludf.DUMMYFUNCTION("""COMPUTED_VALUE"""),217018137)</f>
        <v>217018137</v>
      </c>
      <c r="B19" s="29"/>
      <c r="C19" s="29"/>
      <c r="D19" s="30" t="s">
        <v>14</v>
      </c>
      <c r="E19" s="29"/>
      <c r="F19" s="29"/>
      <c r="G19" s="29" t="str">
        <f ca="1">IFERROR(__xludf.DUMMYFUNCTION("""COMPUTED_VALUE"""),"STUDENT NEED TO PASS TPG201T DURING S1 2022 AND REPORT FOR ACADEMIC INTERVENTION.")</f>
        <v>STUDENT NEED TO PASS TPG201T DURING S1 2022 AND REPORT FOR ACADEMIC INTERVENTION.</v>
      </c>
      <c r="I19" s="17" t="s">
        <v>22</v>
      </c>
      <c r="K19" t="s">
        <v>31</v>
      </c>
    </row>
    <row r="20" spans="1:14" ht="40.5" customHeight="1">
      <c r="A20" s="29">
        <f ca="1">IFERROR(__xludf.DUMMYFUNCTION("""COMPUTED_VALUE"""),217046459)</f>
        <v>217046459</v>
      </c>
      <c r="B20" s="29"/>
      <c r="C20" s="29"/>
      <c r="D20" s="30" t="s">
        <v>14</v>
      </c>
      <c r="E20" s="29"/>
      <c r="F20" s="29"/>
      <c r="G20" s="29" t="str">
        <f ca="1">IFERROR(__xludf.DUMMYFUNCTION("""COMPUTED_VALUE"""),"STUDENT NEED TO PASS TPG201T DURING S1 2022 AND REPORT FOR ACADEMIC INTERVENTION.")</f>
        <v>STUDENT NEED TO PASS TPG201T DURING S1 2022 AND REPORT FOR ACADEMIC INTERVENTION.</v>
      </c>
      <c r="I20" s="17" t="s">
        <v>22</v>
      </c>
      <c r="K20" t="s">
        <v>31</v>
      </c>
    </row>
    <row r="21" spans="1:14" ht="41.25" customHeight="1">
      <c r="A21" s="29">
        <f ca="1">IFERROR(__xludf.DUMMYFUNCTION("""COMPUTED_VALUE"""),217068185)</f>
        <v>217068185</v>
      </c>
      <c r="B21" s="29"/>
      <c r="C21" s="29"/>
      <c r="D21" s="30" t="s">
        <v>14</v>
      </c>
      <c r="E21" s="29"/>
      <c r="F21" s="29"/>
      <c r="G21" s="29" t="str">
        <f ca="1">IFERROR(__xludf.DUMMYFUNCTION("""COMPUTED_VALUE"""),"STUDENT NEED TO PASS TPG201T DURING S1 2022 AND REPORT FOR ACADEMIC INTERVENTION.")</f>
        <v>STUDENT NEED TO PASS TPG201T DURING S1 2022 AND REPORT FOR ACADEMIC INTERVENTION.</v>
      </c>
      <c r="I21" s="17" t="s">
        <v>22</v>
      </c>
      <c r="K21" t="s">
        <v>31</v>
      </c>
    </row>
    <row r="22" spans="1:14" ht="60">
      <c r="A22" s="15">
        <f ca="1">IFERROR(__xludf.DUMMYFUNCTION("""COMPUTED_VALUE"""),217215153)</f>
        <v>217215153</v>
      </c>
      <c r="B22" s="15" t="str">
        <f ca="1">IFERROR(__xludf.DUMMYFUNCTION("""COMPUTED_VALUE"""),"Ntjana")</f>
        <v>Ntjana</v>
      </c>
      <c r="C22" s="15" t="str">
        <f ca="1">IFERROR(__xludf.DUMMYFUNCTION("""COMPUTED_VALUE"""),"W.K")</f>
        <v>W.K</v>
      </c>
      <c r="D22" s="16" t="s">
        <v>14</v>
      </c>
      <c r="E22" s="15" t="str">
        <f ca="1">IFERROR(__xludf.DUMMYFUNCTION("""COMPUTED_VALUE"""),"0748135205")</f>
        <v>0748135205</v>
      </c>
      <c r="F22" s="15" t="str">
        <f ca="1">IFERROR(__xludf.DUMMYFUNCTION("""COMPUTED_VALUE"""),"kamogee6@gmail.com")</f>
        <v>kamogee6@gmail.com</v>
      </c>
      <c r="G22" s="15" t="str">
        <f ca="1">IFERROR(__xludf.DUMMYFUNCTION("""COMPUTED_VALUE"""),"STUDENT NEED TO PASS TPG201T AND IIE30AT DURING S1 2022 AND REPORT FOR ACADEMIC INTERVENTION.")</f>
        <v>STUDENT NEED TO PASS TPG201T AND IIE30AT DURING S1 2022 AND REPORT FOR ACADEMIC INTERVENTION.</v>
      </c>
      <c r="I22" t="s">
        <v>18</v>
      </c>
      <c r="J22" t="s">
        <v>25</v>
      </c>
      <c r="K22" t="s">
        <v>19</v>
      </c>
      <c r="L22" s="28" t="s">
        <v>37</v>
      </c>
      <c r="M22" s="28" t="s">
        <v>38</v>
      </c>
      <c r="N22" s="28" t="s">
        <v>39</v>
      </c>
    </row>
    <row r="23" spans="1:14" ht="51.75">
      <c r="A23" s="14">
        <f ca="1">IFERROR(__xludf.DUMMYFUNCTION("""COMPUTED_VALUE"""),217258006)</f>
        <v>217258006</v>
      </c>
      <c r="B23" s="14" t="str">
        <f ca="1">IFERROR(__xludf.DUMMYFUNCTION("""COMPUTED_VALUE"""),"KOTELE")</f>
        <v>KOTELE</v>
      </c>
      <c r="C23" s="14" t="str">
        <f ca="1">IFERROR(__xludf.DUMMYFUNCTION("""COMPUTED_VALUE"""),"SJ")</f>
        <v>SJ</v>
      </c>
      <c r="D23" s="13" t="s">
        <v>14</v>
      </c>
      <c r="E23" s="14" t="str">
        <f ca="1">IFERROR(__xludf.DUMMYFUNCTION("""COMPUTED_VALUE"""),"0739282340")</f>
        <v>0739282340</v>
      </c>
      <c r="F23" s="14" t="str">
        <f ca="1">IFERROR(__xludf.DUMMYFUNCTION("""COMPUTED_VALUE"""),"217258006@tut4life.ac.za")</f>
        <v>217258006@tut4life.ac.za</v>
      </c>
      <c r="G23" s="31" t="str">
        <f ca="1">IFERROR(__xludf.DUMMYFUNCTION("""COMPUTED_VALUE"""),"STUDENT NEED TO PASS TPG201T AND IIS20BT DURING S1 2022 AND REPORT FOR ACADEMIC INTERVENTION.")</f>
        <v>STUDENT NEED TO PASS TPG201T AND IIS20BT DURING S1 2022 AND REPORT FOR ACADEMIC INTERVENTION.</v>
      </c>
      <c r="I23" s="17" t="s">
        <v>22</v>
      </c>
      <c r="K23" t="s">
        <v>19</v>
      </c>
    </row>
    <row r="24" spans="1:14" ht="64.5" customHeight="1">
      <c r="A24" s="29">
        <f ca="1">IFERROR(__xludf.DUMMYFUNCTION("""COMPUTED_VALUE"""),217345740)</f>
        <v>217345740</v>
      </c>
      <c r="B24" s="29"/>
      <c r="C24" s="29"/>
      <c r="D24" s="30" t="s">
        <v>14</v>
      </c>
      <c r="E24" s="29"/>
      <c r="F24" s="32"/>
      <c r="G24" s="33" t="str">
        <f ca="1">IFERROR(__xludf.DUMMYFUNCTION("""COMPUTED_VALUE"""),"STUDENT NEED TO PASS IIE20BT, IIS20BT, DIC101T, TPG201T DURING S1 2022 AND REPORT FOR ACADEMIC INTERVENTION.")</f>
        <v>STUDENT NEED TO PASS IIE20BT, IIS20BT, DIC101T, TPG201T DURING S1 2022 AND REPORT FOR ACADEMIC INTERVENTION.</v>
      </c>
      <c r="H24" s="34"/>
      <c r="I24" s="17" t="s">
        <v>22</v>
      </c>
      <c r="J24" s="34"/>
      <c r="K24" s="35" t="s">
        <v>31</v>
      </c>
    </row>
    <row r="25" spans="1:14" ht="47.25" customHeight="1">
      <c r="A25" s="29">
        <f ca="1">IFERROR(__xludf.DUMMYFUNCTION("""COMPUTED_VALUE"""),217586895)</f>
        <v>217586895</v>
      </c>
      <c r="B25" s="29"/>
      <c r="C25" s="29"/>
      <c r="D25" s="30" t="s">
        <v>14</v>
      </c>
      <c r="E25" s="29"/>
      <c r="F25" s="29"/>
      <c r="G25" s="29" t="str">
        <f ca="1">IFERROR(__xludf.DUMMYFUNCTION("""COMPUTED_VALUE"""),"STUDENT NEED TO PASS TPG201T DURING S1 2022 AND REPORT FOR ACADEMIC INTERVENTION.")</f>
        <v>STUDENT NEED TO PASS TPG201T DURING S1 2022 AND REPORT FOR ACADEMIC INTERVENTION.</v>
      </c>
      <c r="I25" s="17" t="s">
        <v>22</v>
      </c>
      <c r="K25" t="s">
        <v>31</v>
      </c>
    </row>
    <row r="26" spans="1:14" ht="51.75">
      <c r="A26" s="14">
        <f ca="1">IFERROR(__xludf.DUMMYFUNCTION("""COMPUTED_VALUE"""),218005896)</f>
        <v>218005896</v>
      </c>
      <c r="B26" s="14" t="str">
        <f ca="1">IFERROR(__xludf.DUMMYFUNCTION("""COMPUTED_VALUE"""),"Mosiamedi")</f>
        <v>Mosiamedi</v>
      </c>
      <c r="C26" s="14" t="str">
        <f ca="1">IFERROR(__xludf.DUMMYFUNCTION("""COMPUTED_VALUE"""),"MN")</f>
        <v>MN</v>
      </c>
      <c r="D26" s="13" t="s">
        <v>14</v>
      </c>
      <c r="E26" s="14" t="str">
        <f ca="1">IFERROR(__xludf.DUMMYFUNCTION("""COMPUTED_VALUE"""),"0765992566")</f>
        <v>0765992566</v>
      </c>
      <c r="F26" s="14" t="str">
        <f ca="1">IFERROR(__xludf.DUMMYFUNCTION("""COMPUTED_VALUE"""),"mayitha2566@gmail.com")</f>
        <v>mayitha2566@gmail.com</v>
      </c>
      <c r="G26" s="14" t="str">
        <f ca="1">IFERROR(__xludf.DUMMYFUNCTION("""COMPUTED_VALUE"""),"STUDENT NEED TO PASS TPG201T AND ITS20BT DURING S1 2022 AND REPORT FOR ACADEMIC INTERVENTION.")</f>
        <v>STUDENT NEED TO PASS TPG201T AND ITS20BT DURING S1 2022 AND REPORT FOR ACADEMIC INTERVENTION.</v>
      </c>
      <c r="I26" s="17" t="s">
        <v>22</v>
      </c>
      <c r="K26" t="s">
        <v>19</v>
      </c>
    </row>
    <row r="27" spans="1:14">
      <c r="A27" s="29">
        <f ca="1">IFERROR(__xludf.DUMMYFUNCTION("""COMPUTED_VALUE"""),218218920)</f>
        <v>218218920</v>
      </c>
      <c r="B27" s="29"/>
      <c r="C27" s="29"/>
      <c r="D27" s="30" t="s">
        <v>14</v>
      </c>
      <c r="E27" s="29"/>
      <c r="F27" s="29"/>
      <c r="G27" s="29" t="str">
        <f ca="1">IFERROR(__xludf.DUMMYFUNCTION("""COMPUTED_VALUE"""),"STUDENT NEED TO PASS TPG201T DURING S1 2022 AND REPORT FOR ACADEMIC INTERVENTION.")</f>
        <v>STUDENT NEED TO PASS TPG201T DURING S1 2022 AND REPORT FOR ACADEMIC INTERVENTION.</v>
      </c>
      <c r="I27" s="17" t="s">
        <v>22</v>
      </c>
      <c r="K27" t="s">
        <v>31</v>
      </c>
    </row>
    <row r="28" spans="1:14" ht="51.75">
      <c r="A28" s="14">
        <f ca="1">IFERROR(__xludf.DUMMYFUNCTION("""COMPUTED_VALUE"""),218604390)</f>
        <v>218604390</v>
      </c>
      <c r="B28" s="14" t="str">
        <f ca="1">IFERROR(__xludf.DUMMYFUNCTION("""COMPUTED_VALUE"""),"Nemukovhani ")</f>
        <v xml:space="preserve">Nemukovhani </v>
      </c>
      <c r="C28" s="14" t="str">
        <f ca="1">IFERROR(__xludf.DUMMYFUNCTION("""COMPUTED_VALUE"""),"G")</f>
        <v>G</v>
      </c>
      <c r="D28" s="13" t="s">
        <v>14</v>
      </c>
      <c r="E28" s="14" t="str">
        <f ca="1">IFERROR(__xludf.DUMMYFUNCTION("""COMPUTED_VALUE"""),"0792312482")</f>
        <v>0792312482</v>
      </c>
      <c r="F28" s="14" t="str">
        <f ca="1">IFERROR(__xludf.DUMMYFUNCTION("""COMPUTED_VALUE"""),"gundo.info@gmail.com")</f>
        <v>gundo.info@gmail.com</v>
      </c>
      <c r="G28" s="14" t="str">
        <f ca="1">IFERROR(__xludf.DUMMYFUNCTION("""COMPUTED_VALUE"""),"STUDENT NEED TO PASS IIS20AT AND TPG201T DURING S1 2022 AND REPORT FOR ACADEMIC INTERVENTION.")</f>
        <v>STUDENT NEED TO PASS IIS20AT AND TPG201T DURING S1 2022 AND REPORT FOR ACADEMIC INTERVENTION.</v>
      </c>
      <c r="I28" s="17" t="s">
        <v>22</v>
      </c>
      <c r="K28" t="s">
        <v>31</v>
      </c>
    </row>
    <row r="29" spans="1:14" ht="39">
      <c r="A29" s="15">
        <f ca="1">IFERROR(__xludf.DUMMYFUNCTION("""COMPUTED_VALUE"""),218667660)</f>
        <v>218667660</v>
      </c>
      <c r="B29" s="15" t="str">
        <f ca="1">IFERROR(__xludf.DUMMYFUNCTION("""COMPUTED_VALUE"""),"Zwane ")</f>
        <v xml:space="preserve">Zwane </v>
      </c>
      <c r="C29" s="15" t="str">
        <f ca="1">IFERROR(__xludf.DUMMYFUNCTION("""COMPUTED_VALUE"""),"I ")</f>
        <v xml:space="preserve">I </v>
      </c>
      <c r="D29" s="16" t="s">
        <v>14</v>
      </c>
      <c r="E29" s="15" t="str">
        <f ca="1">IFERROR(__xludf.DUMMYFUNCTION("""COMPUTED_VALUE"""),"0726897354")</f>
        <v>0726897354</v>
      </c>
      <c r="F29" s="15" t="str">
        <f ca="1">IFERROR(__xludf.DUMMYFUNCTION("""COMPUTED_VALUE"""),"emmanuelzwane18@gmail.com")</f>
        <v>emmanuelzwane18@gmail.com</v>
      </c>
      <c r="G29" s="15" t="str">
        <f ca="1">IFERROR(__xludf.DUMMYFUNCTION("""COMPUTED_VALUE"""),"STUDENT NEED TO PASS TPG201T DURING S1 2022 AND REPORT FOR ACADEMIC INTERVENTION.")</f>
        <v>STUDENT NEED TO PASS TPG201T DURING S1 2022 AND REPORT FOR ACADEMIC INTERVENTION.</v>
      </c>
      <c r="I29" t="s">
        <v>40</v>
      </c>
      <c r="K29" t="s">
        <v>19</v>
      </c>
    </row>
    <row r="30" spans="1:14" s="20" customFormat="1" ht="60">
      <c r="A30" s="18">
        <f ca="1">IFERROR(__xludf.DUMMYFUNCTION("""COMPUTED_VALUE"""),218465269)</f>
        <v>218465269</v>
      </c>
      <c r="B30" s="18" t="str">
        <f ca="1">IFERROR(__xludf.DUMMYFUNCTION("""COMPUTED_VALUE"""),"Ngobeni ")</f>
        <v xml:space="preserve">Ngobeni </v>
      </c>
      <c r="C30" s="18" t="str">
        <f ca="1">IFERROR(__xludf.DUMMYFUNCTION("""COMPUTED_VALUE"""),"S")</f>
        <v>S</v>
      </c>
      <c r="D30" s="19" t="s">
        <v>14</v>
      </c>
      <c r="E30" s="18" t="str">
        <f ca="1">IFERROR(__xludf.DUMMYFUNCTION("""COMPUTED_VALUE"""),"0637505832")</f>
        <v>0637505832</v>
      </c>
      <c r="F30" s="18" t="str">
        <f ca="1">IFERROR(__xludf.DUMMYFUNCTION("""COMPUTED_VALUE"""),"singitangobeni8@gmail.com")</f>
        <v>singitangobeni8@gmail.com</v>
      </c>
      <c r="G30" s="18" t="str">
        <f ca="1">IFERROR(__xludf.DUMMYFUNCTION("""COMPUTED_VALUE"""),"STUDENT MUST PASS TPG201T AND IIS20AT DURING S1 2022 AND REPORT FOR ACADEMIC INTERVENTION.")</f>
        <v>STUDENT MUST PASS TPG201T AND IIS20AT DURING S1 2022 AND REPORT FOR ACADEMIC INTERVENTION.</v>
      </c>
      <c r="I30" s="20" t="s">
        <v>18</v>
      </c>
      <c r="J30" s="20" t="s">
        <v>25</v>
      </c>
      <c r="K30" s="20" t="s">
        <v>19</v>
      </c>
      <c r="L30" s="21" t="s">
        <v>41</v>
      </c>
      <c r="M30" s="20" t="s">
        <v>38</v>
      </c>
      <c r="N30" s="21" t="s">
        <v>42</v>
      </c>
    </row>
    <row r="31" spans="1:14">
      <c r="A31" s="36">
        <f ca="1">IFERROR(__xludf.DUMMYFUNCTION("""COMPUTED_VALUE"""),216218558)</f>
        <v>216218558</v>
      </c>
      <c r="B31" s="36" t="str">
        <f ca="1">IFERROR(__xludf.DUMMYFUNCTION("""COMPUTED_VALUE"""),"MAKAMU")</f>
        <v>MAKAMU</v>
      </c>
      <c r="C31" s="36" t="str">
        <f ca="1">IFERROR(__xludf.DUMMYFUNCTION("""COMPUTED_VALUE"""),"ND")</f>
        <v>ND</v>
      </c>
      <c r="D31" s="37" t="s">
        <v>14</v>
      </c>
      <c r="E31" s="36" t="str">
        <f ca="1">IFERROR(__xludf.DUMMYFUNCTION("""COMPUTED_VALUE"""),"0648510519")</f>
        <v>0648510519</v>
      </c>
      <c r="F31" s="36" t="str">
        <f ca="1">IFERROR(__xludf.DUMMYFUNCTION("""COMPUTED_VALUE"""),"kutsakadee@gmail.com")</f>
        <v>kutsakadee@gmail.com</v>
      </c>
      <c r="G31" s="36" t="str">
        <f ca="1">IFERROR(__xludf.DUMMYFUNCTION("""COMPUTED_VALUE"""),"Student need to pass TPG201T")</f>
        <v>Student need to pass TPG201T</v>
      </c>
      <c r="I31" s="17" t="s">
        <v>43</v>
      </c>
      <c r="K31" t="s">
        <v>19</v>
      </c>
    </row>
    <row r="32" spans="1:14" ht="30">
      <c r="A32" s="15">
        <f ca="1">IFERROR(__xludf.DUMMYFUNCTION("""COMPUTED_VALUE"""),219104758)</f>
        <v>219104758</v>
      </c>
      <c r="B32" s="15" t="str">
        <f ca="1">IFERROR(__xludf.DUMMYFUNCTION("""COMPUTED_VALUE"""),"Makhura")</f>
        <v>Makhura</v>
      </c>
      <c r="C32" s="15" t="str">
        <f ca="1">IFERROR(__xludf.DUMMYFUNCTION("""COMPUTED_VALUE"""),"TJ")</f>
        <v>TJ</v>
      </c>
      <c r="D32" s="16" t="s">
        <v>14</v>
      </c>
      <c r="E32" s="15" t="str">
        <f ca="1">IFERROR(__xludf.DUMMYFUNCTION("""COMPUTED_VALUE"""),"0820791090")</f>
        <v>0820791090</v>
      </c>
      <c r="F32" s="15" t="str">
        <f ca="1">IFERROR(__xludf.DUMMYFUNCTION("""COMPUTED_VALUE"""),"mojeffmakhura@gmail.com")</f>
        <v>mojeffmakhura@gmail.com</v>
      </c>
      <c r="G32" s="15" t="str">
        <f ca="1">IFERROR(__xludf.DUMMYFUNCTION("""COMPUTED_VALUE"""),"Student need to pass TPG201T")</f>
        <v>Student need to pass TPG201T</v>
      </c>
      <c r="I32" t="s">
        <v>18</v>
      </c>
      <c r="J32" t="s">
        <v>25</v>
      </c>
      <c r="K32" t="s">
        <v>19</v>
      </c>
      <c r="L32" s="28" t="s">
        <v>32</v>
      </c>
      <c r="N32" t="s">
        <v>29</v>
      </c>
    </row>
    <row r="33" spans="1:14" ht="30.75" customHeight="1">
      <c r="A33" s="14">
        <f ca="1">IFERROR(__xludf.DUMMYFUNCTION("""COMPUTED_VALUE"""),218682294)</f>
        <v>218682294</v>
      </c>
      <c r="B33" s="14" t="str">
        <f ca="1">IFERROR(__xludf.DUMMYFUNCTION("""COMPUTED_VALUE"""),"Langa")</f>
        <v>Langa</v>
      </c>
      <c r="C33" s="14" t="str">
        <f ca="1">IFERROR(__xludf.DUMMYFUNCTION("""COMPUTED_VALUE"""),"L")</f>
        <v>L</v>
      </c>
      <c r="D33" s="13" t="s">
        <v>14</v>
      </c>
      <c r="E33" s="14" t="str">
        <f ca="1">IFERROR(__xludf.DUMMYFUNCTION("""COMPUTED_VALUE"""),"0781664218")</f>
        <v>0781664218</v>
      </c>
      <c r="F33" s="14" t="str">
        <f ca="1">IFERROR(__xludf.DUMMYFUNCTION("""COMPUTED_VALUE"""),"218682294@tut4life.ac.za")</f>
        <v>218682294@tut4life.ac.za</v>
      </c>
      <c r="G33" s="14" t="str">
        <f ca="1">IFERROR(__xludf.DUMMYFUNCTION("""COMPUTED_VALUE"""),"need to pass TPG201T, ISY23BT, and DSO34BT.")</f>
        <v>need to pass TPG201T, ISY23BT, and DSO34BT.</v>
      </c>
      <c r="I33" s="17" t="s">
        <v>22</v>
      </c>
      <c r="K33" t="s">
        <v>19</v>
      </c>
    </row>
    <row r="34" spans="1:14" ht="26.25">
      <c r="A34" s="14">
        <f ca="1">IFERROR(__xludf.DUMMYFUNCTION("""COMPUTED_VALUE"""),217459842)</f>
        <v>217459842</v>
      </c>
      <c r="B34" s="14" t="str">
        <f ca="1">IFERROR(__xludf.DUMMYFUNCTION("""COMPUTED_VALUE"""),"Mabasa")</f>
        <v>Mabasa</v>
      </c>
      <c r="C34" s="14" t="s">
        <v>44</v>
      </c>
      <c r="D34" s="13" t="s">
        <v>14</v>
      </c>
      <c r="E34" s="14" t="str">
        <f ca="1">IFERROR(__xludf.DUMMYFUNCTION("""COMPUTED_VALUE"""),"+27649923560")</f>
        <v>+27649923560</v>
      </c>
      <c r="F34" s="14" t="str">
        <f ca="1">IFERROR(__xludf.DUMMYFUNCTION("""COMPUTED_VALUE"""),"eliasrhandzu7@gmail.com")</f>
        <v>eliasrhandzu7@gmail.com</v>
      </c>
      <c r="G34" s="14" t="str">
        <f ca="1">IFERROR(__xludf.DUMMYFUNCTION("""COMPUTED_VALUE"""),"Student must pass DSO23AT, TPG201T, and ISY23AT.")</f>
        <v>Student must pass DSO23AT, TPG201T, and ISY23AT.</v>
      </c>
      <c r="I34" s="17" t="s">
        <v>22</v>
      </c>
      <c r="K34" t="s">
        <v>19</v>
      </c>
    </row>
    <row r="35" spans="1:14">
      <c r="A35" s="15">
        <f ca="1">IFERROR(__xludf.DUMMYFUNCTION("""COMPUTED_VALUE"""),216903609)</f>
        <v>216903609</v>
      </c>
      <c r="B35" s="15" t="str">
        <f ca="1">IFERROR(__xludf.DUMMYFUNCTION("""COMPUTED_VALUE"""),"Mkhaliphi ")</f>
        <v xml:space="preserve">Mkhaliphi </v>
      </c>
      <c r="C35" s="15" t="str">
        <f ca="1">IFERROR(__xludf.DUMMYFUNCTION("""COMPUTED_VALUE"""),"TS ")</f>
        <v xml:space="preserve">TS </v>
      </c>
      <c r="D35" s="16" t="s">
        <v>14</v>
      </c>
      <c r="E35" s="15" t="str">
        <f ca="1">IFERROR(__xludf.DUMMYFUNCTION("""COMPUTED_VALUE"""),"0825095415")</f>
        <v>0825095415</v>
      </c>
      <c r="F35" s="15" t="str">
        <f ca="1">IFERROR(__xludf.DUMMYFUNCTION("""COMPUTED_VALUE"""),"tryman45@gmail.com")</f>
        <v>tryman45@gmail.com</v>
      </c>
      <c r="G35" s="15" t="str">
        <f ca="1">IFERROR(__xludf.DUMMYFUNCTION("""COMPUTED_VALUE"""),"student need to pass TPG201T.")</f>
        <v>student need to pass TPG201T.</v>
      </c>
      <c r="I35" t="s">
        <v>18</v>
      </c>
      <c r="K35" t="s">
        <v>19</v>
      </c>
    </row>
    <row r="36" spans="1:14" ht="26.25">
      <c r="A36" s="15">
        <f ca="1">IFERROR(__xludf.DUMMYFUNCTION("""COMPUTED_VALUE"""),215018156)</f>
        <v>215018156</v>
      </c>
      <c r="B36" s="15" t="str">
        <f ca="1">IFERROR(__xludf.DUMMYFUNCTION("""COMPUTED_VALUE"""),"Moloto")</f>
        <v>Moloto</v>
      </c>
      <c r="C36" s="15" t="str">
        <f ca="1">IFERROR(__xludf.DUMMYFUNCTION("""COMPUTED_VALUE"""),"KT")</f>
        <v>KT</v>
      </c>
      <c r="D36" s="16" t="s">
        <v>14</v>
      </c>
      <c r="E36" s="15" t="str">
        <f ca="1">IFERROR(__xludf.DUMMYFUNCTION("""COMPUTED_VALUE"""),"0748054131")</f>
        <v>0748054131</v>
      </c>
      <c r="F36" s="15" t="str">
        <f ca="1">IFERROR(__xludf.DUMMYFUNCTION("""COMPUTED_VALUE"""),"ktmoloto701@gmail.com")</f>
        <v>ktmoloto701@gmail.com</v>
      </c>
      <c r="G36" s="15" t="str">
        <f ca="1">IFERROR(__xludf.DUMMYFUNCTION("""COMPUTED_VALUE"""),"Student must pass TPG201T, and must be full time to attend face to face classes")</f>
        <v>Student must pass TPG201T, and must be full time to attend face to face classes</v>
      </c>
      <c r="I36" t="s">
        <v>43</v>
      </c>
      <c r="K36" t="s">
        <v>19</v>
      </c>
    </row>
    <row r="37" spans="1:14" ht="44.25" customHeight="1">
      <c r="A37" s="14">
        <f ca="1">IFERROR(__xludf.DUMMYFUNCTION("""COMPUTED_VALUE"""),216451481)</f>
        <v>216451481</v>
      </c>
      <c r="B37" s="14" t="s">
        <v>45</v>
      </c>
      <c r="C37" s="14" t="str">
        <f ca="1">IFERROR(__xludf.DUMMYFUNCTION("""COMPUTED_VALUE"""),"IL")</f>
        <v>IL</v>
      </c>
      <c r="D37" s="13" t="s">
        <v>14</v>
      </c>
      <c r="E37" s="14" t="str">
        <f ca="1">IFERROR(__xludf.DUMMYFUNCTION("""COMPUTED_VALUE"""),"761996323")</f>
        <v>761996323</v>
      </c>
      <c r="F37" s="14" t="str">
        <f ca="1">IFERROR(__xludf.DUMMYFUNCTION("""COMPUTED_VALUE"""),"lynnetteinnocentia35@gmail.com")</f>
        <v>lynnetteinnocentia35@gmail.com</v>
      </c>
      <c r="G37" s="14" t="str">
        <f ca="1">IFERROR(__xludf.DUMMYFUNCTION("""COMPUTED_VALUE"""),"Student must pass DSO23AT, TPG201T, ISY23BT and student must attend trauma counseling.")</f>
        <v>Student must pass DSO23AT, TPG201T, ISY23BT and student must attend trauma counseling.</v>
      </c>
      <c r="I37" s="17" t="s">
        <v>22</v>
      </c>
      <c r="K37" t="s">
        <v>19</v>
      </c>
    </row>
    <row r="38" spans="1:14">
      <c r="A38" s="15">
        <f ca="1">IFERROR(__xludf.DUMMYFUNCTION("""COMPUTED_VALUE"""),210025421)</f>
        <v>210025421</v>
      </c>
      <c r="B38" s="15" t="str">
        <f ca="1">IFERROR(__xludf.DUMMYFUNCTION("""COMPUTED_VALUE"""),"Skosana")</f>
        <v>Skosana</v>
      </c>
      <c r="C38" s="15" t="str">
        <f ca="1">IFERROR(__xludf.DUMMYFUNCTION("""COMPUTED_VALUE"""),"GK")</f>
        <v>GK</v>
      </c>
      <c r="D38" s="16" t="s">
        <v>14</v>
      </c>
      <c r="E38" s="15" t="str">
        <f ca="1">IFERROR(__xludf.DUMMYFUNCTION("""COMPUTED_VALUE"""),"0728078491")</f>
        <v>0728078491</v>
      </c>
      <c r="F38" s="15" t="str">
        <f ca="1">IFERROR(__xludf.DUMMYFUNCTION("""COMPUTED_VALUE"""),"210025421@tut4life.ac.za")</f>
        <v>210025421@tut4life.ac.za</v>
      </c>
      <c r="G38" s="15" t="str">
        <f ca="1">IFERROR(__xludf.DUMMYFUNCTION("""COMPUTED_VALUE"""),"Student need to pass TPG201T, ISY23AT")</f>
        <v>Student need to pass TPG201T, ISY23AT</v>
      </c>
      <c r="I38" t="s">
        <v>46</v>
      </c>
      <c r="K38" t="s">
        <v>19</v>
      </c>
    </row>
    <row r="39" spans="1:14" ht="30">
      <c r="A39" s="15">
        <f ca="1">IFERROR(__xludf.DUMMYFUNCTION("""COMPUTED_VALUE"""),213577999)</f>
        <v>213577999</v>
      </c>
      <c r="B39" s="15" t="str">
        <f ca="1">IFERROR(__xludf.DUMMYFUNCTION("""COMPUTED_VALUE"""),"Mosefowa ")</f>
        <v xml:space="preserve">Mosefowa </v>
      </c>
      <c r="C39" s="15" t="str">
        <f ca="1">IFERROR(__xludf.DUMMYFUNCTION("""COMPUTED_VALUE"""),"KV")</f>
        <v>KV</v>
      </c>
      <c r="D39" s="16" t="s">
        <v>14</v>
      </c>
      <c r="E39" s="15" t="str">
        <f ca="1">IFERROR(__xludf.DUMMYFUNCTION("""COMPUTED_VALUE"""),"0614463892")</f>
        <v>0614463892</v>
      </c>
      <c r="F39" s="15" t="str">
        <f ca="1">IFERROR(__xludf.DUMMYFUNCTION("""COMPUTED_VALUE"""),"vilcosia@gmail.com")</f>
        <v>vilcosia@gmail.com</v>
      </c>
      <c r="G39" s="15" t="str">
        <f ca="1">IFERROR(__xludf.DUMMYFUNCTION("""COMPUTED_VALUE"""),"Student need to pass TPG201T during S1 2022 and report for academic intervention.")</f>
        <v>Student need to pass TPG201T during S1 2022 and report for academic intervention.</v>
      </c>
      <c r="I39" t="s">
        <v>18</v>
      </c>
      <c r="J39" t="s">
        <v>25</v>
      </c>
      <c r="K39" t="s">
        <v>31</v>
      </c>
      <c r="L39" s="28" t="s">
        <v>32</v>
      </c>
      <c r="N39" t="s">
        <v>29</v>
      </c>
    </row>
    <row r="40" spans="1:14" ht="64.5">
      <c r="A40" s="15">
        <f ca="1">IFERROR(__xludf.DUMMYFUNCTION("""COMPUTED_VALUE"""),214617900)</f>
        <v>214617900</v>
      </c>
      <c r="B40" s="15" t="str">
        <f ca="1">IFERROR(__xludf.DUMMYFUNCTION("""COMPUTED_VALUE"""),"Makhubele")</f>
        <v>Makhubele</v>
      </c>
      <c r="C40" s="15" t="str">
        <f ca="1">IFERROR(__xludf.DUMMYFUNCTION("""COMPUTED_VALUE"""),"Me")</f>
        <v>Me</v>
      </c>
      <c r="D40" s="16" t="s">
        <v>14</v>
      </c>
      <c r="E40" s="15" t="str">
        <f ca="1">IFERROR(__xludf.DUMMYFUNCTION("""COMPUTED_VALUE"""),"0823990389")</f>
        <v>0823990389</v>
      </c>
      <c r="F40" s="15" t="str">
        <f ca="1">IFERROR(__xludf.DUMMYFUNCTION("""COMPUTED_VALUE"""),"masingita.ebenezer@gmail.com")</f>
        <v>masingita.ebenezer@gmail.com</v>
      </c>
      <c r="G40" s="15" t="str">
        <f ca="1">IFERROR(__xludf.DUMMYFUNCTION("""COMPUTED_VALUE"""),"Student need to pass TPG201T, and the student must also attend full time. Student must provide prove of resignation from the company to be able to attend full time.")</f>
        <v>Student need to pass TPG201T, and the student must also attend full time. Student must provide prove of resignation from the company to be able to attend full time.</v>
      </c>
      <c r="I40" t="s">
        <v>43</v>
      </c>
      <c r="K40" t="s">
        <v>31</v>
      </c>
    </row>
    <row r="41" spans="1:14" ht="26.25">
      <c r="A41" s="15">
        <f ca="1">IFERROR(__xludf.DUMMYFUNCTION("""COMPUTED_VALUE"""),214757397)</f>
        <v>214757397</v>
      </c>
      <c r="B41" s="15" t="str">
        <f ca="1">IFERROR(__xludf.DUMMYFUNCTION("""COMPUTED_VALUE"""),"Maelane")</f>
        <v>Maelane</v>
      </c>
      <c r="C41" s="15" t="str">
        <f ca="1">IFERROR(__xludf.DUMMYFUNCTION("""COMPUTED_VALUE"""),"IK")</f>
        <v>IK</v>
      </c>
      <c r="D41" s="16" t="s">
        <v>14</v>
      </c>
      <c r="E41" s="15" t="str">
        <f ca="1">IFERROR(__xludf.DUMMYFUNCTION("""COMPUTED_VALUE"""),"+27670462620")</f>
        <v>+27670462620</v>
      </c>
      <c r="F41" s="15" t="str">
        <f ca="1">IFERROR(__xludf.DUMMYFUNCTION("""COMPUTED_VALUE"""),"maelaneik@gmail.com")</f>
        <v>maelaneik@gmail.com</v>
      </c>
      <c r="G41" s="15" t="str">
        <f ca="1">IFERROR(__xludf.DUMMYFUNCTION("""COMPUTED_VALUE"""),"Student need to pass TPG201T. Student must attend 85% of contact classes.")</f>
        <v>Student need to pass TPG201T. Student must attend 85% of contact classes.</v>
      </c>
      <c r="I41" t="s">
        <v>43</v>
      </c>
      <c r="K41" t="s">
        <v>19</v>
      </c>
    </row>
    <row r="42" spans="1:14" ht="30">
      <c r="A42" s="15">
        <f ca="1">IFERROR(__xludf.DUMMYFUNCTION("""COMPUTED_VALUE"""),214770270)</f>
        <v>214770270</v>
      </c>
      <c r="B42" s="15" t="str">
        <f ca="1">IFERROR(__xludf.DUMMYFUNCTION("""COMPUTED_VALUE"""),"Mohlaba")</f>
        <v>Mohlaba</v>
      </c>
      <c r="C42" s="15" t="str">
        <f ca="1">IFERROR(__xludf.DUMMYFUNCTION("""COMPUTED_VALUE"""),"PM")</f>
        <v>PM</v>
      </c>
      <c r="D42" s="16" t="s">
        <v>14</v>
      </c>
      <c r="E42" s="15" t="str">
        <f ca="1">IFERROR(__xludf.DUMMYFUNCTION("""COMPUTED_VALUE"""),"0671317748")</f>
        <v>0671317748</v>
      </c>
      <c r="F42" s="15" t="str">
        <f ca="1">IFERROR(__xludf.DUMMYFUNCTION("""COMPUTED_VALUE"""),"mohlabapm68@gmail.com")</f>
        <v>mohlabapm68@gmail.com</v>
      </c>
      <c r="G42" s="15" t="str">
        <f ca="1">IFERROR(__xludf.DUMMYFUNCTION("""COMPUTED_VALUE"""),"Student need to pass DSO23BT, TPG201T, and ISY23BT.")</f>
        <v>Student need to pass DSO23BT, TPG201T, and ISY23BT.</v>
      </c>
      <c r="I42" t="s">
        <v>18</v>
      </c>
      <c r="J42" t="s">
        <v>25</v>
      </c>
      <c r="K42" t="s">
        <v>19</v>
      </c>
      <c r="L42" s="28" t="s">
        <v>47</v>
      </c>
      <c r="N42" s="28" t="s">
        <v>48</v>
      </c>
    </row>
    <row r="43" spans="1:14" ht="26.25">
      <c r="A43" s="15">
        <f ca="1">IFERROR(__xludf.DUMMYFUNCTION("""COMPUTED_VALUE"""),215057046)</f>
        <v>215057046</v>
      </c>
      <c r="B43" s="15" t="str">
        <f ca="1">IFERROR(__xludf.DUMMYFUNCTION("""COMPUTED_VALUE"""),"Myeni")</f>
        <v>Myeni</v>
      </c>
      <c r="C43" s="15" t="str">
        <f ca="1">IFERROR(__xludf.DUMMYFUNCTION("""COMPUTED_VALUE"""),"NZ")</f>
        <v>NZ</v>
      </c>
      <c r="D43" s="16" t="s">
        <v>14</v>
      </c>
      <c r="E43" s="15" t="str">
        <f ca="1">IFERROR(__xludf.DUMMYFUNCTION("""COMPUTED_VALUE"""),"0630523904")</f>
        <v>0630523904</v>
      </c>
      <c r="F43" s="15" t="str">
        <f ca="1">IFERROR(__xludf.DUMMYFUNCTION("""COMPUTED_VALUE"""),"senzokuhle43@gmail.com")</f>
        <v>senzokuhle43@gmail.com</v>
      </c>
      <c r="G43" s="15" t="str">
        <f ca="1">IFERROR(__xludf.DUMMYFUNCTION("""COMPUTED_VALUE"""),"Student need to pass TPG201T and DSO34BT.")</f>
        <v>Student need to pass TPG201T and DSO34BT.</v>
      </c>
      <c r="I43" t="s">
        <v>43</v>
      </c>
      <c r="K43" t="s">
        <v>19</v>
      </c>
    </row>
    <row r="44" spans="1:14" ht="26.25">
      <c r="A44" s="14">
        <f ca="1">IFERROR(__xludf.DUMMYFUNCTION("""COMPUTED_VALUE"""),215259943)</f>
        <v>215259943</v>
      </c>
      <c r="B44" s="14" t="str">
        <f ca="1">IFERROR(__xludf.DUMMYFUNCTION("""COMPUTED_VALUE"""),"Mahlangu")</f>
        <v>Mahlangu</v>
      </c>
      <c r="C44" s="14" t="str">
        <f ca="1">IFERROR(__xludf.DUMMYFUNCTION("""COMPUTED_VALUE"""),"BH")</f>
        <v>BH</v>
      </c>
      <c r="D44" s="13" t="s">
        <v>14</v>
      </c>
      <c r="E44" s="14" t="str">
        <f ca="1">IFERROR(__xludf.DUMMYFUNCTION("""COMPUTED_VALUE"""),"071 928 1870")</f>
        <v>071 928 1870</v>
      </c>
      <c r="F44" s="14" t="str">
        <f ca="1">IFERROR(__xludf.DUMMYFUNCTION("""COMPUTED_VALUE"""),"hereathmahlangu91@gmail.com")</f>
        <v>hereathmahlangu91@gmail.com</v>
      </c>
      <c r="G44" s="14" t="str">
        <f ca="1">IFERROR(__xludf.DUMMYFUNCTION("""COMPUTED_VALUE"""),"Student need to pass DSO23BT, and TPG201T.")</f>
        <v>Student need to pass DSO23BT, and TPG201T.</v>
      </c>
      <c r="I44" s="17" t="s">
        <v>22</v>
      </c>
      <c r="K44" t="s">
        <v>31</v>
      </c>
    </row>
    <row r="45" spans="1:14" ht="26.25">
      <c r="A45" s="14">
        <f ca="1">IFERROR(__xludf.DUMMYFUNCTION("""COMPUTED_VALUE"""),215521591)</f>
        <v>215521591</v>
      </c>
      <c r="B45" s="14" t="str">
        <f ca="1">IFERROR(__xludf.DUMMYFUNCTION("""COMPUTED_VALUE"""),"Baloyi")</f>
        <v>Baloyi</v>
      </c>
      <c r="C45" s="14" t="str">
        <f ca="1">IFERROR(__xludf.DUMMYFUNCTION("""COMPUTED_VALUE"""),"TN")</f>
        <v>TN</v>
      </c>
      <c r="D45" s="13" t="s">
        <v>14</v>
      </c>
      <c r="E45" s="14" t="str">
        <f ca="1">IFERROR(__xludf.DUMMYFUNCTION("""COMPUTED_VALUE"""),"637568494")</f>
        <v>637568494</v>
      </c>
      <c r="F45" s="14" t="str">
        <f ca="1">IFERROR(__xludf.DUMMYFUNCTION("""COMPUTED_VALUE"""),"nicholasbaloyi22@gmail.com")</f>
        <v>nicholasbaloyi22@gmail.com</v>
      </c>
      <c r="G45" s="14" t="str">
        <f ca="1">IFERROR(__xludf.DUMMYFUNCTION("""COMPUTED_VALUE"""),"Student need to pass TPG201T and ISY23BT.")</f>
        <v>Student need to pass TPG201T and ISY23BT.</v>
      </c>
      <c r="I45" s="17" t="s">
        <v>22</v>
      </c>
      <c r="K45" t="s">
        <v>19</v>
      </c>
    </row>
    <row r="46" spans="1:14" ht="26.25">
      <c r="A46" s="15">
        <f ca="1">IFERROR(__xludf.DUMMYFUNCTION("""COMPUTED_VALUE"""),215617017)</f>
        <v>215617017</v>
      </c>
      <c r="B46" s="15" t="str">
        <f ca="1">IFERROR(__xludf.DUMMYFUNCTION("""COMPUTED_VALUE"""),"Mashilo")</f>
        <v>Mashilo</v>
      </c>
      <c r="C46" s="15" t="s">
        <v>49</v>
      </c>
      <c r="D46" s="16" t="s">
        <v>14</v>
      </c>
      <c r="E46" s="15" t="str">
        <f ca="1">IFERROR(__xludf.DUMMYFUNCTION("""COMPUTED_VALUE"""),"0659156992")</f>
        <v>0659156992</v>
      </c>
      <c r="F46" s="15" t="str">
        <f ca="1">IFERROR(__xludf.DUMMYFUNCTION("""COMPUTED_VALUE"""),"elizabethmashilo@gmail.com")</f>
        <v>elizabethmashilo@gmail.com</v>
      </c>
      <c r="G46" s="15" t="str">
        <f ca="1">IFERROR(__xludf.DUMMYFUNCTION("""COMPUTED_VALUE"""),"Student need to pass TPG201T, attend 85% full time, and attend all interventions.")</f>
        <v>Student need to pass TPG201T, attend 85% full time, and attend all interventions.</v>
      </c>
      <c r="I46" t="s">
        <v>18</v>
      </c>
    </row>
    <row r="47" spans="1:14" ht="26.25">
      <c r="A47" s="15">
        <f ca="1">IFERROR(__xludf.DUMMYFUNCTION("""COMPUTED_VALUE"""),215632288)</f>
        <v>215632288</v>
      </c>
      <c r="B47" s="15" t="str">
        <f ca="1">IFERROR(__xludf.DUMMYFUNCTION("""COMPUTED_VALUE"""),"Kekana")</f>
        <v>Kekana</v>
      </c>
      <c r="C47" s="15" t="str">
        <f ca="1">IFERROR(__xludf.DUMMYFUNCTION("""COMPUTED_VALUE"""),"R.A")</f>
        <v>R.A</v>
      </c>
      <c r="D47" s="16" t="s">
        <v>14</v>
      </c>
      <c r="E47" s="15" t="str">
        <f ca="1">IFERROR(__xludf.DUMMYFUNCTION("""COMPUTED_VALUE"""),"0723953938")</f>
        <v>0723953938</v>
      </c>
      <c r="F47" s="15" t="str">
        <f ca="1">IFERROR(__xludf.DUMMYFUNCTION("""COMPUTED_VALUE"""),"215632288@tut4life.ac.za")</f>
        <v>215632288@tut4life.ac.za</v>
      </c>
      <c r="G47" s="15" t="str">
        <f ca="1">IFERROR(__xludf.DUMMYFUNCTION("""COMPUTED_VALUE"""),"Student need to pass TPG201T, attend 85% full time, and attend all interventions.")</f>
        <v>Student need to pass TPG201T, attend 85% full time, and attend all interventions.</v>
      </c>
      <c r="I47" t="s">
        <v>43</v>
      </c>
      <c r="K47" t="s">
        <v>31</v>
      </c>
    </row>
    <row r="48" spans="1:14" ht="39">
      <c r="A48" s="15">
        <f ca="1">IFERROR(__xludf.DUMMYFUNCTION("""COMPUTED_VALUE"""),215650820)</f>
        <v>215650820</v>
      </c>
      <c r="B48" s="15" t="str">
        <f ca="1">IFERROR(__xludf.DUMMYFUNCTION("""COMPUTED_VALUE"""),"khoza")</f>
        <v>khoza</v>
      </c>
      <c r="C48" s="15" t="str">
        <f ca="1">IFERROR(__xludf.DUMMYFUNCTION("""COMPUTED_VALUE"""),"TK")</f>
        <v>TK</v>
      </c>
      <c r="D48" s="16" t="s">
        <v>14</v>
      </c>
      <c r="E48" s="15" t="str">
        <f ca="1">IFERROR(__xludf.DUMMYFUNCTION("""COMPUTED_VALUE"""),"0604061400")</f>
        <v>0604061400</v>
      </c>
      <c r="F48" s="15" t="str">
        <f ca="1">IFERROR(__xludf.DUMMYFUNCTION("""COMPUTED_VALUE"""),"kenneth.kk38@gmail.com")</f>
        <v>kenneth.kk38@gmail.com</v>
      </c>
      <c r="G48" s="15" t="str">
        <f ca="1">IFERROR(__xludf.DUMMYFUNCTION("""COMPUTED_VALUE"""),"Student need to pass TPG201T, ISY23AT, and DSO23BT, attend 85% full time, and attend all interventions.")</f>
        <v>Student need to pass TPG201T, ISY23AT, and DSO23BT, attend 85% full time, and attend all interventions.</v>
      </c>
      <c r="I48" t="s">
        <v>43</v>
      </c>
      <c r="K48" t="s">
        <v>31</v>
      </c>
    </row>
    <row r="49" spans="1:14" ht="39">
      <c r="A49" s="14">
        <f ca="1">IFERROR(__xludf.DUMMYFUNCTION("""COMPUTED_VALUE"""),215708152)</f>
        <v>215708152</v>
      </c>
      <c r="B49" s="14" t="str">
        <f ca="1">IFERROR(__xludf.DUMMYFUNCTION("""COMPUTED_VALUE"""),"Baloyi")</f>
        <v>Baloyi</v>
      </c>
      <c r="C49" s="14" t="str">
        <f ca="1">IFERROR(__xludf.DUMMYFUNCTION("""COMPUTED_VALUE"""),"VW")</f>
        <v>VW</v>
      </c>
      <c r="D49" s="13" t="s">
        <v>14</v>
      </c>
      <c r="E49" s="14" t="str">
        <f ca="1">IFERROR(__xludf.DUMMYFUNCTION("""COMPUTED_VALUE"""),"0607033959")</f>
        <v>0607033959</v>
      </c>
      <c r="F49" s="14" t="str">
        <f ca="1">IFERROR(__xludf.DUMMYFUNCTION("""COMPUTED_VALUE"""),"215708152@tut4life.ac.za")</f>
        <v>215708152@tut4life.ac.za</v>
      </c>
      <c r="G49" s="14" t="str">
        <f ca="1">IFERROR(__xludf.DUMMYFUNCTION("""COMPUTED_VALUE"""),"Student need to pass DSO23BT and TPG201T, attend 85% full time, and attend all interventions.")</f>
        <v>Student need to pass DSO23BT and TPG201T, attend 85% full time, and attend all interventions.</v>
      </c>
      <c r="I49" s="17" t="s">
        <v>22</v>
      </c>
      <c r="K49" t="s">
        <v>19</v>
      </c>
    </row>
    <row r="50" spans="1:14" ht="39">
      <c r="A50" s="14">
        <f ca="1">IFERROR(__xludf.DUMMYFUNCTION("""COMPUTED_VALUE"""),215775887)</f>
        <v>215775887</v>
      </c>
      <c r="B50" s="14" t="str">
        <f ca="1">IFERROR(__xludf.DUMMYFUNCTION("""COMPUTED_VALUE"""),"Kekana")</f>
        <v>Kekana</v>
      </c>
      <c r="C50" s="14" t="str">
        <f ca="1">IFERROR(__xludf.DUMMYFUNCTION("""COMPUTED_VALUE"""),"L")</f>
        <v>L</v>
      </c>
      <c r="D50" s="13" t="s">
        <v>14</v>
      </c>
      <c r="E50" s="14" t="str">
        <f ca="1">IFERROR(__xludf.DUMMYFUNCTION("""COMPUTED_VALUE"""),"0663364101")</f>
        <v>0663364101</v>
      </c>
      <c r="F50" s="14" t="str">
        <f ca="1">IFERROR(__xludf.DUMMYFUNCTION("""COMPUTED_VALUE"""),"appreciate1082@gmail.com")</f>
        <v>appreciate1082@gmail.com</v>
      </c>
      <c r="G50" s="14" t="str">
        <f ca="1">IFERROR(__xludf.DUMMYFUNCTION("""COMPUTED_VALUE"""),"Student need to pass TPG201T and DSO34BT, attend 85% full time, and attend all interventions.")</f>
        <v>Student need to pass TPG201T and DSO34BT, attend 85% full time, and attend all interventions.</v>
      </c>
      <c r="I50" s="17" t="s">
        <v>22</v>
      </c>
      <c r="K50" t="s">
        <v>19</v>
      </c>
    </row>
    <row r="51" spans="1:14" ht="39">
      <c r="A51" s="14">
        <f ca="1">IFERROR(__xludf.DUMMYFUNCTION("""COMPUTED_VALUE"""),215800989)</f>
        <v>215800989</v>
      </c>
      <c r="B51" s="14" t="str">
        <f ca="1">IFERROR(__xludf.DUMMYFUNCTION("""COMPUTED_VALUE"""),"Sethole")</f>
        <v>Sethole</v>
      </c>
      <c r="C51" s="14" t="str">
        <f ca="1">IFERROR(__xludf.DUMMYFUNCTION("""COMPUTED_VALUE"""),"ED")</f>
        <v>ED</v>
      </c>
      <c r="D51" s="13" t="s">
        <v>14</v>
      </c>
      <c r="E51" s="14" t="str">
        <f ca="1">IFERROR(__xludf.DUMMYFUNCTION("""COMPUTED_VALUE"""),"0609144365")</f>
        <v>0609144365</v>
      </c>
      <c r="F51" s="14" t="str">
        <f ca="1">IFERROR(__xludf.DUMMYFUNCTION("""COMPUTED_VALUE"""),"edolly55@gmail.com")</f>
        <v>edolly55@gmail.com</v>
      </c>
      <c r="G51" s="14" t="str">
        <f ca="1">IFERROR(__xludf.DUMMYFUNCTION("""COMPUTED_VALUE"""),"Student need to pass TPG201T and DSO34BT, attend 85% full time, and attend all interventions.")</f>
        <v>Student need to pass TPG201T and DSO34BT, attend 85% full time, and attend all interventions.</v>
      </c>
      <c r="I51" s="17" t="s">
        <v>22</v>
      </c>
      <c r="K51" t="s">
        <v>19</v>
      </c>
    </row>
    <row r="52" spans="1:14" ht="26.25">
      <c r="A52" s="15">
        <f ca="1">IFERROR(__xludf.DUMMYFUNCTION("""COMPUTED_VALUE"""),215806367)</f>
        <v>215806367</v>
      </c>
      <c r="B52" s="15" t="str">
        <f ca="1">IFERROR(__xludf.DUMMYFUNCTION("""COMPUTED_VALUE"""),"Kungwane")</f>
        <v>Kungwane</v>
      </c>
      <c r="C52" s="15" t="str">
        <f ca="1">IFERROR(__xludf.DUMMYFUNCTION("""COMPUTED_VALUE"""),"DS")</f>
        <v>DS</v>
      </c>
      <c r="D52" s="16" t="s">
        <v>14</v>
      </c>
      <c r="E52" s="15" t="str">
        <f ca="1">IFERROR(__xludf.DUMMYFUNCTION("""COMPUTED_VALUE"""),"0630571699")</f>
        <v>0630571699</v>
      </c>
      <c r="F52" s="15" t="str">
        <f ca="1">IFERROR(__xludf.DUMMYFUNCTION("""COMPUTED_VALUE"""),"duduetsangkungwane@gmail.com")</f>
        <v>duduetsangkungwane@gmail.com</v>
      </c>
      <c r="G52" s="15" t="str">
        <f ca="1">IFERROR(__xludf.DUMMYFUNCTION("""COMPUTED_VALUE"""),"Student need to pass TPG201T, attend 85% full time, and attend all interventions.")</f>
        <v>Student need to pass TPG201T, attend 85% full time, and attend all interventions.</v>
      </c>
      <c r="I52" t="s">
        <v>18</v>
      </c>
      <c r="K52" t="s">
        <v>19</v>
      </c>
    </row>
    <row r="53" spans="1:14" ht="39">
      <c r="A53" s="15">
        <f ca="1">IFERROR(__xludf.DUMMYFUNCTION("""COMPUTED_VALUE"""),216035011)</f>
        <v>216035011</v>
      </c>
      <c r="B53" s="15" t="str">
        <f ca="1">IFERROR(__xludf.DUMMYFUNCTION("""COMPUTED_VALUE"""),"Malaza")</f>
        <v>Malaza</v>
      </c>
      <c r="C53" s="15" t="str">
        <f ca="1">IFERROR(__xludf.DUMMYFUNCTION("""COMPUTED_VALUE"""),"LT")</f>
        <v>LT</v>
      </c>
      <c r="D53" s="16" t="s">
        <v>14</v>
      </c>
      <c r="E53" s="15" t="str">
        <f ca="1">IFERROR(__xludf.DUMMYFUNCTION("""COMPUTED_VALUE"""),"0648857588")</f>
        <v>0648857588</v>
      </c>
      <c r="F53" s="15" t="str">
        <f ca="1">IFERROR(__xludf.DUMMYFUNCTION("""COMPUTED_VALUE"""),"lindokuhlemalaza894@gmail.com")</f>
        <v>lindokuhlemalaza894@gmail.com</v>
      </c>
      <c r="G53" s="15" t="str">
        <f ca="1">IFERROR(__xludf.DUMMYFUNCTION("""COMPUTED_VALUE"""),"Student need to pass TPG201T and ISY34AT, attend 85% full time, and attend all interventions.")</f>
        <v>Student need to pass TPG201T and ISY34AT, attend 85% full time, and attend all interventions.</v>
      </c>
      <c r="I53" t="s">
        <v>43</v>
      </c>
      <c r="K53" t="s">
        <v>19</v>
      </c>
    </row>
    <row r="54" spans="1:14" ht="60">
      <c r="A54" s="15">
        <f ca="1">IFERROR(__xludf.DUMMYFUNCTION("""COMPUTED_VALUE"""),216081471)</f>
        <v>216081471</v>
      </c>
      <c r="B54" s="15" t="str">
        <f ca="1">IFERROR(__xludf.DUMMYFUNCTION("""COMPUTED_VALUE"""),"Mutandanyi")</f>
        <v>Mutandanyi</v>
      </c>
      <c r="C54" s="15" t="str">
        <f ca="1">IFERROR(__xludf.DUMMYFUNCTION("""COMPUTED_VALUE"""),"E")</f>
        <v>E</v>
      </c>
      <c r="D54" s="16" t="s">
        <v>14</v>
      </c>
      <c r="E54" s="15" t="str">
        <f ca="1">IFERROR(__xludf.DUMMYFUNCTION("""COMPUTED_VALUE"""),"0791516273")</f>
        <v>0791516273</v>
      </c>
      <c r="F54" s="15" t="str">
        <f ca="1">IFERROR(__xludf.DUMMYFUNCTION("""COMPUTED_VALUE"""),"mutandanyele@gmail.com")</f>
        <v>mutandanyele@gmail.com</v>
      </c>
      <c r="G54" s="15" t="str">
        <f ca="1">IFERROR(__xludf.DUMMYFUNCTION("""COMPUTED_VALUE"""),"Student need to pass TPG201T, attend 85% full time, and attend all interventions.")</f>
        <v>Student need to pass TPG201T, attend 85% full time, and attend all interventions.</v>
      </c>
      <c r="I54" t="s">
        <v>43</v>
      </c>
      <c r="J54" t="s">
        <v>25</v>
      </c>
      <c r="K54" t="s">
        <v>19</v>
      </c>
      <c r="L54" s="28" t="s">
        <v>28</v>
      </c>
      <c r="N54" t="s">
        <v>29</v>
      </c>
    </row>
    <row r="55" spans="1:14" ht="39">
      <c r="A55" s="15">
        <f ca="1">IFERROR(__xludf.DUMMYFUNCTION("""COMPUTED_VALUE"""),216187792)</f>
        <v>216187792</v>
      </c>
      <c r="B55" s="15" t="str">
        <f ca="1">IFERROR(__xludf.DUMMYFUNCTION("""COMPUTED_VALUE"""),"Khumalo")</f>
        <v>Khumalo</v>
      </c>
      <c r="C55" s="15" t="str">
        <f ca="1">IFERROR(__xludf.DUMMYFUNCTION("""COMPUTED_VALUE"""),"VP")</f>
        <v>VP</v>
      </c>
      <c r="D55" s="16" t="s">
        <v>14</v>
      </c>
      <c r="E55" s="15" t="str">
        <f ca="1">IFERROR(__xludf.DUMMYFUNCTION("""COMPUTED_VALUE"""),"0765862273")</f>
        <v>0765862273</v>
      </c>
      <c r="F55" s="15" t="str">
        <f ca="1">IFERROR(__xludf.DUMMYFUNCTION("""COMPUTED_VALUE"""),"vusitp@gmail.com")</f>
        <v>vusitp@gmail.com</v>
      </c>
      <c r="G55" s="15" t="str">
        <f ca="1">IFERROR(__xludf.DUMMYFUNCTION("""COMPUTED_VALUE"""),"Student need to pass TPG201T and ISY34AT, attend 85% full time, and attend all interventions.")</f>
        <v>Student need to pass TPG201T and ISY34AT, attend 85% full time, and attend all interventions.</v>
      </c>
      <c r="I55" t="s">
        <v>43</v>
      </c>
      <c r="K55" t="s">
        <v>19</v>
      </c>
    </row>
    <row r="56" spans="1:14" ht="39">
      <c r="A56" s="15">
        <f ca="1">IFERROR(__xludf.DUMMYFUNCTION("""COMPUTED_VALUE"""),216205847)</f>
        <v>216205847</v>
      </c>
      <c r="B56" s="15" t="str">
        <f ca="1">IFERROR(__xludf.DUMMYFUNCTION("""COMPUTED_VALUE"""),"Magoro")</f>
        <v>Magoro</v>
      </c>
      <c r="C56" s="15" t="str">
        <f ca="1">IFERROR(__xludf.DUMMYFUNCTION("""COMPUTED_VALUE"""),"N")</f>
        <v>N</v>
      </c>
      <c r="D56" s="16" t="s">
        <v>14</v>
      </c>
      <c r="E56" s="15" t="str">
        <f ca="1">IFERROR(__xludf.DUMMYFUNCTION("""COMPUTED_VALUE"""),"0818683424")</f>
        <v>0818683424</v>
      </c>
      <c r="F56" s="15" t="str">
        <f ca="1">IFERROR(__xludf.DUMMYFUNCTION("""COMPUTED_VALUE"""),"nommagoro@gmail.com")</f>
        <v>nommagoro@gmail.com</v>
      </c>
      <c r="G56" s="15" t="str">
        <f ca="1">IFERROR(__xludf.DUMMYFUNCTION("""COMPUTED_VALUE"""),"Student need to pass TPG201T and ISY34BT, attend 85% full time, and attend all interventions.")</f>
        <v>Student need to pass TPG201T and ISY34BT, attend 85% full time, and attend all interventions.</v>
      </c>
      <c r="I56" t="s">
        <v>43</v>
      </c>
      <c r="J56" t="s">
        <v>25</v>
      </c>
      <c r="K56" t="s">
        <v>19</v>
      </c>
      <c r="L56" s="28" t="s">
        <v>32</v>
      </c>
      <c r="N56" t="s">
        <v>29</v>
      </c>
    </row>
    <row r="57" spans="1:14" ht="26.25">
      <c r="A57" s="15">
        <f ca="1">IFERROR(__xludf.DUMMYFUNCTION("""COMPUTED_VALUE"""),216501870)</f>
        <v>216501870</v>
      </c>
      <c r="B57" s="15" t="str">
        <f ca="1">IFERROR(__xludf.DUMMYFUNCTION("""COMPUTED_VALUE"""),"phaladi")</f>
        <v>phaladi</v>
      </c>
      <c r="C57" s="15" t="str">
        <f ca="1">IFERROR(__xludf.DUMMYFUNCTION("""COMPUTED_VALUE"""),"ma")</f>
        <v>ma</v>
      </c>
      <c r="D57" s="16" t="s">
        <v>14</v>
      </c>
      <c r="E57" s="15" t="str">
        <f ca="1">IFERROR(__xludf.DUMMYFUNCTION("""COMPUTED_VALUE"""),"0818191559")</f>
        <v>0818191559</v>
      </c>
      <c r="F57" s="15" t="str">
        <f ca="1">IFERROR(__xludf.DUMMYFUNCTION("""COMPUTED_VALUE"""),"phaladima96@gmail.com")</f>
        <v>phaladima96@gmail.com</v>
      </c>
      <c r="G57" s="15" t="str">
        <f ca="1">IFERROR(__xludf.DUMMYFUNCTION("""COMPUTED_VALUE"""),"Student need to pass TPG201T, attend 85% full time, and attend all interventions.")</f>
        <v>Student need to pass TPG201T, attend 85% full time, and attend all interventions.</v>
      </c>
      <c r="I57" t="s">
        <v>18</v>
      </c>
      <c r="K57" t="s">
        <v>19</v>
      </c>
    </row>
    <row r="58" spans="1:14" ht="26.25">
      <c r="A58" s="15">
        <f ca="1">IFERROR(__xludf.DUMMYFUNCTION("""COMPUTED_VALUE"""),216544811)</f>
        <v>216544811</v>
      </c>
      <c r="B58" s="15" t="str">
        <f ca="1">IFERROR(__xludf.DUMMYFUNCTION("""COMPUTED_VALUE"""),"Manganye")</f>
        <v>Manganye</v>
      </c>
      <c r="C58" s="15" t="str">
        <f ca="1">IFERROR(__xludf.DUMMYFUNCTION("""COMPUTED_VALUE"""),"KV")</f>
        <v>KV</v>
      </c>
      <c r="D58" s="16" t="s">
        <v>14</v>
      </c>
      <c r="E58" s="15" t="str">
        <f ca="1">IFERROR(__xludf.DUMMYFUNCTION("""COMPUTED_VALUE"""),"0825207758")</f>
        <v>0825207758</v>
      </c>
      <c r="F58" s="15" t="str">
        <f ca="1">IFERROR(__xludf.DUMMYFUNCTION("""COMPUTED_VALUE"""),"kavymanganye@gmail.com")</f>
        <v>kavymanganye@gmail.com</v>
      </c>
      <c r="G58" s="15" t="str">
        <f ca="1">IFERROR(__xludf.DUMMYFUNCTION("""COMPUTED_VALUE"""),"Student need to pass TPG201T, attend 85% full time, and attend all interventions.")</f>
        <v>Student need to pass TPG201T, attend 85% full time, and attend all interventions.</v>
      </c>
      <c r="I58" t="s">
        <v>18</v>
      </c>
      <c r="K58" t="s">
        <v>19</v>
      </c>
    </row>
    <row r="59" spans="1:14" ht="26.25">
      <c r="A59" s="15">
        <f ca="1">IFERROR(__xludf.DUMMYFUNCTION("""COMPUTED_VALUE"""),216561775)</f>
        <v>216561775</v>
      </c>
      <c r="B59" s="15" t="str">
        <f ca="1">IFERROR(__xludf.DUMMYFUNCTION("""COMPUTED_VALUE"""),"Sogiba")</f>
        <v>Sogiba</v>
      </c>
      <c r="C59" s="15" t="str">
        <f ca="1">IFERROR(__xludf.DUMMYFUNCTION("""COMPUTED_VALUE"""),"S")</f>
        <v>S</v>
      </c>
      <c r="D59" s="16" t="s">
        <v>14</v>
      </c>
      <c r="E59" s="15"/>
      <c r="F59" s="15" t="str">
        <f ca="1">IFERROR(__xludf.DUMMYFUNCTION("""COMPUTED_VALUE"""),"sanesogiba@gmail.com")</f>
        <v>sanesogiba@gmail.com</v>
      </c>
      <c r="G59" s="15" t="str">
        <f ca="1">IFERROR(__xludf.DUMMYFUNCTION("""COMPUTED_VALUE"""),"Student need to pass TPG201T, attend 85% full time, and attend all interventions.")</f>
        <v>Student need to pass TPG201T, attend 85% full time, and attend all interventions.</v>
      </c>
      <c r="I59" t="s">
        <v>18</v>
      </c>
      <c r="K59" t="s">
        <v>31</v>
      </c>
    </row>
    <row r="60" spans="1:14" ht="39">
      <c r="A60" s="15">
        <f ca="1">IFERROR(__xludf.DUMMYFUNCTION("""COMPUTED_VALUE"""),216569270)</f>
        <v>216569270</v>
      </c>
      <c r="B60" s="15" t="str">
        <f ca="1">IFERROR(__xludf.DUMMYFUNCTION("""COMPUTED_VALUE"""),"Makhoba")</f>
        <v>Makhoba</v>
      </c>
      <c r="C60" s="15" t="str">
        <f ca="1">IFERROR(__xludf.DUMMYFUNCTION("""COMPUTED_VALUE"""),"Pn")</f>
        <v>Pn</v>
      </c>
      <c r="D60" s="16" t="s">
        <v>14</v>
      </c>
      <c r="E60" s="15" t="str">
        <f ca="1">IFERROR(__xludf.DUMMYFUNCTION("""COMPUTED_VALUE"""),"0749724292")</f>
        <v>0749724292</v>
      </c>
      <c r="F60" s="15" t="str">
        <f ca="1">IFERROR(__xludf.DUMMYFUNCTION("""COMPUTED_VALUE"""),"paumimakhoba1@gmail.com")</f>
        <v>paumimakhoba1@gmail.com</v>
      </c>
      <c r="G60" s="15" t="str">
        <f ca="1">IFERROR(__xludf.DUMMYFUNCTION("""COMPUTED_VALUE"""),"Student need to pass TPG201T, DSO23AT, and ISY34AT attend 85% full time, and attend all interventions.")</f>
        <v>Student need to pass TPG201T, DSO23AT, and ISY34AT attend 85% full time, and attend all interventions.</v>
      </c>
      <c r="I60" t="s">
        <v>18</v>
      </c>
      <c r="K60" t="s">
        <v>19</v>
      </c>
    </row>
    <row r="61" spans="1:14" ht="39">
      <c r="A61" s="15">
        <f ca="1">IFERROR(__xludf.DUMMYFUNCTION("""COMPUTED_VALUE"""),216583485)</f>
        <v>216583485</v>
      </c>
      <c r="B61" s="15" t="str">
        <f ca="1">IFERROR(__xludf.DUMMYFUNCTION("""COMPUTED_VALUE"""),"Magaela")</f>
        <v>Magaela</v>
      </c>
      <c r="C61" s="15" t="str">
        <f ca="1">IFERROR(__xludf.DUMMYFUNCTION("""COMPUTED_VALUE"""),"MF")</f>
        <v>MF</v>
      </c>
      <c r="D61" s="16" t="s">
        <v>14</v>
      </c>
      <c r="E61" s="15" t="str">
        <f ca="1">IFERROR(__xludf.DUMMYFUNCTION("""COMPUTED_VALUE"""),"0769053674")</f>
        <v>0769053674</v>
      </c>
      <c r="F61" s="15" t="str">
        <f ca="1">IFERROR(__xludf.DUMMYFUNCTION("""COMPUTED_VALUE"""),"216583485@tut4life.ac.za")</f>
        <v>216583485@tut4life.ac.za</v>
      </c>
      <c r="G61" s="15" t="str">
        <f ca="1">IFERROR(__xludf.DUMMYFUNCTION("""COMPUTED_VALUE"""),"Student need to pass TPG201T, DSO23BT, and ISY34AT, attend 85% full time, and attend all interventions.")</f>
        <v>Student need to pass TPG201T, DSO23BT, and ISY34AT, attend 85% full time, and attend all interventions.</v>
      </c>
      <c r="I61" t="s">
        <v>18</v>
      </c>
      <c r="K61" t="s">
        <v>19</v>
      </c>
    </row>
    <row r="62" spans="1:14" ht="60">
      <c r="A62" s="15">
        <f ca="1">IFERROR(__xludf.DUMMYFUNCTION("""COMPUTED_VALUE"""),216702409)</f>
        <v>216702409</v>
      </c>
      <c r="B62" s="15" t="str">
        <f ca="1">IFERROR(__xludf.DUMMYFUNCTION("""COMPUTED_VALUE"""),"Pharamela ")</f>
        <v xml:space="preserve">Pharamela </v>
      </c>
      <c r="C62" s="15" t="str">
        <f ca="1">IFERROR(__xludf.DUMMYFUNCTION("""COMPUTED_VALUE"""),"M")</f>
        <v>M</v>
      </c>
      <c r="D62" s="16" t="s">
        <v>14</v>
      </c>
      <c r="E62" s="15" t="str">
        <f ca="1">IFERROR(__xludf.DUMMYFUNCTION("""COMPUTED_VALUE"""),"+27714768302")</f>
        <v>+27714768302</v>
      </c>
      <c r="F62" s="15" t="str">
        <f ca="1">IFERROR(__xludf.DUMMYFUNCTION("""COMPUTED_VALUE"""),"murendenimayday@gmail.com")</f>
        <v>murendenimayday@gmail.com</v>
      </c>
      <c r="G62" s="15" t="str">
        <f ca="1">IFERROR(__xludf.DUMMYFUNCTION("""COMPUTED_VALUE"""),"Student need to pass TPG201T, attend 85% full time, and attend all interventions.")</f>
        <v>Student need to pass TPG201T, attend 85% full time, and attend all interventions.</v>
      </c>
      <c r="I62" t="s">
        <v>18</v>
      </c>
      <c r="J62" t="s">
        <v>25</v>
      </c>
      <c r="K62" t="s">
        <v>19</v>
      </c>
      <c r="L62" s="28" t="s">
        <v>28</v>
      </c>
      <c r="N62" t="s">
        <v>29</v>
      </c>
    </row>
    <row r="63" spans="1:14" ht="26.25">
      <c r="A63" s="15">
        <f ca="1">IFERROR(__xludf.DUMMYFUNCTION("""COMPUTED_VALUE"""),216737903)</f>
        <v>216737903</v>
      </c>
      <c r="B63" s="15" t="str">
        <f ca="1">IFERROR(__xludf.DUMMYFUNCTION("""COMPUTED_VALUE"""),"Letsoalo")</f>
        <v>Letsoalo</v>
      </c>
      <c r="C63" s="15" t="str">
        <f ca="1">IFERROR(__xludf.DUMMYFUNCTION("""COMPUTED_VALUE"""),"MH")</f>
        <v>MH</v>
      </c>
      <c r="D63" s="16" t="s">
        <v>14</v>
      </c>
      <c r="E63" s="15" t="str">
        <f ca="1">IFERROR(__xludf.DUMMYFUNCTION("""COMPUTED_VALUE"""),"0792295381")</f>
        <v>0792295381</v>
      </c>
      <c r="F63" s="15" t="str">
        <f ca="1">IFERROR(__xludf.DUMMYFUNCTION("""COMPUTED_VALUE"""),"hillaryletsoalo17@gmail.com")</f>
        <v>hillaryletsoalo17@gmail.com</v>
      </c>
      <c r="G63" s="15" t="str">
        <f ca="1">IFERROR(__xludf.DUMMYFUNCTION("""COMPUTED_VALUE"""),"Student need to pass TPG201T, attend 85% full time, and attend all interventions.")</f>
        <v>Student need to pass TPG201T, attend 85% full time, and attend all interventions.</v>
      </c>
      <c r="I63" t="s">
        <v>18</v>
      </c>
      <c r="K63" t="s">
        <v>19</v>
      </c>
    </row>
    <row r="64" spans="1:14" ht="26.25">
      <c r="A64" s="15">
        <f ca="1">IFERROR(__xludf.DUMMYFUNCTION("""COMPUTED_VALUE"""),216760131)</f>
        <v>216760131</v>
      </c>
      <c r="B64" s="15" t="str">
        <f ca="1">IFERROR(__xludf.DUMMYFUNCTION("""COMPUTED_VALUE"""),"Maseha")</f>
        <v>Maseha</v>
      </c>
      <c r="C64" s="15" t="str">
        <f ca="1">IFERROR(__xludf.DUMMYFUNCTION("""COMPUTED_VALUE"""),"MB")</f>
        <v>MB</v>
      </c>
      <c r="D64" s="16" t="s">
        <v>14</v>
      </c>
      <c r="E64" s="15" t="str">
        <f ca="1">IFERROR(__xludf.DUMMYFUNCTION("""COMPUTED_VALUE"""),"0718075838")</f>
        <v>0718075838</v>
      </c>
      <c r="F64" s="15" t="str">
        <f ca="1">IFERROR(__xludf.DUMMYFUNCTION("""COMPUTED_VALUE"""),"matlhodimaseha98@gmail.com")</f>
        <v>matlhodimaseha98@gmail.com</v>
      </c>
      <c r="G64" s="15" t="str">
        <f ca="1">IFERROR(__xludf.DUMMYFUNCTION("""COMPUTED_VALUE"""),"Student need to pass TPG201T, attend 85% full time, and attend all interventions.")</f>
        <v>Student need to pass TPG201T, attend 85% full time, and attend all interventions.</v>
      </c>
      <c r="I64" t="s">
        <v>18</v>
      </c>
      <c r="K64" t="s">
        <v>19</v>
      </c>
    </row>
    <row r="65" spans="1:14" ht="39">
      <c r="A65" s="14">
        <f ca="1">IFERROR(__xludf.DUMMYFUNCTION("""COMPUTED_VALUE"""),216848489)</f>
        <v>216848489</v>
      </c>
      <c r="B65" s="14" t="str">
        <f ca="1">IFERROR(__xludf.DUMMYFUNCTION("""COMPUTED_VALUE"""),"Dladla")</f>
        <v>Dladla</v>
      </c>
      <c r="C65" s="14" t="str">
        <f ca="1">IFERROR(__xludf.DUMMYFUNCTION("""COMPUTED_VALUE"""),"BI")</f>
        <v>BI</v>
      </c>
      <c r="D65" s="13" t="s">
        <v>14</v>
      </c>
      <c r="E65" s="14" t="str">
        <f ca="1">IFERROR(__xludf.DUMMYFUNCTION("""COMPUTED_VALUE"""),"0670700245")</f>
        <v>0670700245</v>
      </c>
      <c r="F65" s="14" t="str">
        <f ca="1">IFERROR(__xludf.DUMMYFUNCTION("""COMPUTED_VALUE"""),"banelebanzow@gmail.com")</f>
        <v>banelebanzow@gmail.com</v>
      </c>
      <c r="G65" s="14" t="str">
        <f ca="1">IFERROR(__xludf.DUMMYFUNCTION("""COMPUTED_VALUE"""),"Need to pass TPG201T and ISY34AT, attend 85% full time, and attend all interventions.")</f>
        <v>Need to pass TPG201T and ISY34AT, attend 85% full time, and attend all interventions.</v>
      </c>
      <c r="I65" s="17" t="s">
        <v>22</v>
      </c>
      <c r="K65" t="s">
        <v>19</v>
      </c>
    </row>
    <row r="66" spans="1:14" ht="39">
      <c r="A66" s="15">
        <f ca="1">IFERROR(__xludf.DUMMYFUNCTION("""COMPUTED_VALUE"""),216874587)</f>
        <v>216874587</v>
      </c>
      <c r="B66" s="15" t="str">
        <f ca="1">IFERROR(__xludf.DUMMYFUNCTION("""COMPUTED_VALUE"""),"MOTHIBA")</f>
        <v>MOTHIBA</v>
      </c>
      <c r="C66" s="15" t="str">
        <f ca="1">IFERROR(__xludf.DUMMYFUNCTION("""COMPUTED_VALUE"""),"KM")</f>
        <v>KM</v>
      </c>
      <c r="D66" s="16" t="s">
        <v>14</v>
      </c>
      <c r="E66" s="15" t="str">
        <f ca="1">IFERROR(__xludf.DUMMYFUNCTION("""COMPUTED_VALUE"""),"0762717708")</f>
        <v>0762717708</v>
      </c>
      <c r="F66" s="15" t="str">
        <f ca="1">IFERROR(__xludf.DUMMYFUNCTION("""COMPUTED_VALUE"""),"216874587@tut4life.ac.za")</f>
        <v>216874587@tut4life.ac.za</v>
      </c>
      <c r="G66" s="15" t="str">
        <f ca="1">IFERROR(__xludf.DUMMYFUNCTION("""COMPUTED_VALUE"""),"Student need to pass DSO23AT and TPG201T, attend 85% full time, and attend all interventions.")</f>
        <v>Student need to pass DSO23AT and TPG201T, attend 85% full time, and attend all interventions.</v>
      </c>
      <c r="I66" t="s">
        <v>18</v>
      </c>
      <c r="K66" t="s">
        <v>19</v>
      </c>
    </row>
    <row r="67" spans="1:14" ht="60">
      <c r="A67" s="15">
        <f ca="1">IFERROR(__xludf.DUMMYFUNCTION("""COMPUTED_VALUE"""),216900952)</f>
        <v>216900952</v>
      </c>
      <c r="B67" s="15" t="str">
        <f ca="1">IFERROR(__xludf.DUMMYFUNCTION("""COMPUTED_VALUE"""),"Mphilo")</f>
        <v>Mphilo</v>
      </c>
      <c r="C67" s="15" t="str">
        <f ca="1">IFERROR(__xludf.DUMMYFUNCTION("""COMPUTED_VALUE"""),"FS")</f>
        <v>FS</v>
      </c>
      <c r="D67" s="16" t="s">
        <v>14</v>
      </c>
      <c r="E67" s="15" t="str">
        <f ca="1">IFERROR(__xludf.DUMMYFUNCTION("""COMPUTED_VALUE"""),"0646845322")</f>
        <v>0646845322</v>
      </c>
      <c r="F67" s="15" t="str">
        <f ca="1">IFERROR(__xludf.DUMMYFUNCTION("""COMPUTED_VALUE"""),"fhatusidney@icloud.com")</f>
        <v>fhatusidney@icloud.com</v>
      </c>
      <c r="G67" s="15" t="str">
        <f ca="1">IFERROR(__xludf.DUMMYFUNCTION("""COMPUTED_VALUE"""),"Student need to pass TPG201T, attend 85% full time, and attend all interventions.")</f>
        <v>Student need to pass TPG201T, attend 85% full time, and attend all interventions.</v>
      </c>
      <c r="I67" t="s">
        <v>18</v>
      </c>
      <c r="J67" t="s">
        <v>25</v>
      </c>
      <c r="K67" t="s">
        <v>19</v>
      </c>
      <c r="L67" s="28" t="s">
        <v>28</v>
      </c>
      <c r="N67" t="s">
        <v>29</v>
      </c>
    </row>
    <row r="68" spans="1:14" ht="26.25">
      <c r="A68" s="14">
        <f ca="1">IFERROR(__xludf.DUMMYFUNCTION("""COMPUTED_VALUE"""),216919076)</f>
        <v>216919076</v>
      </c>
      <c r="B68" s="14" t="str">
        <f ca="1">IFERROR(__xludf.DUMMYFUNCTION("""COMPUTED_VALUE"""),"Muyambo")</f>
        <v>Muyambo</v>
      </c>
      <c r="C68" s="14" t="str">
        <f ca="1">IFERROR(__xludf.DUMMYFUNCTION("""COMPUTED_VALUE"""),"HP")</f>
        <v>HP</v>
      </c>
      <c r="D68" s="13" t="s">
        <v>14</v>
      </c>
      <c r="E68" s="14" t="str">
        <f ca="1">IFERROR(__xludf.DUMMYFUNCTION("""COMPUTED_VALUE"""),"0786707770")</f>
        <v>0786707770</v>
      </c>
      <c r="F68" s="14" t="str">
        <f ca="1">IFERROR(__xludf.DUMMYFUNCTION("""COMPUTED_VALUE"""),"promizem@gmail.com")</f>
        <v>promizem@gmail.com</v>
      </c>
      <c r="G68" s="14" t="str">
        <f ca="1">IFERROR(__xludf.DUMMYFUNCTION("""COMPUTED_VALUE"""),"Student need to pass TPG201T, attend 85% full time, and attend all interventions.")</f>
        <v>Student need to pass TPG201T, attend 85% full time, and attend all interventions.</v>
      </c>
      <c r="I68" s="17" t="s">
        <v>22</v>
      </c>
      <c r="K68" t="s">
        <v>19</v>
      </c>
    </row>
    <row r="69" spans="1:14" ht="39">
      <c r="A69" s="15">
        <f ca="1">IFERROR(__xludf.DUMMYFUNCTION("""COMPUTED_VALUE"""),216973992)</f>
        <v>216973992</v>
      </c>
      <c r="B69" s="15" t="str">
        <f ca="1">IFERROR(__xludf.DUMMYFUNCTION("""COMPUTED_VALUE"""),"Mkhize")</f>
        <v>Mkhize</v>
      </c>
      <c r="C69" s="15" t="str">
        <f ca="1">IFERROR(__xludf.DUMMYFUNCTION("""COMPUTED_VALUE"""),"BS")</f>
        <v>BS</v>
      </c>
      <c r="D69" s="16" t="s">
        <v>14</v>
      </c>
      <c r="E69" s="15" t="str">
        <f ca="1">IFERROR(__xludf.DUMMYFUNCTION("""COMPUTED_VALUE"""),"0833551002")</f>
        <v>0833551002</v>
      </c>
      <c r="F69" s="15" t="str">
        <f ca="1">IFERROR(__xludf.DUMMYFUNCTION("""COMPUTED_VALUE"""),"brillientsya@gmail.com")</f>
        <v>brillientsya@gmail.com</v>
      </c>
      <c r="G69" s="15" t="str">
        <f ca="1">IFERROR(__xludf.DUMMYFUNCTION("""COMPUTED_VALUE"""),"Need to PASS DSO23BT, TPG201T, ISY34AT, and  ISY34BT, attend 85% full time, and attend all interventions.")</f>
        <v>Need to PASS DSO23BT, TPG201T, ISY34AT, and  ISY34BT, attend 85% full time, and attend all interventions.</v>
      </c>
      <c r="I69" t="s">
        <v>18</v>
      </c>
      <c r="K69" t="s">
        <v>19</v>
      </c>
    </row>
    <row r="70" spans="1:14" ht="26.25">
      <c r="A70" s="15">
        <f ca="1">IFERROR(__xludf.DUMMYFUNCTION("""COMPUTED_VALUE"""),217002567)</f>
        <v>217002567</v>
      </c>
      <c r="B70" s="15" t="str">
        <f ca="1">IFERROR(__xludf.DUMMYFUNCTION("""COMPUTED_VALUE"""),"Seakamela")</f>
        <v>Seakamela</v>
      </c>
      <c r="C70" s="15" t="str">
        <f ca="1">IFERROR(__xludf.DUMMYFUNCTION("""COMPUTED_VALUE"""),"TS")</f>
        <v>TS</v>
      </c>
      <c r="D70" s="16" t="s">
        <v>14</v>
      </c>
      <c r="E70" s="15" t="str">
        <f ca="1">IFERROR(__xludf.DUMMYFUNCTION("""COMPUTED_VALUE"""),"0720875376")</f>
        <v>0720875376</v>
      </c>
      <c r="F70" s="15" t="str">
        <f ca="1">IFERROR(__xludf.DUMMYFUNCTION("""COMPUTED_VALUE"""),"thembaseakamela@hotmail.com")</f>
        <v>thembaseakamela@hotmail.com</v>
      </c>
      <c r="G70" s="15" t="str">
        <f ca="1">IFERROR(__xludf.DUMMYFUNCTION("""COMPUTED_VALUE"""),"Student need to pass TPG201T, attend 85% full time, and attend all interventions.")</f>
        <v>Student need to pass TPG201T, attend 85% full time, and attend all interventions.</v>
      </c>
      <c r="I70" t="s">
        <v>18</v>
      </c>
      <c r="K70" t="s">
        <v>19</v>
      </c>
    </row>
    <row r="71" spans="1:14" ht="26.25">
      <c r="A71" s="15">
        <f ca="1">IFERROR(__xludf.DUMMYFUNCTION("""COMPUTED_VALUE"""),217030340)</f>
        <v>217030340</v>
      </c>
      <c r="B71" s="15" t="str">
        <f ca="1">IFERROR(__xludf.DUMMYFUNCTION("""COMPUTED_VALUE"""),"MABASA")</f>
        <v>MABASA</v>
      </c>
      <c r="C71" s="15" t="s">
        <v>50</v>
      </c>
      <c r="D71" s="16" t="s">
        <v>14</v>
      </c>
      <c r="E71" s="15" t="str">
        <f ca="1">IFERROR(__xludf.DUMMYFUNCTION("""COMPUTED_VALUE"""),"0604962618")</f>
        <v>0604962618</v>
      </c>
      <c r="F71" s="15" t="str">
        <f ca="1">IFERROR(__xludf.DUMMYFUNCTION("""COMPUTED_VALUE"""),"mabasasagwadi68@gmail.com")</f>
        <v>mabasasagwadi68@gmail.com</v>
      </c>
      <c r="G71" s="15" t="str">
        <f ca="1">IFERROR(__xludf.DUMMYFUNCTION("""COMPUTED_VALUE"""),"Student need to pass TPG201T, attend 85% full time, and attend all interventions.")</f>
        <v>Student need to pass TPG201T, attend 85% full time, and attend all interventions.</v>
      </c>
      <c r="I71" t="s">
        <v>18</v>
      </c>
      <c r="K71" t="s">
        <v>19</v>
      </c>
    </row>
    <row r="72" spans="1:14" ht="26.25">
      <c r="A72" s="15">
        <f ca="1">IFERROR(__xludf.DUMMYFUNCTION("""COMPUTED_VALUE"""),217043344)</f>
        <v>217043344</v>
      </c>
      <c r="B72" s="15" t="str">
        <f ca="1">IFERROR(__xludf.DUMMYFUNCTION("""COMPUTED_VALUE"""),"MOLOTO")</f>
        <v>MOLOTO</v>
      </c>
      <c r="C72" s="15" t="str">
        <f ca="1">IFERROR(__xludf.DUMMYFUNCTION("""COMPUTED_VALUE"""),"M")</f>
        <v>M</v>
      </c>
      <c r="D72" s="16" t="s">
        <v>14</v>
      </c>
      <c r="E72" s="15" t="str">
        <f ca="1">IFERROR(__xludf.DUMMYFUNCTION("""COMPUTED_VALUE"""),"0727376130")</f>
        <v>0727376130</v>
      </c>
      <c r="F72" s="15" t="str">
        <f ca="1">IFERROR(__xludf.DUMMYFUNCTION("""COMPUTED_VALUE"""),"217043344@tut4life.ac.za")</f>
        <v>217043344@tut4life.ac.za</v>
      </c>
      <c r="G72" s="15" t="str">
        <f ca="1">IFERROR(__xludf.DUMMYFUNCTION("""COMPUTED_VALUE"""),"Student need to pass TPG201T, attend 85% full time, and attend all interventions")</f>
        <v>Student need to pass TPG201T, attend 85% full time, and attend all interventions</v>
      </c>
      <c r="I72" t="s">
        <v>18</v>
      </c>
      <c r="K72" t="s">
        <v>19</v>
      </c>
    </row>
    <row r="73" spans="1:14" ht="39">
      <c r="A73" s="14">
        <f ca="1">IFERROR(__xludf.DUMMYFUNCTION("""COMPUTED_VALUE"""),217123291)</f>
        <v>217123291</v>
      </c>
      <c r="B73" s="14" t="str">
        <f ca="1">IFERROR(__xludf.DUMMYFUNCTION("""COMPUTED_VALUE"""),"Tiyasi")</f>
        <v>Tiyasi</v>
      </c>
      <c r="C73" s="14" t="str">
        <f ca="1">IFERROR(__xludf.DUMMYFUNCTION("""COMPUTED_VALUE"""),"JP")</f>
        <v>JP</v>
      </c>
      <c r="D73" s="13" t="s">
        <v>14</v>
      </c>
      <c r="E73" s="14" t="str">
        <f ca="1">IFERROR(__xludf.DUMMYFUNCTION("""COMPUTED_VALUE"""),"0794194768")</f>
        <v>0794194768</v>
      </c>
      <c r="F73" s="14" t="str">
        <f ca="1">IFERROR(__xludf.DUMMYFUNCTION("""COMPUTED_VALUE"""),"theanthem8@gmail.com")</f>
        <v>theanthem8@gmail.com</v>
      </c>
      <c r="G73" s="14" t="str">
        <f ca="1">IFERROR(__xludf.DUMMYFUNCTION("""COMPUTED_VALUE"""),"Student need to pass TPG201T, and ISY34AT attend 85% full time, and attend all interventions.")</f>
        <v>Student need to pass TPG201T, and ISY34AT attend 85% full time, and attend all interventions.</v>
      </c>
      <c r="I73" s="17" t="s">
        <v>22</v>
      </c>
      <c r="K73" t="s">
        <v>19</v>
      </c>
    </row>
    <row r="74" spans="1:14" ht="26.25">
      <c r="A74" s="15">
        <f ca="1">IFERROR(__xludf.DUMMYFUNCTION("""COMPUTED_VALUE"""),217183847)</f>
        <v>217183847</v>
      </c>
      <c r="B74" s="15" t="str">
        <f ca="1">IFERROR(__xludf.DUMMYFUNCTION("""COMPUTED_VALUE"""),"Mhlanga")</f>
        <v>Mhlanga</v>
      </c>
      <c r="C74" s="15" t="str">
        <f ca="1">IFERROR(__xludf.DUMMYFUNCTION("""COMPUTED_VALUE"""),"EZ")</f>
        <v>EZ</v>
      </c>
      <c r="D74" s="16" t="s">
        <v>14</v>
      </c>
      <c r="E74" s="15" t="str">
        <f ca="1">IFERROR(__xludf.DUMMYFUNCTION("""COMPUTED_VALUE"""),"0787694119")</f>
        <v>0787694119</v>
      </c>
      <c r="F74" s="15" t="str">
        <f ca="1">IFERROR(__xludf.DUMMYFUNCTION("""COMPUTED_VALUE"""),"estherzongo4@gmail.com")</f>
        <v>estherzongo4@gmail.com</v>
      </c>
      <c r="G74" s="15" t="str">
        <f ca="1">IFERROR(__xludf.DUMMYFUNCTION("""COMPUTED_VALUE"""),"Student need to pass TPG201T, attend 85% full time, and attend all interventions.")</f>
        <v>Student need to pass TPG201T, attend 85% full time, and attend all interventions.</v>
      </c>
      <c r="K74" t="s">
        <v>19</v>
      </c>
    </row>
    <row r="75" spans="1:14" ht="26.25">
      <c r="A75" s="14">
        <f ca="1">IFERROR(__xludf.DUMMYFUNCTION("""COMPUTED_VALUE"""),217313619)</f>
        <v>217313619</v>
      </c>
      <c r="B75" s="14" t="str">
        <f ca="1">IFERROR(__xludf.DUMMYFUNCTION("""COMPUTED_VALUE"""),"MUDAU")</f>
        <v>MUDAU</v>
      </c>
      <c r="C75" s="14" t="str">
        <f ca="1">IFERROR(__xludf.DUMMYFUNCTION("""COMPUTED_VALUE"""),"M")</f>
        <v>M</v>
      </c>
      <c r="D75" s="13" t="s">
        <v>14</v>
      </c>
      <c r="E75" s="14" t="str">
        <f ca="1">IFERROR(__xludf.DUMMYFUNCTION("""COMPUTED_VALUE"""),"0641767044")</f>
        <v>0641767044</v>
      </c>
      <c r="F75" s="14" t="str">
        <f ca="1">IFERROR(__xludf.DUMMYFUNCTION("""COMPUTED_VALUE"""),"dzangiemudau@gmail.com")</f>
        <v>dzangiemudau@gmail.com</v>
      </c>
      <c r="G75" s="14" t="str">
        <f ca="1">IFERROR(__xludf.DUMMYFUNCTION("""COMPUTED_VALUE"""),"Student need to pass TPG201T, attend 85% full time, and attend all interventions.")</f>
        <v>Student need to pass TPG201T, attend 85% full time, and attend all interventions.</v>
      </c>
      <c r="I75" s="17" t="s">
        <v>22</v>
      </c>
      <c r="J75" t="s">
        <v>25</v>
      </c>
      <c r="K75" t="s">
        <v>19</v>
      </c>
      <c r="L75" t="s">
        <v>51</v>
      </c>
      <c r="N75" t="s">
        <v>29</v>
      </c>
    </row>
    <row r="76" spans="1:14" ht="39">
      <c r="A76" s="15">
        <v>217343208</v>
      </c>
      <c r="B76" s="15" t="str">
        <f ca="1">IFERROR(__xludf.DUMMYFUNCTION("""COMPUTED_VALUE"""),"TLHABI")</f>
        <v>TLHABI</v>
      </c>
      <c r="C76" s="15" t="str">
        <f ca="1">IFERROR(__xludf.DUMMYFUNCTION("""COMPUTED_VALUE"""),"KN")</f>
        <v>KN</v>
      </c>
      <c r="D76" s="16" t="s">
        <v>14</v>
      </c>
      <c r="E76" s="15" t="str">
        <f ca="1">IFERROR(__xludf.DUMMYFUNCTION("""COMPUTED_VALUE"""),"0724137932")</f>
        <v>0724137932</v>
      </c>
      <c r="F76" s="15" t="str">
        <f ca="1">IFERROR(__xludf.DUMMYFUNCTION("""COMPUTED_VALUE"""),"nk77tlhabi@gmail.com")</f>
        <v>nk77tlhabi@gmail.com</v>
      </c>
      <c r="G76" s="15" t="str">
        <f ca="1">IFERROR(__xludf.DUMMYFUNCTION("""COMPUTED_VALUE"""),"Student need to pass TPG201T, ISY23AT, ISY23BT,and DSO23BT, attend 85% full time, and attend all interventions.")</f>
        <v>Student need to pass TPG201T, ISY23AT, ISY23BT,and DSO23BT, attend 85% full time, and attend all interventions.</v>
      </c>
      <c r="I76" t="s">
        <v>18</v>
      </c>
      <c r="J76" t="s">
        <v>25</v>
      </c>
      <c r="K76" t="s">
        <v>31</v>
      </c>
      <c r="L76" s="28" t="s">
        <v>52</v>
      </c>
      <c r="N76" s="28" t="s">
        <v>53</v>
      </c>
    </row>
    <row r="77" spans="1:14" ht="26.25">
      <c r="A77" s="15">
        <f ca="1">IFERROR(__xludf.DUMMYFUNCTION("""COMPUTED_VALUE"""),217488184)</f>
        <v>217488184</v>
      </c>
      <c r="B77" s="15" t="str">
        <f ca="1">IFERROR(__xludf.DUMMYFUNCTION("""COMPUTED_VALUE"""),"SEBATI")</f>
        <v>SEBATI</v>
      </c>
      <c r="C77" s="15" t="str">
        <f ca="1">IFERROR(__xludf.DUMMYFUNCTION("""COMPUTED_VALUE"""),"PL")</f>
        <v>PL</v>
      </c>
      <c r="D77" s="16" t="s">
        <v>14</v>
      </c>
      <c r="E77" s="15" t="str">
        <f ca="1">IFERROR(__xludf.DUMMYFUNCTION("""COMPUTED_VALUE"""),"0764916800")</f>
        <v>0764916800</v>
      </c>
      <c r="F77" s="15" t="str">
        <f ca="1">IFERROR(__xludf.DUMMYFUNCTION("""COMPUTED_VALUE"""),"phutiledile2@gmail.com")</f>
        <v>phutiledile2@gmail.com</v>
      </c>
      <c r="G77" s="15" t="str">
        <f ca="1">IFERROR(__xludf.DUMMYFUNCTION("""COMPUTED_VALUE"""),"Student need to pass TPG201T, attend 85% full time, and attend all interventions.")</f>
        <v>Student need to pass TPG201T, attend 85% full time, and attend all interventions.</v>
      </c>
      <c r="I77" t="s">
        <v>18</v>
      </c>
      <c r="K77" t="s">
        <v>19</v>
      </c>
    </row>
    <row r="78" spans="1:14" ht="26.25">
      <c r="A78" s="15">
        <f ca="1">IFERROR(__xludf.DUMMYFUNCTION("""COMPUTED_VALUE"""),217560799)</f>
        <v>217560799</v>
      </c>
      <c r="B78" s="15" t="str">
        <f ca="1">IFERROR(__xludf.DUMMYFUNCTION("""COMPUTED_VALUE"""),"Maake")</f>
        <v>Maake</v>
      </c>
      <c r="C78" s="15" t="str">
        <f ca="1">IFERROR(__xludf.DUMMYFUNCTION("""COMPUTED_VALUE"""),"ND")</f>
        <v>ND</v>
      </c>
      <c r="D78" s="16" t="s">
        <v>14</v>
      </c>
      <c r="E78" s="15" t="str">
        <f ca="1">IFERROR(__xludf.DUMMYFUNCTION("""COMPUTED_VALUE"""),"0731772594")</f>
        <v>0731772594</v>
      </c>
      <c r="F78" s="15" t="str">
        <f ca="1">IFERROR(__xludf.DUMMYFUNCTION("""COMPUTED_VALUE"""),"nhlanhlagwebu28@gmail.com")</f>
        <v>nhlanhlagwebu28@gmail.com</v>
      </c>
      <c r="G78" s="15" t="str">
        <f ca="1">IFERROR(__xludf.DUMMYFUNCTION("""COMPUTED_VALUE"""),"Student need to pass TPG201T, attend 85% full time, and attend all interventions.")</f>
        <v>Student need to pass TPG201T, attend 85% full time, and attend all interventions.</v>
      </c>
      <c r="I78" t="s">
        <v>18</v>
      </c>
      <c r="K78" t="s">
        <v>19</v>
      </c>
    </row>
    <row r="79" spans="1:14" ht="51.75">
      <c r="A79" s="15">
        <f ca="1">IFERROR(__xludf.DUMMYFUNCTION("""COMPUTED_VALUE"""),217593654)</f>
        <v>217593654</v>
      </c>
      <c r="B79" s="15" t="str">
        <f ca="1">IFERROR(__xludf.DUMMYFUNCTION("""COMPUTED_VALUE"""),"Nakedi")</f>
        <v>Nakedi</v>
      </c>
      <c r="C79" s="15" t="str">
        <f ca="1">IFERROR(__xludf.DUMMYFUNCTION("""COMPUTED_VALUE"""),"KRJ")</f>
        <v>KRJ</v>
      </c>
      <c r="D79" s="16" t="s">
        <v>14</v>
      </c>
      <c r="E79" s="15" t="str">
        <f ca="1">IFERROR(__xludf.DUMMYFUNCTION("""COMPUTED_VALUE"""),"0712059921")</f>
        <v>0712059921</v>
      </c>
      <c r="F79" s="15" t="str">
        <f ca="1">IFERROR(__xludf.DUMMYFUNCTION("""COMPUTED_VALUE"""),"kamogelot96@gmail.com")</f>
        <v>kamogelot96@gmail.com</v>
      </c>
      <c r="G79" s="15" t="str">
        <f ca="1">IFERROR(__xludf.DUMMYFUNCTION("""COMPUTED_VALUE"""),"Student need to pass DSO23AT,ISY23BT, and TPG201T, attend 85% full time, and attend all interventions.")</f>
        <v>Student need to pass DSO23AT,ISY23BT, and TPG201T, attend 85% full time, and attend all interventions.</v>
      </c>
      <c r="I79" t="s">
        <v>18</v>
      </c>
      <c r="K79" t="s">
        <v>19</v>
      </c>
    </row>
    <row r="80" spans="1:14" ht="39">
      <c r="A80" s="14">
        <f ca="1">IFERROR(__xludf.DUMMYFUNCTION("""COMPUTED_VALUE"""),217602203)</f>
        <v>217602203</v>
      </c>
      <c r="B80" s="14" t="str">
        <f ca="1">IFERROR(__xludf.DUMMYFUNCTION("""COMPUTED_VALUE"""),"Mabena ")</f>
        <v xml:space="preserve">Mabena </v>
      </c>
      <c r="C80" s="14" t="str">
        <f ca="1">IFERROR(__xludf.DUMMYFUNCTION("""COMPUTED_VALUE"""),"TM")</f>
        <v>TM</v>
      </c>
      <c r="D80" s="13" t="s">
        <v>14</v>
      </c>
      <c r="E80" s="14" t="str">
        <f ca="1">IFERROR(__xludf.DUMMYFUNCTION("""COMPUTED_VALUE"""),"0796017958")</f>
        <v>0796017958</v>
      </c>
      <c r="F80" s="14" t="str">
        <f ca="1">IFERROR(__xludf.DUMMYFUNCTION("""COMPUTED_VALUE"""),"217602203@tut4life.ac.za")</f>
        <v>217602203@tut4life.ac.za</v>
      </c>
      <c r="G80" s="14" t="str">
        <f ca="1">IFERROR(__xludf.DUMMYFUNCTION("""COMPUTED_VALUE"""),"Student must pass TPG111T and ISY23AT, and TPG201T, attend 85% full time, and attend all interventions.")</f>
        <v>Student must pass TPG111T and ISY23AT, and TPG201T, attend 85% full time, and attend all interventions.</v>
      </c>
      <c r="I80" s="17" t="s">
        <v>22</v>
      </c>
      <c r="K80" t="s">
        <v>19</v>
      </c>
    </row>
    <row r="81" spans="1:14" ht="60">
      <c r="A81" s="15">
        <f ca="1">IFERROR(__xludf.DUMMYFUNCTION("""COMPUTED_VALUE"""),217603722)</f>
        <v>217603722</v>
      </c>
      <c r="B81" s="15" t="str">
        <f ca="1">IFERROR(__xludf.DUMMYFUNCTION("""COMPUTED_VALUE"""),"Mabasa")</f>
        <v>Mabasa</v>
      </c>
      <c r="C81" s="15" t="str">
        <f ca="1">IFERROR(__xludf.DUMMYFUNCTION("""COMPUTED_VALUE"""),"F")</f>
        <v>F</v>
      </c>
      <c r="D81" s="16" t="s">
        <v>14</v>
      </c>
      <c r="E81" s="15" t="str">
        <f ca="1">IFERROR(__xludf.DUMMYFUNCTION("""COMPUTED_VALUE"""),"0799206179")</f>
        <v>0799206179</v>
      </c>
      <c r="F81" s="15" t="str">
        <f ca="1">IFERROR(__xludf.DUMMYFUNCTION("""COMPUTED_VALUE"""),"217603722@tut4life.ac.za")</f>
        <v>217603722@tut4life.ac.za</v>
      </c>
      <c r="G81" s="15" t="str">
        <f ca="1">IFERROR(__xludf.DUMMYFUNCTION("""COMPUTED_VALUE"""),"Student need to pass ISY23AT and TPG201T, attend 85% full time, and attend all interventions.")</f>
        <v>Student need to pass ISY23AT and TPG201T, attend 85% full time, and attend all interventions.</v>
      </c>
      <c r="H81" s="24"/>
      <c r="I81" s="24" t="s">
        <v>18</v>
      </c>
      <c r="J81" s="24" t="s">
        <v>25</v>
      </c>
      <c r="K81" s="24" t="s">
        <v>19</v>
      </c>
      <c r="L81" s="25" t="s">
        <v>54</v>
      </c>
      <c r="M81" s="24"/>
      <c r="N81" s="25" t="s">
        <v>55</v>
      </c>
    </row>
    <row r="82" spans="1:14" ht="51.75">
      <c r="A82" s="14">
        <f ca="1">IFERROR(__xludf.DUMMYFUNCTION("""COMPUTED_VALUE"""),217612446)</f>
        <v>217612446</v>
      </c>
      <c r="B82" s="14" t="str">
        <f ca="1">IFERROR(__xludf.DUMMYFUNCTION("""COMPUTED_VALUE"""),"MANGANYE ")</f>
        <v xml:space="preserve">MANGANYE </v>
      </c>
      <c r="C82" s="14" t="str">
        <f ca="1">IFERROR(__xludf.DUMMYFUNCTION("""COMPUTED_VALUE"""),"VS ")</f>
        <v xml:space="preserve">VS </v>
      </c>
      <c r="D82" s="13" t="s">
        <v>14</v>
      </c>
      <c r="E82" s="14" t="str">
        <f ca="1">IFERROR(__xludf.DUMMYFUNCTION("""COMPUTED_VALUE"""),"0712312745")</f>
        <v>0712312745</v>
      </c>
      <c r="F82" s="14" t="str">
        <f ca="1">IFERROR(__xludf.DUMMYFUNCTION("""COMPUTED_VALUE"""),"manganyesurprise369@gmail.com")</f>
        <v>manganyesurprise369@gmail.com</v>
      </c>
      <c r="G82" s="14" t="str">
        <f ca="1">IFERROR(__xludf.DUMMYFUNCTION("""COMPUTED_VALUE"""),"Student need to pass TPG201T, ISY34AT, ISY34BT, and DSO34AT, attend 85% full time, and attend all interventions.")</f>
        <v>Student need to pass TPG201T, ISY34AT, ISY34BT, and DSO34AT, attend 85% full time, and attend all interventions.</v>
      </c>
      <c r="I82" s="17" t="s">
        <v>22</v>
      </c>
      <c r="J82" t="s">
        <v>25</v>
      </c>
      <c r="K82" t="s">
        <v>19</v>
      </c>
      <c r="L82" s="28" t="s">
        <v>56</v>
      </c>
      <c r="N82" t="s">
        <v>29</v>
      </c>
    </row>
    <row r="83" spans="1:14" ht="51.75">
      <c r="A83" s="14">
        <f ca="1">IFERROR(__xludf.DUMMYFUNCTION("""COMPUTED_VALUE"""),218014739)</f>
        <v>218014739</v>
      </c>
      <c r="B83" s="14" t="str">
        <f ca="1">IFERROR(__xludf.DUMMYFUNCTION("""COMPUTED_VALUE"""),"ngobeni")</f>
        <v>ngobeni</v>
      </c>
      <c r="C83" s="14" t="str">
        <f ca="1">IFERROR(__xludf.DUMMYFUNCTION("""COMPUTED_VALUE"""),"c")</f>
        <v>c</v>
      </c>
      <c r="D83" s="13" t="s">
        <v>14</v>
      </c>
      <c r="E83" s="14" t="str">
        <f ca="1">IFERROR(__xludf.DUMMYFUNCTION("""COMPUTED_VALUE"""),"+27790674457")</f>
        <v>+27790674457</v>
      </c>
      <c r="F83" s="14" t="str">
        <f ca="1">IFERROR(__xludf.DUMMYFUNCTION("""COMPUTED_VALUE"""),"218014739@tut4life.ac.za")</f>
        <v>218014739@tut4life.ac.za</v>
      </c>
      <c r="G83" s="14" t="str">
        <f ca="1">IFERROR(__xludf.DUMMYFUNCTION("""COMPUTED_VALUE"""),"Student must pass PASS TPG201T, DSO23AT, ISY23AT, and ISY23BT, attend 85% full time, and attend all interventions.")</f>
        <v>Student must pass PASS TPG201T, DSO23AT, ISY23AT, and ISY23BT, attend 85% full time, and attend all interventions.</v>
      </c>
      <c r="I83" s="17" t="s">
        <v>22</v>
      </c>
      <c r="K83" t="s">
        <v>19</v>
      </c>
    </row>
    <row r="84" spans="1:14" ht="26.25">
      <c r="A84" s="15">
        <f ca="1">IFERROR(__xludf.DUMMYFUNCTION("""COMPUTED_VALUE"""),218051740)</f>
        <v>218051740</v>
      </c>
      <c r="B84" s="15" t="str">
        <f ca="1">IFERROR(__xludf.DUMMYFUNCTION("""COMPUTED_VALUE"""),"Nades")</f>
        <v>Nades</v>
      </c>
      <c r="C84" s="15" t="str">
        <f ca="1">IFERROR(__xludf.DUMMYFUNCTION("""COMPUTED_VALUE"""),"P")</f>
        <v>P</v>
      </c>
      <c r="D84" s="16" t="s">
        <v>14</v>
      </c>
      <c r="E84" s="15" t="str">
        <f ca="1">IFERROR(__xludf.DUMMYFUNCTION("""COMPUTED_VALUE"""),"0814637337")</f>
        <v>0814637337</v>
      </c>
      <c r="F84" s="15" t="str">
        <f ca="1">IFERROR(__xludf.DUMMYFUNCTION("""COMPUTED_VALUE"""),"218051740@tut4life.ac.za")</f>
        <v>218051740@tut4life.ac.za</v>
      </c>
      <c r="G84" s="15" t="str">
        <f ca="1">IFERROR(__xludf.DUMMYFUNCTION("""COMPUTED_VALUE"""),"Student need to pass TPG201T, attend 85% full time, and attend all interventions.")</f>
        <v>Student need to pass TPG201T, attend 85% full time, and attend all interventions.</v>
      </c>
      <c r="I84" t="s">
        <v>18</v>
      </c>
      <c r="K84" t="s">
        <v>19</v>
      </c>
    </row>
    <row r="85" spans="1:14" ht="39">
      <c r="A85" s="15">
        <f ca="1">IFERROR(__xludf.DUMMYFUNCTION("""COMPUTED_VALUE"""),218064612)</f>
        <v>218064612</v>
      </c>
      <c r="B85" s="15" t="str">
        <f ca="1">IFERROR(__xludf.DUMMYFUNCTION("""COMPUTED_VALUE"""),"Sithole")</f>
        <v>Sithole</v>
      </c>
      <c r="C85" s="15" t="str">
        <f ca="1">IFERROR(__xludf.DUMMYFUNCTION("""COMPUTED_VALUE"""),"NW")</f>
        <v>NW</v>
      </c>
      <c r="D85" s="16" t="s">
        <v>14</v>
      </c>
      <c r="E85" s="15" t="str">
        <f ca="1">IFERROR(__xludf.DUMMYFUNCTION("""COMPUTED_VALUE"""),"0711994208")</f>
        <v>0711994208</v>
      </c>
      <c r="F85" s="15" t="str">
        <f ca="1">IFERROR(__xludf.DUMMYFUNCTION("""COMPUTED_VALUE"""),"218064612@tut4life.ac.za")</f>
        <v>218064612@tut4life.ac.za</v>
      </c>
      <c r="G85" s="15" t="str">
        <f ca="1">IFERROR(__xludf.DUMMYFUNCTION("""COMPUTED_VALUE"""),"Student must pass TPG201T, ISY34AT, and ISY34BT, attend 85% full time, and attend all interventions.")</f>
        <v>Student must pass TPG201T, ISY34AT, and ISY34BT, attend 85% full time, and attend all interventions.</v>
      </c>
      <c r="I85" t="s">
        <v>18</v>
      </c>
      <c r="J85" t="s">
        <v>25</v>
      </c>
      <c r="K85" t="s">
        <v>19</v>
      </c>
      <c r="L85" t="s">
        <v>51</v>
      </c>
      <c r="N85" t="s">
        <v>29</v>
      </c>
    </row>
    <row r="86" spans="1:14" ht="26.25">
      <c r="A86" s="15">
        <f ca="1">IFERROR(__xludf.DUMMYFUNCTION("""COMPUTED_VALUE"""),218071376)</f>
        <v>218071376</v>
      </c>
      <c r="B86" s="15" t="str">
        <f ca="1">IFERROR(__xludf.DUMMYFUNCTION("""COMPUTED_VALUE"""),"Maluleke")</f>
        <v>Maluleke</v>
      </c>
      <c r="C86" s="15" t="str">
        <f ca="1">IFERROR(__xludf.DUMMYFUNCTION("""COMPUTED_VALUE"""),"Nb")</f>
        <v>Nb</v>
      </c>
      <c r="D86" s="16" t="s">
        <v>14</v>
      </c>
      <c r="E86" s="15" t="str">
        <f ca="1">IFERROR(__xludf.DUMMYFUNCTION("""COMPUTED_VALUE"""),"0649432821")</f>
        <v>0649432821</v>
      </c>
      <c r="F86" s="15" t="str">
        <f ca="1">IFERROR(__xludf.DUMMYFUNCTION("""COMPUTED_VALUE"""),"malulekenb1@gmail.com")</f>
        <v>malulekenb1@gmail.com</v>
      </c>
      <c r="G86" s="15" t="str">
        <f ca="1">IFERROR(__xludf.DUMMYFUNCTION("""COMPUTED_VALUE"""),"Student must pass TPG201T, attend 85% full time, and attend all interventions.")</f>
        <v>Student must pass TPG201T, attend 85% full time, and attend all interventions.</v>
      </c>
      <c r="I86" t="s">
        <v>18</v>
      </c>
      <c r="J86" t="s">
        <v>25</v>
      </c>
      <c r="K86" t="s">
        <v>19</v>
      </c>
    </row>
    <row r="87" spans="1:14" ht="39">
      <c r="A87" s="15">
        <f ca="1">IFERROR(__xludf.DUMMYFUNCTION("""COMPUTED_VALUE"""),218148336)</f>
        <v>218148336</v>
      </c>
      <c r="B87" s="15" t="str">
        <f ca="1">IFERROR(__xludf.DUMMYFUNCTION("""COMPUTED_VALUE"""),"Mulaudzi")</f>
        <v>Mulaudzi</v>
      </c>
      <c r="C87" s="15" t="str">
        <f ca="1">IFERROR(__xludf.DUMMYFUNCTION("""COMPUTED_VALUE"""),"DR")</f>
        <v>DR</v>
      </c>
      <c r="D87" s="16" t="s">
        <v>14</v>
      </c>
      <c r="E87" s="15" t="str">
        <f ca="1">IFERROR(__xludf.DUMMYFUNCTION("""COMPUTED_VALUE"""),"0647374469")</f>
        <v>0647374469</v>
      </c>
      <c r="F87" s="15" t="str">
        <f ca="1">IFERROR(__xludf.DUMMYFUNCTION("""COMPUTED_VALUE"""),"dowelanirm@gmail.com")</f>
        <v>dowelanirm@gmail.com</v>
      </c>
      <c r="G87" s="15" t="str">
        <f ca="1">IFERROR(__xludf.DUMMYFUNCTION("""COMPUTED_VALUE"""),"Student need to pass TPG201T and DSO34BT attend 85% full time, and attend all interventions.")</f>
        <v>Student need to pass TPG201T and DSO34BT attend 85% full time, and attend all interventions.</v>
      </c>
      <c r="I87" t="s">
        <v>18</v>
      </c>
      <c r="K87" t="s">
        <v>19</v>
      </c>
    </row>
    <row r="88" spans="1:14" ht="26.25">
      <c r="A88" s="15">
        <f ca="1">IFERROR(__xludf.DUMMYFUNCTION("""COMPUTED_VALUE"""),218156592)</f>
        <v>218156592</v>
      </c>
      <c r="B88" s="15" t="str">
        <f ca="1">IFERROR(__xludf.DUMMYFUNCTION("""COMPUTED_VALUE"""),"Matsapola")</f>
        <v>Matsapola</v>
      </c>
      <c r="C88" s="15" t="str">
        <f ca="1">IFERROR(__xludf.DUMMYFUNCTION("""COMPUTED_VALUE"""),"A")</f>
        <v>A</v>
      </c>
      <c r="D88" s="16" t="s">
        <v>14</v>
      </c>
      <c r="E88" s="15" t="str">
        <f ca="1">IFERROR(__xludf.DUMMYFUNCTION("""COMPUTED_VALUE"""),"0789875644")</f>
        <v>0789875644</v>
      </c>
      <c r="F88" s="15" t="str">
        <f ca="1">IFERROR(__xludf.DUMMYFUNCTION("""COMPUTED_VALUE"""),"andriesmatsapola97@gmail.com")</f>
        <v>andriesmatsapola97@gmail.com</v>
      </c>
      <c r="G88" s="15" t="str">
        <f ca="1">IFERROR(__xludf.DUMMYFUNCTION("""COMPUTED_VALUE"""),"Student need to pass TPG201T, attend 85% full time, and attend all interventions.")</f>
        <v>Student need to pass TPG201T, attend 85% full time, and attend all interventions.</v>
      </c>
      <c r="I88" t="s">
        <v>18</v>
      </c>
      <c r="K88" t="s">
        <v>19</v>
      </c>
    </row>
    <row r="89" spans="1:14" ht="64.5">
      <c r="A89" s="15">
        <f ca="1">IFERROR(__xludf.DUMMYFUNCTION("""COMPUTED_VALUE"""),218476945)</f>
        <v>218476945</v>
      </c>
      <c r="B89" s="15" t="str">
        <f ca="1">IFERROR(__xludf.DUMMYFUNCTION("""COMPUTED_VALUE"""),"Mashiloane")</f>
        <v>Mashiloane</v>
      </c>
      <c r="C89" s="15" t="str">
        <f ca="1">IFERROR(__xludf.DUMMYFUNCTION("""COMPUTED_VALUE"""),"Ks")</f>
        <v>Ks</v>
      </c>
      <c r="D89" s="16" t="s">
        <v>14</v>
      </c>
      <c r="E89" s="15" t="str">
        <f ca="1">IFERROR(__xludf.DUMMYFUNCTION("""COMPUTED_VALUE"""),"0715409892")</f>
        <v>0715409892</v>
      </c>
      <c r="F89" s="15" t="str">
        <f ca="1">IFERROR(__xludf.DUMMYFUNCTION("""COMPUTED_VALUE"""),"218476945@tut4life.ac.za")</f>
        <v>218476945@tut4life.ac.za</v>
      </c>
      <c r="G89" s="15" t="str">
        <f ca="1">IFERROR(__xludf.DUMMYFUNCTION("""COMPUTED_VALUE"""),"LIFTED, MUST PASS PROBLEMATIC SUBJECT AND CONTINUE WITH REMAINING SUBJECTS and report for academic intervention for TPG201T (problematic subject).")</f>
        <v>LIFTED, MUST PASS PROBLEMATIC SUBJECT AND CONTINUE WITH REMAINING SUBJECTS and report for academic intervention for TPG201T (problematic subject).</v>
      </c>
      <c r="I89" t="s">
        <v>57</v>
      </c>
      <c r="K89" t="s">
        <v>19</v>
      </c>
    </row>
    <row r="90" spans="1:14" ht="39">
      <c r="A90" s="14">
        <f ca="1">IFERROR(__xludf.DUMMYFUNCTION("""COMPUTED_VALUE"""),219695900)</f>
        <v>219695900</v>
      </c>
      <c r="B90" s="14" t="str">
        <f ca="1">IFERROR(__xludf.DUMMYFUNCTION("""COMPUTED_VALUE"""),"Athi")</f>
        <v>Athi</v>
      </c>
      <c r="C90" s="14" t="s">
        <v>58</v>
      </c>
      <c r="D90" s="13" t="s">
        <v>14</v>
      </c>
      <c r="E90" s="14" t="str">
        <f ca="1">IFERROR(__xludf.DUMMYFUNCTION("""COMPUTED_VALUE"""),"629414310")</f>
        <v>629414310</v>
      </c>
      <c r="F90" s="14" t="str">
        <f ca="1">IFERROR(__xludf.DUMMYFUNCTION("""COMPUTED_VALUE"""),"athenkosindzololo978@gmail.com")</f>
        <v>athenkosindzololo978@gmail.com</v>
      </c>
      <c r="G90" s="14" t="str">
        <f ca="1">IFERROR(__xludf.DUMMYFUNCTION("""COMPUTED_VALUE"""),"LIFTED, Student must pass TPG201T, IIS20BT and other subjects and report for academic intervention.")</f>
        <v>LIFTED, Student must pass TPG201T, IIS20BT and other subjects and report for academic intervention.</v>
      </c>
      <c r="I90" s="17" t="s">
        <v>22</v>
      </c>
      <c r="K90" t="s">
        <v>19</v>
      </c>
    </row>
    <row r="91" spans="1:14" ht="51.75">
      <c r="A91" s="15">
        <f ca="1">IFERROR(__xludf.DUMMYFUNCTION("""COMPUTED_VALUE"""),217058570)</f>
        <v>217058570</v>
      </c>
      <c r="B91" s="15" t="str">
        <f ca="1">IFERROR(__xludf.DUMMYFUNCTION("""COMPUTED_VALUE"""),"Phakathi")</f>
        <v>Phakathi</v>
      </c>
      <c r="C91" s="15" t="str">
        <f ca="1">IFERROR(__xludf.DUMMYFUNCTION("""COMPUTED_VALUE"""),"NP")</f>
        <v>NP</v>
      </c>
      <c r="D91" s="16" t="s">
        <v>14</v>
      </c>
      <c r="E91" s="15" t="str">
        <f ca="1">IFERROR(__xludf.DUMMYFUNCTION("""COMPUTED_VALUE"""),"0730205598")</f>
        <v>0730205598</v>
      </c>
      <c r="F91" s="15" t="str">
        <f ca="1">IFERROR(__xludf.DUMMYFUNCTION("""COMPUTED_VALUE"""),"npphakathi.np@gmail.com")</f>
        <v>npphakathi.np@gmail.com</v>
      </c>
      <c r="G91" s="15" t="str">
        <f ca="1">IFERROR(__xludf.DUMMYFUNCTION("""COMPUTED_VALUE"""),"Need to pass during S1 2022 TPG201T, ISY34AT ATTEND 85% CLASSES, and interventions
")</f>
        <v xml:space="preserve">Need to pass during S1 2022 TPG201T, ISY34AT ATTEND 85% CLASSES, and interventions
</v>
      </c>
      <c r="I91" t="s">
        <v>57</v>
      </c>
      <c r="K91" t="s">
        <v>19</v>
      </c>
    </row>
    <row r="92" spans="1:14" ht="39">
      <c r="A92" s="14">
        <f ca="1">IFERROR(__xludf.DUMMYFUNCTION("""COMPUTED_VALUE"""),218487246)</f>
        <v>218487246</v>
      </c>
      <c r="B92" s="14" t="str">
        <f ca="1">IFERROR(__xludf.DUMMYFUNCTION("""COMPUTED_VALUE"""),"Ditinti")</f>
        <v>Ditinti</v>
      </c>
      <c r="C92" s="14" t="str">
        <f ca="1">IFERROR(__xludf.DUMMYFUNCTION("""COMPUTED_VALUE"""),"TE")</f>
        <v>TE</v>
      </c>
      <c r="D92" s="13" t="s">
        <v>14</v>
      </c>
      <c r="E92" s="14" t="str">
        <f ca="1">IFERROR(__xludf.DUMMYFUNCTION("""COMPUTED_VALUE"""),"0642771861")</f>
        <v>0642771861</v>
      </c>
      <c r="F92" s="14" t="str">
        <f ca="1">IFERROR(__xludf.DUMMYFUNCTION("""COMPUTED_VALUE"""),"edgarditinti@gmail.com")</f>
        <v>edgarditinti@gmail.com</v>
      </c>
      <c r="G92" s="14" t="str">
        <f ca="1">IFERROR(__xludf.DUMMYFUNCTION("""COMPUTED_VALUE"""),"Need to pass TPG201T and ISY23BT DURING S1 2022, and attend relevant intervention, also attend 85% of classes.")</f>
        <v>Need to pass TPG201T and ISY23BT DURING S1 2022, and attend relevant intervention, also attend 85% of classes.</v>
      </c>
      <c r="I92" s="17" t="s">
        <v>22</v>
      </c>
      <c r="K92" t="s">
        <v>19</v>
      </c>
      <c r="L92" t="s">
        <v>51</v>
      </c>
      <c r="N92" t="s">
        <v>29</v>
      </c>
    </row>
    <row r="93" spans="1:14" ht="39">
      <c r="A93" s="15">
        <f ca="1">IFERROR(__xludf.DUMMYFUNCTION("""COMPUTED_VALUE"""),218509150)</f>
        <v>218509150</v>
      </c>
      <c r="B93" s="15" t="str">
        <f ca="1">IFERROR(__xludf.DUMMYFUNCTION("""COMPUTED_VALUE"""),"Maswanganye ")</f>
        <v xml:space="preserve">Maswanganye </v>
      </c>
      <c r="C93" s="15" t="str">
        <f ca="1">IFERROR(__xludf.DUMMYFUNCTION("""COMPUTED_VALUE"""),"FK ")</f>
        <v xml:space="preserve">FK </v>
      </c>
      <c r="D93" s="16" t="s">
        <v>14</v>
      </c>
      <c r="E93" s="15" t="str">
        <f ca="1">IFERROR(__xludf.DUMMYFUNCTION("""COMPUTED_VALUE"""),"0789545048")</f>
        <v>0789545048</v>
      </c>
      <c r="F93" s="15" t="str">
        <f ca="1">IFERROR(__xludf.DUMMYFUNCTION("""COMPUTED_VALUE"""),"Firstieyk358@gmail.com")</f>
        <v>Firstieyk358@gmail.com</v>
      </c>
      <c r="G93" s="15" t="str">
        <f ca="1">IFERROR(__xludf.DUMMYFUNCTION("""COMPUTED_VALUE"""),"Student need to pass TPG201T, ISY34AT during S1 2022 and attend all relevant intervention, plus attend 85% of classes")</f>
        <v>Student need to pass TPG201T, ISY34AT during S1 2022 and attend all relevant intervention, plus attend 85% of classes</v>
      </c>
      <c r="I93" t="s">
        <v>57</v>
      </c>
      <c r="J93" t="s">
        <v>25</v>
      </c>
      <c r="K93" t="s">
        <v>19</v>
      </c>
      <c r="L93" t="s">
        <v>51</v>
      </c>
      <c r="N93" t="s">
        <v>29</v>
      </c>
    </row>
    <row r="94" spans="1:14" ht="71.25" customHeight="1">
      <c r="A94" s="15">
        <f ca="1">IFERROR(__xludf.DUMMYFUNCTION("""COMPUTED_VALUE"""),218630634)</f>
        <v>218630634</v>
      </c>
      <c r="B94" s="15" t="str">
        <f ca="1">IFERROR(__xludf.DUMMYFUNCTION("""COMPUTED_VALUE"""),"Mudau")</f>
        <v>Mudau</v>
      </c>
      <c r="C94" s="15" t="str">
        <f ca="1">IFERROR(__xludf.DUMMYFUNCTION("""COMPUTED_VALUE"""),"T")</f>
        <v>T</v>
      </c>
      <c r="D94" s="16" t="s">
        <v>14</v>
      </c>
      <c r="E94" s="15" t="str">
        <f ca="1">IFERROR(__xludf.DUMMYFUNCTION("""COMPUTED_VALUE"""),"0791592228")</f>
        <v>0791592228</v>
      </c>
      <c r="F94" s="15" t="str">
        <f ca="1">IFERROR(__xludf.DUMMYFUNCTION("""COMPUTED_VALUE"""),"218630634@tut4life.ac.za")</f>
        <v>218630634@tut4life.ac.za</v>
      </c>
      <c r="G94" s="15" t="str">
        <f ca="1">IFERROR(__xludf.DUMMYFUNCTION("""COMPUTED_VALUE"""),"student need to pass TPG201T, and ISY23AT during S1 2022, Attend interventions, attend 85% of classes")</f>
        <v>student need to pass TPG201T, and ISY23AT during S1 2022, Attend interventions, attend 85% of classes</v>
      </c>
      <c r="I94" t="s">
        <v>57</v>
      </c>
      <c r="K94" t="s">
        <v>19</v>
      </c>
    </row>
    <row r="95" spans="1:14" ht="39">
      <c r="A95" s="15">
        <f ca="1">IFERROR(__xludf.DUMMYFUNCTION("""COMPUTED_VALUE"""),218654401)</f>
        <v>218654401</v>
      </c>
      <c r="B95" s="15" t="str">
        <f ca="1">IFERROR(__xludf.DUMMYFUNCTION("""COMPUTED_VALUE"""),"MOJELA")</f>
        <v>MOJELA</v>
      </c>
      <c r="C95" s="15" t="str">
        <f ca="1">IFERROR(__xludf.DUMMYFUNCTION("""COMPUTED_VALUE"""),"MP")</f>
        <v>MP</v>
      </c>
      <c r="D95" s="16" t="s">
        <v>14</v>
      </c>
      <c r="E95" s="15" t="str">
        <f ca="1">IFERROR(__xludf.DUMMYFUNCTION("""COMPUTED_VALUE"""),"0799174229")</f>
        <v>0799174229</v>
      </c>
      <c r="F95" s="15" t="str">
        <f ca="1">IFERROR(__xludf.DUMMYFUNCTION("""COMPUTED_VALUE"""),"mzwakhemojela084@gmail.com")</f>
        <v>mzwakhemojela084@gmail.com</v>
      </c>
      <c r="G95" s="15" t="str">
        <f ca="1">IFERROR(__xludf.DUMMYFUNCTION("""COMPUTED_VALUE"""),"student need to pass TPG201T, and ISY34AT, Attend interventions, attend 85% of classes during S1 2022")</f>
        <v>student need to pass TPG201T, and ISY34AT, Attend interventions, attend 85% of classes during S1 2022</v>
      </c>
      <c r="I95" t="s">
        <v>57</v>
      </c>
      <c r="J95" t="s">
        <v>25</v>
      </c>
      <c r="K95" t="s">
        <v>19</v>
      </c>
      <c r="L95" s="28" t="s">
        <v>59</v>
      </c>
      <c r="N95" t="s">
        <v>29</v>
      </c>
    </row>
    <row r="96" spans="1:14" ht="51.75">
      <c r="A96" s="14">
        <f ca="1">IFERROR(__xludf.DUMMYFUNCTION("""COMPUTED_VALUE"""),218701248)</f>
        <v>218701248</v>
      </c>
      <c r="B96" s="14" t="str">
        <f ca="1">IFERROR(__xludf.DUMMYFUNCTION("""COMPUTED_VALUE"""),"MALULEKE")</f>
        <v>MALULEKE</v>
      </c>
      <c r="C96" s="14" t="str">
        <f ca="1">IFERROR(__xludf.DUMMYFUNCTION("""COMPUTED_VALUE"""),"FD")</f>
        <v>FD</v>
      </c>
      <c r="D96" s="13" t="s">
        <v>14</v>
      </c>
      <c r="E96" s="14" t="str">
        <f ca="1">IFERROR(__xludf.DUMMYFUNCTION("""COMPUTED_VALUE"""),"0722843863")</f>
        <v>0722843863</v>
      </c>
      <c r="F96" s="14" t="str">
        <f ca="1">IFERROR(__xludf.DUMMYFUNCTION("""COMPUTED_VALUE"""),"dowenfumani97@gmail.com")</f>
        <v>dowenfumani97@gmail.com</v>
      </c>
      <c r="G96" s="14" t="str">
        <f ca="1">IFERROR(__xludf.DUMMYFUNCTION("""COMPUTED_VALUE"""),"Need to pass TPG201T(3), DSO34BT(2),ISY34AT(2),ISY34BT(2) and attend relevant intervention, and 85% classes during S1 2022")</f>
        <v>Need to pass TPG201T(3), DSO34BT(2),ISY34AT(2),ISY34BT(2) and attend relevant intervention, and 85% classes during S1 2022</v>
      </c>
      <c r="I96" s="17" t="s">
        <v>22</v>
      </c>
      <c r="K96" t="s">
        <v>19</v>
      </c>
    </row>
    <row r="97" spans="1:14" ht="51.75">
      <c r="A97" s="15">
        <f ca="1">IFERROR(__xludf.DUMMYFUNCTION("""COMPUTED_VALUE"""),218725830)</f>
        <v>218725830</v>
      </c>
      <c r="B97" s="15" t="str">
        <f ca="1">IFERROR(__xludf.DUMMYFUNCTION("""COMPUTED_VALUE"""),"Mathekga")</f>
        <v>Mathekga</v>
      </c>
      <c r="C97" s="15" t="s">
        <v>60</v>
      </c>
      <c r="D97" s="16" t="s">
        <v>14</v>
      </c>
      <c r="E97" s="15" t="str">
        <f ca="1">IFERROR(__xludf.DUMMYFUNCTION("""COMPUTED_VALUE"""),"0647326456")</f>
        <v>0647326456</v>
      </c>
      <c r="F97" s="15" t="str">
        <f ca="1">IFERROR(__xludf.DUMMYFUNCTION("""COMPUTED_VALUE"""),"218725830@tut4life.ac.za")</f>
        <v>218725830@tut4life.ac.za</v>
      </c>
      <c r="G97" s="15" t="str">
        <f ca="1">IFERROR(__xludf.DUMMYFUNCTION("""COMPUTED_VALUE"""),"Need to pass TPG201T(3), DSO23BT(2) and attend relevant intervention for TPG201T, and 85% classes during S1 2022")</f>
        <v>Need to pass TPG201T(3), DSO23BT(2) and attend relevant intervention for TPG201T, and 85% classes during S1 2022</v>
      </c>
      <c r="I97" t="s">
        <v>57</v>
      </c>
      <c r="K97" t="s">
        <v>19</v>
      </c>
    </row>
    <row r="98" spans="1:14" ht="51.75">
      <c r="A98" s="15">
        <f ca="1">IFERROR(__xludf.DUMMYFUNCTION("""COMPUTED_VALUE"""),218726070)</f>
        <v>218726070</v>
      </c>
      <c r="B98" s="15" t="str">
        <f ca="1">IFERROR(__xludf.DUMMYFUNCTION("""COMPUTED_VALUE"""),"Mthombothi ")</f>
        <v xml:space="preserve">Mthombothi </v>
      </c>
      <c r="C98" s="15" t="str">
        <f ca="1">IFERROR(__xludf.DUMMYFUNCTION("""COMPUTED_VALUE"""),"NE")</f>
        <v>NE</v>
      </c>
      <c r="D98" s="16" t="s">
        <v>14</v>
      </c>
      <c r="E98" s="15" t="str">
        <f ca="1">IFERROR(__xludf.DUMMYFUNCTION("""COMPUTED_VALUE"""),"0728112342")</f>
        <v>0728112342</v>
      </c>
      <c r="F98" s="15" t="str">
        <f ca="1">IFERROR(__xludf.DUMMYFUNCTION("""COMPUTED_VALUE"""),"Lwazyevidence2@gmail.com")</f>
        <v>Lwazyevidence2@gmail.com</v>
      </c>
      <c r="G98" s="15" t="str">
        <f ca="1">IFERROR(__xludf.DUMMYFUNCTION("""COMPUTED_VALUE"""),"Need to pass TPG201T(3) (academic intervention), DSO34BT(2) and attend relevant intervention, and 85% classes during S1 2022")</f>
        <v>Need to pass TPG201T(3) (academic intervention), DSO34BT(2) and attend relevant intervention, and 85% classes during S1 2022</v>
      </c>
      <c r="I98" t="s">
        <v>57</v>
      </c>
      <c r="K98" t="s">
        <v>19</v>
      </c>
    </row>
    <row r="99" spans="1:14" ht="60">
      <c r="A99" s="15">
        <f ca="1">IFERROR(__xludf.DUMMYFUNCTION("""COMPUTED_VALUE"""),218728472)</f>
        <v>218728472</v>
      </c>
      <c r="B99" s="15" t="str">
        <f ca="1">IFERROR(__xludf.DUMMYFUNCTION("""COMPUTED_VALUE"""),"Khumalo ")</f>
        <v xml:space="preserve">Khumalo </v>
      </c>
      <c r="C99" s="15" t="str">
        <f ca="1">IFERROR(__xludf.DUMMYFUNCTION("""COMPUTED_VALUE"""),"TT")</f>
        <v>TT</v>
      </c>
      <c r="D99" s="16" t="s">
        <v>14</v>
      </c>
      <c r="E99" s="15" t="str">
        <f ca="1">IFERROR(__xludf.DUMMYFUNCTION("""COMPUTED_VALUE"""),"0647861881")</f>
        <v>0647861881</v>
      </c>
      <c r="F99" s="15" t="str">
        <f ca="1">IFERROR(__xludf.DUMMYFUNCTION("""COMPUTED_VALUE"""),"tshepi.khumalot@gmail.com")</f>
        <v>tshepi.khumalot@gmail.com</v>
      </c>
      <c r="G99" s="15" t="str">
        <f ca="1">IFERROR(__xludf.DUMMYFUNCTION("""COMPUTED_VALUE"""),"Need to pass TPG201T, ATTEND 85% OF CLASSES AND RELEVANT INTERVENTIONS during S1 2022")</f>
        <v>Need to pass TPG201T, ATTEND 85% OF CLASSES AND RELEVANT INTERVENTIONS during S1 2022</v>
      </c>
      <c r="H99" s="24"/>
      <c r="I99" s="27" t="s">
        <v>22</v>
      </c>
      <c r="J99" s="24" t="s">
        <v>25</v>
      </c>
      <c r="K99" s="24" t="s">
        <v>19</v>
      </c>
      <c r="L99" s="25" t="s">
        <v>28</v>
      </c>
      <c r="M99" s="24"/>
      <c r="N99" s="25" t="s">
        <v>29</v>
      </c>
    </row>
    <row r="100" spans="1:14" ht="39">
      <c r="A100" s="15">
        <f ca="1">IFERROR(__xludf.DUMMYFUNCTION("""COMPUTED_VALUE"""),218736432)</f>
        <v>218736432</v>
      </c>
      <c r="B100" s="15" t="str">
        <f ca="1">IFERROR(__xludf.DUMMYFUNCTION("""COMPUTED_VALUE"""),"MADIDE")</f>
        <v>MADIDE</v>
      </c>
      <c r="C100" s="15" t="str">
        <f ca="1">IFERROR(__xludf.DUMMYFUNCTION("""COMPUTED_VALUE"""),"LF")</f>
        <v>LF</v>
      </c>
      <c r="D100" s="16" t="s">
        <v>14</v>
      </c>
      <c r="E100" s="15" t="str">
        <f ca="1">IFERROR(__xludf.DUMMYFUNCTION("""COMPUTED_VALUE"""),"0766785632")</f>
        <v>0766785632</v>
      </c>
      <c r="F100" s="15" t="str">
        <f ca="1">IFERROR(__xludf.DUMMYFUNCTION("""COMPUTED_VALUE"""),"lethokuhlefreeman@gmail.com")</f>
        <v>lethokuhlefreeman@gmail.com</v>
      </c>
      <c r="G100" s="15" t="str">
        <f ca="1">IFERROR(__xludf.DUMMYFUNCTION("""COMPUTED_VALUE"""),"Need to pass TPG201T, ATTEND 85% OF CLASSES AND RELEVANT INTERVENTIONS during S1 2022")</f>
        <v>Need to pass TPG201T, ATTEND 85% OF CLASSES AND RELEVANT INTERVENTIONS during S1 2022</v>
      </c>
      <c r="I100" t="s">
        <v>57</v>
      </c>
      <c r="K100" t="s">
        <v>19</v>
      </c>
    </row>
    <row r="101" spans="1:14" ht="39">
      <c r="A101" s="14">
        <f ca="1">IFERROR(__xludf.DUMMYFUNCTION("""COMPUTED_VALUE"""),219770871)</f>
        <v>219770871</v>
      </c>
      <c r="B101" s="14" t="str">
        <f ca="1">IFERROR(__xludf.DUMMYFUNCTION("""COMPUTED_VALUE"""),"Chauke")</f>
        <v>Chauke</v>
      </c>
      <c r="C101" s="14" t="str">
        <f ca="1">IFERROR(__xludf.DUMMYFUNCTION("""COMPUTED_VALUE"""),"NA")</f>
        <v>NA</v>
      </c>
      <c r="D101" s="13" t="s">
        <v>14</v>
      </c>
      <c r="E101" s="14" t="str">
        <f ca="1">IFERROR(__xludf.DUMMYFUNCTION("""COMPUTED_VALUE"""),"0765388658")</f>
        <v>0765388658</v>
      </c>
      <c r="F101" s="14" t="str">
        <f ca="1">IFERROR(__xludf.DUMMYFUNCTION("""COMPUTED_VALUE"""),"219770871@tut4life.ac.za")</f>
        <v>219770871@tut4life.ac.za</v>
      </c>
      <c r="G101" s="14" t="str">
        <f ca="1">IFERROR(__xludf.DUMMYFUNCTION("""COMPUTED_VALUE"""),"Need to pass TPG201T, ATTEND 85% CLASSES, and interventions during S1 2022.")</f>
        <v>Need to pass TPG201T, ATTEND 85% CLASSES, and interventions during S1 2022.</v>
      </c>
      <c r="I101" s="17" t="s">
        <v>22</v>
      </c>
      <c r="K101" t="s">
        <v>31</v>
      </c>
    </row>
    <row r="102" spans="1:14" ht="64.5">
      <c r="A102" s="15">
        <f ca="1">IFERROR(__xludf.DUMMYFUNCTION("""COMPUTED_VALUE"""),219939752)</f>
        <v>219939752</v>
      </c>
      <c r="B102" s="15" t="str">
        <f ca="1">IFERROR(__xludf.DUMMYFUNCTION("""COMPUTED_VALUE"""),"Mukwevho")</f>
        <v>Mukwevho</v>
      </c>
      <c r="C102" s="15" t="str">
        <f ca="1">IFERROR(__xludf.DUMMYFUNCTION("""COMPUTED_VALUE"""),"MG")</f>
        <v>MG</v>
      </c>
      <c r="D102" s="16" t="s">
        <v>14</v>
      </c>
      <c r="E102" s="15" t="str">
        <f ca="1">IFERROR(__xludf.DUMMYFUNCTION("""COMPUTED_VALUE"""),"0766168037")</f>
        <v>0766168037</v>
      </c>
      <c r="F102" s="15" t="str">
        <f ca="1">IFERROR(__xludf.DUMMYFUNCTION("""COMPUTED_VALUE"""),"219939752@tut4life.ac.za")</f>
        <v>219939752@tut4life.ac.za</v>
      </c>
      <c r="G102" s="15" t="str">
        <f ca="1">IFERROR(__xludf.DUMMYFUNCTION("""COMPUTED_VALUE"""),"STUDENT NEED TO PASS DSO23BT, ISY23BT AND TPG201T DURING S1 2022 AND REPORT FOR ACADEMIC INTERVENTION, AND 85% CLASS ATTENDANCE IS COMPULSORY.")</f>
        <v>STUDENT NEED TO PASS DSO23BT, ISY23BT AND TPG201T DURING S1 2022 AND REPORT FOR ACADEMIC INTERVENTION, AND 85% CLASS ATTENDANCE IS COMPULSORY.</v>
      </c>
      <c r="I102" t="s">
        <v>57</v>
      </c>
      <c r="K102" t="s">
        <v>19</v>
      </c>
    </row>
    <row r="103" spans="1:14" ht="51.75">
      <c r="A103" s="38">
        <v>215487016</v>
      </c>
      <c r="B103" s="39" t="s">
        <v>61</v>
      </c>
      <c r="C103" s="39" t="s">
        <v>61</v>
      </c>
      <c r="D103" s="40"/>
      <c r="E103" s="41" t="s">
        <v>61</v>
      </c>
      <c r="F103" s="39" t="s">
        <v>61</v>
      </c>
      <c r="G103" s="42" t="s">
        <v>62</v>
      </c>
      <c r="I103" s="17" t="s">
        <v>22</v>
      </c>
      <c r="K103" t="s">
        <v>31</v>
      </c>
    </row>
    <row r="104" spans="1:14" ht="39">
      <c r="A104" s="38">
        <v>217606357</v>
      </c>
      <c r="B104" s="39" t="s">
        <v>61</v>
      </c>
      <c r="C104" s="39" t="s">
        <v>61</v>
      </c>
      <c r="D104" s="40"/>
      <c r="E104" s="41" t="s">
        <v>61</v>
      </c>
      <c r="F104" s="39" t="s">
        <v>61</v>
      </c>
      <c r="G104" s="42" t="s">
        <v>63</v>
      </c>
      <c r="I104" s="17" t="s">
        <v>22</v>
      </c>
      <c r="K104" t="s">
        <v>31</v>
      </c>
    </row>
    <row r="105" spans="1:14" ht="51.75">
      <c r="A105" s="38"/>
      <c r="B105" s="39" t="s">
        <v>61</v>
      </c>
      <c r="C105" s="39" t="s">
        <v>61</v>
      </c>
      <c r="D105" s="40"/>
      <c r="E105" s="41" t="s">
        <v>61</v>
      </c>
      <c r="F105" s="39" t="s">
        <v>61</v>
      </c>
      <c r="G105" s="42" t="s">
        <v>64</v>
      </c>
      <c r="I105" s="17" t="s">
        <v>22</v>
      </c>
      <c r="K105" t="s">
        <v>31</v>
      </c>
    </row>
    <row r="106" spans="1:14" ht="53.25" customHeight="1">
      <c r="A106" s="43">
        <v>214484641</v>
      </c>
      <c r="B106" s="44" t="s">
        <v>65</v>
      </c>
      <c r="C106" s="44" t="s">
        <v>66</v>
      </c>
      <c r="D106" s="45"/>
      <c r="E106" s="43">
        <v>764875868</v>
      </c>
      <c r="F106" s="46" t="s">
        <v>67</v>
      </c>
      <c r="G106" s="47" t="s">
        <v>68</v>
      </c>
      <c r="I106" t="s">
        <v>57</v>
      </c>
      <c r="K106" t="s">
        <v>19</v>
      </c>
    </row>
    <row r="107" spans="1:14" ht="39">
      <c r="A107" s="48">
        <v>216324986</v>
      </c>
      <c r="B107" s="49" t="s">
        <v>69</v>
      </c>
      <c r="C107" s="49" t="s">
        <v>70</v>
      </c>
      <c r="D107" s="40"/>
      <c r="E107" s="48">
        <v>795552917</v>
      </c>
      <c r="F107" s="50" t="s">
        <v>71</v>
      </c>
      <c r="G107" s="51" t="s">
        <v>72</v>
      </c>
      <c r="I107" s="17" t="s">
        <v>22</v>
      </c>
      <c r="J107" t="s">
        <v>25</v>
      </c>
      <c r="K107" t="s">
        <v>19</v>
      </c>
      <c r="L107" s="28" t="s">
        <v>73</v>
      </c>
      <c r="N107" t="s">
        <v>29</v>
      </c>
    </row>
    <row r="108" spans="1:14" ht="64.5">
      <c r="A108" s="43">
        <v>218332498</v>
      </c>
      <c r="B108" s="44" t="s">
        <v>74</v>
      </c>
      <c r="C108" s="44" t="s">
        <v>75</v>
      </c>
      <c r="D108" s="45"/>
      <c r="E108" s="43">
        <v>763205850</v>
      </c>
      <c r="F108" s="46" t="s">
        <v>76</v>
      </c>
      <c r="G108" s="47" t="s">
        <v>77</v>
      </c>
      <c r="I108" t="s">
        <v>57</v>
      </c>
      <c r="K108" t="s">
        <v>19</v>
      </c>
    </row>
  </sheetData>
  <hyperlinks>
    <hyperlink ref="F2" r:id="rId1"/>
    <hyperlink ref="F106" r:id="rId2"/>
    <hyperlink ref="F107" r:id="rId3"/>
    <hyperlink ref="F108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2022-04-13T14:01:03Z</dcterms:created>
  <dcterms:modified xsi:type="dcterms:W3CDTF">2022-04-13T14:02:15Z</dcterms:modified>
</cp:coreProperties>
</file>