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1355" windowHeight="8700"/>
  </bookViews>
  <sheets>
    <sheet name="Instructions" sheetId="2" r:id="rId1"/>
    <sheet name="GprimeCalc" sheetId="1" r:id="rId2"/>
  </sheets>
  <definedNames>
    <definedName name="alpha">GprimeCalc!$J$6</definedName>
    <definedName name="dadT">GprimeCalc!$J$8</definedName>
    <definedName name="I">GprimeCalc!$C$7</definedName>
    <definedName name="Iterm">GprimeCalc!$J$7</definedName>
    <definedName name="pH">GprimeCalc!$C$8</definedName>
    <definedName name="pMg">GprimeCalc!$C$9</definedName>
    <definedName name="R.">GprimeCalc!$F$6</definedName>
    <definedName name="T">GprimeCalc!$C$6</definedName>
  </definedNames>
  <calcPr calcId="145621"/>
</workbook>
</file>

<file path=xl/calcChain.xml><?xml version="1.0" encoding="utf-8"?>
<calcChain xmlns="http://schemas.openxmlformats.org/spreadsheetml/2006/main">
  <c r="J8" i="1" l="1"/>
  <c r="I23" i="1" s="1"/>
  <c r="J23" i="1" s="1"/>
  <c r="J7" i="1"/>
  <c r="H63" i="1"/>
  <c r="J6" i="1"/>
  <c r="G23" i="1" s="1"/>
  <c r="F23" i="1"/>
  <c r="E22" i="1"/>
  <c r="F2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6" i="1"/>
  <c r="H57" i="1"/>
  <c r="H59" i="1"/>
  <c r="H60" i="1"/>
  <c r="H62" i="1"/>
  <c r="H64" i="1"/>
  <c r="H65" i="1"/>
  <c r="H66" i="1"/>
  <c r="H61" i="1"/>
  <c r="H30" i="1"/>
  <c r="H31" i="1"/>
  <c r="H32" i="1"/>
  <c r="H33" i="1"/>
  <c r="H34" i="1"/>
  <c r="H35" i="1"/>
  <c r="H58" i="1"/>
  <c r="H50" i="1"/>
  <c r="H28" i="1"/>
  <c r="H29" i="1"/>
  <c r="D55" i="1"/>
  <c r="J57" i="1" l="1"/>
  <c r="J41" i="1"/>
  <c r="J53" i="1"/>
  <c r="J37" i="1"/>
  <c r="J65" i="1"/>
  <c r="J49" i="1"/>
  <c r="J33" i="1"/>
  <c r="H23" i="1"/>
  <c r="J61" i="1"/>
  <c r="J45" i="1"/>
  <c r="J29" i="1"/>
  <c r="K58" i="1"/>
  <c r="I57" i="1"/>
  <c r="I52" i="1"/>
  <c r="K52" i="1" s="1"/>
  <c r="I47" i="1"/>
  <c r="K47" i="1" s="1"/>
  <c r="I55" i="1"/>
  <c r="I28" i="1"/>
  <c r="I31" i="1"/>
  <c r="H55" i="1"/>
  <c r="K55" i="1" s="1"/>
  <c r="I50" i="1"/>
  <c r="I32" i="1"/>
  <c r="I66" i="1"/>
  <c r="I60" i="1"/>
  <c r="K60" i="1" s="1"/>
  <c r="I54" i="1"/>
  <c r="I49" i="1"/>
  <c r="I45" i="1"/>
  <c r="I41" i="1"/>
  <c r="K41" i="1" s="1"/>
  <c r="I37" i="1"/>
  <c r="J64" i="1"/>
  <c r="J60" i="1"/>
  <c r="J56" i="1"/>
  <c r="J52" i="1"/>
  <c r="J48" i="1"/>
  <c r="J44" i="1"/>
  <c r="J40" i="1"/>
  <c r="J36" i="1"/>
  <c r="J32" i="1"/>
  <c r="J66" i="1"/>
  <c r="I22" i="1"/>
  <c r="J22" i="1" s="1"/>
  <c r="L32" i="1" s="1"/>
  <c r="I29" i="1"/>
  <c r="I34" i="1"/>
  <c r="I43" i="1"/>
  <c r="I35" i="1"/>
  <c r="F8" i="1"/>
  <c r="I58" i="1"/>
  <c r="I33" i="1"/>
  <c r="I61" i="1"/>
  <c r="K61" i="1" s="1"/>
  <c r="I62" i="1"/>
  <c r="I56" i="1"/>
  <c r="I51" i="1"/>
  <c r="I46" i="1"/>
  <c r="K46" i="1" s="1"/>
  <c r="I42" i="1"/>
  <c r="I38" i="1"/>
  <c r="I63" i="1"/>
  <c r="J63" i="1"/>
  <c r="J59" i="1"/>
  <c r="J55" i="1"/>
  <c r="J51" i="1"/>
  <c r="J47" i="1"/>
  <c r="J43" i="1"/>
  <c r="J39" i="1"/>
  <c r="J35" i="1"/>
  <c r="J31" i="1"/>
  <c r="J28" i="1"/>
  <c r="J62" i="1"/>
  <c r="J58" i="1"/>
  <c r="J54" i="1"/>
  <c r="J50" i="1"/>
  <c r="J46" i="1"/>
  <c r="J42" i="1"/>
  <c r="J38" i="1"/>
  <c r="J34" i="1"/>
  <c r="J30" i="1"/>
  <c r="I30" i="1"/>
  <c r="I64" i="1"/>
  <c r="K64" i="1" s="1"/>
  <c r="I39" i="1"/>
  <c r="I65" i="1"/>
  <c r="I59" i="1"/>
  <c r="I53" i="1"/>
  <c r="I48" i="1"/>
  <c r="I44" i="1"/>
  <c r="I40" i="1"/>
  <c r="I36" i="1"/>
  <c r="G22" i="1"/>
  <c r="H22" i="1" s="1"/>
  <c r="K28" i="1" s="1"/>
  <c r="K40" i="1" l="1"/>
  <c r="K59" i="1"/>
  <c r="K30" i="1"/>
  <c r="L37" i="1"/>
  <c r="L38" i="1"/>
  <c r="K34" i="1"/>
  <c r="K39" i="1"/>
  <c r="L53" i="1"/>
  <c r="L54" i="1"/>
  <c r="L51" i="1"/>
  <c r="L57" i="1"/>
  <c r="L42" i="1"/>
  <c r="L58" i="1"/>
  <c r="K63" i="1"/>
  <c r="K51" i="1"/>
  <c r="K33" i="1"/>
  <c r="K43" i="1"/>
  <c r="L31" i="1"/>
  <c r="K45" i="1"/>
  <c r="K66" i="1"/>
  <c r="K31" i="1"/>
  <c r="L44" i="1"/>
  <c r="K57" i="1"/>
  <c r="L55" i="1"/>
  <c r="K44" i="1"/>
  <c r="K65" i="1"/>
  <c r="L29" i="1"/>
  <c r="L45" i="1"/>
  <c r="L61" i="1"/>
  <c r="L30" i="1"/>
  <c r="L46" i="1"/>
  <c r="L62" i="1"/>
  <c r="K38" i="1"/>
  <c r="K56" i="1"/>
  <c r="L35" i="1"/>
  <c r="L40" i="1"/>
  <c r="L56" i="1"/>
  <c r="L41" i="1"/>
  <c r="L33" i="1"/>
  <c r="L49" i="1"/>
  <c r="L65" i="1"/>
  <c r="L34" i="1"/>
  <c r="L50" i="1"/>
  <c r="L66" i="1"/>
  <c r="K42" i="1"/>
  <c r="K62" i="1"/>
  <c r="L47" i="1"/>
  <c r="L60" i="1"/>
  <c r="K48" i="1"/>
  <c r="K29" i="1"/>
  <c r="L39" i="1"/>
  <c r="L59" i="1"/>
  <c r="L28" i="1"/>
  <c r="K49" i="1"/>
  <c r="K32" i="1"/>
  <c r="L52" i="1"/>
  <c r="L36" i="1"/>
  <c r="K36" i="1"/>
  <c r="K53" i="1"/>
  <c r="K35" i="1"/>
  <c r="L43" i="1"/>
  <c r="L63" i="1"/>
  <c r="K37" i="1"/>
  <c r="K54" i="1"/>
  <c r="K50" i="1"/>
  <c r="L64" i="1"/>
  <c r="L48" i="1"/>
</calcChain>
</file>

<file path=xl/sharedStrings.xml><?xml version="1.0" encoding="utf-8"?>
<sst xmlns="http://schemas.openxmlformats.org/spreadsheetml/2006/main" count="118" uniqueCount="88">
  <si>
    <t>T(K)</t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</si>
  <si>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  <r>
      <rPr>
        <sz val="10"/>
        <rFont val="Arial"/>
        <family val="2"/>
      </rPr>
      <t xml:space="preserve"> </t>
    </r>
  </si>
  <si>
    <r>
      <t>D</t>
    </r>
    <r>
      <rPr>
        <sz val="10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</si>
  <si>
    <t>Name</t>
  </si>
  <si>
    <t>(kJ/mol)</t>
  </si>
  <si>
    <t>R</t>
  </si>
  <si>
    <t>J/molK</t>
  </si>
  <si>
    <t>sqrt(I)/(1+Bsqrt(I)</t>
  </si>
  <si>
    <r>
      <t>D</t>
    </r>
    <r>
      <rPr>
        <sz val="10"/>
        <rFont val="Arial"/>
        <family val="2"/>
      </rPr>
      <t>G'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</si>
  <si>
    <r>
      <t>D</t>
    </r>
    <r>
      <rPr>
        <sz val="10"/>
        <rFont val="Arial"/>
        <family val="2"/>
      </rPr>
      <t>H'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f,298</t>
    </r>
    <r>
      <rPr>
        <sz val="10"/>
        <rFont val="Arial"/>
        <family val="2"/>
      </rPr>
      <t xml:space="preserve"> </t>
    </r>
  </si>
  <si>
    <t>acetaldehyde</t>
  </si>
  <si>
    <r>
      <t>N</t>
    </r>
    <r>
      <rPr>
        <vertAlign val="subscript"/>
        <sz val="10"/>
        <rFont val="Arial"/>
        <family val="2"/>
      </rPr>
      <t>H</t>
    </r>
  </si>
  <si>
    <r>
      <t>z</t>
    </r>
    <r>
      <rPr>
        <vertAlign val="subscript"/>
        <sz val="10"/>
        <rFont val="Arial"/>
        <family val="2"/>
      </rPr>
      <t>i</t>
    </r>
  </si>
  <si>
    <r>
      <t>pH</t>
    </r>
    <r>
      <rPr>
        <vertAlign val="subscript"/>
        <sz val="10"/>
        <rFont val="Arial"/>
        <family val="2"/>
      </rPr>
      <t>a</t>
    </r>
  </si>
  <si>
    <r>
      <t>pH</t>
    </r>
    <r>
      <rPr>
        <vertAlign val="subscript"/>
        <sz val="10"/>
        <rFont val="Arial"/>
        <family val="2"/>
      </rPr>
      <t>c</t>
    </r>
  </si>
  <si>
    <t>I (mol/kg)</t>
  </si>
  <si>
    <t>glucose</t>
  </si>
  <si>
    <t>gluconolactone</t>
  </si>
  <si>
    <t>H2O2</t>
  </si>
  <si>
    <t>H2O</t>
  </si>
  <si>
    <t>O2(g)</t>
  </si>
  <si>
    <t>Data source: http://library.wolfram.com/infocenter/MathSource/5704/</t>
  </si>
  <si>
    <r>
      <t>a</t>
    </r>
    <r>
      <rPr>
        <sz val="10"/>
        <rFont val="Arial"/>
      </rPr>
      <t xml:space="preserve"> = A</t>
    </r>
    <r>
      <rPr>
        <vertAlign val="subscript"/>
        <sz val="10"/>
        <rFont val="Symbol"/>
        <family val="1"/>
        <charset val="2"/>
      </rPr>
      <t>g</t>
    </r>
    <r>
      <rPr>
        <sz val="10"/>
        <rFont val="Arial"/>
      </rPr>
      <t>(ln(10))</t>
    </r>
  </si>
  <si>
    <t>Debeye-Huckel calculations</t>
  </si>
  <si>
    <t xml:space="preserve">Instructions: Insert the compound name and properties in columns B through F. </t>
  </si>
  <si>
    <t>The transformed properties are given in columns G and H.</t>
  </si>
  <si>
    <r>
      <t>d</t>
    </r>
    <r>
      <rPr>
        <sz val="10"/>
        <rFont val="Symbol"/>
        <family val="1"/>
        <charset val="2"/>
      </rPr>
      <t>a</t>
    </r>
    <r>
      <rPr>
        <sz val="10"/>
        <rFont val="Arial"/>
      </rPr>
      <t>/dT</t>
    </r>
  </si>
  <si>
    <r>
      <t>N</t>
    </r>
    <r>
      <rPr>
        <vertAlign val="subscript"/>
        <sz val="10"/>
        <rFont val="Arial"/>
        <family val="2"/>
      </rPr>
      <t>Mg</t>
    </r>
  </si>
  <si>
    <t>Mg2+</t>
  </si>
  <si>
    <r>
      <t>pMg</t>
    </r>
    <r>
      <rPr>
        <vertAlign val="subscript"/>
        <sz val="10"/>
        <rFont val="Arial"/>
        <family val="2"/>
      </rPr>
      <t>c</t>
    </r>
  </si>
  <si>
    <r>
      <t>D</t>
    </r>
    <r>
      <rPr>
        <sz val="10"/>
        <rFont val="Arial"/>
        <family val="2"/>
      </rPr>
      <t>G</t>
    </r>
    <r>
      <rPr>
        <vertAlign val="superscript"/>
        <sz val="10"/>
        <rFont val="Arial"/>
        <family val="2"/>
      </rPr>
      <t>o</t>
    </r>
    <r>
      <rPr>
        <vertAlign val="subscript"/>
        <sz val="10"/>
        <rFont val="Arial"/>
        <family val="2"/>
      </rPr>
      <t>f,T</t>
    </r>
  </si>
  <si>
    <t>correction</t>
  </si>
  <si>
    <t>H+</t>
  </si>
  <si>
    <t>kJ/mol</t>
  </si>
  <si>
    <t>transform</t>
  </si>
  <si>
    <t>per Mg2+</t>
  </si>
  <si>
    <t>per H+</t>
  </si>
  <si>
    <t>Debye-Huckel</t>
  </si>
  <si>
    <t>This Workbook calculates the transformed Gibbs energy of formation and enthalpy of formation</t>
  </si>
  <si>
    <t>for biological substances. Enter the system constraints in the upper left box.</t>
  </si>
  <si>
    <t>Unprotect sheet and add/edit rows in the table for additional compounds.</t>
  </si>
  <si>
    <t>H2ADP-</t>
  </si>
  <si>
    <t>MgADP-</t>
  </si>
  <si>
    <t>MgHADP</t>
  </si>
  <si>
    <t>Mg2ATP</t>
  </si>
  <si>
    <t>NADred</t>
  </si>
  <si>
    <t>NADox</t>
  </si>
  <si>
    <t>HAMP-</t>
  </si>
  <si>
    <t>H2AMP</t>
  </si>
  <si>
    <t>MgAMP</t>
  </si>
  <si>
    <t>MgHPO4</t>
  </si>
  <si>
    <t>CO2(g)</t>
  </si>
  <si>
    <t>H2CO3</t>
  </si>
  <si>
    <t>ethanol</t>
  </si>
  <si>
    <t>formate</t>
  </si>
  <si>
    <t>pyruvate-</t>
  </si>
  <si>
    <t>CO3,2-</t>
  </si>
  <si>
    <t>glucose 6-phoshate-</t>
  </si>
  <si>
    <t>HPO4,2-</t>
  </si>
  <si>
    <t>All properties are dilute aqueous unless otherwise specified as (g) or (s)</t>
  </si>
  <si>
    <t>For gases, standard state is 1 bar partial pressure, P in bar.</t>
  </si>
  <si>
    <t>For water, Lewis-Randall standard state.</t>
  </si>
  <si>
    <t>Adjust the T, I, pHc in rows 6 - 9 above.</t>
  </si>
  <si>
    <t>Transformed Props</t>
  </si>
  <si>
    <t>except ATP, ADP, AMP from Alberty, R.A., J. Phys. Chem. B 2003, 107, 12324-12330.</t>
  </si>
  <si>
    <t>AMP,2-</t>
  </si>
  <si>
    <t>H2PO4,-</t>
  </si>
  <si>
    <t>HADP,2-</t>
  </si>
  <si>
    <t>ADP,3-</t>
  </si>
  <si>
    <t>MgHATP,1-</t>
  </si>
  <si>
    <t>MgATP,2-</t>
  </si>
  <si>
    <t>ATP,2-</t>
  </si>
  <si>
    <t>ATP,3-</t>
  </si>
  <si>
    <t>ATP,4-</t>
  </si>
  <si>
    <t>glucose 6-phoshate,2-</t>
  </si>
  <si>
    <t>HCO3,-</t>
  </si>
  <si>
    <t>transformed</t>
  </si>
  <si>
    <t>value</t>
  </si>
  <si>
    <t>transform of H+ and Mg2+</t>
  </si>
  <si>
    <t>G</t>
  </si>
  <si>
    <t>H</t>
  </si>
  <si>
    <t>G, D-H</t>
  </si>
  <si>
    <t>H, D-H</t>
  </si>
  <si>
    <t>GprimeCalc</t>
  </si>
  <si>
    <t>This workbook provides calculation of the transformed Gibbs energy for biological molecules.</t>
  </si>
  <si>
    <t>As described in Chapter 18 of Introductory Chemical Engineering Thermodynamics</t>
  </si>
  <si>
    <t>J.R. Elliott, C.T. Lira, 2ed, 2012</t>
  </si>
  <si>
    <t>Copyright, 2012, Carl 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</si>
</sst>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Symbol"/>
      <family val="1"/>
      <charset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8"/>
      <name val="Arial"/>
    </font>
    <font>
      <vertAlign val="subscript"/>
      <sz val="10"/>
      <name val="Symbol"/>
      <family val="1"/>
      <charset val="2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15" fontId="0" fillId="0" borderId="0" xfId="0" applyNumberFormat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7" fillId="0" borderId="2" xfId="0" applyFont="1" applyBorder="1" applyProtection="1">
      <protection locked="0"/>
    </xf>
    <xf numFmtId="0" fontId="1" fillId="0" borderId="2" xfId="0" applyFont="1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1"/>
  <sheetViews>
    <sheetView tabSelected="1" workbookViewId="0">
      <selection activeCell="B12" sqref="B12"/>
    </sheetView>
  </sheetViews>
  <sheetFormatPr defaultRowHeight="12.75" x14ac:dyDescent="0.2"/>
  <sheetData>
    <row r="4" spans="2:2" x14ac:dyDescent="0.2">
      <c r="B4" t="s">
        <v>83</v>
      </c>
    </row>
    <row r="6" spans="2:2" x14ac:dyDescent="0.2">
      <c r="B6" t="s">
        <v>84</v>
      </c>
    </row>
    <row r="8" spans="2:2" x14ac:dyDescent="0.2">
      <c r="B8" t="s">
        <v>85</v>
      </c>
    </row>
    <row r="9" spans="2:2" x14ac:dyDescent="0.2">
      <c r="B9" t="s">
        <v>86</v>
      </c>
    </row>
    <row r="11" spans="2:2" x14ac:dyDescent="0.2">
      <c r="B11" t="s">
        <v>87</v>
      </c>
    </row>
  </sheetData>
  <sheetProtection sheet="1" objects="1" scenarios="1"/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zoomScale="110" zoomScaleNormal="110" workbookViewId="0">
      <selection activeCell="C6" sqref="C6"/>
    </sheetView>
  </sheetViews>
  <sheetFormatPr defaultRowHeight="12.75" x14ac:dyDescent="0.2"/>
  <cols>
    <col min="2" max="2" width="22.42578125" customWidth="1"/>
    <col min="7" max="7" width="13.140625" bestFit="1" customWidth="1"/>
    <col min="8" max="8" width="12.42578125" customWidth="1"/>
  </cols>
  <sheetData>
    <row r="2" spans="2:10" x14ac:dyDescent="0.2">
      <c r="B2" t="s">
        <v>38</v>
      </c>
    </row>
    <row r="3" spans="2:10" x14ac:dyDescent="0.2">
      <c r="B3" t="s">
        <v>39</v>
      </c>
    </row>
    <row r="4" spans="2:10" x14ac:dyDescent="0.2">
      <c r="B4" t="s">
        <v>40</v>
      </c>
    </row>
    <row r="5" spans="2:10" x14ac:dyDescent="0.2">
      <c r="H5" t="s">
        <v>23</v>
      </c>
    </row>
    <row r="6" spans="2:10" ht="14.25" x14ac:dyDescent="0.25">
      <c r="B6" s="6" t="s">
        <v>0</v>
      </c>
      <c r="C6" s="9">
        <v>298.14999999999998</v>
      </c>
      <c r="E6" s="6" t="s">
        <v>5</v>
      </c>
      <c r="F6" s="6">
        <v>8.3145100000000003</v>
      </c>
      <c r="G6" s="6" t="s">
        <v>6</v>
      </c>
      <c r="H6" s="10" t="s">
        <v>22</v>
      </c>
      <c r="I6" s="6"/>
      <c r="J6" s="6">
        <f>1.10708 - 0.00154508*T + (0.00000595584)*T^2</f>
        <v>1.1758493994624</v>
      </c>
    </row>
    <row r="7" spans="2:10" x14ac:dyDescent="0.2">
      <c r="B7" s="6" t="s">
        <v>15</v>
      </c>
      <c r="C7" s="9">
        <v>0.25</v>
      </c>
      <c r="H7" s="11" t="s">
        <v>7</v>
      </c>
      <c r="I7" s="6"/>
      <c r="J7" s="6">
        <f>SQRT(C7)/(1+1.6*SQRT(C7))</f>
        <v>0.27777777777777779</v>
      </c>
    </row>
    <row r="8" spans="2:10" ht="15.75" x14ac:dyDescent="0.3">
      <c r="B8" s="6" t="s">
        <v>14</v>
      </c>
      <c r="C8" s="9">
        <v>7</v>
      </c>
      <c r="E8" s="6" t="s">
        <v>13</v>
      </c>
      <c r="F8" s="6">
        <f>C8+J6/LN(10)*J7</f>
        <v>7.1418513627043811</v>
      </c>
      <c r="H8" s="6" t="s">
        <v>26</v>
      </c>
      <c r="I8" s="6"/>
      <c r="J8" s="6">
        <f>-0.00154508 + 2*0.00000595584*T</f>
        <v>2.0063873919999994E-3</v>
      </c>
    </row>
    <row r="9" spans="2:10" ht="15.75" x14ac:dyDescent="0.3">
      <c r="B9" s="6" t="s">
        <v>29</v>
      </c>
      <c r="C9" s="9">
        <v>3</v>
      </c>
    </row>
    <row r="11" spans="2:10" x14ac:dyDescent="0.2">
      <c r="B11" t="s">
        <v>24</v>
      </c>
    </row>
    <row r="12" spans="2:10" x14ac:dyDescent="0.2">
      <c r="B12" t="s">
        <v>62</v>
      </c>
    </row>
    <row r="13" spans="2:10" x14ac:dyDescent="0.2">
      <c r="B13" t="s">
        <v>25</v>
      </c>
    </row>
    <row r="14" spans="2:10" x14ac:dyDescent="0.2">
      <c r="B14" t="s">
        <v>59</v>
      </c>
    </row>
    <row r="15" spans="2:10" x14ac:dyDescent="0.2">
      <c r="B15" t="s">
        <v>60</v>
      </c>
    </row>
    <row r="16" spans="2:10" x14ac:dyDescent="0.2">
      <c r="B16" t="s">
        <v>61</v>
      </c>
    </row>
    <row r="18" spans="1:12" x14ac:dyDescent="0.2">
      <c r="F18" t="s">
        <v>79</v>
      </c>
      <c r="G18" t="s">
        <v>79</v>
      </c>
      <c r="H18" t="s">
        <v>79</v>
      </c>
      <c r="I18" t="s">
        <v>80</v>
      </c>
      <c r="J18" t="s">
        <v>80</v>
      </c>
    </row>
    <row r="19" spans="1:12" x14ac:dyDescent="0.2">
      <c r="F19" t="s">
        <v>34</v>
      </c>
      <c r="G19" t="s">
        <v>37</v>
      </c>
      <c r="H19" t="s">
        <v>76</v>
      </c>
      <c r="I19" t="s">
        <v>37</v>
      </c>
      <c r="J19" t="s">
        <v>76</v>
      </c>
    </row>
    <row r="20" spans="1:12" ht="15.75" x14ac:dyDescent="0.3">
      <c r="B20" s="6" t="s">
        <v>78</v>
      </c>
      <c r="C20" s="1" t="s">
        <v>2</v>
      </c>
      <c r="D20" s="1" t="s">
        <v>1</v>
      </c>
      <c r="E20" s="1" t="s">
        <v>30</v>
      </c>
      <c r="F20" s="4" t="s">
        <v>31</v>
      </c>
      <c r="G20" t="s">
        <v>31</v>
      </c>
      <c r="H20" s="4" t="s">
        <v>77</v>
      </c>
      <c r="I20" t="s">
        <v>31</v>
      </c>
      <c r="J20" s="4" t="s">
        <v>77</v>
      </c>
    </row>
    <row r="21" spans="1:12" x14ac:dyDescent="0.2">
      <c r="B21" s="12"/>
      <c r="C21" s="2" t="s">
        <v>4</v>
      </c>
      <c r="D21" s="2" t="s">
        <v>4</v>
      </c>
      <c r="E21" s="2" t="s">
        <v>4</v>
      </c>
      <c r="F21" s="3" t="s">
        <v>33</v>
      </c>
      <c r="G21" s="3" t="s">
        <v>4</v>
      </c>
      <c r="H21" s="3" t="s">
        <v>33</v>
      </c>
      <c r="I21" s="3" t="s">
        <v>4</v>
      </c>
      <c r="J21" s="3" t="s">
        <v>33</v>
      </c>
    </row>
    <row r="22" spans="1:12" x14ac:dyDescent="0.2">
      <c r="B22" t="s">
        <v>28</v>
      </c>
      <c r="C22">
        <v>-455.3</v>
      </c>
      <c r="D22">
        <v>-467</v>
      </c>
      <c r="E22">
        <f>(T/298.15)*C22+(1-T/298.15)*D22</f>
        <v>-455.3</v>
      </c>
      <c r="F22">
        <f>-R./1000*T*LN(10)*pMg</f>
        <v>-17.124126092757333</v>
      </c>
      <c r="G22">
        <f>-R.*T/1000*4*alpha*Iterm</f>
        <v>-3.2387741618390398</v>
      </c>
      <c r="H22">
        <f>E22+F22+G22</f>
        <v>-475.66290025459637</v>
      </c>
      <c r="I22" s="20">
        <f>R.*T^2/1000*4*dadT*Iterm</f>
        <v>1.6477016173154893</v>
      </c>
      <c r="J22" s="20">
        <f>D22+I22</f>
        <v>-465.35229838268452</v>
      </c>
      <c r="K22" s="20" t="s">
        <v>35</v>
      </c>
    </row>
    <row r="23" spans="1:12" x14ac:dyDescent="0.2">
      <c r="B23" s="2" t="s">
        <v>32</v>
      </c>
      <c r="C23" s="2">
        <v>0</v>
      </c>
      <c r="D23" s="2">
        <v>0</v>
      </c>
      <c r="E23" s="2">
        <v>0</v>
      </c>
      <c r="F23" s="2">
        <f>-R./1000*T*LN(10)*pH</f>
        <v>-39.956294216433776</v>
      </c>
      <c r="G23" s="2">
        <f>-R.*T/1000*alpha*Iterm</f>
        <v>-0.80969354045975994</v>
      </c>
      <c r="H23" s="2">
        <f>E23+F23+G23</f>
        <v>-40.765987756893537</v>
      </c>
      <c r="I23" s="2">
        <f>R.*T^2/1000*dadT*Iterm</f>
        <v>0.41192540432887231</v>
      </c>
      <c r="J23" s="2">
        <f>D23+I23</f>
        <v>0.41192540432887231</v>
      </c>
      <c r="K23" s="2" t="s">
        <v>36</v>
      </c>
    </row>
    <row r="24" spans="1:12" x14ac:dyDescent="0.2">
      <c r="K24" s="19"/>
    </row>
    <row r="25" spans="1:12" x14ac:dyDescent="0.2">
      <c r="I25" s="21" t="s">
        <v>81</v>
      </c>
      <c r="J25" s="21" t="s">
        <v>82</v>
      </c>
      <c r="K25" s="13" t="s">
        <v>63</v>
      </c>
      <c r="L25" s="14"/>
    </row>
    <row r="26" spans="1:12" ht="15.75" x14ac:dyDescent="0.3">
      <c r="C26" s="1" t="s">
        <v>2</v>
      </c>
      <c r="D26" s="1" t="s">
        <v>1</v>
      </c>
      <c r="H26" s="1" t="s">
        <v>30</v>
      </c>
      <c r="I26" t="s">
        <v>31</v>
      </c>
      <c r="J26" t="s">
        <v>31</v>
      </c>
      <c r="K26" s="15" t="s">
        <v>8</v>
      </c>
      <c r="L26" s="15" t="s">
        <v>9</v>
      </c>
    </row>
    <row r="27" spans="1:12" ht="15.75" x14ac:dyDescent="0.3">
      <c r="A27" s="2"/>
      <c r="B27" s="2" t="s">
        <v>3</v>
      </c>
      <c r="C27" s="2" t="s">
        <v>4</v>
      </c>
      <c r="D27" s="2" t="s">
        <v>4</v>
      </c>
      <c r="E27" s="3" t="s">
        <v>12</v>
      </c>
      <c r="F27" s="3" t="s">
        <v>11</v>
      </c>
      <c r="G27" s="3" t="s">
        <v>27</v>
      </c>
      <c r="H27" s="2" t="s">
        <v>4</v>
      </c>
      <c r="I27" s="3" t="s">
        <v>4</v>
      </c>
      <c r="J27" s="3" t="s">
        <v>4</v>
      </c>
      <c r="K27" s="16" t="s">
        <v>4</v>
      </c>
      <c r="L27" s="16" t="s">
        <v>4</v>
      </c>
    </row>
    <row r="28" spans="1:12" x14ac:dyDescent="0.2">
      <c r="B28" s="4" t="s">
        <v>46</v>
      </c>
      <c r="C28">
        <v>0</v>
      </c>
      <c r="D28">
        <v>0</v>
      </c>
      <c r="E28">
        <v>-1</v>
      </c>
      <c r="F28">
        <v>26</v>
      </c>
      <c r="G28">
        <v>0</v>
      </c>
      <c r="H28">
        <f t="shared" ref="H28:H66" si="0">C28*(T/298.15)+(1-T/298.15)*D28</f>
        <v>0</v>
      </c>
      <c r="I28">
        <f t="shared" ref="I28:I66" si="1">-R.*T/1000*E28^2*alpha*Iterm</f>
        <v>-0.80969354045975994</v>
      </c>
      <c r="J28">
        <f t="shared" ref="J28:J66" si="2">+R.*T^2/1000*E28^2*dadT*Iterm</f>
        <v>0.41192540432887231</v>
      </c>
      <c r="K28" s="7">
        <f t="shared" ref="K28:K66" si="3">H28+I28-F28*$H$23-G28*$H$22</f>
        <v>1059.1059881387723</v>
      </c>
      <c r="L28" s="7">
        <f t="shared" ref="L28:L66" si="4">D28+R.*T^2/1000*dadT*E28^2*Iterm -F28*$J$23-G28*$J$22</f>
        <v>-10.298135108221807</v>
      </c>
    </row>
    <row r="29" spans="1:12" x14ac:dyDescent="0.2">
      <c r="B29" s="4" t="s">
        <v>45</v>
      </c>
      <c r="C29">
        <v>22.65</v>
      </c>
      <c r="D29">
        <v>-31.94</v>
      </c>
      <c r="E29">
        <v>-2</v>
      </c>
      <c r="F29">
        <v>27</v>
      </c>
      <c r="G29">
        <v>0</v>
      </c>
      <c r="H29">
        <f t="shared" si="0"/>
        <v>22.65</v>
      </c>
      <c r="I29">
        <f t="shared" si="1"/>
        <v>-3.2387741618390398</v>
      </c>
      <c r="J29">
        <f t="shared" si="2"/>
        <v>1.6477016173154893</v>
      </c>
      <c r="K29" s="7">
        <f t="shared" si="3"/>
        <v>1120.0928952742865</v>
      </c>
      <c r="L29" s="7">
        <f t="shared" si="4"/>
        <v>-41.414284299564059</v>
      </c>
    </row>
    <row r="30" spans="1:12" x14ac:dyDescent="0.2">
      <c r="B30" s="4" t="s">
        <v>73</v>
      </c>
      <c r="C30">
        <v>-2768.1</v>
      </c>
      <c r="D30">
        <v>-3619.21</v>
      </c>
      <c r="E30">
        <v>-4</v>
      </c>
      <c r="F30">
        <v>12</v>
      </c>
      <c r="G30">
        <v>0</v>
      </c>
      <c r="H30">
        <f t="shared" si="0"/>
        <v>-2768.1</v>
      </c>
      <c r="I30">
        <f t="shared" si="1"/>
        <v>-12.955096647356159</v>
      </c>
      <c r="J30">
        <f t="shared" si="2"/>
        <v>6.590806469261957</v>
      </c>
      <c r="K30" s="7">
        <f t="shared" si="3"/>
        <v>-2291.8632435646336</v>
      </c>
      <c r="L30" s="7">
        <f t="shared" si="4"/>
        <v>-3617.5622983826843</v>
      </c>
    </row>
    <row r="31" spans="1:12" x14ac:dyDescent="0.2">
      <c r="B31" s="4" t="s">
        <v>72</v>
      </c>
      <c r="C31">
        <v>-2811.48</v>
      </c>
      <c r="D31">
        <v>-3612.91</v>
      </c>
      <c r="E31">
        <v>-3</v>
      </c>
      <c r="F31">
        <v>13</v>
      </c>
      <c r="G31">
        <v>0</v>
      </c>
      <c r="H31">
        <f t="shared" si="0"/>
        <v>-2811.48</v>
      </c>
      <c r="I31">
        <f t="shared" si="1"/>
        <v>-7.2872418641378394</v>
      </c>
      <c r="J31">
        <f t="shared" si="2"/>
        <v>3.7073286389598512</v>
      </c>
      <c r="K31" s="7">
        <f t="shared" si="3"/>
        <v>-2288.8094010245218</v>
      </c>
      <c r="L31" s="7">
        <f t="shared" si="4"/>
        <v>-3614.5577016173152</v>
      </c>
    </row>
    <row r="32" spans="1:12" x14ac:dyDescent="0.2">
      <c r="B32" s="4" t="s">
        <v>71</v>
      </c>
      <c r="C32">
        <v>-2838.18</v>
      </c>
      <c r="D32">
        <v>-3627.91</v>
      </c>
      <c r="E32">
        <v>-2</v>
      </c>
      <c r="F32">
        <v>14</v>
      </c>
      <c r="G32">
        <v>0</v>
      </c>
      <c r="H32">
        <f t="shared" si="0"/>
        <v>-2838.18</v>
      </c>
      <c r="I32">
        <f t="shared" si="1"/>
        <v>-3.2387741618390398</v>
      </c>
      <c r="J32">
        <f t="shared" si="2"/>
        <v>1.6477016173154893</v>
      </c>
      <c r="K32" s="7">
        <f t="shared" si="3"/>
        <v>-2270.6949455653294</v>
      </c>
      <c r="L32" s="7">
        <f t="shared" si="4"/>
        <v>-3632.0292540432888</v>
      </c>
    </row>
    <row r="33" spans="2:12" x14ac:dyDescent="0.2">
      <c r="B33" s="4" t="s">
        <v>70</v>
      </c>
      <c r="C33">
        <v>-3258.68</v>
      </c>
      <c r="D33">
        <v>-4063.31</v>
      </c>
      <c r="E33">
        <v>-2</v>
      </c>
      <c r="F33">
        <v>12</v>
      </c>
      <c r="G33">
        <v>1</v>
      </c>
      <c r="H33">
        <f t="shared" si="0"/>
        <v>-3258.68</v>
      </c>
      <c r="I33">
        <f t="shared" si="1"/>
        <v>-3.2387741618390398</v>
      </c>
      <c r="J33">
        <f t="shared" si="2"/>
        <v>1.6477016173154893</v>
      </c>
      <c r="K33" s="7">
        <f t="shared" si="3"/>
        <v>-2297.06402082452</v>
      </c>
      <c r="L33" s="7">
        <f t="shared" si="4"/>
        <v>-3601.2531048519463</v>
      </c>
    </row>
    <row r="34" spans="2:12" x14ac:dyDescent="0.2">
      <c r="B34" s="4" t="s">
        <v>69</v>
      </c>
      <c r="C34">
        <v>-3287.5</v>
      </c>
      <c r="D34">
        <v>-4063.01</v>
      </c>
      <c r="E34">
        <v>-1</v>
      </c>
      <c r="F34">
        <v>13</v>
      </c>
      <c r="G34">
        <v>1</v>
      </c>
      <c r="H34">
        <f t="shared" si="0"/>
        <v>-3287.5</v>
      </c>
      <c r="I34">
        <f t="shared" si="1"/>
        <v>-0.80969354045975994</v>
      </c>
      <c r="J34">
        <f t="shared" si="2"/>
        <v>0.41192540432887231</v>
      </c>
      <c r="K34" s="7">
        <f t="shared" si="3"/>
        <v>-2282.6889524462472</v>
      </c>
      <c r="L34" s="7">
        <f t="shared" si="4"/>
        <v>-3602.6008064692619</v>
      </c>
    </row>
    <row r="35" spans="2:12" x14ac:dyDescent="0.2">
      <c r="B35" s="4" t="s">
        <v>44</v>
      </c>
      <c r="C35">
        <v>-3729.33</v>
      </c>
      <c r="D35">
        <v>-4519.51</v>
      </c>
      <c r="E35">
        <v>0</v>
      </c>
      <c r="F35">
        <v>12</v>
      </c>
      <c r="G35">
        <v>2</v>
      </c>
      <c r="H35">
        <f t="shared" si="0"/>
        <v>-3729.33</v>
      </c>
      <c r="I35">
        <f t="shared" si="1"/>
        <v>0</v>
      </c>
      <c r="J35">
        <f t="shared" si="2"/>
        <v>0</v>
      </c>
      <c r="K35" s="7">
        <f t="shared" si="3"/>
        <v>-2288.8123464080845</v>
      </c>
      <c r="L35" s="7">
        <f t="shared" si="4"/>
        <v>-3593.7485080865777</v>
      </c>
    </row>
    <row r="36" spans="2:12" x14ac:dyDescent="0.2">
      <c r="B36" s="4" t="s">
        <v>68</v>
      </c>
      <c r="C36">
        <v>-1906.13</v>
      </c>
      <c r="D36">
        <v>-2626.54</v>
      </c>
      <c r="E36">
        <v>-3</v>
      </c>
      <c r="F36">
        <v>12</v>
      </c>
      <c r="G36">
        <v>0</v>
      </c>
      <c r="H36">
        <f t="shared" si="0"/>
        <v>-1906.13</v>
      </c>
      <c r="I36">
        <f t="shared" si="1"/>
        <v>-7.2872418641378394</v>
      </c>
      <c r="J36">
        <f t="shared" si="2"/>
        <v>3.7073286389598512</v>
      </c>
      <c r="K36" s="7">
        <f t="shared" si="3"/>
        <v>-1424.2253887814154</v>
      </c>
      <c r="L36" s="7">
        <f t="shared" si="4"/>
        <v>-2627.7757762129863</v>
      </c>
    </row>
    <row r="37" spans="2:12" x14ac:dyDescent="0.2">
      <c r="B37" s="4" t="s">
        <v>67</v>
      </c>
      <c r="C37">
        <v>-1947.1</v>
      </c>
      <c r="D37">
        <v>-2620.94</v>
      </c>
      <c r="E37">
        <v>-2</v>
      </c>
      <c r="F37">
        <v>13</v>
      </c>
      <c r="G37">
        <v>0</v>
      </c>
      <c r="H37">
        <f t="shared" si="0"/>
        <v>-1947.1</v>
      </c>
      <c r="I37">
        <f t="shared" si="1"/>
        <v>-3.2387741618390398</v>
      </c>
      <c r="J37">
        <f t="shared" si="2"/>
        <v>1.6477016173154893</v>
      </c>
      <c r="K37" s="7">
        <f t="shared" si="3"/>
        <v>-1420.380933322223</v>
      </c>
      <c r="L37" s="7">
        <f t="shared" si="4"/>
        <v>-2624.6473286389601</v>
      </c>
    </row>
    <row r="38" spans="2:12" x14ac:dyDescent="0.2">
      <c r="B38" s="4" t="s">
        <v>41</v>
      </c>
      <c r="C38">
        <v>-1971.98</v>
      </c>
      <c r="D38">
        <v>-2638.54</v>
      </c>
      <c r="E38">
        <v>-1</v>
      </c>
      <c r="F38">
        <v>14</v>
      </c>
      <c r="G38">
        <v>0</v>
      </c>
      <c r="H38">
        <f t="shared" si="0"/>
        <v>-1971.98</v>
      </c>
      <c r="I38">
        <f t="shared" si="1"/>
        <v>-0.80969354045975994</v>
      </c>
      <c r="J38">
        <f t="shared" si="2"/>
        <v>0.41192540432887231</v>
      </c>
      <c r="K38" s="7">
        <f t="shared" si="3"/>
        <v>-1402.0658649439501</v>
      </c>
      <c r="L38" s="7">
        <f t="shared" si="4"/>
        <v>-2643.8950302562753</v>
      </c>
    </row>
    <row r="39" spans="2:12" x14ac:dyDescent="0.2">
      <c r="B39" s="4" t="s">
        <v>42</v>
      </c>
      <c r="C39">
        <v>-2387.9699999999998</v>
      </c>
      <c r="D39">
        <v>-3074.54</v>
      </c>
      <c r="E39">
        <v>-1</v>
      </c>
      <c r="F39">
        <v>12</v>
      </c>
      <c r="G39">
        <v>1</v>
      </c>
      <c r="H39">
        <f t="shared" si="0"/>
        <v>-2387.9699999999998</v>
      </c>
      <c r="I39">
        <f t="shared" si="1"/>
        <v>-0.80969354045975994</v>
      </c>
      <c r="J39">
        <f t="shared" si="2"/>
        <v>0.41192540432887231</v>
      </c>
      <c r="K39" s="7">
        <f t="shared" si="3"/>
        <v>-1423.9249402031405</v>
      </c>
      <c r="L39" s="7">
        <f t="shared" si="4"/>
        <v>-2613.7188810649327</v>
      </c>
    </row>
    <row r="40" spans="2:12" x14ac:dyDescent="0.2">
      <c r="B40" s="4" t="s">
        <v>43</v>
      </c>
      <c r="C40">
        <v>-2416.67</v>
      </c>
      <c r="D40">
        <v>-3075.44</v>
      </c>
      <c r="E40">
        <v>0</v>
      </c>
      <c r="F40">
        <v>13</v>
      </c>
      <c r="G40">
        <v>1</v>
      </c>
      <c r="H40">
        <f t="shared" si="0"/>
        <v>-2416.67</v>
      </c>
      <c r="I40">
        <f t="shared" si="1"/>
        <v>0</v>
      </c>
      <c r="J40">
        <f t="shared" si="2"/>
        <v>0</v>
      </c>
      <c r="K40" s="7">
        <f t="shared" si="3"/>
        <v>-1411.0492589057876</v>
      </c>
      <c r="L40" s="7">
        <f t="shared" si="4"/>
        <v>-2615.4427318735907</v>
      </c>
    </row>
    <row r="41" spans="2:12" x14ac:dyDescent="0.2">
      <c r="B41" s="4" t="s">
        <v>65</v>
      </c>
      <c r="C41">
        <v>-1040.45</v>
      </c>
      <c r="D41">
        <v>-1635.37</v>
      </c>
      <c r="E41">
        <v>-2</v>
      </c>
      <c r="F41">
        <v>12</v>
      </c>
      <c r="G41">
        <v>0</v>
      </c>
      <c r="H41">
        <f t="shared" si="0"/>
        <v>-1040.45</v>
      </c>
      <c r="I41">
        <f t="shared" si="1"/>
        <v>-3.2387741618390398</v>
      </c>
      <c r="J41">
        <f t="shared" si="2"/>
        <v>1.6477016173154893</v>
      </c>
      <c r="K41" s="7">
        <f t="shared" si="3"/>
        <v>-554.49692107911665</v>
      </c>
      <c r="L41" s="7">
        <f t="shared" si="4"/>
        <v>-1638.6654032346307</v>
      </c>
    </row>
    <row r="42" spans="2:12" x14ac:dyDescent="0.2">
      <c r="B42" s="4" t="s">
        <v>47</v>
      </c>
      <c r="C42">
        <v>-1078.8599999999999</v>
      </c>
      <c r="D42">
        <v>-1629.97</v>
      </c>
      <c r="E42">
        <v>-1</v>
      </c>
      <c r="F42">
        <v>13</v>
      </c>
      <c r="G42">
        <v>0</v>
      </c>
      <c r="H42">
        <f t="shared" si="0"/>
        <v>-1078.8599999999999</v>
      </c>
      <c r="I42">
        <f t="shared" si="1"/>
        <v>-0.80969354045975994</v>
      </c>
      <c r="J42">
        <f t="shared" si="2"/>
        <v>0.41192540432887231</v>
      </c>
      <c r="K42" s="7">
        <f t="shared" si="3"/>
        <v>-549.71185270084356</v>
      </c>
      <c r="L42" s="7">
        <f t="shared" si="4"/>
        <v>-1634.9131048519464</v>
      </c>
    </row>
    <row r="43" spans="2:12" x14ac:dyDescent="0.2">
      <c r="B43" s="4" t="s">
        <v>48</v>
      </c>
      <c r="C43">
        <v>-1101.6300000000001</v>
      </c>
      <c r="D43">
        <v>-1648.07</v>
      </c>
      <c r="E43">
        <v>0</v>
      </c>
      <c r="F43">
        <v>14</v>
      </c>
      <c r="G43">
        <v>0</v>
      </c>
      <c r="H43">
        <f t="shared" si="0"/>
        <v>-1101.6300000000001</v>
      </c>
      <c r="I43">
        <f t="shared" si="1"/>
        <v>0</v>
      </c>
      <c r="J43">
        <f t="shared" si="2"/>
        <v>0</v>
      </c>
      <c r="K43" s="7">
        <f t="shared" si="3"/>
        <v>-530.90617140349059</v>
      </c>
      <c r="L43" s="7">
        <f t="shared" si="4"/>
        <v>-1653.8369556606042</v>
      </c>
    </row>
    <row r="44" spans="2:12" x14ac:dyDescent="0.2">
      <c r="B44" s="4" t="s">
        <v>49</v>
      </c>
      <c r="C44">
        <v>-1511.68</v>
      </c>
      <c r="D44">
        <v>-2091.0700000000002</v>
      </c>
      <c r="E44">
        <v>0</v>
      </c>
      <c r="F44">
        <v>12</v>
      </c>
      <c r="G44">
        <v>1</v>
      </c>
      <c r="H44">
        <f t="shared" si="0"/>
        <v>-1511.68</v>
      </c>
      <c r="I44">
        <f t="shared" si="1"/>
        <v>0</v>
      </c>
      <c r="J44">
        <f t="shared" si="2"/>
        <v>0</v>
      </c>
      <c r="K44" s="7">
        <f t="shared" si="3"/>
        <v>-546.82524666268125</v>
      </c>
      <c r="L44" s="7">
        <f t="shared" si="4"/>
        <v>-1630.6608064692621</v>
      </c>
    </row>
    <row r="45" spans="2:12" x14ac:dyDescent="0.2">
      <c r="B45" s="4" t="s">
        <v>58</v>
      </c>
      <c r="C45">
        <v>-1096.0999999999999</v>
      </c>
      <c r="D45">
        <v>-1299</v>
      </c>
      <c r="E45">
        <v>-2</v>
      </c>
      <c r="F45">
        <v>1</v>
      </c>
      <c r="G45">
        <v>0</v>
      </c>
      <c r="H45">
        <f t="shared" si="0"/>
        <v>-1096.0999999999999</v>
      </c>
      <c r="I45">
        <f t="shared" si="1"/>
        <v>-3.2387741618390398</v>
      </c>
      <c r="J45">
        <f t="shared" si="2"/>
        <v>1.6477016173154893</v>
      </c>
      <c r="K45" s="7">
        <f t="shared" si="3"/>
        <v>-1058.5727864049454</v>
      </c>
      <c r="L45" s="7">
        <f t="shared" si="4"/>
        <v>-1297.7642237870134</v>
      </c>
    </row>
    <row r="46" spans="2:12" x14ac:dyDescent="0.2">
      <c r="B46" s="4" t="s">
        <v>66</v>
      </c>
      <c r="C46">
        <v>-1137.3</v>
      </c>
      <c r="D46">
        <v>-1302.5999999999999</v>
      </c>
      <c r="E46">
        <v>-1</v>
      </c>
      <c r="F46">
        <v>2</v>
      </c>
      <c r="G46">
        <v>0</v>
      </c>
      <c r="H46">
        <f t="shared" si="0"/>
        <v>-1137.3</v>
      </c>
      <c r="I46">
        <f t="shared" si="1"/>
        <v>-0.80969354045975994</v>
      </c>
      <c r="J46">
        <f t="shared" si="2"/>
        <v>0.41192540432887231</v>
      </c>
      <c r="K46" s="7">
        <f t="shared" si="3"/>
        <v>-1056.5777180266725</v>
      </c>
      <c r="L46" s="7">
        <f t="shared" si="4"/>
        <v>-1303.0119254043286</v>
      </c>
    </row>
    <row r="47" spans="2:12" x14ac:dyDescent="0.2">
      <c r="B47" s="4" t="s">
        <v>50</v>
      </c>
      <c r="C47">
        <v>-1566.87</v>
      </c>
      <c r="D47">
        <v>-1753.8</v>
      </c>
      <c r="E47">
        <v>0</v>
      </c>
      <c r="F47">
        <v>1</v>
      </c>
      <c r="G47">
        <v>1</v>
      </c>
      <c r="H47">
        <f t="shared" si="0"/>
        <v>-1566.87</v>
      </c>
      <c r="I47">
        <f t="shared" si="1"/>
        <v>0</v>
      </c>
      <c r="J47">
        <f t="shared" si="2"/>
        <v>0</v>
      </c>
      <c r="K47" s="7">
        <f t="shared" si="3"/>
        <v>-1050.4411119885099</v>
      </c>
      <c r="L47" s="7">
        <f t="shared" si="4"/>
        <v>-1288.8596270216444</v>
      </c>
    </row>
    <row r="48" spans="2:12" x14ac:dyDescent="0.2">
      <c r="B48" s="4" t="s">
        <v>32</v>
      </c>
      <c r="C48">
        <v>0</v>
      </c>
      <c r="D48">
        <v>0</v>
      </c>
      <c r="E48">
        <v>1</v>
      </c>
      <c r="F48">
        <v>1</v>
      </c>
      <c r="G48">
        <v>0</v>
      </c>
      <c r="H48">
        <f t="shared" si="0"/>
        <v>0</v>
      </c>
      <c r="I48">
        <f t="shared" si="1"/>
        <v>-0.80969354045975994</v>
      </c>
      <c r="J48">
        <f t="shared" si="2"/>
        <v>0.41192540432887231</v>
      </c>
      <c r="K48" s="7">
        <f t="shared" si="3"/>
        <v>39.956294216433776</v>
      </c>
      <c r="L48" s="7">
        <f t="shared" si="4"/>
        <v>0</v>
      </c>
    </row>
    <row r="49" spans="1:12" x14ac:dyDescent="0.2">
      <c r="B49" s="4" t="s">
        <v>28</v>
      </c>
      <c r="C49">
        <v>-455.3</v>
      </c>
      <c r="D49">
        <v>-467</v>
      </c>
      <c r="E49">
        <v>2</v>
      </c>
      <c r="F49">
        <v>0</v>
      </c>
      <c r="G49">
        <v>1</v>
      </c>
      <c r="H49">
        <f t="shared" si="0"/>
        <v>-455.3</v>
      </c>
      <c r="I49">
        <f t="shared" si="1"/>
        <v>-3.2387741618390398</v>
      </c>
      <c r="J49">
        <f t="shared" si="2"/>
        <v>1.6477016173154893</v>
      </c>
      <c r="K49" s="7">
        <f t="shared" si="3"/>
        <v>17.124126092757308</v>
      </c>
      <c r="L49" s="7">
        <f t="shared" si="4"/>
        <v>0</v>
      </c>
    </row>
    <row r="50" spans="1:12" x14ac:dyDescent="0.2">
      <c r="B50" s="4" t="s"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f>C50*(T/298.15)+(1-T/298.15)*D50</f>
        <v>0</v>
      </c>
      <c r="I50">
        <f>-R.*T/1000*E50^2*alpha*Iterm</f>
        <v>0</v>
      </c>
      <c r="J50">
        <f t="shared" si="2"/>
        <v>0</v>
      </c>
      <c r="K50" s="7">
        <f>H50+I50-F50*$H$23-G50*$H$22</f>
        <v>0</v>
      </c>
      <c r="L50" s="7">
        <f t="shared" si="4"/>
        <v>0</v>
      </c>
    </row>
    <row r="51" spans="1:12" x14ac:dyDescent="0.2">
      <c r="B51" s="4" t="s">
        <v>51</v>
      </c>
      <c r="C51">
        <v>-394.36</v>
      </c>
      <c r="D51">
        <v>-393.5</v>
      </c>
      <c r="E51">
        <v>0</v>
      </c>
      <c r="F51">
        <v>0</v>
      </c>
      <c r="G51">
        <v>0</v>
      </c>
      <c r="H51">
        <f t="shared" si="0"/>
        <v>-394.36</v>
      </c>
      <c r="I51">
        <f t="shared" si="1"/>
        <v>0</v>
      </c>
      <c r="J51">
        <f t="shared" si="2"/>
        <v>0</v>
      </c>
      <c r="K51" s="7">
        <f t="shared" si="3"/>
        <v>-394.36</v>
      </c>
      <c r="L51" s="7">
        <f t="shared" si="4"/>
        <v>-393.5</v>
      </c>
    </row>
    <row r="52" spans="1:12" x14ac:dyDescent="0.2">
      <c r="B52" s="4" t="s">
        <v>56</v>
      </c>
      <c r="C52">
        <v>-527.80999999999995</v>
      </c>
      <c r="D52">
        <v>-677.14</v>
      </c>
      <c r="E52">
        <v>-2</v>
      </c>
      <c r="F52">
        <v>0</v>
      </c>
      <c r="G52">
        <v>0</v>
      </c>
      <c r="H52">
        <f t="shared" si="0"/>
        <v>-527.80999999999995</v>
      </c>
      <c r="I52">
        <f t="shared" si="1"/>
        <v>-3.2387741618390398</v>
      </c>
      <c r="J52">
        <f t="shared" si="2"/>
        <v>1.6477016173154893</v>
      </c>
      <c r="K52" s="7">
        <f t="shared" si="3"/>
        <v>-531.04877416183899</v>
      </c>
      <c r="L52" s="7">
        <f t="shared" si="4"/>
        <v>-675.49229838268445</v>
      </c>
    </row>
    <row r="53" spans="1:12" x14ac:dyDescent="0.2">
      <c r="B53" s="4" t="s">
        <v>75</v>
      </c>
      <c r="C53">
        <v>-586.77</v>
      </c>
      <c r="D53">
        <v>-691.99</v>
      </c>
      <c r="E53">
        <v>-1</v>
      </c>
      <c r="F53">
        <v>1</v>
      </c>
      <c r="G53">
        <v>0</v>
      </c>
      <c r="H53">
        <f t="shared" si="0"/>
        <v>-586.77</v>
      </c>
      <c r="I53">
        <f t="shared" si="1"/>
        <v>-0.80969354045975994</v>
      </c>
      <c r="J53">
        <f t="shared" si="2"/>
        <v>0.41192540432887231</v>
      </c>
      <c r="K53" s="7">
        <f t="shared" si="3"/>
        <v>-546.81370578356621</v>
      </c>
      <c r="L53" s="7">
        <f t="shared" si="4"/>
        <v>-691.99</v>
      </c>
    </row>
    <row r="54" spans="1:12" x14ac:dyDescent="0.2">
      <c r="B54" s="4" t="s">
        <v>52</v>
      </c>
      <c r="C54">
        <v>-623.11</v>
      </c>
      <c r="D54">
        <v>-699.63</v>
      </c>
      <c r="E54">
        <v>0</v>
      </c>
      <c r="F54">
        <v>2</v>
      </c>
      <c r="G54">
        <v>0</v>
      </c>
      <c r="H54">
        <f t="shared" si="0"/>
        <v>-623.11</v>
      </c>
      <c r="I54">
        <f t="shared" si="1"/>
        <v>0</v>
      </c>
      <c r="J54">
        <f t="shared" si="2"/>
        <v>0</v>
      </c>
      <c r="K54" s="7">
        <f t="shared" si="3"/>
        <v>-541.57802448621294</v>
      </c>
      <c r="L54" s="7">
        <f t="shared" si="4"/>
        <v>-700.45385080865776</v>
      </c>
    </row>
    <row r="55" spans="1:12" x14ac:dyDescent="0.2">
      <c r="B55" s="4" t="s">
        <v>10</v>
      </c>
      <c r="C55">
        <v>-139</v>
      </c>
      <c r="D55">
        <f>-212-0.23</f>
        <v>-212.23</v>
      </c>
      <c r="E55">
        <v>0</v>
      </c>
      <c r="F55">
        <v>4</v>
      </c>
      <c r="G55">
        <v>0</v>
      </c>
      <c r="H55">
        <f>C55*(T/298.15)+(1-T/298.15)*D55</f>
        <v>-139</v>
      </c>
      <c r="I55">
        <f>-R.*T/1000*E55^2*alpha*Iterm</f>
        <v>0</v>
      </c>
      <c r="J55">
        <f t="shared" si="2"/>
        <v>0</v>
      </c>
      <c r="K55" s="7">
        <f>H55+I55-F55*$H$23-G55*$H$22</f>
        <v>24.063951027574149</v>
      </c>
      <c r="L55" s="7">
        <f t="shared" si="4"/>
        <v>-213.87770161731547</v>
      </c>
    </row>
    <row r="56" spans="1:12" x14ac:dyDescent="0.2">
      <c r="B56" s="4" t="s">
        <v>53</v>
      </c>
      <c r="C56">
        <v>-181.64</v>
      </c>
      <c r="D56">
        <v>-288.3</v>
      </c>
      <c r="E56">
        <v>0</v>
      </c>
      <c r="F56">
        <v>6</v>
      </c>
      <c r="G56">
        <v>0</v>
      </c>
      <c r="H56">
        <f t="shared" si="0"/>
        <v>-181.64</v>
      </c>
      <c r="I56">
        <f t="shared" si="1"/>
        <v>0</v>
      </c>
      <c r="J56">
        <f t="shared" si="2"/>
        <v>0</v>
      </c>
      <c r="K56" s="7">
        <f t="shared" si="3"/>
        <v>62.955926541361237</v>
      </c>
      <c r="L56" s="7">
        <f t="shared" si="4"/>
        <v>-290.77155242597325</v>
      </c>
    </row>
    <row r="57" spans="1:12" x14ac:dyDescent="0.2">
      <c r="B57" s="4" t="s">
        <v>54</v>
      </c>
      <c r="C57">
        <v>-351</v>
      </c>
      <c r="D57">
        <v>-425.55</v>
      </c>
      <c r="E57">
        <v>-1</v>
      </c>
      <c r="F57">
        <v>1</v>
      </c>
      <c r="G57">
        <v>0</v>
      </c>
      <c r="H57">
        <f t="shared" si="0"/>
        <v>-351</v>
      </c>
      <c r="I57">
        <f t="shared" si="1"/>
        <v>-0.80969354045975994</v>
      </c>
      <c r="J57">
        <f t="shared" si="2"/>
        <v>0.41192540432887231</v>
      </c>
      <c r="K57" s="7">
        <f t="shared" si="3"/>
        <v>-311.04370578356622</v>
      </c>
      <c r="L57" s="7">
        <f t="shared" si="4"/>
        <v>-425.55</v>
      </c>
    </row>
    <row r="58" spans="1:12" x14ac:dyDescent="0.2">
      <c r="B58" s="4" t="s">
        <v>16</v>
      </c>
      <c r="C58">
        <v>-915.9</v>
      </c>
      <c r="D58">
        <v>-1262.19</v>
      </c>
      <c r="E58">
        <v>0</v>
      </c>
      <c r="F58">
        <v>12</v>
      </c>
      <c r="G58">
        <v>0</v>
      </c>
      <c r="H58">
        <f>C58*(T/298.15)+(1-T/298.15)*D58</f>
        <v>-915.9</v>
      </c>
      <c r="I58">
        <f>-R.*T/1000*E58^2*alpha*Iterm</f>
        <v>0</v>
      </c>
      <c r="J58">
        <f t="shared" si="2"/>
        <v>0</v>
      </c>
      <c r="K58" s="7">
        <f>H58+I58-F58*$H$23-G58*$H$22</f>
        <v>-426.70814691727753</v>
      </c>
      <c r="L58" s="7">
        <f t="shared" si="4"/>
        <v>-1267.1331048519464</v>
      </c>
    </row>
    <row r="59" spans="1:12" x14ac:dyDescent="0.2">
      <c r="B59" s="4" t="s">
        <v>74</v>
      </c>
      <c r="C59">
        <v>-1763.94</v>
      </c>
      <c r="D59">
        <v>-2276.44</v>
      </c>
      <c r="E59">
        <v>-2</v>
      </c>
      <c r="F59">
        <v>11</v>
      </c>
      <c r="G59">
        <v>0</v>
      </c>
      <c r="H59">
        <f t="shared" si="0"/>
        <v>-1763.94</v>
      </c>
      <c r="I59">
        <f t="shared" si="1"/>
        <v>-3.2387741618390398</v>
      </c>
      <c r="J59">
        <f t="shared" si="2"/>
        <v>1.6477016173154893</v>
      </c>
      <c r="K59" s="7">
        <f t="shared" si="3"/>
        <v>-1318.7529088360102</v>
      </c>
      <c r="L59" s="7">
        <f t="shared" si="4"/>
        <v>-2279.3234778303022</v>
      </c>
    </row>
    <row r="60" spans="1:12" x14ac:dyDescent="0.2">
      <c r="B60" s="4" t="s">
        <v>57</v>
      </c>
      <c r="C60">
        <v>-1800.59</v>
      </c>
      <c r="D60">
        <v>-2274.64</v>
      </c>
      <c r="E60">
        <v>-1</v>
      </c>
      <c r="F60">
        <v>12</v>
      </c>
      <c r="G60">
        <v>0</v>
      </c>
      <c r="H60">
        <f t="shared" si="0"/>
        <v>-1800.59</v>
      </c>
      <c r="I60">
        <f t="shared" si="1"/>
        <v>-0.80969354045975994</v>
      </c>
      <c r="J60">
        <f t="shared" si="2"/>
        <v>0.41192540432887231</v>
      </c>
      <c r="K60" s="7">
        <f t="shared" si="3"/>
        <v>-1312.2078404577371</v>
      </c>
      <c r="L60" s="7">
        <f t="shared" si="4"/>
        <v>-2279.1711794476173</v>
      </c>
    </row>
    <row r="61" spans="1:12" x14ac:dyDescent="0.2">
      <c r="B61" s="4" t="s">
        <v>17</v>
      </c>
      <c r="C61">
        <v>-903.5</v>
      </c>
      <c r="E61">
        <v>0</v>
      </c>
      <c r="F61">
        <v>10</v>
      </c>
      <c r="G61">
        <v>0</v>
      </c>
      <c r="H61">
        <f>C61*(T/298.15)+(1-T/298.15)*D61</f>
        <v>-903.5</v>
      </c>
      <c r="I61">
        <f>-R.*T/1000*E61^2*alpha*Iterm</f>
        <v>0</v>
      </c>
      <c r="J61">
        <f t="shared" si="2"/>
        <v>0</v>
      </c>
      <c r="K61" s="7">
        <f>H61+I61-F61*$H$23-G61*$H$22</f>
        <v>-495.84012243106463</v>
      </c>
      <c r="L61" s="7">
        <f t="shared" si="4"/>
        <v>-4.1192540432887235</v>
      </c>
    </row>
    <row r="62" spans="1:12" x14ac:dyDescent="0.2">
      <c r="B62" s="4" t="s">
        <v>19</v>
      </c>
      <c r="C62">
        <v>-237.19</v>
      </c>
      <c r="D62">
        <v>-285.83</v>
      </c>
      <c r="E62">
        <v>0</v>
      </c>
      <c r="F62">
        <v>2</v>
      </c>
      <c r="G62">
        <v>0</v>
      </c>
      <c r="H62">
        <f t="shared" si="0"/>
        <v>-237.19</v>
      </c>
      <c r="I62">
        <f t="shared" si="1"/>
        <v>0</v>
      </c>
      <c r="J62">
        <f t="shared" si="2"/>
        <v>0</v>
      </c>
      <c r="K62" s="7">
        <f t="shared" si="3"/>
        <v>-155.65802448621292</v>
      </c>
      <c r="L62" s="7">
        <f t="shared" si="4"/>
        <v>-286.65385080865775</v>
      </c>
    </row>
    <row r="63" spans="1:12" x14ac:dyDescent="0.2">
      <c r="A63" s="17"/>
      <c r="B63" s="17" t="s">
        <v>18</v>
      </c>
      <c r="C63" s="17">
        <v>-134.03</v>
      </c>
      <c r="D63" s="17">
        <v>-191.17</v>
      </c>
      <c r="E63" s="17">
        <v>0</v>
      </c>
      <c r="F63" s="17">
        <v>2</v>
      </c>
      <c r="G63" s="17">
        <v>0</v>
      </c>
      <c r="H63" s="17">
        <f>C63*(T/298.15)+(1-T/298.15)*D63</f>
        <v>-134.03</v>
      </c>
      <c r="I63" s="17">
        <f>-R.*T/1000*E63^2*alpha*Iterm</f>
        <v>0</v>
      </c>
      <c r="J63">
        <f t="shared" si="2"/>
        <v>0</v>
      </c>
      <c r="K63" s="18">
        <f>H63+I63-F63*$H$23-G63*$H$22</f>
        <v>-52.498024486212927</v>
      </c>
      <c r="L63" s="7">
        <f t="shared" si="4"/>
        <v>-191.99385080865773</v>
      </c>
    </row>
    <row r="64" spans="1:12" x14ac:dyDescent="0.2">
      <c r="B64" s="4" t="s">
        <v>58</v>
      </c>
      <c r="C64">
        <v>-1096.0999999999999</v>
      </c>
      <c r="D64">
        <v>-1299</v>
      </c>
      <c r="E64">
        <v>-2</v>
      </c>
      <c r="F64">
        <v>1</v>
      </c>
      <c r="G64">
        <v>0</v>
      </c>
      <c r="H64">
        <f t="shared" si="0"/>
        <v>-1096.0999999999999</v>
      </c>
      <c r="I64">
        <f t="shared" si="1"/>
        <v>-3.2387741618390398</v>
      </c>
      <c r="J64">
        <f t="shared" si="2"/>
        <v>1.6477016173154893</v>
      </c>
      <c r="K64" s="7">
        <f t="shared" si="3"/>
        <v>-1058.5727864049454</v>
      </c>
      <c r="L64" s="7">
        <f t="shared" si="4"/>
        <v>-1297.7642237870134</v>
      </c>
    </row>
    <row r="65" spans="1:12" x14ac:dyDescent="0.2">
      <c r="B65" s="4" t="s">
        <v>66</v>
      </c>
      <c r="C65">
        <v>-1137.3</v>
      </c>
      <c r="D65">
        <v>-1302.5999999999999</v>
      </c>
      <c r="E65">
        <v>-1</v>
      </c>
      <c r="F65">
        <v>2</v>
      </c>
      <c r="G65">
        <v>0</v>
      </c>
      <c r="H65">
        <f t="shared" si="0"/>
        <v>-1137.3</v>
      </c>
      <c r="I65">
        <f t="shared" si="1"/>
        <v>-0.80969354045975994</v>
      </c>
      <c r="J65">
        <f t="shared" si="2"/>
        <v>0.41192540432887231</v>
      </c>
      <c r="K65" s="7">
        <f t="shared" si="3"/>
        <v>-1056.5777180266725</v>
      </c>
      <c r="L65" s="7">
        <f t="shared" si="4"/>
        <v>-1303.0119254043286</v>
      </c>
    </row>
    <row r="66" spans="1:12" x14ac:dyDescent="0.2">
      <c r="A66" s="2"/>
      <c r="B66" s="3" t="s">
        <v>55</v>
      </c>
      <c r="C66" s="2">
        <v>-472.27</v>
      </c>
      <c r="D66" s="2">
        <v>-596.22</v>
      </c>
      <c r="E66" s="2">
        <v>-1</v>
      </c>
      <c r="F66" s="2">
        <v>3</v>
      </c>
      <c r="G66" s="2">
        <v>0</v>
      </c>
      <c r="H66" s="2">
        <f t="shared" si="0"/>
        <v>-472.27</v>
      </c>
      <c r="I66" s="2">
        <f t="shared" si="1"/>
        <v>-0.80969354045975994</v>
      </c>
      <c r="J66" s="2">
        <f t="shared" si="2"/>
        <v>0.41192540432887231</v>
      </c>
      <c r="K66" s="8">
        <f t="shared" si="3"/>
        <v>-350.78173026977913</v>
      </c>
      <c r="L66" s="8">
        <f t="shared" si="4"/>
        <v>-597.04385080865779</v>
      </c>
    </row>
    <row r="73" spans="1:12" x14ac:dyDescent="0.2">
      <c r="A73" t="s">
        <v>21</v>
      </c>
    </row>
    <row r="74" spans="1:12" x14ac:dyDescent="0.2">
      <c r="A74" t="s">
        <v>64</v>
      </c>
    </row>
    <row r="75" spans="1:12" x14ac:dyDescent="0.2">
      <c r="A75" s="5">
        <v>40853</v>
      </c>
    </row>
  </sheetData>
  <sheetProtection sheet="1" objects="1" scenarios="1"/>
  <phoneticPr fontId="5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Instructions</vt:lpstr>
      <vt:lpstr>GprimeCalc</vt:lpstr>
      <vt:lpstr>alpha</vt:lpstr>
      <vt:lpstr>dadT</vt:lpstr>
      <vt:lpstr>I</vt:lpstr>
      <vt:lpstr>Iterm</vt:lpstr>
      <vt:lpstr>pH</vt:lpstr>
      <vt:lpstr>pMg</vt:lpstr>
      <vt:lpstr>R.</vt:lpstr>
      <vt:lpstr>T</vt:lpstr>
    </vt:vector>
  </TitlesOfParts>
  <Company>Michigan State University College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Carl Lira</cp:lastModifiedBy>
  <dcterms:created xsi:type="dcterms:W3CDTF">2011-10-31T23:50:14Z</dcterms:created>
  <dcterms:modified xsi:type="dcterms:W3CDTF">2012-02-05T03:22:43Z</dcterms:modified>
</cp:coreProperties>
</file>