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375" yWindow="90" windowWidth="9720" windowHeight="5685" tabRatio="596"/>
  </bookViews>
  <sheets>
    <sheet name="Instructions" sheetId="1" r:id="rId1"/>
    <sheet name="Kvalues" sheetId="6" r:id="rId2"/>
    <sheet name="Vapor" sheetId="2" r:id="rId3"/>
    <sheet name="Liquid" sheetId="10" r:id="rId4"/>
    <sheet name="rev." sheetId="11" r:id="rId5"/>
  </sheets>
  <definedNames>
    <definedName name="_R" localSheetId="3">Liquid!$S$18</definedName>
    <definedName name="_R">Vapor!$S$18</definedName>
    <definedName name="A" localSheetId="3">Liquid!$T$15</definedName>
    <definedName name="A" localSheetId="2">Vapor!$T$15</definedName>
    <definedName name="A">#REF!</definedName>
    <definedName name="ac" localSheetId="3">Liquid!$F$23:$F$27</definedName>
    <definedName name="ac">Vapor!$F$23:$F$27</definedName>
    <definedName name="Ai" localSheetId="3">Liquid!$I$23:$I$27</definedName>
    <definedName name="Ai">Vapor!$I$23:$I$27</definedName>
    <definedName name="alpha" localSheetId="3">Liquid!$E$23:$E$27</definedName>
    <definedName name="alpha">Vapor!$E$23:$E$27</definedName>
    <definedName name="Amatrix" localSheetId="3">Liquid!$K$23:$O$27</definedName>
    <definedName name="Amatrix">Vapor!$K$23:$O$27</definedName>
    <definedName name="B" localSheetId="3">Liquid!$T$16</definedName>
    <definedName name="B" localSheetId="2">Vapor!$T$16</definedName>
    <definedName name="B">#REF!</definedName>
    <definedName name="Bi" localSheetId="3">Liquid!$J$23:$J$27</definedName>
    <definedName name="Bi">Vapor!$J$23:$J$27</definedName>
    <definedName name="dAmatrix">Vapor!$R$23:$V$27</definedName>
    <definedName name="kappa" localSheetId="3">Liquid!$D$23:$D$27</definedName>
    <definedName name="kappa">Vapor!$D$23:$D$27</definedName>
    <definedName name="nStages">#REF!</definedName>
    <definedName name="P" localSheetId="3">Liquid!$B$15</definedName>
    <definedName name="P" localSheetId="2">Vapor!$B$15</definedName>
    <definedName name="P">#REF!</definedName>
    <definedName name="Pc" localSheetId="3">Liquid!$D$7:$D$11</definedName>
    <definedName name="Pc">Vapor!$D$7:$D$11</definedName>
    <definedName name="Pr" localSheetId="3">Liquid!$C$23:$C$27</definedName>
    <definedName name="Pr">Vapor!$C$23:$C$27</definedName>
    <definedName name="q" localSheetId="3">Liquid!$E$32</definedName>
    <definedName name="q">Vapor!$E$32</definedName>
    <definedName name="solver_adj" localSheetId="1" hidden="1">Kvalues!$B$11</definedName>
    <definedName name="solver_adj" localSheetId="3" hidden="1">Liquid!$B$14</definedName>
    <definedName name="solver_adj" localSheetId="2" hidden="1">Vapor!$B$14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100</definedName>
    <definedName name="solver_lhs1" localSheetId="3" hidden="1">Liquid!$B$14</definedName>
    <definedName name="solver_lhs1" localSheetId="2" hidden="1">Vapor!$B$14</definedName>
    <definedName name="solver_lin" localSheetId="1" hidden="1">2</definedName>
    <definedName name="solver_lin" localSheetId="3" hidden="1">0</definedName>
    <definedName name="solver_lin" localSheetId="2" hidden="1">0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um" localSheetId="3" hidden="1">1</definedName>
    <definedName name="solver_num" localSheetId="2" hidden="1">1</definedName>
    <definedName name="solver_nwt" localSheetId="0" hidden="1">1</definedName>
    <definedName name="solver_nwt" localSheetId="1" hidden="1">1</definedName>
    <definedName name="solver_opt" localSheetId="0" hidden="1">Instructions!$B$2</definedName>
    <definedName name="solver_opt" localSheetId="1" hidden="1">Kvalues!$I$19</definedName>
    <definedName name="solver_opt" localSheetId="3" hidden="1">Liquid!#REF!</definedName>
    <definedName name="solver_opt" localSheetId="2" hidden="1">Vapor!#REF!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3" hidden="1">1</definedName>
    <definedName name="solver_rel1" localSheetId="2" hidden="1">1</definedName>
    <definedName name="solver_rhs1" localSheetId="3" hidden="1">Liquid!#REF!</definedName>
    <definedName name="solver_rhs1" localSheetId="2" hidden="1">Vapor!#REF!</definedName>
    <definedName name="solver_rlx" localSheetId="0" hidden="1">2</definedName>
    <definedName name="solver_rlx" localSheetId="1" hidden="1">1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100</definedName>
    <definedName name="solver_tol" localSheetId="0" hidden="1">0.01</definedName>
    <definedName name="solver_tol" localSheetId="1" hidden="1">0.05</definedName>
    <definedName name="solver_typ" localSheetId="0" hidden="1">1</definedName>
    <definedName name="solver_typ" localSheetId="1" hidden="1">3</definedName>
    <definedName name="solver_typ" localSheetId="3" hidden="1">3</definedName>
    <definedName name="solver_typ" localSheetId="2" hidden="1">3</definedName>
    <definedName name="solver_val" localSheetId="0" hidden="1">0</definedName>
    <definedName name="solver_val" localSheetId="1" hidden="1">1</definedName>
    <definedName name="solver_val" localSheetId="3" hidden="1">1</definedName>
    <definedName name="solver_val" localSheetId="2" hidden="1">1</definedName>
    <definedName name="solver_ver" localSheetId="0" hidden="1">3</definedName>
    <definedName name="solver_ver" localSheetId="1" hidden="1">3</definedName>
    <definedName name="T" localSheetId="3">Liquid!$B$14</definedName>
    <definedName name="T">Vapor!$B$14</definedName>
    <definedName name="Tc" localSheetId="3">Liquid!$C$7:$C$11</definedName>
    <definedName name="Tc">Vapor!$C$7:$C$11</definedName>
    <definedName name="totLiqIn">#REF!</definedName>
    <definedName name="totVapIn">#REF!</definedName>
    <definedName name="Tr" localSheetId="3">Liquid!$B$23:$B$27</definedName>
    <definedName name="Tr">Vapor!$B$23:$B$27</definedName>
    <definedName name="w" localSheetId="3">Liquid!$E$7:$E$11</definedName>
    <definedName name="w">Vapor!$E$7:$E$11</definedName>
    <definedName name="Z" localSheetId="3">Liquid!$C$16:$C$19</definedName>
    <definedName name="Z" localSheetId="2">Vapor!$C$16:$C$19</definedName>
    <definedName name="Z">#REF!</definedName>
    <definedName name="zi" localSheetId="3">Liquid!$B$7:$B$11</definedName>
    <definedName name="zi">Vapor!$B$7:$B$11</definedName>
  </definedNames>
  <calcPr calcId="145621" iterate="1"/>
</workbook>
</file>

<file path=xl/calcChain.xml><?xml version="1.0" encoding="utf-8"?>
<calcChain xmlns="http://schemas.openxmlformats.org/spreadsheetml/2006/main">
  <c r="N27" i="10" l="1"/>
  <c r="N27" i="2"/>
  <c r="D8" i="10" l="1"/>
  <c r="E8" i="10"/>
  <c r="D24" i="10"/>
  <c r="C8" i="10"/>
  <c r="D7" i="2"/>
  <c r="E7" i="10"/>
  <c r="D23" i="10" s="1"/>
  <c r="C7" i="10"/>
  <c r="D9" i="2"/>
  <c r="E9" i="10"/>
  <c r="D25" i="10"/>
  <c r="C10" i="10"/>
  <c r="H26" i="10" s="1"/>
  <c r="D10" i="10"/>
  <c r="E10" i="10"/>
  <c r="D26" i="10"/>
  <c r="C11" i="10"/>
  <c r="D11" i="2"/>
  <c r="H27" i="2" s="1"/>
  <c r="F8" i="10"/>
  <c r="F10" i="10"/>
  <c r="B14" i="10"/>
  <c r="B23" i="10" a="1"/>
  <c r="D7" i="10"/>
  <c r="B15" i="10"/>
  <c r="F8" i="2"/>
  <c r="B14" i="2"/>
  <c r="B26" i="2" s="1"/>
  <c r="B23" i="2" a="1"/>
  <c r="B15" i="2"/>
  <c r="D8" i="2"/>
  <c r="F10" i="2"/>
  <c r="C9" i="10"/>
  <c r="F25" i="10" s="1"/>
  <c r="A8" i="2"/>
  <c r="G6" i="2" s="1"/>
  <c r="A9" i="2"/>
  <c r="H15" i="2" s="1"/>
  <c r="M22" i="2"/>
  <c r="T22" i="2" s="1"/>
  <c r="A10" i="2"/>
  <c r="N22" i="2"/>
  <c r="U22" i="2"/>
  <c r="A11" i="2"/>
  <c r="O22" i="2"/>
  <c r="V22" i="2"/>
  <c r="A7" i="2"/>
  <c r="E2" i="6"/>
  <c r="F2" i="6"/>
  <c r="G2" i="6"/>
  <c r="H2" i="6"/>
  <c r="I2" i="6"/>
  <c r="A14" i="6"/>
  <c r="A15" i="6"/>
  <c r="A16" i="6"/>
  <c r="A17" i="6"/>
  <c r="A18" i="6"/>
  <c r="A11" i="10"/>
  <c r="O22" i="10"/>
  <c r="A10" i="10"/>
  <c r="I6" i="10"/>
  <c r="A9" i="10"/>
  <c r="H15" i="10" s="1"/>
  <c r="M15" i="10"/>
  <c r="A8" i="10"/>
  <c r="G15" i="10" s="1"/>
  <c r="A7" i="10"/>
  <c r="A23" i="10" s="1"/>
  <c r="I11" i="10"/>
  <c r="H11" i="10"/>
  <c r="G11" i="10"/>
  <c r="F11" i="10"/>
  <c r="H10" i="10"/>
  <c r="G10" i="10"/>
  <c r="G9" i="10"/>
  <c r="F9" i="10"/>
  <c r="G10" i="2"/>
  <c r="H10" i="2"/>
  <c r="G9" i="2"/>
  <c r="G11" i="2"/>
  <c r="H11" i="2"/>
  <c r="I11" i="2"/>
  <c r="F9" i="2"/>
  <c r="F11" i="2"/>
  <c r="D9" i="10"/>
  <c r="F23" i="10" a="1"/>
  <c r="J15" i="10"/>
  <c r="C23" i="10" a="1"/>
  <c r="C9" i="2"/>
  <c r="H25" i="2" s="1"/>
  <c r="H23" i="2" a="1"/>
  <c r="J23" i="2" a="1"/>
  <c r="H23" i="10" a="1"/>
  <c r="E7" i="2"/>
  <c r="D23" i="2" s="1"/>
  <c r="D23" i="2" a="1"/>
  <c r="F23" i="2" a="1"/>
  <c r="C23" i="2" a="1"/>
  <c r="D23" i="10" a="1"/>
  <c r="J23" i="10" a="1"/>
  <c r="E23" i="10" a="1"/>
  <c r="E23" i="2" a="1"/>
  <c r="G23" i="10" a="1"/>
  <c r="G23" i="2" a="1"/>
  <c r="I23" i="2" a="1"/>
  <c r="I23" i="10" a="1"/>
  <c r="T16" i="2" a="1"/>
  <c r="T16" i="10" a="1"/>
  <c r="D11" i="10"/>
  <c r="C10" i="2"/>
  <c r="H26" i="2" s="1"/>
  <c r="I15" i="10"/>
  <c r="A27" i="10"/>
  <c r="E9" i="2"/>
  <c r="D25" i="2"/>
  <c r="J6" i="10"/>
  <c r="G15" i="2"/>
  <c r="A26" i="10"/>
  <c r="C18" i="6"/>
  <c r="D18" i="6" s="1"/>
  <c r="J15" i="2"/>
  <c r="E8" i="2"/>
  <c r="D24" i="2" s="1"/>
  <c r="C7" i="2"/>
  <c r="F23" i="2" s="1"/>
  <c r="A27" i="2"/>
  <c r="I6" i="2"/>
  <c r="L15" i="10"/>
  <c r="J6" i="2"/>
  <c r="H25" i="10"/>
  <c r="A26" i="2"/>
  <c r="I15" i="2"/>
  <c r="A25" i="10"/>
  <c r="N22" i="10"/>
  <c r="E10" i="2"/>
  <c r="D26" i="2" s="1"/>
  <c r="C16" i="6"/>
  <c r="D16" i="6" s="1"/>
  <c r="C15" i="6"/>
  <c r="D15" i="6" s="1"/>
  <c r="F6" i="2"/>
  <c r="H6" i="2"/>
  <c r="C14" i="6"/>
  <c r="D14" i="6" s="1"/>
  <c r="E14" i="6" s="1"/>
  <c r="F26" i="10"/>
  <c r="F27" i="10"/>
  <c r="E11" i="10"/>
  <c r="D27" i="10" s="1"/>
  <c r="L15" i="2"/>
  <c r="C11" i="2"/>
  <c r="F27" i="2" s="1"/>
  <c r="K22" i="10"/>
  <c r="L22" i="2"/>
  <c r="S22" i="2" s="1"/>
  <c r="C8" i="2"/>
  <c r="H24" i="2" s="1"/>
  <c r="C17" i="6"/>
  <c r="D17" i="6" s="1"/>
  <c r="E17" i="6" s="1"/>
  <c r="D10" i="2"/>
  <c r="E11" i="2"/>
  <c r="D27" i="2" s="1"/>
  <c r="H27" i="10"/>
  <c r="F26" i="2"/>
  <c r="F24" i="2"/>
  <c r="B27" i="2" l="1"/>
  <c r="E27" i="2" s="1"/>
  <c r="P27" i="2" s="1"/>
  <c r="C27" i="10"/>
  <c r="A24" i="2"/>
  <c r="B24" i="10"/>
  <c r="H24" i="10"/>
  <c r="B27" i="10"/>
  <c r="E27" i="10" s="1"/>
  <c r="G27" i="10" s="1"/>
  <c r="I27" i="10" s="1"/>
  <c r="O27" i="10" s="1"/>
  <c r="B26" i="10"/>
  <c r="E26" i="10" s="1"/>
  <c r="P26" i="10" s="1"/>
  <c r="B25" i="10"/>
  <c r="E25" i="10" s="1"/>
  <c r="G25" i="10" s="1"/>
  <c r="I25" i="10" s="1"/>
  <c r="B23" i="10"/>
  <c r="E23" i="10" s="1"/>
  <c r="J25" i="10"/>
  <c r="A24" i="10"/>
  <c r="G6" i="10"/>
  <c r="L22" i="10"/>
  <c r="H23" i="2"/>
  <c r="J23" i="2" s="1"/>
  <c r="E26" i="2"/>
  <c r="G26" i="2" s="1"/>
  <c r="I26" i="2" s="1"/>
  <c r="N26" i="2" s="1"/>
  <c r="F25" i="2"/>
  <c r="H6" i="10"/>
  <c r="M22" i="10"/>
  <c r="B25" i="2"/>
  <c r="E25" i="2" s="1"/>
  <c r="A25" i="2"/>
  <c r="M15" i="2"/>
  <c r="B24" i="2"/>
  <c r="E24" i="2" s="1"/>
  <c r="C24" i="2"/>
  <c r="F24" i="10"/>
  <c r="B23" i="2"/>
  <c r="E23" i="2" s="1"/>
  <c r="P23" i="2" s="1"/>
  <c r="J25" i="2"/>
  <c r="J27" i="2"/>
  <c r="C26" i="10"/>
  <c r="J27" i="10"/>
  <c r="C27" i="2"/>
  <c r="C23" i="10"/>
  <c r="J24" i="2"/>
  <c r="E16" i="6"/>
  <c r="F16" i="6" s="1"/>
  <c r="C23" i="2"/>
  <c r="J24" i="10"/>
  <c r="C26" i="2"/>
  <c r="J26" i="2"/>
  <c r="E18" i="6"/>
  <c r="J26" i="10"/>
  <c r="C25" i="2"/>
  <c r="C25" i="10"/>
  <c r="E15" i="6"/>
  <c r="F15" i="6" s="1"/>
  <c r="F17" i="6"/>
  <c r="F14" i="6"/>
  <c r="C24" i="10"/>
  <c r="D19" i="6"/>
  <c r="E24" i="10"/>
  <c r="K15" i="2"/>
  <c r="A23" i="2"/>
  <c r="K22" i="2"/>
  <c r="R22" i="2" s="1"/>
  <c r="F23" i="10"/>
  <c r="H23" i="10"/>
  <c r="J23" i="10" s="1"/>
  <c r="F15" i="2"/>
  <c r="K15" i="10"/>
  <c r="F15" i="10"/>
  <c r="F6" i="10"/>
  <c r="G27" i="2" l="1"/>
  <c r="I27" i="2" s="1"/>
  <c r="O27" i="2" s="1"/>
  <c r="V27" i="2" s="1"/>
  <c r="G23" i="10"/>
  <c r="I23" i="10" s="1"/>
  <c r="K23" i="10" s="1"/>
  <c r="P23" i="10"/>
  <c r="G26" i="10"/>
  <c r="I26" i="10" s="1"/>
  <c r="N26" i="10" s="1"/>
  <c r="G24" i="10"/>
  <c r="I24" i="10" s="1"/>
  <c r="L24" i="10" s="1"/>
  <c r="G25" i="2"/>
  <c r="I25" i="2" s="1"/>
  <c r="P26" i="2"/>
  <c r="U26" i="2" s="1"/>
  <c r="P27" i="10"/>
  <c r="E19" i="6"/>
  <c r="F18" i="6"/>
  <c r="F19" i="6" s="1"/>
  <c r="P25" i="2"/>
  <c r="G23" i="2"/>
  <c r="I23" i="2" s="1"/>
  <c r="K26" i="2" s="1"/>
  <c r="P24" i="10"/>
  <c r="P25" i="10"/>
  <c r="M27" i="10"/>
  <c r="O25" i="10" s="1"/>
  <c r="M25" i="10"/>
  <c r="G24" i="2"/>
  <c r="I24" i="2" s="1"/>
  <c r="P24" i="2"/>
  <c r="M27" i="2" l="1"/>
  <c r="T27" i="2" s="1"/>
  <c r="K26" i="10"/>
  <c r="N23" i="10" s="1"/>
  <c r="K25" i="10"/>
  <c r="M23" i="10" s="1"/>
  <c r="K27" i="10"/>
  <c r="O23" i="10" s="1"/>
  <c r="O26" i="10"/>
  <c r="M26" i="10"/>
  <c r="N25" i="10" s="1"/>
  <c r="L25" i="10"/>
  <c r="M24" i="10" s="1"/>
  <c r="O26" i="2"/>
  <c r="V26" i="2" s="1"/>
  <c r="K24" i="10"/>
  <c r="L23" i="10" s="1"/>
  <c r="L26" i="10"/>
  <c r="N24" i="10" s="1"/>
  <c r="L27" i="10"/>
  <c r="O24" i="10" s="1"/>
  <c r="M25" i="2"/>
  <c r="T25" i="2" s="1"/>
  <c r="M26" i="2"/>
  <c r="T26" i="2" s="1"/>
  <c r="K24" i="2"/>
  <c r="R24" i="2" s="1"/>
  <c r="K23" i="2"/>
  <c r="R23" i="2" s="1"/>
  <c r="K27" i="2"/>
  <c r="R27" i="2" s="1"/>
  <c r="K25" i="2"/>
  <c r="M23" i="2" s="1"/>
  <c r="T23" i="2" s="1"/>
  <c r="N23" i="2"/>
  <c r="U23" i="2" s="1"/>
  <c r="R26" i="2"/>
  <c r="L26" i="2"/>
  <c r="L27" i="2"/>
  <c r="L25" i="2"/>
  <c r="L24" i="2"/>
  <c r="S24" i="2" s="1"/>
  <c r="O25" i="2" l="1"/>
  <c r="V25" i="2" s="1"/>
  <c r="U27" i="2"/>
  <c r="N25" i="2"/>
  <c r="U25" i="2" s="1"/>
  <c r="L23" i="2"/>
  <c r="S23" i="2" s="1"/>
  <c r="R25" i="2"/>
  <c r="O23" i="2"/>
  <c r="V23" i="2" s="1"/>
  <c r="M24" i="2"/>
  <c r="S25" i="2"/>
  <c r="S27" i="2"/>
  <c r="O24" i="2"/>
  <c r="V24" i="2" s="1"/>
  <c r="S26" i="2"/>
  <c r="N24" i="2"/>
  <c r="U24" i="2" s="1"/>
  <c r="T24" i="2" l="1"/>
  <c r="H14" i="6"/>
  <c r="I14" i="6" s="1"/>
  <c r="J14" i="6" s="1"/>
  <c r="H15" i="6"/>
  <c r="I15" i="6" s="1"/>
  <c r="J15" i="6" l="1"/>
  <c r="H16" i="6"/>
  <c r="I16" i="6" s="1"/>
  <c r="H17" i="6"/>
  <c r="I17" i="6" s="1"/>
  <c r="H18" i="6"/>
  <c r="I18" i="6" s="1"/>
  <c r="J17" i="6" l="1"/>
  <c r="H19" i="6"/>
  <c r="B8" i="10" s="1"/>
  <c r="I19" i="6"/>
  <c r="B9" i="2" s="1"/>
  <c r="J18" i="6"/>
  <c r="J16" i="6"/>
  <c r="B10" i="10"/>
  <c r="B9" i="10"/>
  <c r="B11" i="10" l="1"/>
  <c r="B10" i="2"/>
  <c r="B7" i="10"/>
  <c r="B8" i="2"/>
  <c r="B11" i="2"/>
  <c r="B7" i="2"/>
  <c r="J19" i="6"/>
  <c r="T15" i="10" l="1" a="1"/>
  <c r="T15" i="10" s="1"/>
  <c r="T16" i="10"/>
  <c r="T19" i="10" a="1"/>
  <c r="T19" i="10" s="1"/>
  <c r="T15" i="2" a="1"/>
  <c r="T15" i="2" s="1"/>
  <c r="T19" i="2" a="1"/>
  <c r="T19" i="2" s="1"/>
  <c r="T16" i="2"/>
  <c r="A32" i="2" s="1"/>
  <c r="C32" i="10" l="1"/>
  <c r="A32" i="10"/>
  <c r="B32" i="10"/>
  <c r="C32" i="2"/>
  <c r="B32" i="2"/>
  <c r="D32" i="2" s="1"/>
  <c r="A40" i="2" s="1"/>
  <c r="E32" i="10" l="1"/>
  <c r="D32" i="10"/>
  <c r="A40" i="10" s="1"/>
  <c r="E32" i="2"/>
  <c r="H30" i="2" s="1"/>
  <c r="A36" i="2" s="1"/>
  <c r="H30" i="10" l="1"/>
  <c r="B36" i="10" s="1"/>
  <c r="B40" i="10"/>
  <c r="C40" i="10" s="1"/>
  <c r="D40" i="10" s="1"/>
  <c r="E40" i="10" s="1"/>
  <c r="C16" i="10" s="1"/>
  <c r="R16" i="10" s="1"/>
  <c r="B40" i="2"/>
  <c r="C40" i="2" s="1"/>
  <c r="D40" i="2" s="1"/>
  <c r="E40" i="2" s="1"/>
  <c r="C16" i="2" s="1"/>
  <c r="B36" i="2"/>
  <c r="C36" i="2" s="1"/>
  <c r="C19" i="2" s="1"/>
  <c r="P16" i="10" l="1"/>
  <c r="Q16" i="10" s="1"/>
  <c r="V16" i="10" s="1"/>
  <c r="E16" i="10"/>
  <c r="A36" i="10"/>
  <c r="C36" i="10" s="1"/>
  <c r="C19" i="10" s="1"/>
  <c r="D19" i="10" s="1"/>
  <c r="G40" i="10"/>
  <c r="C18" i="10" s="1"/>
  <c r="D18" i="10" s="1"/>
  <c r="G40" i="2"/>
  <c r="C18" i="2" s="1"/>
  <c r="D18" i="2" s="1"/>
  <c r="F40" i="2"/>
  <c r="C17" i="2" s="1"/>
  <c r="D17" i="2" s="1"/>
  <c r="F40" i="10"/>
  <c r="C17" i="10" s="1"/>
  <c r="D17" i="10" s="1"/>
  <c r="D16" i="10"/>
  <c r="F16" i="10" a="1"/>
  <c r="G16" i="10" s="1"/>
  <c r="L16" i="10" s="1"/>
  <c r="R19" i="2"/>
  <c r="E19" i="2"/>
  <c r="P19" i="2"/>
  <c r="D19" i="2"/>
  <c r="F19" i="2" a="1"/>
  <c r="D16" i="2"/>
  <c r="P16" i="2"/>
  <c r="R16" i="2"/>
  <c r="E16" i="2"/>
  <c r="F16" i="2" a="1"/>
  <c r="P18" i="2" l="1"/>
  <c r="E18" i="2"/>
  <c r="R18" i="2"/>
  <c r="U16" i="10"/>
  <c r="F18" i="2" a="1"/>
  <c r="H18" i="2" s="1"/>
  <c r="M18" i="2" s="1"/>
  <c r="P19" i="10"/>
  <c r="E19" i="10"/>
  <c r="R18" i="10"/>
  <c r="F19" i="10" a="1"/>
  <c r="I19" i="10" s="1"/>
  <c r="R19" i="10"/>
  <c r="Q19" i="10" s="1"/>
  <c r="P18" i="10"/>
  <c r="U18" i="10" s="1"/>
  <c r="I16" i="10"/>
  <c r="N16" i="10" s="1"/>
  <c r="E18" i="10"/>
  <c r="F18" i="10" a="1"/>
  <c r="H16" i="10"/>
  <c r="M16" i="10" s="1"/>
  <c r="F16" i="10"/>
  <c r="K16" i="10" s="1"/>
  <c r="J16" i="10"/>
  <c r="O16" i="10" s="1"/>
  <c r="F16" i="2"/>
  <c r="K16" i="2" s="1"/>
  <c r="J16" i="2"/>
  <c r="O16" i="2" s="1"/>
  <c r="G16" i="2"/>
  <c r="L16" i="2" s="1"/>
  <c r="H16" i="2"/>
  <c r="M16" i="2" s="1"/>
  <c r="I16" i="2"/>
  <c r="N16" i="2" s="1"/>
  <c r="F19" i="2"/>
  <c r="K19" i="2" s="1"/>
  <c r="I19" i="2"/>
  <c r="N19" i="2" s="1"/>
  <c r="J19" i="2"/>
  <c r="O19" i="2" s="1"/>
  <c r="G19" i="2"/>
  <c r="L19" i="2" s="1"/>
  <c r="H19" i="2"/>
  <c r="M19" i="2" s="1"/>
  <c r="Q16" i="2"/>
  <c r="Q19" i="2"/>
  <c r="Q18" i="2" l="1"/>
  <c r="F18" i="2"/>
  <c r="K18" i="2" s="1"/>
  <c r="G18" i="2"/>
  <c r="L18" i="2" s="1"/>
  <c r="I18" i="2"/>
  <c r="N18" i="2" s="1"/>
  <c r="J18" i="2"/>
  <c r="O18" i="2" s="1"/>
  <c r="J19" i="10"/>
  <c r="O19" i="10" s="1"/>
  <c r="F19" i="10"/>
  <c r="K19" i="10" s="1"/>
  <c r="H19" i="10"/>
  <c r="M19" i="10" s="1"/>
  <c r="J18" i="10"/>
  <c r="O18" i="10" s="1"/>
  <c r="G18" i="10"/>
  <c r="L15" i="6" s="1"/>
  <c r="I18" i="10"/>
  <c r="N18" i="10" s="1"/>
  <c r="H18" i="10"/>
  <c r="M18" i="10" s="1"/>
  <c r="F18" i="10"/>
  <c r="K18" i="10" s="1"/>
  <c r="G19" i="10"/>
  <c r="N15" i="6" s="1"/>
  <c r="Q18" i="10"/>
  <c r="V18" i="10" s="1"/>
  <c r="M17" i="6"/>
  <c r="N17" i="6"/>
  <c r="N19" i="10"/>
  <c r="N14" i="6" l="1"/>
  <c r="L19" i="10"/>
  <c r="L14" i="6"/>
  <c r="L18" i="6"/>
  <c r="L17" i="6"/>
  <c r="M15" i="6"/>
  <c r="N18" i="6"/>
  <c r="M16" i="6"/>
  <c r="M18" i="6"/>
  <c r="K18" i="6"/>
  <c r="K14" i="6"/>
  <c r="K16" i="6"/>
  <c r="M14" i="6"/>
  <c r="N16" i="6"/>
  <c r="K17" i="6"/>
  <c r="L16" i="6"/>
  <c r="K15" i="6"/>
  <c r="L18" i="10"/>
</calcChain>
</file>

<file path=xl/sharedStrings.xml><?xml version="1.0" encoding="utf-8"?>
<sst xmlns="http://schemas.openxmlformats.org/spreadsheetml/2006/main" count="250" uniqueCount="120">
  <si>
    <t>This workbook is related to PREOS.xls and works in a similar fashion.</t>
  </si>
  <si>
    <t>Peng-Robinson Equation of State (Mixture)</t>
  </si>
  <si>
    <t>Spreadsheet protected, but no password used.</t>
  </si>
  <si>
    <t>Fugacities</t>
  </si>
  <si>
    <t>kij</t>
  </si>
  <si>
    <t>Component</t>
  </si>
  <si>
    <r>
      <t>z</t>
    </r>
    <r>
      <rPr>
        <vertAlign val="subscript"/>
        <sz val="10"/>
        <rFont val="Arial"/>
        <family val="2"/>
      </rPr>
      <t>i</t>
    </r>
  </si>
  <si>
    <t>Tc (K)</t>
  </si>
  <si>
    <t>Pc (MPa)</t>
  </si>
  <si>
    <t>w</t>
  </si>
  <si>
    <t>-</t>
  </si>
  <si>
    <t>Current State</t>
  </si>
  <si>
    <t>Roots</t>
  </si>
  <si>
    <t>T (K)</t>
  </si>
  <si>
    <t>Z</t>
  </si>
  <si>
    <t>V</t>
  </si>
  <si>
    <t>fugacity</t>
  </si>
  <si>
    <t xml:space="preserve">component fugacity coeff </t>
  </si>
  <si>
    <t>component fugacity(MPa)</t>
  </si>
  <si>
    <t>mixture</t>
  </si>
  <si>
    <t>P (MPa)</t>
  </si>
  <si>
    <r>
      <t>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/gmol</t>
    </r>
  </si>
  <si>
    <t>MPa</t>
  </si>
  <si>
    <t>A</t>
  </si>
  <si>
    <t>answers for three</t>
  </si>
  <si>
    <t>B</t>
  </si>
  <si>
    <t>root region</t>
  </si>
  <si>
    <r>
      <t>R(cm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MPa/molK)</t>
    </r>
  </si>
  <si>
    <t>&amp; for 1 root region</t>
  </si>
  <si>
    <t>Tr</t>
  </si>
  <si>
    <t>Pr</t>
  </si>
  <si>
    <t>k</t>
  </si>
  <si>
    <t>a</t>
  </si>
  <si>
    <t>ac</t>
  </si>
  <si>
    <t>b</t>
  </si>
  <si>
    <t>Solution to Cubic</t>
  </si>
  <si>
    <r>
      <t>Z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+ 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Z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+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Z + a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 xml:space="preserve"> =0</t>
    </r>
  </si>
  <si>
    <r>
      <t>R = q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/4 + p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/27 =</t>
    </r>
  </si>
  <si>
    <r>
      <t>a</t>
    </r>
    <r>
      <rPr>
        <vertAlign val="subscript"/>
        <sz val="10"/>
        <rFont val="Arial"/>
        <family val="2"/>
      </rPr>
      <t>2</t>
    </r>
  </si>
  <si>
    <r>
      <t>a</t>
    </r>
    <r>
      <rPr>
        <vertAlign val="subscript"/>
        <sz val="10"/>
        <rFont val="Arial"/>
        <family val="2"/>
      </rPr>
      <t>1</t>
    </r>
  </si>
  <si>
    <r>
      <t>a</t>
    </r>
    <r>
      <rPr>
        <vertAlign val="subscript"/>
        <sz val="10"/>
        <rFont val="Arial"/>
        <family val="2"/>
      </rPr>
      <t>0</t>
    </r>
  </si>
  <si>
    <t>p</t>
  </si>
  <si>
    <t>q</t>
  </si>
  <si>
    <t>If Negative, three unequal real roots,</t>
  </si>
  <si>
    <t>If Positive, one real root</t>
  </si>
  <si>
    <t>Method 1 - For region with one real root</t>
  </si>
  <si>
    <t>P</t>
  </si>
  <si>
    <t>Q</t>
  </si>
  <si>
    <t>Root to equation in x</t>
  </si>
  <si>
    <t>Solution methods are summarized</t>
  </si>
  <si>
    <t>in the appendix of the text.</t>
  </si>
  <si>
    <t>Method 2 - For region with three real roots</t>
  </si>
  <si>
    <t>m</t>
  </si>
  <si>
    <t>3q/pm</t>
  </si>
  <si>
    <r>
      <t>3*</t>
    </r>
    <r>
      <rPr>
        <sz val="10"/>
        <rFont val="Symbol"/>
        <family val="1"/>
        <charset val="2"/>
      </rPr>
      <t>q</t>
    </r>
    <r>
      <rPr>
        <vertAlign val="subscript"/>
        <sz val="10"/>
        <rFont val="Arial"/>
        <family val="2"/>
      </rPr>
      <t>1</t>
    </r>
  </si>
  <si>
    <r>
      <t>q</t>
    </r>
    <r>
      <rPr>
        <vertAlign val="subscript"/>
        <sz val="10"/>
        <rFont val="Arial"/>
        <family val="2"/>
      </rPr>
      <t>1</t>
    </r>
  </si>
  <si>
    <t>Roots to equation in x</t>
  </si>
  <si>
    <t>For use with "Introductory Chemical Engineering Thermodynamics" by J.R. Elliott, C.T. Lira</t>
  </si>
  <si>
    <t>METHANE</t>
  </si>
  <si>
    <t>n-BUTANE</t>
  </si>
  <si>
    <t>n-HEPTANE</t>
  </si>
  <si>
    <t>NITROGEN</t>
  </si>
  <si>
    <r>
      <t>y</t>
    </r>
    <r>
      <rPr>
        <vertAlign val="subscript"/>
        <sz val="10"/>
        <rFont val="Arial"/>
        <family val="2"/>
      </rPr>
      <t>i</t>
    </r>
  </si>
  <si>
    <t>Guess</t>
  </si>
  <si>
    <t>VLE</t>
  </si>
  <si>
    <r>
      <t>x</t>
    </r>
    <r>
      <rPr>
        <vertAlign val="subscript"/>
        <sz val="10"/>
        <rFont val="Arial"/>
        <family val="2"/>
      </rPr>
      <t>i</t>
    </r>
  </si>
  <si>
    <t>Calc'd</t>
  </si>
  <si>
    <r>
      <t>K</t>
    </r>
    <r>
      <rPr>
        <vertAlign val="subscript"/>
        <sz val="10"/>
        <rFont val="Arial"/>
        <family val="2"/>
      </rPr>
      <t>i</t>
    </r>
  </si>
  <si>
    <r>
      <t>D</t>
    </r>
    <r>
      <rPr>
        <vertAlign val="subscript"/>
        <sz val="10"/>
        <rFont val="Arial"/>
        <family val="2"/>
      </rPr>
      <t>i</t>
    </r>
  </si>
  <si>
    <t>Hint: If you like to live dangerously, implement the iteration feature from the tools,options,calculation tab</t>
  </si>
  <si>
    <t>FYI: to increase components:</t>
  </si>
  <si>
    <t>1.  Insert new row(s) in the component list on the vapor sheet.</t>
  </si>
  <si>
    <t>4.  Refer to help, matrix for more info.</t>
  </si>
  <si>
    <t>This workbook computes mixture fugacities using the Peng-Robinson Equation.</t>
  </si>
  <si>
    <t>5.  Copy vapor sheet to Liquid and SCF while renaming the old sheets.  Modify and reference accordingly.</t>
  </si>
  <si>
    <t>3.  Highlight all the elements of each array, one array at a time (e.g. Tr), then edit the formula and type ctrl^shift^enter.</t>
  </si>
  <si>
    <t>2.  Edit the name definitions (cf. insert menu) on the vapor sheet to extend over new range.</t>
  </si>
  <si>
    <t>SFLE</t>
  </si>
  <si>
    <t>SFSFE</t>
  </si>
  <si>
    <t>VSFE</t>
  </si>
  <si>
    <r>
      <t>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/gmol</t>
    </r>
  </si>
  <si>
    <r>
      <t>R(cm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MPa/molK)</t>
    </r>
  </si>
  <si>
    <r>
      <t>Z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+ 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Z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+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Z + a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 xml:space="preserve"> =0</t>
    </r>
  </si>
  <si>
    <r>
      <t>R = q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/4 + p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/27 =</t>
    </r>
  </si>
  <si>
    <t xml:space="preserve">        A safer way is to record short macros that copy the contents of column J to column F (e.g. ctrl^j), another for ctrl^k, … and apply the right one.</t>
  </si>
  <si>
    <t>H-Hig</t>
  </si>
  <si>
    <t>S-Sig</t>
  </si>
  <si>
    <t>dLnAlpha/dLnT</t>
  </si>
  <si>
    <t>Amatrix</t>
  </si>
  <si>
    <t>dAmatrix</t>
  </si>
  <si>
    <t>TdA/dT</t>
  </si>
  <si>
    <t>G-Gig</t>
  </si>
  <si>
    <t>Hdep</t>
  </si>
  <si>
    <t>Sdep</t>
  </si>
  <si>
    <t>PrMix.xlsx</t>
  </si>
  <si>
    <t>Toluene</t>
  </si>
  <si>
    <t>It has been adapted from the PRFUG.xls of http://chethermo.net/software</t>
  </si>
  <si>
    <t>It simply adds links between sheets to compute VLE or SFE (supercrtical fluid equilibria)</t>
  </si>
  <si>
    <t>The lower density phase is calculated with the 'vapor' sheet. The higher density phase is calculated with the 'liquid' sheet.</t>
  </si>
  <si>
    <t>The sheet 'Kvalues' organizes and executes the iterations.</t>
  </si>
  <si>
    <t>V/F</t>
  </si>
  <si>
    <t>3. Set the overall composition in column z. For a bubble calculation, set V/F = 0. For a dew calculation, set V/F=1.</t>
  </si>
  <si>
    <t xml:space="preserve">     b. For manual initialization, enter a guess for Ki in Guess Ki.</t>
  </si>
  <si>
    <t xml:space="preserve">    The objective function is sum(xi), sum(yi), sum(Di) depending on the type of calculation.</t>
  </si>
  <si>
    <t>4. The strategy is to successively update Ki while iterating. (Note that normalized values from' Guess yi' and 'Guess xi' are used on 'Vapor' and 'Liquid'.)</t>
  </si>
  <si>
    <t xml:space="preserve">     a. For shortcut initialization, iterate on T,P, or V/F until the objective function is approximately met.</t>
  </si>
  <si>
    <t>Shortcut Initialization</t>
  </si>
  <si>
    <t xml:space="preserve">         Copy/Paste special… values from Shortcut Ki to Guess Ki.</t>
  </si>
  <si>
    <t>5. Each column (VLE, SFLE, SFSFE, VSFE) is a different combination of roots from the 'Vapor' and 'Liquid' sheet.</t>
  </si>
  <si>
    <t>chethermo.net/software</t>
  </si>
  <si>
    <t>Copyright 1996-2014, Carl Lira and Richard Elliott</t>
  </si>
  <si>
    <t xml:space="preserve">    Copy/pasteValues from the calc'd Ki values to the guess column</t>
  </si>
  <si>
    <t xml:space="preserve">6. Change P, T, or V/F. </t>
  </si>
  <si>
    <t>2. Set the T and P on 'Kvalues'. They will be automatically propogated to 'Vapor' and 'Liquid'.</t>
  </si>
  <si>
    <t>An option to automate after initialization is to program the Ki guess to reference the column (VLE, SFLE, SFSFE, VSFE) for Ki and use solver for P, T, or V/F.</t>
  </si>
  <si>
    <t>7. Repeat step 5 until K values quite changing.</t>
  </si>
  <si>
    <t>8. Repeat steps 6 and 7 until objective is met.</t>
  </si>
  <si>
    <t xml:space="preserve">    V - Vapor from 3-root regin; L - Liquid from 3-root region; SF - single root region; There is no assurance that the selected root is most stable.</t>
  </si>
  <si>
    <t>1. Select the Kvalues worksheet and paste relevant compds from Props.xlsx.</t>
  </si>
  <si>
    <t>fix instruction 1 to copy values from Props workbook.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</si>
</sst>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00"/>
    <numFmt numFmtId="166" formatCode="0.00000"/>
    <numFmt numFmtId="167" formatCode="0.0"/>
  </numFmts>
  <fonts count="15" x14ac:knownFonts="1">
    <font>
      <sz val="10"/>
      <name val="Arial"/>
    </font>
    <font>
      <sz val="10"/>
      <name val="Arial"/>
      <family val="2"/>
    </font>
    <font>
      <sz val="10"/>
      <name val="Symbol"/>
      <family val="1"/>
      <charset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0"/>
      <name val="Symbol"/>
      <family val="1"/>
      <charset val="2"/>
    </font>
    <font>
      <sz val="10"/>
      <color indexed="39"/>
      <name val="Arial"/>
      <family val="2"/>
    </font>
    <font>
      <sz val="10"/>
      <name val="Arial"/>
      <family val="2"/>
    </font>
    <font>
      <sz val="18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6" xfId="0" applyBorder="1" applyAlignment="1">
      <alignment horizontal="center"/>
    </xf>
    <xf numFmtId="0" fontId="0" fillId="0" borderId="24" xfId="0" applyBorder="1"/>
    <xf numFmtId="0" fontId="0" fillId="0" borderId="4" xfId="0" applyBorder="1" applyAlignment="1">
      <alignment horizontal="centerContinuous"/>
    </xf>
    <xf numFmtId="0" fontId="0" fillId="0" borderId="20" xfId="0" applyBorder="1" applyAlignment="1">
      <alignment horizontal="centerContinuous"/>
    </xf>
    <xf numFmtId="0" fontId="0" fillId="0" borderId="25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22" xfId="0" applyBorder="1" applyAlignment="1">
      <alignment horizontal="centerContinuous"/>
    </xf>
    <xf numFmtId="0" fontId="0" fillId="0" borderId="24" xfId="0" applyBorder="1" applyAlignment="1">
      <alignment horizontal="centerContinuous"/>
    </xf>
    <xf numFmtId="0" fontId="5" fillId="0" borderId="16" xfId="0" applyFont="1" applyBorder="1"/>
    <xf numFmtId="0" fontId="0" fillId="0" borderId="20" xfId="0" applyBorder="1" applyAlignment="1">
      <alignment horizontal="center"/>
    </xf>
    <xf numFmtId="0" fontId="0" fillId="0" borderId="25" xfId="0" applyBorder="1"/>
    <xf numFmtId="0" fontId="0" fillId="0" borderId="0" xfId="0" applyBorder="1" applyAlignment="1">
      <alignment horizontal="center"/>
    </xf>
    <xf numFmtId="0" fontId="8" fillId="0" borderId="0" xfId="0" applyFont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7" xfId="0" applyBorder="1"/>
    <xf numFmtId="0" fontId="0" fillId="0" borderId="0" xfId="0" applyAlignment="1">
      <alignment horizontal="center"/>
    </xf>
    <xf numFmtId="0" fontId="0" fillId="0" borderId="29" xfId="0" applyBorder="1"/>
    <xf numFmtId="0" fontId="0" fillId="0" borderId="26" xfId="0" applyBorder="1"/>
    <xf numFmtId="0" fontId="2" fillId="0" borderId="28" xfId="0" applyFont="1" applyBorder="1"/>
    <xf numFmtId="0" fontId="9" fillId="0" borderId="0" xfId="0" applyFont="1" applyBorder="1" applyAlignment="1" applyProtection="1">
      <alignment horizontal="center"/>
      <protection locked="0"/>
    </xf>
    <xf numFmtId="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 applyBorder="1"/>
    <xf numFmtId="0" fontId="0" fillId="0" borderId="16" xfId="0" applyNumberFormat="1" applyBorder="1"/>
    <xf numFmtId="0" fontId="12" fillId="0" borderId="0" xfId="1" applyAlignment="1" applyProtection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64" fontId="9" fillId="0" borderId="0" xfId="0" applyNumberFormat="1" applyFont="1" applyBorder="1" applyAlignment="1" applyProtection="1">
      <alignment horizontal="center"/>
      <protection locked="0"/>
    </xf>
    <xf numFmtId="164" fontId="0" fillId="0" borderId="0" xfId="0" applyNumberFormat="1" applyAlignment="1">
      <alignment horizontal="center"/>
    </xf>
    <xf numFmtId="164" fontId="7" fillId="0" borderId="0" xfId="0" applyNumberFormat="1" applyFont="1" applyBorder="1" applyAlignment="1" applyProtection="1">
      <alignment horizontal="center"/>
      <protection locked="0"/>
    </xf>
    <xf numFmtId="2" fontId="1" fillId="0" borderId="0" xfId="0" applyNumberFormat="1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30" xfId="0" applyNumberFormat="1" applyBorder="1"/>
    <xf numFmtId="0" fontId="0" fillId="0" borderId="31" xfId="0" applyNumberFormat="1" applyBorder="1"/>
    <xf numFmtId="0" fontId="0" fillId="0" borderId="30" xfId="0" applyBorder="1" applyAlignment="1">
      <alignment horizontal="centerContinuous"/>
    </xf>
    <xf numFmtId="0" fontId="0" fillId="0" borderId="32" xfId="0" applyBorder="1" applyAlignment="1">
      <alignment horizontal="centerContinuous"/>
    </xf>
    <xf numFmtId="0" fontId="0" fillId="0" borderId="32" xfId="0" applyBorder="1"/>
    <xf numFmtId="0" fontId="0" fillId="0" borderId="15" xfId="0" applyNumberFormat="1" applyBorder="1"/>
    <xf numFmtId="0" fontId="0" fillId="0" borderId="33" xfId="0" applyBorder="1"/>
    <xf numFmtId="0" fontId="0" fillId="0" borderId="14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0" borderId="34" xfId="0" applyBorder="1"/>
    <xf numFmtId="0" fontId="0" fillId="0" borderId="13" xfId="0" applyNumberFormat="1" applyBorder="1" applyAlignment="1">
      <alignment horizontal="center"/>
    </xf>
    <xf numFmtId="0" fontId="0" fillId="0" borderId="35" xfId="0" applyBorder="1"/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2" xfId="0" applyNumberFormat="1" applyBorder="1"/>
    <xf numFmtId="0" fontId="0" fillId="0" borderId="33" xfId="0" applyBorder="1" applyAlignment="1">
      <alignment horizontal="center"/>
    </xf>
    <xf numFmtId="0" fontId="0" fillId="0" borderId="36" xfId="0" applyNumberFormat="1" applyBorder="1" applyAlignment="1">
      <alignment horizontal="center"/>
    </xf>
    <xf numFmtId="0" fontId="0" fillId="0" borderId="33" xfId="0" applyNumberFormat="1" applyBorder="1" applyAlignment="1">
      <alignment horizontal="center"/>
    </xf>
    <xf numFmtId="0" fontId="0" fillId="0" borderId="36" xfId="0" applyBorder="1"/>
    <xf numFmtId="0" fontId="0" fillId="0" borderId="14" xfId="0" applyBorder="1" applyAlignment="1">
      <alignment horizontal="centerContinuous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7" fontId="0" fillId="0" borderId="0" xfId="0" applyNumberFormat="1"/>
    <xf numFmtId="166" fontId="0" fillId="0" borderId="0" xfId="0" applyNumberFormat="1" applyAlignment="1">
      <alignment horizontal="center"/>
    </xf>
    <xf numFmtId="0" fontId="7" fillId="0" borderId="39" xfId="0" applyFont="1" applyBorder="1" applyAlignment="1" applyProtection="1">
      <alignment horizontal="center"/>
      <protection locked="0"/>
    </xf>
    <xf numFmtId="0" fontId="7" fillId="0" borderId="36" xfId="0" applyFont="1" applyBorder="1" applyAlignment="1" applyProtection="1">
      <alignment horizontal="center"/>
      <protection locked="0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33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14" xfId="0" applyFont="1" applyBorder="1" applyAlignment="1" applyProtection="1">
      <alignment horizontal="center"/>
      <protection locked="0"/>
    </xf>
    <xf numFmtId="0" fontId="7" fillId="0" borderId="5" xfId="0" applyFont="1" applyBorder="1" applyProtection="1">
      <protection locked="0"/>
    </xf>
    <xf numFmtId="0" fontId="7" fillId="0" borderId="7" xfId="0" applyNumberFormat="1" applyFont="1" applyBorder="1" applyProtection="1">
      <protection locked="0"/>
    </xf>
    <xf numFmtId="0" fontId="1" fillId="0" borderId="0" xfId="0" applyFont="1"/>
    <xf numFmtId="0" fontId="1" fillId="0" borderId="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0" xfId="0" applyFont="1" applyBorder="1" applyAlignment="1">
      <alignment horizontal="centerContinuous"/>
    </xf>
    <xf numFmtId="0" fontId="1" fillId="0" borderId="12" xfId="0" applyFont="1" applyBorder="1"/>
    <xf numFmtId="0" fontId="1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4" xfId="0" applyFont="1" applyBorder="1"/>
    <xf numFmtId="0" fontId="13" fillId="0" borderId="15" xfId="0" applyFont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0" xfId="0" applyFont="1" applyBorder="1"/>
    <xf numFmtId="0" fontId="13" fillId="0" borderId="15" xfId="0" applyFont="1" applyBorder="1" applyAlignment="1">
      <alignment horizontal="center"/>
    </xf>
    <xf numFmtId="0" fontId="13" fillId="0" borderId="11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22" xfId="0" applyFont="1" applyBorder="1"/>
    <xf numFmtId="0" fontId="13" fillId="0" borderId="23" xfId="0" applyFont="1" applyBorder="1"/>
    <xf numFmtId="0" fontId="13" fillId="0" borderId="21" xfId="0" applyFont="1" applyBorder="1"/>
    <xf numFmtId="0" fontId="13" fillId="0" borderId="4" xfId="0" applyFont="1" applyBorder="1"/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3" fillId="0" borderId="20" xfId="0" applyFont="1" applyBorder="1"/>
    <xf numFmtId="0" fontId="13" fillId="0" borderId="35" xfId="0" applyFont="1" applyBorder="1"/>
    <xf numFmtId="0" fontId="13" fillId="0" borderId="6" xfId="0" applyFont="1" applyBorder="1"/>
    <xf numFmtId="0" fontId="13" fillId="0" borderId="17" xfId="0" applyFont="1" applyBorder="1"/>
    <xf numFmtId="0" fontId="13" fillId="0" borderId="18" xfId="0" applyFont="1" applyBorder="1"/>
    <xf numFmtId="0" fontId="13" fillId="0" borderId="27" xfId="0" applyFont="1" applyBorder="1" applyAlignment="1">
      <alignment horizontal="center"/>
    </xf>
    <xf numFmtId="0" fontId="13" fillId="0" borderId="7" xfId="0" applyFont="1" applyBorder="1"/>
    <xf numFmtId="0" fontId="13" fillId="0" borderId="38" xfId="0" applyFont="1" applyBorder="1"/>
    <xf numFmtId="0" fontId="13" fillId="0" borderId="12" xfId="0" applyFont="1" applyBorder="1"/>
    <xf numFmtId="0" fontId="13" fillId="0" borderId="4" xfId="0" applyFont="1" applyBorder="1" applyAlignment="1">
      <alignment horizontal="centerContinuous"/>
    </xf>
    <xf numFmtId="0" fontId="13" fillId="0" borderId="20" xfId="0" applyFont="1" applyBorder="1" applyAlignment="1">
      <alignment horizontal="centerContinuous"/>
    </xf>
    <xf numFmtId="0" fontId="13" fillId="0" borderId="5" xfId="0" applyFont="1" applyBorder="1"/>
    <xf numFmtId="0" fontId="13" fillId="0" borderId="28" xfId="0" applyFont="1" applyBorder="1"/>
    <xf numFmtId="0" fontId="13" fillId="0" borderId="26" xfId="0" applyFont="1" applyBorder="1"/>
    <xf numFmtId="0" fontId="13" fillId="0" borderId="25" xfId="0" applyFont="1" applyBorder="1"/>
    <xf numFmtId="0" fontId="13" fillId="0" borderId="34" xfId="0" applyFont="1" applyBorder="1"/>
    <xf numFmtId="0" fontId="13" fillId="0" borderId="3" xfId="0" applyFont="1" applyBorder="1"/>
    <xf numFmtId="0" fontId="13" fillId="0" borderId="25" xfId="0" applyFont="1" applyBorder="1" applyAlignment="1">
      <alignment horizontal="centerContinuous"/>
    </xf>
    <xf numFmtId="0" fontId="13" fillId="0" borderId="0" xfId="0" applyFont="1" applyBorder="1" applyAlignment="1">
      <alignment horizontal="centerContinuous"/>
    </xf>
    <xf numFmtId="0" fontId="13" fillId="0" borderId="19" xfId="0" applyFont="1" applyBorder="1"/>
    <xf numFmtId="0" fontId="13" fillId="0" borderId="39" xfId="0" applyFont="1" applyBorder="1"/>
    <xf numFmtId="0" fontId="13" fillId="0" borderId="16" xfId="0" applyFont="1" applyBorder="1"/>
    <xf numFmtId="0" fontId="13" fillId="0" borderId="27" xfId="0" applyFont="1" applyBorder="1"/>
    <xf numFmtId="0" fontId="13" fillId="0" borderId="40" xfId="0" applyFont="1" applyBorder="1"/>
    <xf numFmtId="0" fontId="13" fillId="0" borderId="16" xfId="0" applyFont="1" applyBorder="1" applyAlignment="1">
      <alignment horizontal="center"/>
    </xf>
    <xf numFmtId="0" fontId="13" fillId="0" borderId="10" xfId="0" applyFont="1" applyBorder="1"/>
    <xf numFmtId="0" fontId="13" fillId="0" borderId="22" xfId="0" applyFont="1" applyBorder="1" applyAlignment="1">
      <alignment horizontal="centerContinuous"/>
    </xf>
    <xf numFmtId="0" fontId="13" fillId="0" borderId="24" xfId="0" applyFont="1" applyBorder="1" applyAlignment="1">
      <alignment horizontal="centerContinuous"/>
    </xf>
    <xf numFmtId="0" fontId="13" fillId="0" borderId="24" xfId="0" applyFont="1" applyBorder="1"/>
    <xf numFmtId="0" fontId="13" fillId="0" borderId="29" xfId="0" applyFont="1" applyBorder="1"/>
    <xf numFmtId="0" fontId="13" fillId="0" borderId="41" xfId="0" applyFont="1" applyBorder="1"/>
    <xf numFmtId="0" fontId="13" fillId="0" borderId="42" xfId="0" applyFont="1" applyBorder="1"/>
    <xf numFmtId="0" fontId="13" fillId="0" borderId="37" xfId="0" applyFont="1" applyBorder="1"/>
    <xf numFmtId="0" fontId="13" fillId="0" borderId="13" xfId="0" applyFont="1" applyBorder="1"/>
    <xf numFmtId="0" fontId="13" fillId="0" borderId="36" xfId="0" applyFont="1" applyBorder="1"/>
    <xf numFmtId="0" fontId="13" fillId="0" borderId="14" xfId="0" applyFont="1" applyBorder="1" applyAlignment="1">
      <alignment horizontal="centerContinuous"/>
    </xf>
    <xf numFmtId="0" fontId="13" fillId="0" borderId="30" xfId="0" applyFont="1" applyBorder="1" applyAlignment="1">
      <alignment horizontal="centerContinuous"/>
    </xf>
    <xf numFmtId="0" fontId="13" fillId="0" borderId="32" xfId="0" applyFont="1" applyBorder="1" applyAlignment="1">
      <alignment horizontal="centerContinuous"/>
    </xf>
    <xf numFmtId="0" fontId="13" fillId="0" borderId="32" xfId="0" applyFont="1" applyBorder="1"/>
    <xf numFmtId="0" fontId="13" fillId="0" borderId="33" xfId="0" applyFont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3" fillId="0" borderId="0" xfId="0" applyNumberFormat="1" applyFont="1" applyBorder="1" applyAlignment="1">
      <alignment horizontal="center"/>
    </xf>
    <xf numFmtId="164" fontId="13" fillId="0" borderId="13" xfId="0" applyNumberFormat="1" applyFont="1" applyBorder="1" applyAlignment="1">
      <alignment horizontal="center"/>
    </xf>
    <xf numFmtId="0" fontId="13" fillId="0" borderId="13" xfId="0" applyNumberFormat="1" applyFont="1" applyBorder="1" applyAlignment="1">
      <alignment horizontal="center"/>
    </xf>
    <xf numFmtId="0" fontId="13" fillId="0" borderId="36" xfId="0" applyNumberFormat="1" applyFont="1" applyBorder="1" applyAlignment="1">
      <alignment horizontal="center"/>
    </xf>
    <xf numFmtId="0" fontId="13" fillId="0" borderId="32" xfId="0" applyNumberFormat="1" applyFont="1" applyBorder="1"/>
    <xf numFmtId="0" fontId="13" fillId="0" borderId="16" xfId="0" applyNumberFormat="1" applyFont="1" applyBorder="1"/>
    <xf numFmtId="0" fontId="13" fillId="0" borderId="30" xfId="0" applyNumberFormat="1" applyFont="1" applyBorder="1"/>
    <xf numFmtId="0" fontId="13" fillId="0" borderId="31" xfId="0" applyNumberFormat="1" applyFont="1" applyBorder="1"/>
    <xf numFmtId="0" fontId="13" fillId="0" borderId="14" xfId="0" applyNumberFormat="1" applyFont="1" applyBorder="1" applyAlignment="1">
      <alignment horizontal="center"/>
    </xf>
    <xf numFmtId="164" fontId="13" fillId="0" borderId="15" xfId="0" applyNumberFormat="1" applyFont="1" applyBorder="1" applyAlignment="1">
      <alignment horizontal="center"/>
    </xf>
    <xf numFmtId="0" fontId="13" fillId="0" borderId="15" xfId="0" applyNumberFormat="1" applyFont="1" applyBorder="1" applyAlignment="1">
      <alignment horizontal="center"/>
    </xf>
    <xf numFmtId="0" fontId="13" fillId="0" borderId="33" xfId="0" applyNumberFormat="1" applyFont="1" applyBorder="1" applyAlignment="1">
      <alignment horizontal="center"/>
    </xf>
    <xf numFmtId="0" fontId="13" fillId="0" borderId="15" xfId="0" applyNumberFormat="1" applyFont="1" applyBorder="1"/>
    <xf numFmtId="0" fontId="13" fillId="0" borderId="33" xfId="0" applyFont="1" applyBorder="1"/>
    <xf numFmtId="164" fontId="13" fillId="0" borderId="0" xfId="0" applyNumberFormat="1" applyFont="1" applyBorder="1" applyAlignment="1">
      <alignment horizontal="center"/>
    </xf>
    <xf numFmtId="0" fontId="13" fillId="0" borderId="0" xfId="0" applyNumberFormat="1" applyFont="1" applyBorder="1"/>
    <xf numFmtId="0" fontId="13" fillId="0" borderId="1" xfId="0" applyFont="1" applyBorder="1"/>
    <xf numFmtId="0" fontId="13" fillId="0" borderId="2" xfId="0" applyFont="1" applyBorder="1"/>
    <xf numFmtId="0" fontId="13" fillId="0" borderId="0" xfId="0" applyFont="1" applyFill="1" applyBorder="1"/>
    <xf numFmtId="0" fontId="9" fillId="0" borderId="2" xfId="0" applyFont="1" applyBorder="1" applyAlignment="1" applyProtection="1">
      <alignment horizontal="center"/>
      <protection locked="0"/>
    </xf>
    <xf numFmtId="0" fontId="1" fillId="0" borderId="0" xfId="0" applyFont="1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6" fillId="0" borderId="19" xfId="0" applyFont="1" applyBorder="1" applyProtection="1">
      <protection locked="0"/>
    </xf>
    <xf numFmtId="0" fontId="1" fillId="0" borderId="6" xfId="0" applyFont="1" applyFill="1" applyBorder="1"/>
    <xf numFmtId="0" fontId="1" fillId="0" borderId="2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164" fontId="7" fillId="0" borderId="19" xfId="0" applyNumberFormat="1" applyFont="1" applyBorder="1" applyAlignment="1" applyProtection="1">
      <alignment horizontal="center"/>
      <protection locked="0"/>
    </xf>
    <xf numFmtId="164" fontId="0" fillId="0" borderId="2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7" fillId="0" borderId="14" xfId="0" applyNumberFormat="1" applyFont="1" applyBorder="1" applyAlignment="1" applyProtection="1">
      <alignment horizontal="center"/>
      <protection locked="0"/>
    </xf>
    <xf numFmtId="164" fontId="7" fillId="0" borderId="18" xfId="0" applyNumberFormat="1" applyFont="1" applyBorder="1" applyAlignment="1" applyProtection="1">
      <alignment horizontal="center"/>
      <protection locked="0"/>
    </xf>
    <xf numFmtId="0" fontId="9" fillId="0" borderId="1" xfId="2" applyFont="1" applyBorder="1" applyProtection="1">
      <protection locked="0"/>
    </xf>
    <xf numFmtId="167" fontId="9" fillId="0" borderId="1" xfId="2" applyNumberFormat="1" applyFont="1" applyBorder="1" applyProtection="1">
      <protection locked="0"/>
    </xf>
    <xf numFmtId="2" fontId="9" fillId="0" borderId="11" xfId="2" applyNumberFormat="1" applyFont="1" applyBorder="1" applyProtection="1">
      <protection locked="0"/>
    </xf>
    <xf numFmtId="164" fontId="9" fillId="0" borderId="12" xfId="2" applyNumberFormat="1" applyFont="1" applyBorder="1" applyProtection="1">
      <protection locked="0"/>
    </xf>
    <xf numFmtId="0" fontId="9" fillId="0" borderId="0" xfId="2" applyFont="1" applyFill="1" applyProtection="1">
      <protection locked="0"/>
    </xf>
    <xf numFmtId="0" fontId="9" fillId="0" borderId="2" xfId="2" applyFont="1" applyFill="1" applyBorder="1" applyProtection="1">
      <protection locked="0"/>
    </xf>
    <xf numFmtId="0" fontId="9" fillId="0" borderId="0" xfId="2" applyFont="1" applyFill="1" applyBorder="1" applyProtection="1">
      <protection locked="0"/>
    </xf>
    <xf numFmtId="0" fontId="9" fillId="0" borderId="13" xfId="2" applyFont="1" applyFill="1" applyBorder="1" applyProtection="1">
      <protection locked="0"/>
    </xf>
    <xf numFmtId="0" fontId="9" fillId="0" borderId="2" xfId="2" applyFont="1" applyBorder="1" applyProtection="1">
      <protection locked="0"/>
    </xf>
    <xf numFmtId="0" fontId="9" fillId="0" borderId="3" xfId="2" applyFont="1" applyBorder="1" applyProtection="1">
      <protection locked="0"/>
    </xf>
    <xf numFmtId="0" fontId="9" fillId="0" borderId="3" xfId="2" applyFont="1" applyFill="1" applyBorder="1" applyProtection="1">
      <protection locked="0"/>
    </xf>
    <xf numFmtId="0" fontId="9" fillId="0" borderId="14" xfId="2" applyFont="1" applyFill="1" applyBorder="1" applyProtection="1">
      <protection locked="0"/>
    </xf>
    <xf numFmtId="0" fontId="9" fillId="0" borderId="15" xfId="2" applyFont="1" applyFill="1" applyBorder="1" applyProtection="1">
      <protection locked="0"/>
    </xf>
    <xf numFmtId="0" fontId="11" fillId="0" borderId="0" xfId="0" applyFont="1" applyBorder="1" applyAlignment="1" applyProtection="1">
      <alignment horizontal="center"/>
      <protection locked="0"/>
    </xf>
    <xf numFmtId="0" fontId="11" fillId="0" borderId="14" xfId="0" applyFont="1" applyBorder="1" applyAlignment="1" applyProtection="1">
      <alignment horizontal="center"/>
      <protection locked="0"/>
    </xf>
    <xf numFmtId="165" fontId="14" fillId="0" borderId="19" xfId="0" applyNumberFormat="1" applyFont="1" applyBorder="1" applyProtection="1">
      <protection locked="0"/>
    </xf>
    <xf numFmtId="0" fontId="14" fillId="0" borderId="21" xfId="0" applyFont="1" applyBorder="1" applyProtection="1">
      <protection locked="0"/>
    </xf>
    <xf numFmtId="0" fontId="11" fillId="0" borderId="0" xfId="0" applyNumberFormat="1" applyFont="1" applyAlignment="1" applyProtection="1">
      <alignment horizontal="center"/>
      <protection locked="0"/>
    </xf>
    <xf numFmtId="0" fontId="1" fillId="0" borderId="2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14" fontId="0" fillId="0" borderId="0" xfId="0" applyNumberFormat="1"/>
  </cellXfs>
  <cellStyles count="3">
    <cellStyle name="Hyperlink" xfId="1" builtinId="8"/>
    <cellStyle name="Normal" xfId="0" builtinId="0"/>
    <cellStyle name="Normal_PREOS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gr.msu.edu/~lira/thermtxt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C41"/>
  <sheetViews>
    <sheetView showGridLines="0" tabSelected="1" zoomScale="120" zoomScaleNormal="120" workbookViewId="0"/>
  </sheetViews>
  <sheetFormatPr defaultRowHeight="12.75" x14ac:dyDescent="0.2"/>
  <sheetData>
    <row r="2" spans="2:3" s="39" customFormat="1" ht="23.25" x14ac:dyDescent="0.35">
      <c r="B2" s="39" t="s">
        <v>94</v>
      </c>
      <c r="C2"/>
    </row>
    <row r="4" spans="2:3" x14ac:dyDescent="0.2">
      <c r="B4" t="s">
        <v>73</v>
      </c>
    </row>
    <row r="7" spans="2:3" x14ac:dyDescent="0.2">
      <c r="B7" t="s">
        <v>0</v>
      </c>
    </row>
    <row r="8" spans="2:3" x14ac:dyDescent="0.2">
      <c r="B8" s="109" t="s">
        <v>96</v>
      </c>
    </row>
    <row r="9" spans="2:3" x14ac:dyDescent="0.2">
      <c r="B9" s="109" t="s">
        <v>97</v>
      </c>
    </row>
    <row r="10" spans="2:3" x14ac:dyDescent="0.2">
      <c r="B10" s="109"/>
    </row>
    <row r="11" spans="2:3" x14ac:dyDescent="0.2">
      <c r="B11" s="109" t="s">
        <v>98</v>
      </c>
    </row>
    <row r="12" spans="2:3" x14ac:dyDescent="0.2">
      <c r="B12" s="109" t="s">
        <v>99</v>
      </c>
    </row>
    <row r="13" spans="2:3" x14ac:dyDescent="0.2">
      <c r="B13" s="109"/>
    </row>
    <row r="14" spans="2:3" x14ac:dyDescent="0.2">
      <c r="B14" s="109" t="s">
        <v>118</v>
      </c>
    </row>
    <row r="15" spans="2:3" x14ac:dyDescent="0.2">
      <c r="B15" s="109" t="s">
        <v>113</v>
      </c>
    </row>
    <row r="16" spans="2:3" x14ac:dyDescent="0.2">
      <c r="B16" s="109" t="s">
        <v>101</v>
      </c>
    </row>
    <row r="17" spans="2:2" x14ac:dyDescent="0.2">
      <c r="B17" s="109" t="s">
        <v>104</v>
      </c>
    </row>
    <row r="18" spans="2:2" x14ac:dyDescent="0.2">
      <c r="B18" s="109" t="s">
        <v>103</v>
      </c>
    </row>
    <row r="19" spans="2:2" x14ac:dyDescent="0.2">
      <c r="B19" s="109" t="s">
        <v>105</v>
      </c>
    </row>
    <row r="20" spans="2:2" x14ac:dyDescent="0.2">
      <c r="B20" s="109" t="s">
        <v>107</v>
      </c>
    </row>
    <row r="21" spans="2:2" x14ac:dyDescent="0.2">
      <c r="B21" s="109" t="s">
        <v>102</v>
      </c>
    </row>
    <row r="22" spans="2:2" x14ac:dyDescent="0.2">
      <c r="B22" s="109" t="s">
        <v>108</v>
      </c>
    </row>
    <row r="23" spans="2:2" x14ac:dyDescent="0.2">
      <c r="B23" s="109" t="s">
        <v>117</v>
      </c>
    </row>
    <row r="24" spans="2:2" x14ac:dyDescent="0.2">
      <c r="B24" s="109" t="s">
        <v>111</v>
      </c>
    </row>
    <row r="25" spans="2:2" x14ac:dyDescent="0.2">
      <c r="B25" s="109" t="s">
        <v>112</v>
      </c>
    </row>
    <row r="26" spans="2:2" x14ac:dyDescent="0.2">
      <c r="B26" s="109" t="s">
        <v>115</v>
      </c>
    </row>
    <row r="27" spans="2:2" x14ac:dyDescent="0.2">
      <c r="B27" s="109" t="s">
        <v>116</v>
      </c>
    </row>
    <row r="28" spans="2:2" x14ac:dyDescent="0.2">
      <c r="B28" s="109" t="s">
        <v>114</v>
      </c>
    </row>
    <row r="29" spans="2:2" x14ac:dyDescent="0.2">
      <c r="B29" t="s">
        <v>69</v>
      </c>
    </row>
    <row r="30" spans="2:2" x14ac:dyDescent="0.2">
      <c r="B30" t="s">
        <v>84</v>
      </c>
    </row>
    <row r="32" spans="2:2" x14ac:dyDescent="0.2">
      <c r="B32" t="s">
        <v>70</v>
      </c>
    </row>
    <row r="33" spans="2:2" x14ac:dyDescent="0.2">
      <c r="B33" t="s">
        <v>71</v>
      </c>
    </row>
    <row r="34" spans="2:2" x14ac:dyDescent="0.2">
      <c r="B34" t="s">
        <v>76</v>
      </c>
    </row>
    <row r="35" spans="2:2" x14ac:dyDescent="0.2">
      <c r="B35" t="s">
        <v>75</v>
      </c>
    </row>
    <row r="36" spans="2:2" x14ac:dyDescent="0.2">
      <c r="B36" t="s">
        <v>72</v>
      </c>
    </row>
    <row r="37" spans="2:2" x14ac:dyDescent="0.2">
      <c r="B37" t="s">
        <v>74</v>
      </c>
    </row>
    <row r="39" spans="2:2" x14ac:dyDescent="0.2">
      <c r="B39" s="109" t="s">
        <v>110</v>
      </c>
    </row>
    <row r="40" spans="2:2" x14ac:dyDescent="0.2">
      <c r="B40" t="s">
        <v>57</v>
      </c>
    </row>
    <row r="41" spans="2:2" x14ac:dyDescent="0.2">
      <c r="B41" s="53" t="s">
        <v>109</v>
      </c>
    </row>
  </sheetData>
  <sheetProtection sheet="1" objects="1" scenarios="1"/>
  <phoneticPr fontId="10" type="noConversion"/>
  <hyperlinks>
    <hyperlink ref="B41" r:id="rId1" display="www.egr.msu.edu/~lira/thermtxt.htm"/>
  </hyperlinks>
  <printOptions gridLinesSet="0"/>
  <pageMargins left="0.75" right="0.75" top="1" bottom="1" header="0.5" footer="0.5"/>
  <pageSetup orientation="landscape" horizontalDpi="0" verticalDpi="0" r:id="rId2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0"/>
  <sheetViews>
    <sheetView zoomScale="149" workbookViewId="0"/>
  </sheetViews>
  <sheetFormatPr defaultRowHeight="12.75" x14ac:dyDescent="0.2"/>
  <cols>
    <col min="3" max="3" width="9.28515625" customWidth="1"/>
    <col min="4" max="4" width="8" customWidth="1"/>
    <col min="5" max="5" width="7.42578125" customWidth="1"/>
    <col min="6" max="6" width="9.42578125" customWidth="1"/>
    <col min="7" max="9" width="8" customWidth="1"/>
    <col min="10" max="10" width="8.7109375" customWidth="1"/>
    <col min="11" max="12" width="8" customWidth="1"/>
  </cols>
  <sheetData>
    <row r="1" spans="1:19" x14ac:dyDescent="0.2">
      <c r="A1" s="15"/>
      <c r="B1" s="15"/>
      <c r="C1" s="15"/>
      <c r="D1" s="15"/>
      <c r="E1" s="16"/>
      <c r="F1" s="32" t="s">
        <v>4</v>
      </c>
      <c r="G1" s="32"/>
      <c r="H1" s="32"/>
      <c r="J1" s="12"/>
    </row>
    <row r="2" spans="1:19" s="44" customFormat="1" x14ac:dyDescent="0.2">
      <c r="A2" s="77" t="s">
        <v>5</v>
      </c>
      <c r="B2" s="60" t="s">
        <v>7</v>
      </c>
      <c r="C2" s="60" t="s">
        <v>8</v>
      </c>
      <c r="D2" s="78" t="s">
        <v>9</v>
      </c>
      <c r="E2" s="60" t="str">
        <f>A3</f>
        <v>NITROGEN</v>
      </c>
      <c r="F2" s="60" t="str">
        <f>A4</f>
        <v>METHANE</v>
      </c>
      <c r="G2" s="60" t="str">
        <f>A5</f>
        <v>n-BUTANE</v>
      </c>
      <c r="H2" s="15" t="str">
        <f>A6</f>
        <v>n-HEPTANE</v>
      </c>
      <c r="I2" s="16" t="str">
        <f>A7</f>
        <v>Toluene</v>
      </c>
      <c r="J2"/>
      <c r="K2"/>
      <c r="L2"/>
      <c r="M2"/>
      <c r="N2"/>
      <c r="O2"/>
      <c r="P2"/>
      <c r="Q2"/>
      <c r="R2"/>
      <c r="S2"/>
    </row>
    <row r="3" spans="1:19" s="44" customFormat="1" x14ac:dyDescent="0.2">
      <c r="A3" s="212" t="s">
        <v>61</v>
      </c>
      <c r="B3" s="213">
        <v>126.1</v>
      </c>
      <c r="C3" s="214">
        <v>3.3940000000000001</v>
      </c>
      <c r="D3" s="215">
        <v>0.04</v>
      </c>
      <c r="E3" s="38" t="s">
        <v>10</v>
      </c>
      <c r="F3" s="38" t="s">
        <v>10</v>
      </c>
      <c r="G3" s="38" t="s">
        <v>10</v>
      </c>
      <c r="H3" s="38" t="s">
        <v>10</v>
      </c>
      <c r="I3" s="93" t="s">
        <v>10</v>
      </c>
      <c r="J3"/>
      <c r="K3"/>
      <c r="L3"/>
      <c r="M3"/>
      <c r="N3"/>
      <c r="O3"/>
      <c r="P3"/>
      <c r="Q3"/>
      <c r="R3"/>
      <c r="S3"/>
    </row>
    <row r="4" spans="1:19" s="44" customFormat="1" x14ac:dyDescent="0.2">
      <c r="A4" s="216" t="s">
        <v>58</v>
      </c>
      <c r="B4" s="217">
        <v>190.6</v>
      </c>
      <c r="C4" s="218">
        <v>4.6040000000000001</v>
      </c>
      <c r="D4" s="219">
        <v>1.0999999999999999E-2</v>
      </c>
      <c r="E4" s="48">
        <v>0</v>
      </c>
      <c r="F4" s="38" t="s">
        <v>10</v>
      </c>
      <c r="G4" s="38" t="s">
        <v>10</v>
      </c>
      <c r="H4" s="38" t="s">
        <v>10</v>
      </c>
      <c r="I4" s="92" t="s">
        <v>10</v>
      </c>
      <c r="J4"/>
      <c r="K4"/>
      <c r="L4"/>
      <c r="M4"/>
      <c r="N4"/>
      <c r="O4"/>
      <c r="P4"/>
      <c r="Q4"/>
      <c r="R4"/>
      <c r="S4"/>
    </row>
    <row r="5" spans="1:19" s="44" customFormat="1" x14ac:dyDescent="0.2">
      <c r="A5" s="220" t="s">
        <v>59</v>
      </c>
      <c r="B5" s="217">
        <v>425.2</v>
      </c>
      <c r="C5" s="218">
        <v>3.7970000000000002</v>
      </c>
      <c r="D5" s="219">
        <v>0.193</v>
      </c>
      <c r="E5" s="48">
        <v>0</v>
      </c>
      <c r="F5" s="48">
        <v>0</v>
      </c>
      <c r="G5" s="38" t="s">
        <v>10</v>
      </c>
      <c r="H5" s="38" t="s">
        <v>10</v>
      </c>
      <c r="I5" s="92" t="s">
        <v>10</v>
      </c>
      <c r="J5"/>
      <c r="K5"/>
      <c r="L5"/>
      <c r="M5"/>
      <c r="N5"/>
      <c r="O5"/>
      <c r="P5"/>
      <c r="Q5"/>
      <c r="R5"/>
      <c r="S5"/>
    </row>
    <row r="6" spans="1:19" s="44" customFormat="1" x14ac:dyDescent="0.2">
      <c r="A6" s="197" t="s">
        <v>60</v>
      </c>
      <c r="B6" s="217">
        <v>540.29999999999995</v>
      </c>
      <c r="C6" s="218">
        <v>2.7360000000000002</v>
      </c>
      <c r="D6" s="219">
        <v>0.34899999999999998</v>
      </c>
      <c r="E6" s="225">
        <v>0</v>
      </c>
      <c r="F6" s="225">
        <v>0</v>
      </c>
      <c r="G6" s="225">
        <v>0</v>
      </c>
      <c r="H6" s="38" t="s">
        <v>10</v>
      </c>
      <c r="I6" s="92" t="s">
        <v>10</v>
      </c>
      <c r="J6"/>
      <c r="K6"/>
      <c r="L6"/>
      <c r="M6"/>
      <c r="N6"/>
      <c r="O6"/>
      <c r="P6"/>
      <c r="Q6"/>
      <c r="R6"/>
      <c r="S6"/>
    </row>
    <row r="7" spans="1:19" s="44" customFormat="1" x14ac:dyDescent="0.2">
      <c r="A7" s="221" t="s">
        <v>95</v>
      </c>
      <c r="B7" s="222">
        <v>591.79999999999995</v>
      </c>
      <c r="C7" s="223">
        <v>4.109</v>
      </c>
      <c r="D7" s="224">
        <v>0.26400000000000001</v>
      </c>
      <c r="E7" s="226">
        <v>0</v>
      </c>
      <c r="F7" s="226">
        <v>0</v>
      </c>
      <c r="G7" s="226">
        <v>0</v>
      </c>
      <c r="H7" s="226">
        <v>0</v>
      </c>
      <c r="I7" s="76" t="s">
        <v>10</v>
      </c>
      <c r="J7"/>
      <c r="K7"/>
      <c r="L7"/>
      <c r="M7"/>
      <c r="N7"/>
      <c r="O7"/>
      <c r="P7"/>
      <c r="Q7"/>
      <c r="R7"/>
      <c r="S7"/>
    </row>
    <row r="8" spans="1:19" ht="13.5" thickBot="1" x14ac:dyDescent="0.25"/>
    <row r="9" spans="1:19" ht="13.5" thickBot="1" x14ac:dyDescent="0.25">
      <c r="A9" s="25" t="s">
        <v>11</v>
      </c>
      <c r="B9" s="26"/>
    </row>
    <row r="10" spans="1:19" x14ac:dyDescent="0.2">
      <c r="A10" s="37" t="s">
        <v>13</v>
      </c>
      <c r="B10" s="200">
        <v>150</v>
      </c>
      <c r="F10" s="96"/>
      <c r="G10" s="96"/>
      <c r="H10" s="96"/>
      <c r="I10" s="96"/>
    </row>
    <row r="11" spans="1:19" ht="13.5" thickBot="1" x14ac:dyDescent="0.25">
      <c r="A11" s="37" t="s">
        <v>20</v>
      </c>
      <c r="B11" s="227">
        <v>2.8</v>
      </c>
      <c r="K11" s="44" t="s">
        <v>64</v>
      </c>
      <c r="L11" s="44" t="s">
        <v>77</v>
      </c>
      <c r="M11" t="s">
        <v>78</v>
      </c>
      <c r="N11" t="s">
        <v>79</v>
      </c>
    </row>
    <row r="12" spans="1:19" ht="13.5" thickBot="1" x14ac:dyDescent="0.25">
      <c r="A12" s="201" t="s">
        <v>100</v>
      </c>
      <c r="B12" s="228">
        <v>0</v>
      </c>
      <c r="C12" s="230" t="s">
        <v>106</v>
      </c>
      <c r="D12" s="231"/>
      <c r="E12" s="231"/>
      <c r="F12" s="232"/>
      <c r="G12" s="54" t="s">
        <v>63</v>
      </c>
      <c r="H12" s="44" t="s">
        <v>63</v>
      </c>
      <c r="I12" s="54" t="s">
        <v>63</v>
      </c>
      <c r="J12" s="198" t="s">
        <v>63</v>
      </c>
      <c r="K12" s="54" t="s">
        <v>66</v>
      </c>
      <c r="L12" s="54" t="s">
        <v>66</v>
      </c>
      <c r="M12" s="54" t="s">
        <v>66</v>
      </c>
      <c r="N12" s="54" t="s">
        <v>66</v>
      </c>
    </row>
    <row r="13" spans="1:19" ht="15.75" x14ac:dyDescent="0.3">
      <c r="B13" s="38" t="s">
        <v>6</v>
      </c>
      <c r="C13" s="202" t="s">
        <v>67</v>
      </c>
      <c r="D13" s="38" t="s">
        <v>65</v>
      </c>
      <c r="E13" s="38" t="s">
        <v>62</v>
      </c>
      <c r="F13" s="203" t="s">
        <v>68</v>
      </c>
      <c r="G13" s="36" t="s">
        <v>67</v>
      </c>
      <c r="H13" s="36" t="s">
        <v>65</v>
      </c>
      <c r="I13" s="36" t="s">
        <v>62</v>
      </c>
      <c r="J13" s="36" t="s">
        <v>68</v>
      </c>
      <c r="K13" s="36" t="s">
        <v>67</v>
      </c>
      <c r="L13" s="36" t="s">
        <v>67</v>
      </c>
      <c r="M13" s="36" t="s">
        <v>67</v>
      </c>
      <c r="N13" s="36" t="s">
        <v>67</v>
      </c>
      <c r="O13" s="54"/>
    </row>
    <row r="14" spans="1:19" x14ac:dyDescent="0.2">
      <c r="A14" t="str">
        <f>A3</f>
        <v>NITROGEN</v>
      </c>
      <c r="B14" s="229">
        <v>0.3</v>
      </c>
      <c r="C14" s="204">
        <f>C3*10^( 7/3*(1+D3)*(1-B3/$B$10))/$B$11</f>
        <v>2.9525869474443218</v>
      </c>
      <c r="D14" s="50">
        <f>B14/(1+$B$12*(C14-1))</f>
        <v>0.3</v>
      </c>
      <c r="E14" s="58">
        <f>C14*D14</f>
        <v>0.88577608423329657</v>
      </c>
      <c r="F14" s="205">
        <f>D14-E14</f>
        <v>-0.58577608423329663</v>
      </c>
      <c r="G14" s="56">
        <v>2.000846909996878</v>
      </c>
      <c r="H14" s="57">
        <f>B14/(1+$B$12*(G14-1))</f>
        <v>0.3</v>
      </c>
      <c r="I14" s="58">
        <f>H14*G14</f>
        <v>0.60025407299906341</v>
      </c>
      <c r="J14" s="58">
        <f>H14-I14</f>
        <v>-0.30025407299906343</v>
      </c>
      <c r="K14" s="57" t="e">
        <f>Liquid!F18/Vapor!F16</f>
        <v>#NUM!</v>
      </c>
      <c r="L14" s="57" t="e">
        <f>Liquid!$F18/Vapor!$F19</f>
        <v>#NUM!</v>
      </c>
      <c r="M14" s="57">
        <f>Liquid!$F19/Vapor!$F19</f>
        <v>2.0008262424775398</v>
      </c>
      <c r="N14" t="e">
        <f>Liquid!$F19/Vapor!$F16</f>
        <v>#NUM!</v>
      </c>
      <c r="O14" s="97"/>
    </row>
    <row r="15" spans="1:19" x14ac:dyDescent="0.2">
      <c r="A15" t="str">
        <f>A4</f>
        <v>METHANE</v>
      </c>
      <c r="B15" s="229">
        <v>0.7</v>
      </c>
      <c r="C15" s="204">
        <f>C4*10^( 7/3*(1+D4)*(1-B4/$B$10))/$B$11</f>
        <v>0.37798504470219835</v>
      </c>
      <c r="D15" s="50">
        <f>B15/(1+$B$12*(C15-1))</f>
        <v>0.7</v>
      </c>
      <c r="E15" s="58">
        <f>C15*D15</f>
        <v>0.26458953129153884</v>
      </c>
      <c r="F15" s="205">
        <f>D15-E15</f>
        <v>0.43541046870846112</v>
      </c>
      <c r="G15" s="56">
        <v>0.57153792653524316</v>
      </c>
      <c r="H15" s="57">
        <f>B15/(1+$B$12*(G15-1))</f>
        <v>0.7</v>
      </c>
      <c r="I15" s="58">
        <f>H15*G15</f>
        <v>0.40007654857467018</v>
      </c>
      <c r="J15" s="58">
        <f>H15-I15</f>
        <v>0.29992345142532978</v>
      </c>
      <c r="K15" s="57" t="e">
        <f>Liquid!G18/Vapor!G16</f>
        <v>#NUM!</v>
      </c>
      <c r="L15" s="57" t="e">
        <f>Liquid!$G18/Vapor!$G19</f>
        <v>#NUM!</v>
      </c>
      <c r="M15" s="57">
        <f>Liquid!$G19/Vapor!$G19</f>
        <v>0.57154678559841487</v>
      </c>
      <c r="N15" t="e">
        <f>Liquid!$G19/Vapor!$G16</f>
        <v>#NUM!</v>
      </c>
      <c r="O15" s="97"/>
    </row>
    <row r="16" spans="1:19" x14ac:dyDescent="0.2">
      <c r="A16" t="str">
        <f>A5</f>
        <v>n-BUTANE</v>
      </c>
      <c r="B16" s="229">
        <v>1E-8</v>
      </c>
      <c r="C16" s="204">
        <f>C5*10^( 7/3*(1+D5)*(1-B5/$B$10))/$B$11</f>
        <v>1.0596980162848251E-5</v>
      </c>
      <c r="D16" s="50">
        <f>B16/(1+$B$12*(C16-1))</f>
        <v>1E-8</v>
      </c>
      <c r="E16" s="58">
        <f>C16*D16</f>
        <v>1.0596980162848251E-13</v>
      </c>
      <c r="F16" s="205">
        <f>D16-E16</f>
        <v>9.9998940301983718E-9</v>
      </c>
      <c r="G16" s="56">
        <v>6.8114077565004907E-4</v>
      </c>
      <c r="H16" s="57">
        <f>B16/(1+$B$12*(G16-1))</f>
        <v>1E-8</v>
      </c>
      <c r="I16" s="58">
        <f>H16*G16</f>
        <v>6.8114077565004912E-12</v>
      </c>
      <c r="J16" s="58">
        <f>H16-I16</f>
        <v>9.9931885922435004E-9</v>
      </c>
      <c r="K16" s="57" t="e">
        <f>Liquid!H18/Vapor!H16</f>
        <v>#NUM!</v>
      </c>
      <c r="L16" s="57" t="e">
        <f>Liquid!$H18/Vapor!$H19</f>
        <v>#NUM!</v>
      </c>
      <c r="M16" s="57">
        <f>Liquid!$H19/Vapor!$H19</f>
        <v>6.8126298554175104E-4</v>
      </c>
      <c r="N16" t="e">
        <f>Liquid!$H19/Vapor!$H16</f>
        <v>#NUM!</v>
      </c>
      <c r="O16" s="97"/>
    </row>
    <row r="17" spans="1:15" x14ac:dyDescent="0.2">
      <c r="A17" t="str">
        <f>A6</f>
        <v>n-HEPTANE</v>
      </c>
      <c r="B17" s="229">
        <v>1E-8</v>
      </c>
      <c r="C17" s="204">
        <f>C6*10^( 7/3*(1+D6)*(1-B6/$B$10))/$B$11</f>
        <v>6.3056432312647983E-9</v>
      </c>
      <c r="D17" s="50">
        <f>B17/(1+$B$12*(C17-1))</f>
        <v>1E-8</v>
      </c>
      <c r="E17" s="58">
        <f>C17*D17</f>
        <v>6.3056432312647985E-17</v>
      </c>
      <c r="F17" s="205">
        <f>D17-E17</f>
        <v>9.9999999369435672E-9</v>
      </c>
      <c r="G17" s="56">
        <v>1.4229566057246456E-6</v>
      </c>
      <c r="H17" s="57">
        <f>B17/(1+$B$12*(G17-1))</f>
        <v>1E-8</v>
      </c>
      <c r="I17" s="58">
        <f>H17*G17</f>
        <v>1.4229566057246455E-14</v>
      </c>
      <c r="J17" s="58">
        <f>H17-I17</f>
        <v>9.9999857704339434E-9</v>
      </c>
      <c r="K17" s="57" t="e">
        <f>Liquid!I18/Vapor!I16</f>
        <v>#NUM!</v>
      </c>
      <c r="L17" t="e">
        <f>Liquid!$I18/Vapor!$I19</f>
        <v>#NUM!</v>
      </c>
      <c r="M17">
        <f>Liquid!$I19/Vapor!$I19</f>
        <v>1.4234406728514017E-6</v>
      </c>
      <c r="N17" t="e">
        <f>Liquid!$I19/Vapor!$I16</f>
        <v>#NUM!</v>
      </c>
      <c r="O17" s="97"/>
    </row>
    <row r="18" spans="1:15" x14ac:dyDescent="0.2">
      <c r="A18" t="str">
        <f>A7</f>
        <v>Toluene</v>
      </c>
      <c r="B18" s="229">
        <v>1E-8</v>
      </c>
      <c r="C18" s="209">
        <f>C7*10^( 7/3*(1+D7)*(1-B7/$B$10))/$B$11</f>
        <v>3.0186192144795673E-9</v>
      </c>
      <c r="D18" s="199">
        <f>B18/(1+$B$12*(C18-1))</f>
        <v>1E-8</v>
      </c>
      <c r="E18" s="210">
        <f>C18*D18</f>
        <v>3.0186192144795673E-17</v>
      </c>
      <c r="F18" s="211">
        <f>D18-E18</f>
        <v>9.9999999698138073E-9</v>
      </c>
      <c r="G18" s="56">
        <v>3.4156228067154086E-6</v>
      </c>
      <c r="H18" s="57">
        <f>B18/(1+$B$12*(G18-1))</f>
        <v>1E-8</v>
      </c>
      <c r="I18" s="58">
        <f>H18*G18</f>
        <v>3.4156228067154088E-14</v>
      </c>
      <c r="J18" s="58">
        <f>H18-I18</f>
        <v>9.9999658437719323E-9</v>
      </c>
      <c r="K18" s="57" t="e">
        <f>Liquid!J18/Vapor!J16</f>
        <v>#NUM!</v>
      </c>
      <c r="L18" t="e">
        <f>Liquid!$J18/Vapor!$J19</f>
        <v>#NUM!</v>
      </c>
      <c r="M18">
        <f>Liquid!$J19/Vapor!$J19</f>
        <v>3.4166323758122159E-6</v>
      </c>
      <c r="N18" t="e">
        <f>Liquid!$J19/Vapor!$J16</f>
        <v>#NUM!</v>
      </c>
      <c r="O18" s="97"/>
    </row>
    <row r="19" spans="1:15" ht="13.5" thickBot="1" x14ac:dyDescent="0.25">
      <c r="B19" s="59"/>
      <c r="C19" s="208"/>
      <c r="D19" s="206">
        <f>SUM(D14:D18)</f>
        <v>1.0000000299999998</v>
      </c>
      <c r="E19" s="206">
        <f>SUM(E14:E18)</f>
        <v>1.1503656155249413</v>
      </c>
      <c r="F19" s="207">
        <f>SUM(F14:F18)</f>
        <v>-0.15036558552494159</v>
      </c>
      <c r="H19" s="94">
        <f>SUM(H14:H18)</f>
        <v>1.0000000299999998</v>
      </c>
      <c r="I19" s="95">
        <f>SUM(I14:I18)</f>
        <v>1.0003306215805934</v>
      </c>
      <c r="J19" s="94">
        <f>SUM(J14:J18)</f>
        <v>-3.3059158059344065E-4</v>
      </c>
      <c r="O19" s="97"/>
    </row>
    <row r="20" spans="1:15" x14ac:dyDescent="0.2">
      <c r="B20" s="59"/>
    </row>
  </sheetData>
  <sheetProtection sheet="1" objects="1" scenarios="1"/>
  <mergeCells count="1">
    <mergeCell ref="C12:F12"/>
  </mergeCells>
  <phoneticPr fontId="10" type="noConversion"/>
  <pageMargins left="0.75" right="0.75" top="1" bottom="1" header="0.5" footer="0.5"/>
  <pageSetup orientation="portrait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43"/>
  <sheetViews>
    <sheetView showGridLines="0" workbookViewId="0"/>
  </sheetViews>
  <sheetFormatPr defaultColWidth="8.85546875" defaultRowHeight="12.75" x14ac:dyDescent="0.2"/>
  <cols>
    <col min="1" max="4" width="8.85546875" style="120" customWidth="1"/>
    <col min="5" max="5" width="11.28515625" style="120" customWidth="1"/>
    <col min="6" max="7" width="10.7109375" style="120" customWidth="1"/>
    <col min="8" max="8" width="11" style="120" customWidth="1"/>
    <col min="9" max="9" width="8.85546875" style="120" customWidth="1"/>
    <col min="10" max="10" width="8.7109375" style="120" customWidth="1"/>
    <col min="11" max="11" width="9.85546875" style="120" customWidth="1"/>
    <col min="12" max="13" width="8.85546875" style="120" customWidth="1"/>
    <col min="14" max="14" width="10.28515625" style="120" customWidth="1"/>
    <col min="15" max="15" width="8.28515625" style="120" customWidth="1"/>
    <col min="16" max="16" width="8" style="120" customWidth="1"/>
    <col min="17" max="17" width="8.85546875" style="120" customWidth="1"/>
    <col min="18" max="18" width="10" style="120" customWidth="1"/>
    <col min="19" max="19" width="10.140625" style="120" customWidth="1"/>
    <col min="20" max="20" width="10.28515625" style="120" customWidth="1"/>
    <col min="21" max="16384" width="8.85546875" style="120"/>
  </cols>
  <sheetData>
    <row r="1" spans="1:21" s="109" customFormat="1" x14ac:dyDescent="0.2">
      <c r="A1" s="109" t="s">
        <v>1</v>
      </c>
      <c r="F1" s="109" t="s">
        <v>2</v>
      </c>
    </row>
    <row r="2" spans="1:21" s="109" customFormat="1" x14ac:dyDescent="0.2">
      <c r="A2" s="110" t="s">
        <v>3</v>
      </c>
      <c r="B2" s="110"/>
    </row>
    <row r="4" spans="1:21" s="109" customFormat="1" x14ac:dyDescent="0.2">
      <c r="F4" s="111"/>
      <c r="G4" s="111"/>
      <c r="H4" s="111"/>
      <c r="I4" s="111"/>
      <c r="J4" s="111"/>
    </row>
    <row r="5" spans="1:21" s="109" customFormat="1" x14ac:dyDescent="0.2">
      <c r="A5" s="111"/>
      <c r="B5" s="111"/>
      <c r="C5" s="111"/>
      <c r="D5" s="111"/>
      <c r="E5" s="112"/>
      <c r="F5" s="113" t="s">
        <v>4</v>
      </c>
      <c r="G5" s="113"/>
      <c r="H5" s="113"/>
      <c r="J5" s="114"/>
    </row>
    <row r="6" spans="1:21" s="121" customFormat="1" ht="15.75" x14ac:dyDescent="0.3">
      <c r="A6" s="115" t="s">
        <v>5</v>
      </c>
      <c r="B6" s="116" t="s">
        <v>62</v>
      </c>
      <c r="C6" s="116" t="s">
        <v>7</v>
      </c>
      <c r="D6" s="116" t="s">
        <v>8</v>
      </c>
      <c r="E6" s="78" t="s">
        <v>9</v>
      </c>
      <c r="F6" s="117" t="str">
        <f>A7</f>
        <v>NITROGEN</v>
      </c>
      <c r="G6" s="117" t="str">
        <f>A8</f>
        <v>METHANE</v>
      </c>
      <c r="H6" s="117" t="str">
        <f>A9</f>
        <v>n-BUTANE</v>
      </c>
      <c r="I6" s="118" t="str">
        <f>A10</f>
        <v>n-HEPTANE</v>
      </c>
      <c r="J6" s="119" t="str">
        <f>A11</f>
        <v>Toluene</v>
      </c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21" s="121" customFormat="1" x14ac:dyDescent="0.2">
      <c r="A7" s="98" t="str">
        <f>Kvalues!A3</f>
        <v>NITROGEN</v>
      </c>
      <c r="B7" s="99">
        <f>Kvalues!I14/Kvalues!$I$19</f>
        <v>0.60005568164115519</v>
      </c>
      <c r="C7" s="99">
        <f>Kvalues!B3</f>
        <v>126.1</v>
      </c>
      <c r="D7" s="99">
        <f>Kvalues!C3</f>
        <v>3.3940000000000001</v>
      </c>
      <c r="E7" s="99">
        <f>Kvalues!D3</f>
        <v>0.04</v>
      </c>
      <c r="F7" s="122" t="s">
        <v>10</v>
      </c>
      <c r="G7" s="122" t="s">
        <v>10</v>
      </c>
      <c r="H7" s="122" t="s">
        <v>10</v>
      </c>
      <c r="I7" s="123" t="s">
        <v>10</v>
      </c>
      <c r="J7" s="124" t="s">
        <v>10</v>
      </c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</row>
    <row r="8" spans="1:21" s="121" customFormat="1" x14ac:dyDescent="0.2">
      <c r="A8" s="98" t="str">
        <f>Kvalues!A4</f>
        <v>METHANE</v>
      </c>
      <c r="B8" s="99">
        <f>Kvalues!I15/Kvalues!$I$19</f>
        <v>0.39994431835198729</v>
      </c>
      <c r="C8" s="99">
        <f>Kvalues!B4</f>
        <v>190.6</v>
      </c>
      <c r="D8" s="99">
        <f>Kvalues!C4</f>
        <v>4.6040000000000001</v>
      </c>
      <c r="E8" s="99">
        <f>Kvalues!D4</f>
        <v>1.0999999999999999E-2</v>
      </c>
      <c r="F8" s="102">
        <f>Kvalues!E4</f>
        <v>0</v>
      </c>
      <c r="G8" s="122" t="s">
        <v>10</v>
      </c>
      <c r="H8" s="122" t="s">
        <v>10</v>
      </c>
      <c r="I8" s="121" t="s">
        <v>10</v>
      </c>
      <c r="J8" s="124" t="s">
        <v>10</v>
      </c>
      <c r="K8" s="120"/>
      <c r="L8" s="120"/>
      <c r="M8" s="120"/>
      <c r="N8" s="125"/>
      <c r="O8" s="120"/>
      <c r="P8" s="120"/>
      <c r="Q8" s="120"/>
      <c r="R8" s="120"/>
      <c r="S8" s="120"/>
      <c r="T8" s="120"/>
      <c r="U8" s="120"/>
    </row>
    <row r="9" spans="1:21" s="121" customFormat="1" x14ac:dyDescent="0.2">
      <c r="A9" s="98" t="str">
        <f>Kvalues!A5</f>
        <v>n-BUTANE</v>
      </c>
      <c r="B9" s="99">
        <f>Kvalues!I16/Kvalues!$I$19</f>
        <v>6.8091565024151554E-12</v>
      </c>
      <c r="C9" s="99">
        <f>Kvalues!B5</f>
        <v>425.2</v>
      </c>
      <c r="D9" s="99">
        <f>Kvalues!C5</f>
        <v>3.7970000000000002</v>
      </c>
      <c r="E9" s="99">
        <f>Kvalues!D5</f>
        <v>0.193</v>
      </c>
      <c r="F9" s="102">
        <f>Kvalues!E5</f>
        <v>0</v>
      </c>
      <c r="G9" s="102">
        <f>Kvalues!F5</f>
        <v>0</v>
      </c>
      <c r="H9" s="122" t="s">
        <v>10</v>
      </c>
      <c r="I9" s="121" t="s">
        <v>10</v>
      </c>
      <c r="J9" s="124" t="s">
        <v>10</v>
      </c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</row>
    <row r="10" spans="1:21" s="121" customFormat="1" x14ac:dyDescent="0.2">
      <c r="A10" s="98" t="str">
        <f>Kvalues!A6</f>
        <v>n-HEPTANE</v>
      </c>
      <c r="B10" s="99">
        <f>Kvalues!I17/Kvalues!$I$19</f>
        <v>1.422486301055418E-14</v>
      </c>
      <c r="C10" s="99">
        <f>Kvalues!B6</f>
        <v>540.29999999999995</v>
      </c>
      <c r="D10" s="99">
        <f>Kvalues!C6</f>
        <v>2.7360000000000002</v>
      </c>
      <c r="E10" s="99">
        <f>Kvalues!D6</f>
        <v>0.34899999999999998</v>
      </c>
      <c r="F10" s="102">
        <f>Kvalues!E6</f>
        <v>0</v>
      </c>
      <c r="G10" s="102">
        <f>Kvalues!F6</f>
        <v>0</v>
      </c>
      <c r="H10" s="102">
        <f>Kvalues!G6</f>
        <v>0</v>
      </c>
      <c r="I10" s="121" t="s">
        <v>10</v>
      </c>
      <c r="J10" s="124" t="s">
        <v>10</v>
      </c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</row>
    <row r="11" spans="1:21" s="121" customFormat="1" x14ac:dyDescent="0.2">
      <c r="A11" s="98" t="str">
        <f>Kvalues!A7</f>
        <v>Toluene</v>
      </c>
      <c r="B11" s="104">
        <f>Kvalues!I18/Kvalues!$I$19</f>
        <v>3.4144939013448199E-14</v>
      </c>
      <c r="C11" s="104">
        <f>Kvalues!B7</f>
        <v>591.79999999999995</v>
      </c>
      <c r="D11" s="104">
        <f>Kvalues!C7</f>
        <v>4.109</v>
      </c>
      <c r="E11" s="104">
        <f>Kvalues!D7</f>
        <v>0.26400000000000001</v>
      </c>
      <c r="F11" s="105">
        <f>Kvalues!E7</f>
        <v>0</v>
      </c>
      <c r="G11" s="106">
        <f>Kvalues!F7</f>
        <v>0</v>
      </c>
      <c r="H11" s="106">
        <f>Kvalues!G7</f>
        <v>0</v>
      </c>
      <c r="I11" s="106">
        <f>Kvalues!H7</f>
        <v>0</v>
      </c>
      <c r="J11" s="126" t="s">
        <v>10</v>
      </c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</row>
    <row r="12" spans="1:21" ht="13.5" thickBot="1" x14ac:dyDescent="0.25">
      <c r="J12" s="127"/>
    </row>
    <row r="13" spans="1:21" ht="13.5" thickBot="1" x14ac:dyDescent="0.25">
      <c r="A13" s="128" t="s">
        <v>11</v>
      </c>
      <c r="B13" s="129"/>
      <c r="C13" s="130" t="s">
        <v>12</v>
      </c>
      <c r="D13" s="131"/>
      <c r="G13" s="125"/>
      <c r="H13" s="132"/>
      <c r="I13" s="132"/>
      <c r="J13" s="132"/>
      <c r="N13" s="132"/>
      <c r="O13" s="132"/>
    </row>
    <row r="14" spans="1:21" ht="13.5" thickTop="1" x14ac:dyDescent="0.2">
      <c r="A14" s="133" t="s">
        <v>13</v>
      </c>
      <c r="B14" s="107">
        <f>Kvalues!B10</f>
        <v>150</v>
      </c>
      <c r="C14" s="134" t="s">
        <v>14</v>
      </c>
      <c r="D14" s="135" t="s">
        <v>15</v>
      </c>
      <c r="E14" s="136" t="s">
        <v>16</v>
      </c>
      <c r="F14" s="133" t="s">
        <v>17</v>
      </c>
      <c r="G14" s="137"/>
      <c r="H14" s="125"/>
      <c r="K14" s="133" t="s">
        <v>18</v>
      </c>
      <c r="L14" s="137"/>
      <c r="M14" s="137"/>
      <c r="N14" s="125"/>
      <c r="O14" s="138"/>
      <c r="P14" s="120" t="s">
        <v>19</v>
      </c>
    </row>
    <row r="15" spans="1:21" ht="15" thickBot="1" x14ac:dyDescent="0.25">
      <c r="A15" s="139" t="s">
        <v>20</v>
      </c>
      <c r="B15" s="108">
        <f>Kvalues!B11</f>
        <v>2.8</v>
      </c>
      <c r="C15" s="140"/>
      <c r="D15" s="141" t="s">
        <v>80</v>
      </c>
      <c r="E15" s="142" t="s">
        <v>22</v>
      </c>
      <c r="F15" s="139" t="str">
        <f>A7</f>
        <v>NITROGEN</v>
      </c>
      <c r="G15" s="132" t="str">
        <f>A8</f>
        <v>METHANE</v>
      </c>
      <c r="H15" s="132" t="str">
        <f>A9</f>
        <v>n-BUTANE</v>
      </c>
      <c r="I15" s="132" t="str">
        <f>A10</f>
        <v>n-HEPTANE</v>
      </c>
      <c r="J15" s="143" t="str">
        <f>A11</f>
        <v>Toluene</v>
      </c>
      <c r="K15" s="139" t="str">
        <f>A7</f>
        <v>NITROGEN</v>
      </c>
      <c r="L15" s="132" t="str">
        <f>A8</f>
        <v>METHANE</v>
      </c>
      <c r="M15" s="132" t="str">
        <f>A9</f>
        <v>n-BUTANE</v>
      </c>
      <c r="N15" s="132"/>
      <c r="O15" s="144"/>
      <c r="P15" s="120" t="s">
        <v>85</v>
      </c>
      <c r="Q15" s="120" t="s">
        <v>86</v>
      </c>
      <c r="R15" s="120" t="s">
        <v>91</v>
      </c>
      <c r="S15" s="127" t="s">
        <v>23</v>
      </c>
      <c r="T15" s="145">
        <f t="array" ref="T15">MMULT(MMULT(TRANSPOSE(zi),Amatrix),zi)</f>
        <v>0.333399025072664</v>
      </c>
    </row>
    <row r="16" spans="1:21" x14ac:dyDescent="0.2">
      <c r="A16" s="146" t="s">
        <v>24</v>
      </c>
      <c r="B16" s="147"/>
      <c r="C16" s="137" t="e">
        <f>E40-$A$32/3</f>
        <v>#NUM!</v>
      </c>
      <c r="D16" s="148" t="e">
        <f>Z*_R*T/P</f>
        <v>#NUM!</v>
      </c>
      <c r="E16" s="149" t="e">
        <f>P*EXP(Z-1-LN(Z-B)-A/B/2.8284*LN((Z+2.4142*B)/(Z-0.4142*B)))</f>
        <v>#NUM!</v>
      </c>
      <c r="F16" s="150" t="e">
        <f t="array" ref="F16:J16">EXP(TRANSPOSE(Bi)/B*(INDEX(Z,1)-1)-LN(INDEX(Z,1)-B)-A/B/2.8284*LN((INDEX(Z,1)+2.4142*B)/(INDEX(Z,1)-0.4142*B))*(2*MMULT(TRANSPOSE(zi),Amatrix)/A-TRANSPOSE(Bi)/B))</f>
        <v>#NUM!</v>
      </c>
      <c r="G16" s="150" t="e">
        <v>#NUM!</v>
      </c>
      <c r="H16" s="151" t="e">
        <v>#NUM!</v>
      </c>
      <c r="I16" s="150" t="e">
        <v>#NUM!</v>
      </c>
      <c r="J16" s="120" t="e">
        <v>#NUM!</v>
      </c>
      <c r="K16" s="150" t="e">
        <f>$B$7*P*F16</f>
        <v>#NUM!</v>
      </c>
      <c r="L16" s="150" t="e">
        <f>$B$8*P*G16</f>
        <v>#NUM!</v>
      </c>
      <c r="M16" s="150" t="e">
        <f>$B$9*P*H16</f>
        <v>#NUM!</v>
      </c>
      <c r="N16" s="152" t="e">
        <f>$B$10*I16*P</f>
        <v>#NUM!</v>
      </c>
      <c r="O16" s="120" t="e">
        <f>$B$11*J16*P</f>
        <v>#NUM!</v>
      </c>
      <c r="P16" s="120" t="e">
        <f>_R*T*(C16-1-A/B/2.8284*(1+$T$19/A)*LN((C16+2.4142*B)/(C16-0.4142*B)))</f>
        <v>#NUM!</v>
      </c>
      <c r="Q16" s="120" t="e">
        <f>(P16-R16)/T</f>
        <v>#NUM!</v>
      </c>
      <c r="R16" s="120" t="e">
        <f>_R*T*(C16-1-A/B/2.8284*LN((C16+2.4142*B)/(C16-0.4142*B))-LN(C16-B))</f>
        <v>#NUM!</v>
      </c>
      <c r="S16" s="153" t="s">
        <v>25</v>
      </c>
      <c r="T16" s="119">
        <f t="array" ref="T16">SUM(zi*Bi)</f>
        <v>5.6419974793103234E-2</v>
      </c>
    </row>
    <row r="17" spans="1:22" ht="14.25" x14ac:dyDescent="0.2">
      <c r="A17" s="154" t="s">
        <v>26</v>
      </c>
      <c r="B17" s="155"/>
      <c r="C17" s="125" t="e">
        <f>F40-$A$32/3</f>
        <v>#NUM!</v>
      </c>
      <c r="D17" s="156" t="e">
        <f>Z*_R*T/P</f>
        <v>#NUM!</v>
      </c>
      <c r="E17" s="149"/>
      <c r="F17" s="149"/>
      <c r="G17" s="47"/>
      <c r="H17" s="151"/>
      <c r="I17" s="149"/>
      <c r="K17" s="149"/>
      <c r="L17" s="149"/>
      <c r="M17" s="149"/>
      <c r="N17" s="157"/>
      <c r="S17" s="158" t="s">
        <v>81</v>
      </c>
      <c r="T17" s="158"/>
    </row>
    <row r="18" spans="1:22" ht="13.5" thickBot="1" x14ac:dyDescent="0.25">
      <c r="A18" s="139"/>
      <c r="B18" s="132"/>
      <c r="C18" s="132" t="e">
        <f>G40-$A$32/3</f>
        <v>#NUM!</v>
      </c>
      <c r="D18" s="143" t="e">
        <f>Z*_R*T/P</f>
        <v>#NUM!</v>
      </c>
      <c r="E18" s="159" t="e">
        <f>P*EXP(Z-1-LN(Z-B)-A/B/2.8284*LN((Z+2.4142*B)/(Z-0.4142*B)))</f>
        <v>#NUM!</v>
      </c>
      <c r="F18" s="149" t="e">
        <f t="array" ref="F18:J18">EXP(TRANSPOSE(Bi)/B*(INDEX(Z,3)-1)-LN(INDEX(Z,3)-B)-A/B/2.8284*LN((INDEX(Z,3)+2.4142*B)/(INDEX(Z,3)-0.4142*B))*(2*MMULT(TRANSPOSE(zi),Amatrix)/A-TRANSPOSE(Bi)/B))</f>
        <v>#NUM!</v>
      </c>
      <c r="G18" s="149" t="e">
        <v>#NUM!</v>
      </c>
      <c r="H18" s="125" t="e">
        <v>#NUM!</v>
      </c>
      <c r="I18" s="159" t="e">
        <v>#NUM!</v>
      </c>
      <c r="J18" s="143" t="e">
        <v>#NUM!</v>
      </c>
      <c r="K18" s="149" t="e">
        <f>$B$7*P*F18</f>
        <v>#NUM!</v>
      </c>
      <c r="L18" s="149" t="e">
        <f>$B$8*P*G18</f>
        <v>#NUM!</v>
      </c>
      <c r="M18" s="149" t="e">
        <f>$B$9*P*H18</f>
        <v>#NUM!</v>
      </c>
      <c r="N18" s="160" t="e">
        <f>$B$10*I18*P</f>
        <v>#NUM!</v>
      </c>
      <c r="O18" s="144" t="e">
        <f>$B$11*J18*P</f>
        <v>#NUM!</v>
      </c>
      <c r="P18" s="120" t="e">
        <f>_R*T*(C18-1-A/B/2.8284*(1+$T$19/A)*LN((C18+2.4142*B)/(C18-0.4142*B)))</f>
        <v>#NUM!</v>
      </c>
      <c r="Q18" s="120" t="e">
        <f>(P18-R18)/T</f>
        <v>#NUM!</v>
      </c>
      <c r="R18" s="120" t="e">
        <f>_R*T*(C18-1-A/B/2.8284*LN((C18+2.4142*B)/(C18-0.4142*B))-LN(C18-B))</f>
        <v>#NUM!</v>
      </c>
      <c r="S18" s="161">
        <v>8.31447</v>
      </c>
      <c r="T18" s="162"/>
    </row>
    <row r="19" spans="1:22" ht="13.5" thickBot="1" x14ac:dyDescent="0.25">
      <c r="A19" s="163" t="s">
        <v>28</v>
      </c>
      <c r="B19" s="164"/>
      <c r="C19" s="165">
        <f>C36-A32/3</f>
        <v>0.65892609168962946</v>
      </c>
      <c r="D19" s="131">
        <f>Z*_R*T/P</f>
        <v>293.4975654412861</v>
      </c>
      <c r="E19" s="159">
        <f>P*EXP(Z-1-LN(Z-B)-A/B/2.8284*LN((Z+2.4142*B)/(Z-0.4142*B)))</f>
        <v>2.0692554842005024</v>
      </c>
      <c r="F19" s="166">
        <f t="array" ref="F19:J19">EXP(TRANSPOSE(Bi)/B*(INDEX(Z,4)-1)-LN(INDEX(Z,4)-B)-A/B/2.8284*LN((INDEX(Z,4)+2.4142*B)/(INDEX(Z,4)-0.4142*B))*(2*MMULT(TRANSPOSE(zi),Amatrix)/A-TRANSPOSE(Bi)/B))</f>
        <v>0.83872674979079376</v>
      </c>
      <c r="G19" s="166">
        <v>0.61120983876605894</v>
      </c>
      <c r="H19" s="166">
        <v>8.1000739323167634E-2</v>
      </c>
      <c r="I19" s="167">
        <v>1.104928428002888E-2</v>
      </c>
      <c r="J19" s="120">
        <v>1.9344916143325432E-2</v>
      </c>
      <c r="K19" s="166">
        <f>$B$7*P*F19</f>
        <v>1.409191704357879</v>
      </c>
      <c r="L19" s="166">
        <f>$B$8*P*G19</f>
        <v>0.68445972653889453</v>
      </c>
      <c r="M19" s="166">
        <f>$B$9*P*H19</f>
        <v>1.5443307904157892E-12</v>
      </c>
      <c r="N19" s="167">
        <f>$B$10*I19*P</f>
        <v>4.4008875469462558E-16</v>
      </c>
      <c r="O19" s="168">
        <f>$B$11*J19*P</f>
        <v>1.8494867494155257E-15</v>
      </c>
      <c r="P19" s="120">
        <f>_R*T*(C19-1-A/B/2.8284*(1+$T$19/A)*LN((C19+2.4142*B)/(C19-0.4142*B)))</f>
        <v>-1252.0718708481913</v>
      </c>
      <c r="Q19" s="120">
        <f>(P19-R19)/T</f>
        <v>-5.8325961199107814</v>
      </c>
      <c r="R19" s="120">
        <f>_R*T*(C19-1-A/B/2.8284*LN((C19+2.4142*B)/(C19-0.4142*B))-LN(C19-B))</f>
        <v>-377.18245286157406</v>
      </c>
      <c r="S19" s="196" t="s">
        <v>90</v>
      </c>
      <c r="T19" s="120">
        <f t="array" ref="T19">MMULT(MMULT(TRANSPOSE(zi),dAmatrix),zi)</f>
        <v>0.1387995128171462</v>
      </c>
    </row>
    <row r="20" spans="1:22" x14ac:dyDescent="0.2">
      <c r="A20" s="169"/>
      <c r="B20" s="169"/>
      <c r="C20" s="169"/>
      <c r="D20" s="169"/>
      <c r="E20" s="169"/>
      <c r="F20" s="169"/>
      <c r="G20" s="169"/>
      <c r="H20" s="169"/>
      <c r="I20" s="169"/>
      <c r="J20" s="169"/>
      <c r="K20" s="169"/>
    </row>
    <row r="21" spans="1:22" x14ac:dyDescent="0.2">
      <c r="A21" s="151"/>
      <c r="B21" s="125"/>
      <c r="C21" s="125"/>
      <c r="D21" s="125"/>
      <c r="E21" s="125"/>
      <c r="F21" s="125"/>
      <c r="G21" s="125"/>
      <c r="H21" s="170"/>
      <c r="I21" s="170"/>
      <c r="J21" s="171"/>
      <c r="K21" s="172" t="s">
        <v>88</v>
      </c>
      <c r="L21" s="173"/>
      <c r="M21" s="174"/>
      <c r="N21" s="175"/>
      <c r="O21" s="162"/>
      <c r="R21" s="172" t="s">
        <v>89</v>
      </c>
      <c r="S21" s="173"/>
      <c r="T21" s="174"/>
      <c r="U21" s="175"/>
      <c r="V21" s="162"/>
    </row>
    <row r="22" spans="1:22" x14ac:dyDescent="0.2">
      <c r="A22" s="140"/>
      <c r="B22" s="117" t="s">
        <v>29</v>
      </c>
      <c r="C22" s="117" t="s">
        <v>30</v>
      </c>
      <c r="D22" s="75" t="s">
        <v>31</v>
      </c>
      <c r="E22" s="75" t="s">
        <v>32</v>
      </c>
      <c r="F22" s="117" t="s">
        <v>33</v>
      </c>
      <c r="G22" s="117" t="s">
        <v>32</v>
      </c>
      <c r="H22" s="126" t="s">
        <v>34</v>
      </c>
      <c r="I22" s="126" t="s">
        <v>23</v>
      </c>
      <c r="J22" s="176" t="s">
        <v>25</v>
      </c>
      <c r="K22" s="177" t="str">
        <f>A7</f>
        <v>NITROGEN</v>
      </c>
      <c r="L22" s="161" t="str">
        <f>A8</f>
        <v>METHANE</v>
      </c>
      <c r="M22" s="161" t="str">
        <f>A9</f>
        <v>n-BUTANE</v>
      </c>
      <c r="N22" s="158" t="str">
        <f>A10</f>
        <v>n-HEPTANE</v>
      </c>
      <c r="O22" s="170" t="str">
        <f>A11</f>
        <v>Toluene</v>
      </c>
      <c r="P22" s="120" t="s">
        <v>87</v>
      </c>
      <c r="R22" s="177" t="str">
        <f>K22</f>
        <v>NITROGEN</v>
      </c>
      <c r="S22" s="177" t="str">
        <f>L22</f>
        <v>METHANE</v>
      </c>
      <c r="T22" s="177" t="str">
        <f>M22</f>
        <v>n-BUTANE</v>
      </c>
      <c r="U22" s="177" t="str">
        <f>N22</f>
        <v>n-HEPTANE</v>
      </c>
      <c r="V22" s="177" t="str">
        <f>O22</f>
        <v>Toluene</v>
      </c>
    </row>
    <row r="23" spans="1:22" x14ac:dyDescent="0.2">
      <c r="A23" s="151" t="str">
        <f>A7</f>
        <v>NITROGEN</v>
      </c>
      <c r="B23" s="178">
        <f t="array" ref="B23:B27">T/Tc</f>
        <v>1.1895321173671689</v>
      </c>
      <c r="C23" s="178">
        <f t="array" ref="C23:C27">P/Pc</f>
        <v>0.824985268120212</v>
      </c>
      <c r="D23" s="178">
        <f t="array" ref="D23:D27">0.37464+1.54226*w-0.26993*w^2</f>
        <v>0.43589851199999996</v>
      </c>
      <c r="E23" s="178">
        <f t="array" ref="E23:E27">(1+kappa*(1-(Tr)^0.5))^2</f>
        <v>0.92252733080455296</v>
      </c>
      <c r="F23" s="178">
        <f t="array" ref="F23:F27">0.457235529*_R^2*Tc^2/Pc</f>
        <v>148090.58403271213</v>
      </c>
      <c r="G23" s="178">
        <f t="array" ref="G23:G27">ac*alpha</f>
        <v>136617.61120498527</v>
      </c>
      <c r="H23" s="179">
        <f t="array" ref="H23:H27">0.077796074*_R*Tc/Pc</f>
        <v>24.032309033464159</v>
      </c>
      <c r="I23" s="180">
        <f t="array" ref="I23:I27">G23:G27*P/_R^2/T^2</f>
        <v>0.24593087742609293</v>
      </c>
      <c r="J23" s="181">
        <f t="array" ref="J23:J27">H23:H27*P/_R/T</f>
        <v>5.3954503649420539E-2</v>
      </c>
      <c r="K23" s="182">
        <f>I23</f>
        <v>0.24593087742609293</v>
      </c>
      <c r="L23" s="183">
        <f>K24</f>
        <v>0.34697874732346651</v>
      </c>
      <c r="M23" s="184">
        <f>K25</f>
        <v>1.0357763484885043</v>
      </c>
      <c r="N23" s="158">
        <f>K26</f>
        <v>1.7306396340256087</v>
      </c>
      <c r="O23" s="162">
        <f>K27</f>
        <v>1.50588107759497</v>
      </c>
      <c r="P23" s="120">
        <f>D23*SQRT(B23/E23)</f>
        <v>0.49497566982063473</v>
      </c>
      <c r="R23" s="120">
        <f>K23*($P$23+$P23)/2</f>
        <v>0.12172980078355676</v>
      </c>
      <c r="S23" s="120">
        <f>L23*($P$24+$P23)/2</f>
        <v>0.14358759964633105</v>
      </c>
      <c r="T23" s="120">
        <f>M23*($P$25+$P23)/2</f>
        <v>0.41687812982024974</v>
      </c>
      <c r="U23" s="120">
        <f>N23*($P$26+$P23)/2</f>
        <v>0.71159977503615701</v>
      </c>
      <c r="V23" s="120">
        <f>O23*($P$27+$P23)/2</f>
        <v>0.58244330762377361</v>
      </c>
    </row>
    <row r="24" spans="1:22" x14ac:dyDescent="0.2">
      <c r="A24" s="151" t="str">
        <f>A8</f>
        <v>METHANE</v>
      </c>
      <c r="B24" s="178">
        <v>0.78698845750262336</v>
      </c>
      <c r="C24" s="178">
        <v>0.60816681146828844</v>
      </c>
      <c r="D24" s="178">
        <v>0.39157219846999997</v>
      </c>
      <c r="E24" s="178">
        <v>1.090352013761583</v>
      </c>
      <c r="F24" s="178">
        <v>249413.28838981286</v>
      </c>
      <c r="G24" s="178">
        <v>271948.28125473089</v>
      </c>
      <c r="H24" s="179">
        <v>26.778104543501883</v>
      </c>
      <c r="I24" s="180">
        <v>0.48954508012253517</v>
      </c>
      <c r="J24" s="181">
        <v>6.0119039635563268E-2</v>
      </c>
      <c r="K24" s="182">
        <f>SQRT(I$23*I24)*(1-F8)</f>
        <v>0.34697874732346651</v>
      </c>
      <c r="L24" s="185">
        <f>I24</f>
        <v>0.48954508012253517</v>
      </c>
      <c r="M24" s="183">
        <f>L25</f>
        <v>1.4613552542373216</v>
      </c>
      <c r="N24" s="162">
        <f>L26</f>
        <v>2.4417233759636745</v>
      </c>
      <c r="O24" s="170">
        <f>L27</f>
        <v>2.1246162148916774</v>
      </c>
      <c r="P24" s="120">
        <f>D24*SQRT(B24/E24)</f>
        <v>0.33266925514344858</v>
      </c>
      <c r="R24" s="120">
        <f>K24*($P$23+$P24)/2</f>
        <v>0.14358759964633105</v>
      </c>
      <c r="S24" s="120">
        <f>L24*($P$24+$P24)/2</f>
        <v>0.16285659716350362</v>
      </c>
      <c r="T24" s="120">
        <f>M24*($P$25+$P24)/2</f>
        <v>0.46957099554885007</v>
      </c>
      <c r="U24" s="120">
        <f>N24*($P$26+$P24)/2</f>
        <v>0.80582760241317353</v>
      </c>
      <c r="V24" s="120">
        <f>O24*($P$27+$P24)/2</f>
        <v>0.64933769863297419</v>
      </c>
    </row>
    <row r="25" spans="1:22" x14ac:dyDescent="0.2">
      <c r="A25" s="151" t="str">
        <f>A9</f>
        <v>n-BUTANE</v>
      </c>
      <c r="B25" s="178">
        <v>0.35277516462841019</v>
      </c>
      <c r="C25" s="178">
        <v>0.73742428232815371</v>
      </c>
      <c r="D25" s="178">
        <v>0.66224155743000002</v>
      </c>
      <c r="E25" s="178">
        <v>1.6101173256697261</v>
      </c>
      <c r="F25" s="178">
        <v>1505064.1989255524</v>
      </c>
      <c r="G25" s="178">
        <v>2423329.9429352591</v>
      </c>
      <c r="H25" s="179">
        <v>72.434407180869016</v>
      </c>
      <c r="I25" s="180">
        <v>4.3623340644185156</v>
      </c>
      <c r="J25" s="181">
        <v>0.16262118139134404</v>
      </c>
      <c r="K25" s="182">
        <f>SQRT(I$23*I25)*(1-F9)</f>
        <v>1.0357763484885043</v>
      </c>
      <c r="L25" s="183">
        <f>SQRT(I$24*I25)*(1-G9)</f>
        <v>1.4613552542373216</v>
      </c>
      <c r="M25" s="183">
        <f>I25</f>
        <v>4.3623340644185156</v>
      </c>
      <c r="N25" s="158">
        <f>M26</f>
        <v>7.288859452872992</v>
      </c>
      <c r="O25" s="162">
        <f>M27</f>
        <v>6.3422536451446181</v>
      </c>
      <c r="P25" s="120">
        <f>D25*SQRT(B25/E25)</f>
        <v>0.30998213874217884</v>
      </c>
      <c r="R25" s="120">
        <f>K25*($P$23+$P25)/2</f>
        <v>0.41687812982024974</v>
      </c>
      <c r="S25" s="120">
        <f>L25*($P$24+$P25)/2</f>
        <v>0.46957099554885007</v>
      </c>
      <c r="T25" s="120">
        <f>M25*($P$25+$P25)/2</f>
        <v>1.3522456431963132</v>
      </c>
      <c r="U25" s="120">
        <f>N25*($P$26+$P25)/2</f>
        <v>2.3228178073397387</v>
      </c>
      <c r="V25" s="120">
        <f>O25*($P$27+$P25)/2</f>
        <v>1.8664131230423169</v>
      </c>
    </row>
    <row r="26" spans="1:22" x14ac:dyDescent="0.2">
      <c r="A26" s="151" t="str">
        <f>A10</f>
        <v>n-HEPTANE</v>
      </c>
      <c r="B26" s="178">
        <v>0.27762354247640203</v>
      </c>
      <c r="C26" s="178">
        <v>1.0233918128654969</v>
      </c>
      <c r="D26" s="178">
        <v>0.88001099607</v>
      </c>
      <c r="E26" s="178">
        <v>2.0059998994974042</v>
      </c>
      <c r="F26" s="178">
        <v>3372585.3777342224</v>
      </c>
      <c r="G26" s="178">
        <v>6765405.9287812654</v>
      </c>
      <c r="H26" s="179">
        <v>127.73535693276257</v>
      </c>
      <c r="I26" s="180">
        <v>12.178680343871758</v>
      </c>
      <c r="J26" s="181">
        <v>0.28677634646725142</v>
      </c>
      <c r="K26" s="182">
        <f>SQRT(I$23*I26)*(1-F10)</f>
        <v>1.7306396340256087</v>
      </c>
      <c r="L26" s="183">
        <f>SQRT(I$24*I26)*(1-G10)</f>
        <v>2.4417233759636745</v>
      </c>
      <c r="M26" s="183">
        <f>SQRT(I$25*I26)*(1-H10)</f>
        <v>7.288859452872992</v>
      </c>
      <c r="N26" s="158">
        <f>I26</f>
        <v>12.178680343871758</v>
      </c>
      <c r="O26" s="162">
        <f>N27</f>
        <v>10.597032403132232</v>
      </c>
      <c r="P26" s="120">
        <f>D26*SQRT(B26/E26)</f>
        <v>0.32737897992342313</v>
      </c>
      <c r="R26" s="120">
        <f>K26*($P$23+$P26)/2</f>
        <v>0.71159977503615701</v>
      </c>
      <c r="S26" s="120">
        <f>L26*($P$24+$P26)/2</f>
        <v>0.80582760241317353</v>
      </c>
      <c r="T26" s="120">
        <f>M26*($P$25+$P26)/2</f>
        <v>2.3228178073397387</v>
      </c>
      <c r="U26" s="120">
        <f>N26*($P$26+$P26)/2</f>
        <v>3.98704394779018</v>
      </c>
      <c r="V26" s="120">
        <f>O26*($P$27+$P26)/2</f>
        <v>3.2106967361248464</v>
      </c>
    </row>
    <row r="27" spans="1:22" x14ac:dyDescent="0.2">
      <c r="A27" s="140" t="str">
        <f>A11</f>
        <v>Toluene</v>
      </c>
      <c r="B27" s="186">
        <v>0.25346400811084829</v>
      </c>
      <c r="C27" s="186">
        <v>0.68143100511073251</v>
      </c>
      <c r="D27" s="186">
        <v>0.76298359871999999</v>
      </c>
      <c r="E27" s="186">
        <v>1.9012491371013198</v>
      </c>
      <c r="F27" s="186">
        <v>2694156.9428443355</v>
      </c>
      <c r="G27" s="186">
        <v>5122263.5627983222</v>
      </c>
      <c r="H27" s="187">
        <v>93.16034130510188</v>
      </c>
      <c r="I27" s="188">
        <v>9.2207934342854934</v>
      </c>
      <c r="J27" s="189">
        <v>0.20915260235411698</v>
      </c>
      <c r="K27" s="182">
        <f>SQRT(I$23*I27)*(1-F11)</f>
        <v>1.50588107759497</v>
      </c>
      <c r="L27" s="183">
        <f>SQRT(I$24*I27)*(1-G11)</f>
        <v>2.1246162148916774</v>
      </c>
      <c r="M27" s="190">
        <f>SQRT(I$25*I27)*(1-H11)</f>
        <v>6.3422536451446181</v>
      </c>
      <c r="N27" s="191">
        <f>SQRT(I$26*I27)*(1-I11)</f>
        <v>10.597032403132232</v>
      </c>
      <c r="O27" s="119">
        <f>I27</f>
        <v>9.2207934342854934</v>
      </c>
      <c r="P27" s="120">
        <f>D27*SQRT(B27/E27)</f>
        <v>0.27858250325102496</v>
      </c>
      <c r="R27" s="120">
        <f>K27*($P$23+$P27)/2</f>
        <v>0.58244330762377361</v>
      </c>
      <c r="S27" s="120">
        <f>L27*($P$24+$P27)/2</f>
        <v>0.64933769863297419</v>
      </c>
      <c r="T27" s="120">
        <f>M27*($P$25+$P27)/2</f>
        <v>1.8664131230423169</v>
      </c>
      <c r="U27" s="120">
        <f>N27*($P$26+$P27)/2</f>
        <v>3.2106967361248464</v>
      </c>
      <c r="V27" s="120">
        <f>O27*($P$27+$P27)/2</f>
        <v>2.5687517168838681</v>
      </c>
    </row>
    <row r="28" spans="1:22" x14ac:dyDescent="0.2">
      <c r="A28" s="178"/>
      <c r="B28" s="178"/>
      <c r="C28" s="178"/>
      <c r="D28" s="178"/>
      <c r="E28" s="178"/>
      <c r="F28" s="178"/>
      <c r="G28" s="192"/>
      <c r="H28" s="178"/>
      <c r="I28" s="178"/>
      <c r="J28" s="193"/>
      <c r="K28" s="193"/>
      <c r="L28" s="193"/>
    </row>
    <row r="29" spans="1:22" ht="15.75" x14ac:dyDescent="0.3">
      <c r="A29" s="120" t="s">
        <v>35</v>
      </c>
      <c r="C29" s="120" t="s">
        <v>82</v>
      </c>
      <c r="F29" s="125"/>
      <c r="G29" s="125"/>
      <c r="H29" s="125"/>
      <c r="I29" s="125"/>
    </row>
    <row r="30" spans="1:22" ht="14.25" x14ac:dyDescent="0.2">
      <c r="F30" s="194" t="s">
        <v>83</v>
      </c>
      <c r="G30" s="127"/>
      <c r="H30" s="127">
        <f>E32^2/4+D32^3/27</f>
        <v>8.6076288898700685E-6</v>
      </c>
      <c r="I30" s="145"/>
    </row>
    <row r="31" spans="1:22" ht="15.75" x14ac:dyDescent="0.3">
      <c r="A31" s="161" t="s">
        <v>38</v>
      </c>
      <c r="B31" s="161" t="s">
        <v>39</v>
      </c>
      <c r="C31" s="161" t="s">
        <v>40</v>
      </c>
      <c r="D31" s="161" t="s">
        <v>41</v>
      </c>
      <c r="E31" s="161" t="s">
        <v>42</v>
      </c>
      <c r="F31" s="195" t="s">
        <v>43</v>
      </c>
      <c r="G31" s="125"/>
      <c r="H31" s="125"/>
      <c r="I31" s="170"/>
    </row>
    <row r="32" spans="1:22" x14ac:dyDescent="0.2">
      <c r="A32" s="158">
        <f>-(1-B)</f>
        <v>-0.94358002520689677</v>
      </c>
      <c r="B32" s="158">
        <f>A-3*B^2-2*B</f>
        <v>0.2110094348194943</v>
      </c>
      <c r="C32" s="158">
        <f>-(A*B-B^2-B^3)</f>
        <v>-1.5447554206419406E-2</v>
      </c>
      <c r="D32" s="158">
        <f>(3*B32-A32^2)/3</f>
        <v>-8.5771653170321691E-2</v>
      </c>
      <c r="E32" s="158">
        <f>(2*A32^3-9*A32*B32+27*C32)/27</f>
        <v>-1.1309837483653544E-2</v>
      </c>
      <c r="F32" s="153" t="s">
        <v>44</v>
      </c>
      <c r="G32" s="118"/>
      <c r="H32" s="118"/>
      <c r="I32" s="119"/>
    </row>
    <row r="34" spans="1:7" x14ac:dyDescent="0.2">
      <c r="A34" s="120" t="s">
        <v>45</v>
      </c>
    </row>
    <row r="35" spans="1:7" x14ac:dyDescent="0.2">
      <c r="A35" s="158" t="s">
        <v>46</v>
      </c>
      <c r="B35" s="158" t="s">
        <v>47</v>
      </c>
      <c r="C35" s="158" t="s">
        <v>48</v>
      </c>
      <c r="D35" s="158"/>
      <c r="F35" s="120" t="s">
        <v>49</v>
      </c>
    </row>
    <row r="36" spans="1:7" x14ac:dyDescent="0.2">
      <c r="A36" s="158">
        <f>(-$E$32/2+SQRT($H$30))^(1/3)</f>
        <v>0.20479094157005215</v>
      </c>
      <c r="B36" s="158">
        <f>(-$E$32/2-SQRT($H$30))^(1/3)</f>
        <v>0.13960847505061172</v>
      </c>
      <c r="C36" s="158">
        <f>A36+B36</f>
        <v>0.34439941662066387</v>
      </c>
      <c r="D36" s="125"/>
      <c r="F36" s="120" t="s">
        <v>50</v>
      </c>
    </row>
    <row r="38" spans="1:7" x14ac:dyDescent="0.2">
      <c r="A38" s="120" t="s">
        <v>51</v>
      </c>
    </row>
    <row r="39" spans="1:7" ht="15.75" x14ac:dyDescent="0.3">
      <c r="A39" s="158" t="s">
        <v>52</v>
      </c>
      <c r="B39" s="158" t="s">
        <v>53</v>
      </c>
      <c r="C39" s="158" t="s">
        <v>54</v>
      </c>
      <c r="D39" s="35" t="s">
        <v>55</v>
      </c>
      <c r="E39" s="158" t="s">
        <v>56</v>
      </c>
      <c r="F39" s="158"/>
      <c r="G39" s="158"/>
    </row>
    <row r="40" spans="1:7" x14ac:dyDescent="0.2">
      <c r="A40" s="158">
        <f>2*SQRT(-D32/3)</f>
        <v>0.33817481311755848</v>
      </c>
      <c r="B40" s="158">
        <f>3*E32/D32/A40</f>
        <v>1.1697487226566068</v>
      </c>
      <c r="C40" s="158" t="e">
        <f>ACOS(B40)</f>
        <v>#NUM!</v>
      </c>
      <c r="D40" s="158" t="e">
        <f>C40/3</f>
        <v>#NUM!</v>
      </c>
      <c r="E40" s="158" t="e">
        <f>$A$40*COS($D$40)</f>
        <v>#NUM!</v>
      </c>
      <c r="F40" s="158" t="e">
        <f>$A$40*COS($D$40+4*PI()/3)</f>
        <v>#NUM!</v>
      </c>
      <c r="G40" s="158" t="e">
        <f>$A$40*COS($D$40+2*PI()/3)</f>
        <v>#NUM!</v>
      </c>
    </row>
    <row r="43" spans="1:7" x14ac:dyDescent="0.2">
      <c r="A43" s="125"/>
    </row>
  </sheetData>
  <sheetProtection sheet="1" objects="1" scenarios="1"/>
  <phoneticPr fontId="10" type="noConversion"/>
  <printOptions gridLinesSet="0"/>
  <pageMargins left="0.75" right="0.75" top="1" bottom="1" header="0.5" footer="0.5"/>
  <pageSetup scale="90" orientation="landscape" horizontalDpi="300" verticalDpi="300" copies="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V43"/>
  <sheetViews>
    <sheetView showGridLines="0" workbookViewId="0"/>
  </sheetViews>
  <sheetFormatPr defaultRowHeight="12.75" x14ac:dyDescent="0.2"/>
  <cols>
    <col min="5" max="5" width="11.28515625" customWidth="1"/>
    <col min="6" max="7" width="10.7109375" customWidth="1"/>
    <col min="8" max="8" width="11" customWidth="1"/>
    <col min="10" max="10" width="8.7109375" customWidth="1"/>
    <col min="11" max="11" width="9.85546875" customWidth="1"/>
    <col min="14" max="14" width="10.28515625" customWidth="1"/>
    <col min="15" max="15" width="8.28515625" customWidth="1"/>
    <col min="16" max="16" width="8" customWidth="1"/>
    <col min="18" max="18" width="10" customWidth="1"/>
    <col min="19" max="19" width="10.140625" customWidth="1"/>
    <col min="20" max="20" width="10.28515625" customWidth="1"/>
  </cols>
  <sheetData>
    <row r="1" spans="1:22" x14ac:dyDescent="0.2">
      <c r="A1" t="s">
        <v>1</v>
      </c>
      <c r="F1" t="s">
        <v>2</v>
      </c>
    </row>
    <row r="2" spans="1:22" x14ac:dyDescent="0.2">
      <c r="A2" s="13" t="s">
        <v>3</v>
      </c>
      <c r="B2" s="13"/>
    </row>
    <row r="4" spans="1:22" x14ac:dyDescent="0.2">
      <c r="F4" s="15"/>
      <c r="G4" s="15"/>
      <c r="H4" s="15"/>
      <c r="I4" s="15"/>
      <c r="J4" s="15"/>
    </row>
    <row r="5" spans="1:22" x14ac:dyDescent="0.2">
      <c r="A5" s="15"/>
      <c r="B5" s="15"/>
      <c r="C5" s="15"/>
      <c r="D5" s="15"/>
      <c r="E5" s="16"/>
      <c r="F5" s="32" t="s">
        <v>4</v>
      </c>
      <c r="G5" s="32"/>
      <c r="H5" s="32"/>
      <c r="J5" s="12"/>
    </row>
    <row r="6" spans="1:22" s="44" customFormat="1" ht="15.75" x14ac:dyDescent="0.3">
      <c r="A6" s="77" t="s">
        <v>5</v>
      </c>
      <c r="B6" s="60" t="s">
        <v>65</v>
      </c>
      <c r="C6" s="60" t="s">
        <v>7</v>
      </c>
      <c r="D6" s="60" t="s">
        <v>8</v>
      </c>
      <c r="E6" s="78" t="s">
        <v>9</v>
      </c>
      <c r="F6" s="60" t="str">
        <f>A7</f>
        <v>NITROGEN</v>
      </c>
      <c r="G6" s="60" t="str">
        <f>A8</f>
        <v>METHANE</v>
      </c>
      <c r="H6" s="60" t="str">
        <f>A9</f>
        <v>n-BUTANE</v>
      </c>
      <c r="I6" s="15" t="str">
        <f>A10</f>
        <v>n-HEPTANE</v>
      </c>
      <c r="J6" s="16" t="str">
        <f>A11</f>
        <v>Toluene</v>
      </c>
      <c r="K6"/>
      <c r="L6"/>
      <c r="M6"/>
      <c r="N6"/>
      <c r="O6"/>
      <c r="P6"/>
      <c r="Q6"/>
      <c r="R6"/>
      <c r="S6"/>
      <c r="T6"/>
      <c r="U6"/>
    </row>
    <row r="7" spans="1:22" s="44" customFormat="1" x14ac:dyDescent="0.2">
      <c r="A7" s="98" t="str">
        <f>Kvalues!A3</f>
        <v>NITROGEN</v>
      </c>
      <c r="B7" s="99">
        <f>Kvalues!H14/Kvalues!$H$19</f>
        <v>0.2999999910000003</v>
      </c>
      <c r="C7" s="99">
        <f>Kvalues!B3</f>
        <v>126.1</v>
      </c>
      <c r="D7" s="99">
        <f>Kvalues!C3</f>
        <v>3.3940000000000001</v>
      </c>
      <c r="E7" s="99">
        <f>Kvalues!D3</f>
        <v>0.04</v>
      </c>
      <c r="F7" s="100" t="s">
        <v>10</v>
      </c>
      <c r="G7" s="100" t="s">
        <v>10</v>
      </c>
      <c r="H7" s="100" t="s">
        <v>10</v>
      </c>
      <c r="I7" s="101" t="s">
        <v>10</v>
      </c>
      <c r="J7" s="92" t="s">
        <v>10</v>
      </c>
      <c r="K7"/>
      <c r="L7"/>
      <c r="M7"/>
      <c r="N7"/>
      <c r="O7"/>
      <c r="P7"/>
      <c r="Q7"/>
      <c r="R7"/>
      <c r="S7"/>
      <c r="T7"/>
      <c r="U7"/>
    </row>
    <row r="8" spans="1:22" s="44" customFormat="1" x14ac:dyDescent="0.2">
      <c r="A8" s="98" t="str">
        <f>Kvalues!A4</f>
        <v>METHANE</v>
      </c>
      <c r="B8" s="99">
        <f>Kvalues!H15/Kvalues!$H$19</f>
        <v>0.69999997900000066</v>
      </c>
      <c r="C8" s="99">
        <f>Kvalues!B4</f>
        <v>190.6</v>
      </c>
      <c r="D8" s="99">
        <f>Kvalues!C4</f>
        <v>4.6040000000000001</v>
      </c>
      <c r="E8" s="99">
        <f>Kvalues!D4</f>
        <v>1.0999999999999999E-2</v>
      </c>
      <c r="F8" s="102">
        <f>Kvalues!E4</f>
        <v>0</v>
      </c>
      <c r="G8" s="100" t="s">
        <v>10</v>
      </c>
      <c r="H8" s="100" t="s">
        <v>10</v>
      </c>
      <c r="I8" s="103" t="s">
        <v>10</v>
      </c>
      <c r="J8" s="92" t="s">
        <v>10</v>
      </c>
      <c r="K8"/>
      <c r="L8"/>
      <c r="M8"/>
      <c r="N8" s="13"/>
      <c r="O8"/>
      <c r="P8"/>
      <c r="Q8"/>
      <c r="R8"/>
      <c r="S8"/>
      <c r="T8"/>
      <c r="U8"/>
    </row>
    <row r="9" spans="1:22" s="44" customFormat="1" x14ac:dyDescent="0.2">
      <c r="A9" s="98" t="str">
        <f>Kvalues!A5</f>
        <v>n-BUTANE</v>
      </c>
      <c r="B9" s="99">
        <f>Kvalues!H16/Kvalues!$H$19</f>
        <v>9.9999997000000117E-9</v>
      </c>
      <c r="C9" s="99">
        <f>Kvalues!B5</f>
        <v>425.2</v>
      </c>
      <c r="D9" s="99">
        <f>Kvalues!C5</f>
        <v>3.7970000000000002</v>
      </c>
      <c r="E9" s="99">
        <f>Kvalues!D5</f>
        <v>0.193</v>
      </c>
      <c r="F9" s="102">
        <f>Kvalues!E5</f>
        <v>0</v>
      </c>
      <c r="G9" s="102">
        <f>Kvalues!F5</f>
        <v>0</v>
      </c>
      <c r="H9" s="100" t="s">
        <v>10</v>
      </c>
      <c r="I9" s="103" t="s">
        <v>10</v>
      </c>
      <c r="J9" s="92" t="s">
        <v>10</v>
      </c>
      <c r="K9"/>
      <c r="L9"/>
      <c r="M9"/>
      <c r="N9"/>
      <c r="O9"/>
      <c r="P9"/>
      <c r="Q9"/>
      <c r="R9"/>
      <c r="S9"/>
      <c r="T9"/>
      <c r="U9"/>
    </row>
    <row r="10" spans="1:22" s="44" customFormat="1" x14ac:dyDescent="0.2">
      <c r="A10" s="98" t="str">
        <f>Kvalues!A6</f>
        <v>n-HEPTANE</v>
      </c>
      <c r="B10" s="99">
        <f>Kvalues!H17/Kvalues!$H$19</f>
        <v>9.9999997000000117E-9</v>
      </c>
      <c r="C10" s="99">
        <f>Kvalues!B6</f>
        <v>540.29999999999995</v>
      </c>
      <c r="D10" s="99">
        <f>Kvalues!C6</f>
        <v>2.7360000000000002</v>
      </c>
      <c r="E10" s="99">
        <f>Kvalues!D6</f>
        <v>0.34899999999999998</v>
      </c>
      <c r="F10" s="102">
        <f>Kvalues!E6</f>
        <v>0</v>
      </c>
      <c r="G10" s="102">
        <f>Kvalues!F6</f>
        <v>0</v>
      </c>
      <c r="H10" s="102">
        <f>Kvalues!G6</f>
        <v>0</v>
      </c>
      <c r="I10" s="103" t="s">
        <v>10</v>
      </c>
      <c r="J10" s="92" t="s">
        <v>10</v>
      </c>
      <c r="K10"/>
      <c r="L10"/>
      <c r="M10"/>
      <c r="N10"/>
      <c r="O10"/>
      <c r="P10"/>
      <c r="Q10"/>
      <c r="R10"/>
      <c r="S10"/>
      <c r="T10"/>
      <c r="U10"/>
    </row>
    <row r="11" spans="1:22" s="44" customFormat="1" x14ac:dyDescent="0.2">
      <c r="A11" s="98" t="str">
        <f>Kvalues!A7</f>
        <v>Toluene</v>
      </c>
      <c r="B11" s="104">
        <f>Kvalues!H18/Kvalues!$H$19</f>
        <v>9.9999997000000117E-9</v>
      </c>
      <c r="C11" s="104">
        <f>Kvalues!B7</f>
        <v>591.79999999999995</v>
      </c>
      <c r="D11" s="104">
        <f>Kvalues!C7</f>
        <v>4.109</v>
      </c>
      <c r="E11" s="104">
        <f>Kvalues!D7</f>
        <v>0.26400000000000001</v>
      </c>
      <c r="F11" s="105">
        <f>Kvalues!E7</f>
        <v>0</v>
      </c>
      <c r="G11" s="106">
        <f>Kvalues!F7</f>
        <v>0</v>
      </c>
      <c r="H11" s="106">
        <f>Kvalues!G7</f>
        <v>0</v>
      </c>
      <c r="I11" s="106">
        <f>Kvalues!H7</f>
        <v>0</v>
      </c>
      <c r="J11" s="76" t="s">
        <v>10</v>
      </c>
      <c r="K11"/>
      <c r="L11"/>
      <c r="M11"/>
      <c r="N11"/>
      <c r="O11"/>
      <c r="P11"/>
      <c r="Q11"/>
      <c r="R11"/>
      <c r="S11"/>
      <c r="T11"/>
      <c r="U11"/>
    </row>
    <row r="12" spans="1:22" ht="13.5" thickBot="1" x14ac:dyDescent="0.25">
      <c r="J12" s="11"/>
    </row>
    <row r="13" spans="1:22" ht="13.5" thickBot="1" x14ac:dyDescent="0.25">
      <c r="A13" s="8" t="s">
        <v>11</v>
      </c>
      <c r="B13" s="9"/>
      <c r="C13" s="25" t="s">
        <v>12</v>
      </c>
      <c r="D13" s="26"/>
      <c r="G13" s="13"/>
      <c r="H13" s="24"/>
      <c r="I13" s="24"/>
      <c r="J13" s="24"/>
      <c r="N13" s="24"/>
      <c r="O13" s="24"/>
    </row>
    <row r="14" spans="1:22" ht="13.5" thickTop="1" x14ac:dyDescent="0.2">
      <c r="A14" s="4" t="s">
        <v>13</v>
      </c>
      <c r="B14" s="107">
        <f>Kvalues!B10</f>
        <v>150</v>
      </c>
      <c r="C14" s="18" t="s">
        <v>14</v>
      </c>
      <c r="D14" s="19" t="s">
        <v>15</v>
      </c>
      <c r="E14" s="40" t="s">
        <v>16</v>
      </c>
      <c r="F14" s="4" t="s">
        <v>17</v>
      </c>
      <c r="G14" s="23"/>
      <c r="H14" s="13"/>
      <c r="K14" s="4" t="s">
        <v>18</v>
      </c>
      <c r="L14" s="23"/>
      <c r="M14" s="23"/>
      <c r="N14" s="13"/>
      <c r="O14" s="72"/>
      <c r="P14" t="s">
        <v>19</v>
      </c>
    </row>
    <row r="15" spans="1:22" ht="15" thickBot="1" x14ac:dyDescent="0.25">
      <c r="A15" s="6" t="s">
        <v>20</v>
      </c>
      <c r="B15" s="108">
        <f>Kvalues!B11</f>
        <v>2.8</v>
      </c>
      <c r="C15" s="20"/>
      <c r="D15" s="21" t="s">
        <v>21</v>
      </c>
      <c r="E15" s="41" t="s">
        <v>22</v>
      </c>
      <c r="F15" s="6" t="str">
        <f>A7</f>
        <v>NITROGEN</v>
      </c>
      <c r="G15" s="24" t="str">
        <f>A8</f>
        <v>METHANE</v>
      </c>
      <c r="H15" s="24" t="str">
        <f>A9</f>
        <v>n-BUTANE</v>
      </c>
      <c r="I15" s="24" t="str">
        <f>A10</f>
        <v>n-HEPTANE</v>
      </c>
      <c r="J15" s="7" t="str">
        <f>A11</f>
        <v>Toluene</v>
      </c>
      <c r="K15" s="6" t="str">
        <f>A7</f>
        <v>NITROGEN</v>
      </c>
      <c r="L15" s="24" t="str">
        <f>A8</f>
        <v>METHANE</v>
      </c>
      <c r="M15" s="24" t="str">
        <f>A9</f>
        <v>n-BUTANE</v>
      </c>
      <c r="N15" s="24"/>
      <c r="O15" s="87"/>
      <c r="P15" s="120" t="s">
        <v>85</v>
      </c>
      <c r="Q15" s="120" t="s">
        <v>86</v>
      </c>
      <c r="R15" s="120" t="s">
        <v>91</v>
      </c>
      <c r="S15" s="11" t="s">
        <v>23</v>
      </c>
      <c r="T15" s="12">
        <f t="array" ref="T15">MMULT(MMULT(TRANSPOSE(zi),Amatrix),zi)</f>
        <v>0.40774202766124218</v>
      </c>
      <c r="U15" s="55" t="s">
        <v>92</v>
      </c>
      <c r="V15" s="55" t="s">
        <v>93</v>
      </c>
    </row>
    <row r="16" spans="1:22" x14ac:dyDescent="0.2">
      <c r="A16" s="29" t="s">
        <v>24</v>
      </c>
      <c r="B16" s="30"/>
      <c r="C16" s="23" t="e">
        <f>E40-$A$32/3</f>
        <v>#NUM!</v>
      </c>
      <c r="D16" s="5" t="e">
        <f>Z*_R*T/P</f>
        <v>#NUM!</v>
      </c>
      <c r="E16" s="42" t="e">
        <f>P*EXP(Z-1-LN(Z-B)-A/B/2.8284*LN((Z+2.4142*B)/(Z-0.4142*B)))</f>
        <v>#NUM!</v>
      </c>
      <c r="F16" s="46" t="e">
        <f t="array" ref="F16:J16">EXP(TRANSPOSE(Bi)/B*(INDEX(Z,1)-1)-LN(INDEX(Z,1)-B)-A/B/2.8284*LN((INDEX(Z,1)+2.4142*B)/(INDEX(Z,1)-0.4142*B))*(2*MMULT(TRANSPOSE(zi),Amatrix)/A-TRANSPOSE(Bi)/B))</f>
        <v>#NUM!</v>
      </c>
      <c r="G16" s="46" t="e">
        <v>#NUM!</v>
      </c>
      <c r="H16" s="37" t="e">
        <v>#NUM!</v>
      </c>
      <c r="I16" s="46" t="e">
        <v>#NUM!</v>
      </c>
      <c r="J16" t="e">
        <v>#NUM!</v>
      </c>
      <c r="K16" s="46" t="e">
        <f>$B$7*P*F16</f>
        <v>#NUM!</v>
      </c>
      <c r="L16" s="46" t="e">
        <f>$B$8*P*G16</f>
        <v>#NUM!</v>
      </c>
      <c r="M16" s="46" t="e">
        <f>$B$9*P*H16</f>
        <v>#NUM!</v>
      </c>
      <c r="N16" s="70" t="e">
        <f>$B$10*I16*P</f>
        <v>#NUM!</v>
      </c>
      <c r="O16" t="e">
        <f>$B$11*J16*P</f>
        <v>#NUM!</v>
      </c>
      <c r="P16" s="120" t="e">
        <f>_R*T*(C16-1-A/B/2.8284*(1+$T$19/A)*LN((C16+2.4142*B)/(C16-0.4142*B)))</f>
        <v>#NUM!</v>
      </c>
      <c r="Q16" s="120" t="e">
        <f>(P16-R16)/T</f>
        <v>#NUM!</v>
      </c>
      <c r="R16" s="120" t="e">
        <f>_R*T*(C16-1-A/B/2.8284*LN((C16+2.4142*B)/(C16-0.4142*B))-LN(C16-B))</f>
        <v>#NUM!</v>
      </c>
      <c r="S16" s="3" t="s">
        <v>25</v>
      </c>
      <c r="T16" s="16">
        <f t="array" ref="T16">SUM(zi*Bi)</f>
        <v>5.8269683677131243E-2</v>
      </c>
      <c r="U16" t="e">
        <f>P16/_R/T</f>
        <v>#NUM!</v>
      </c>
      <c r="V16" t="e">
        <f>Q16/_R</f>
        <v>#NUM!</v>
      </c>
    </row>
    <row r="17" spans="1:22" ht="14.25" x14ac:dyDescent="0.2">
      <c r="A17" s="31" t="s">
        <v>26</v>
      </c>
      <c r="B17" s="32"/>
      <c r="C17" s="13" t="e">
        <f>F40-$A$32/3</f>
        <v>#NUM!</v>
      </c>
      <c r="D17" s="22" t="e">
        <f>Z*_R*T/P</f>
        <v>#NUM!</v>
      </c>
      <c r="E17" s="42"/>
      <c r="F17" s="42"/>
      <c r="G17" s="47"/>
      <c r="H17" s="37"/>
      <c r="I17" s="42"/>
      <c r="K17" s="42"/>
      <c r="L17" s="42"/>
      <c r="M17" s="42"/>
      <c r="N17" s="88"/>
      <c r="P17" s="120"/>
      <c r="Q17" s="120"/>
      <c r="R17" s="120"/>
      <c r="S17" s="17" t="s">
        <v>27</v>
      </c>
      <c r="T17" s="17"/>
    </row>
    <row r="18" spans="1:22" ht="13.5" thickBot="1" x14ac:dyDescent="0.25">
      <c r="A18" s="6"/>
      <c r="B18" s="24"/>
      <c r="C18" s="24" t="e">
        <f>G40-$A$32/3</f>
        <v>#NUM!</v>
      </c>
      <c r="D18" s="7" t="e">
        <f>Z*_R*T/P</f>
        <v>#NUM!</v>
      </c>
      <c r="E18" s="43" t="e">
        <f>P*EXP(Z-1-LN(Z-B)-A/B/2.8284*LN((Z+2.4142*B)/(Z-0.4142*B)))</f>
        <v>#NUM!</v>
      </c>
      <c r="F18" s="42" t="e">
        <f t="array" ref="F18:J18">EXP(TRANSPOSE(Bi)/B*(INDEX(Z,3)-1)-LN(INDEX(Z,3)-B)-A/B/2.8284*LN((INDEX(Z,3)+2.4142*B)/(INDEX(Z,3)-0.4142*B))*(2*MMULT(TRANSPOSE(zi),Amatrix)/A-TRANSPOSE(Bi)/B))</f>
        <v>#NUM!</v>
      </c>
      <c r="G18" s="42" t="e">
        <v>#NUM!</v>
      </c>
      <c r="H18" s="13" t="e">
        <v>#NUM!</v>
      </c>
      <c r="I18" s="43" t="e">
        <v>#NUM!</v>
      </c>
      <c r="J18" s="7" t="e">
        <v>#NUM!</v>
      </c>
      <c r="K18" s="42" t="e">
        <f>$B$7*P*F18</f>
        <v>#NUM!</v>
      </c>
      <c r="L18" s="42" t="e">
        <f>$B$8*P*G18</f>
        <v>#NUM!</v>
      </c>
      <c r="M18" s="42" t="e">
        <f>$B$9*P*H18</f>
        <v>#NUM!</v>
      </c>
      <c r="N18" s="89" t="e">
        <f>$B$10*I18*P</f>
        <v>#NUM!</v>
      </c>
      <c r="O18" s="87" t="e">
        <f>$B$11*J18*P</f>
        <v>#NUM!</v>
      </c>
      <c r="P18" s="120" t="e">
        <f>_R*T*(C18-1-A/B/2.8284*(1+$T$19/A)*LN((C18+2.4142*B)/(C18-0.4142*B)))</f>
        <v>#NUM!</v>
      </c>
      <c r="Q18" s="120" t="e">
        <f>(P18-R18)/T</f>
        <v>#NUM!</v>
      </c>
      <c r="R18" s="120" t="e">
        <f>_R*T*(C18-1-A/B/2.8284*LN((C18+2.4142*B)/(C18-0.4142*B))-LN(C18-B))</f>
        <v>#NUM!</v>
      </c>
      <c r="S18" s="27">
        <v>8.31447</v>
      </c>
      <c r="T18" s="10"/>
      <c r="U18" t="e">
        <f>P18/_R/T</f>
        <v>#NUM!</v>
      </c>
      <c r="V18" t="e">
        <f>Q18/_R</f>
        <v>#NUM!</v>
      </c>
    </row>
    <row r="19" spans="1:22" ht="13.5" thickBot="1" x14ac:dyDescent="0.25">
      <c r="A19" s="33" t="s">
        <v>28</v>
      </c>
      <c r="B19" s="34"/>
      <c r="C19" s="28">
        <f>C36-A32/3</f>
        <v>0.10400818278703658</v>
      </c>
      <c r="D19" s="26">
        <f>Z*_R*T/P</f>
        <v>46.327120475214222</v>
      </c>
      <c r="E19" s="43">
        <f>P*EXP(Z-1-LN(Z-B)-A/B/2.8284*LN((Z+2.4142*B)/(Z-0.4142*B)))</f>
        <v>1.5663048527542953</v>
      </c>
      <c r="F19" s="45">
        <f t="array" ref="F19:J19">EXP(TRANSPOSE(Bi)/B*(INDEX(Z,4)-1)-LN(INDEX(Z,4)-B)-A/B/2.8284*LN((INDEX(Z,4)+2.4142*B)/(INDEX(Z,4)-0.4142*B))*(2*MMULT(TRANSPOSE(zi),Amatrix)/A-TRANSPOSE(Bi)/B))</f>
        <v>1.6781464912493136</v>
      </c>
      <c r="G19" s="45">
        <v>0.34933501867286643</v>
      </c>
      <c r="H19" s="45">
        <v>5.5182805502390294E-5</v>
      </c>
      <c r="I19" s="90">
        <v>1.5728000650090723E-8</v>
      </c>
      <c r="J19">
        <v>6.6094466802658062E-8</v>
      </c>
      <c r="K19" s="45">
        <f>$B$7*P*F19</f>
        <v>1.4096430103601332</v>
      </c>
      <c r="L19" s="45">
        <f>$B$8*P*G19</f>
        <v>0.68469661605791976</v>
      </c>
      <c r="M19" s="45">
        <f>$B$9*P*H19</f>
        <v>1.5451185077133733E-12</v>
      </c>
      <c r="N19" s="90">
        <f>$B$10*I19*P</f>
        <v>4.4038400499102024E-16</v>
      </c>
      <c r="O19" s="91">
        <f>$B$11*J19*P</f>
        <v>1.8506450149550759E-15</v>
      </c>
      <c r="P19" s="120">
        <f>_R*T*(C19-1-A/B/2.8284*(1+$T$19/A)*LN((C19+2.4142*B)/(C19-0.4142*B)))</f>
        <v>-5851.5437890086614</v>
      </c>
      <c r="Q19" s="120">
        <f>(P19-R19)/T</f>
        <v>-34.180414899779429</v>
      </c>
      <c r="R19" s="120">
        <f>_R*T*(C19-1-A/B/2.8284*LN((C19+2.4142*B)/(C19-0.4142*B))-LN(C19-B))</f>
        <v>-724.48155404174736</v>
      </c>
      <c r="S19" s="196" t="s">
        <v>90</v>
      </c>
      <c r="T19" s="120">
        <f t="array" ref="T19">MMULT(MMULT(TRANSPOSE(zi),dAmatrix),zi)</f>
        <v>0.15106223468019941</v>
      </c>
    </row>
    <row r="20" spans="1:22" x14ac:dyDescent="0.2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</row>
    <row r="21" spans="1:22" x14ac:dyDescent="0.2">
      <c r="A21" s="37"/>
      <c r="B21" s="13"/>
      <c r="C21" s="13"/>
      <c r="D21" s="13"/>
      <c r="E21" s="13"/>
      <c r="F21" s="13"/>
      <c r="G21" s="13"/>
      <c r="H21" s="14"/>
      <c r="I21" s="14"/>
      <c r="J21" s="84"/>
      <c r="K21" s="85" t="s">
        <v>23</v>
      </c>
      <c r="L21" s="63"/>
      <c r="M21" s="64"/>
      <c r="N21" s="65"/>
      <c r="O21" s="10"/>
      <c r="P21" s="120"/>
      <c r="Q21" s="120"/>
      <c r="R21" s="155"/>
      <c r="S21" s="155"/>
      <c r="T21" s="155"/>
      <c r="U21" s="125"/>
      <c r="V21" s="125"/>
    </row>
    <row r="22" spans="1:22" x14ac:dyDescent="0.2">
      <c r="A22" s="20"/>
      <c r="B22" s="60" t="s">
        <v>29</v>
      </c>
      <c r="C22" s="60" t="s">
        <v>30</v>
      </c>
      <c r="D22" s="75" t="s">
        <v>31</v>
      </c>
      <c r="E22" s="75" t="s">
        <v>32</v>
      </c>
      <c r="F22" s="60" t="s">
        <v>33</v>
      </c>
      <c r="G22" s="60" t="s">
        <v>32</v>
      </c>
      <c r="H22" s="76" t="s">
        <v>34</v>
      </c>
      <c r="I22" s="76" t="s">
        <v>23</v>
      </c>
      <c r="J22" s="81" t="s">
        <v>25</v>
      </c>
      <c r="K22" s="79" t="str">
        <f>A7</f>
        <v>NITROGEN</v>
      </c>
      <c r="L22" s="27" t="str">
        <f>A8</f>
        <v>METHANE</v>
      </c>
      <c r="M22" s="27" t="str">
        <f>A9</f>
        <v>n-BUTANE</v>
      </c>
      <c r="N22" s="17" t="str">
        <f>A10</f>
        <v>n-HEPTANE</v>
      </c>
      <c r="O22" s="14" t="str">
        <f>A11</f>
        <v>Toluene</v>
      </c>
      <c r="P22" s="120" t="s">
        <v>87</v>
      </c>
      <c r="Q22" s="120"/>
      <c r="R22" s="122"/>
      <c r="S22" s="122"/>
      <c r="T22" s="122"/>
      <c r="U22" s="122"/>
      <c r="V22" s="122"/>
    </row>
    <row r="23" spans="1:22" x14ac:dyDescent="0.2">
      <c r="A23" s="37" t="str">
        <f>A7</f>
        <v>NITROGEN</v>
      </c>
      <c r="B23" s="49">
        <f t="array" ref="B23:B27">T/Tc</f>
        <v>1.1895321173671689</v>
      </c>
      <c r="C23" s="49">
        <f t="array" ref="C23:C27">P/Pc</f>
        <v>0.824985268120212</v>
      </c>
      <c r="D23" s="49">
        <f t="array" ref="D23:D27">0.37464+1.54226*w-0.26993*w^2</f>
        <v>0.43589851199999996</v>
      </c>
      <c r="E23" s="49">
        <f t="array" ref="E23:E27">(1+kappa*(1-(Tr)^0.5))^2</f>
        <v>0.92252733080455296</v>
      </c>
      <c r="F23" s="49">
        <f t="array" ref="F23:F27">0.457235529*_R^2*Tc^2/Pc</f>
        <v>148090.58403271213</v>
      </c>
      <c r="G23" s="49">
        <f t="array" ref="G23:G27">ac*alpha</f>
        <v>136617.61120498527</v>
      </c>
      <c r="H23" s="73">
        <f t="array" ref="H23:H27">0.077796074*_R*Tc/Pc</f>
        <v>24.032309033464159</v>
      </c>
      <c r="I23" s="71">
        <f t="array" ref="I23:I27">G23:G27*P/_R^2/T^2</f>
        <v>0.24593087742609293</v>
      </c>
      <c r="J23" s="82">
        <f t="array" ref="J23:J27">H23:H27*P/_R/T</f>
        <v>5.3954503649420539E-2</v>
      </c>
      <c r="K23" s="80">
        <f>I23</f>
        <v>0.24593087742609293</v>
      </c>
      <c r="L23" s="52">
        <f>K24</f>
        <v>0.34697874732346651</v>
      </c>
      <c r="M23" s="61">
        <f>K25</f>
        <v>1.0357763484885043</v>
      </c>
      <c r="N23" s="17">
        <f>K26</f>
        <v>1.7306396340256087</v>
      </c>
      <c r="O23" s="10">
        <f>K27</f>
        <v>1.50588107759497</v>
      </c>
      <c r="P23" s="120">
        <f>D23*SQRT(B23/E23)</f>
        <v>0.49497566982063473</v>
      </c>
      <c r="Q23" s="120"/>
      <c r="R23" s="125"/>
      <c r="S23" s="125"/>
      <c r="T23" s="125"/>
      <c r="U23" s="125"/>
      <c r="V23" s="125"/>
    </row>
    <row r="24" spans="1:22" x14ac:dyDescent="0.2">
      <c r="A24" s="37" t="str">
        <f>A8</f>
        <v>METHANE</v>
      </c>
      <c r="B24" s="49">
        <v>0.78698845750262336</v>
      </c>
      <c r="C24" s="49">
        <v>0.60816681146828844</v>
      </c>
      <c r="D24" s="49">
        <v>0.39157219846999997</v>
      </c>
      <c r="E24" s="49">
        <v>1.090352013761583</v>
      </c>
      <c r="F24" s="49">
        <v>249413.28838981286</v>
      </c>
      <c r="G24" s="49">
        <v>271948.28125473089</v>
      </c>
      <c r="H24" s="73">
        <v>26.778104543501883</v>
      </c>
      <c r="I24" s="71">
        <v>0.48954508012253517</v>
      </c>
      <c r="J24" s="82">
        <v>6.0119039635563268E-2</v>
      </c>
      <c r="K24" s="80">
        <f>SQRT(I$23*I24)*(1-F8)</f>
        <v>0.34697874732346651</v>
      </c>
      <c r="L24" s="62">
        <f>I24</f>
        <v>0.48954508012253517</v>
      </c>
      <c r="M24" s="52">
        <f>L25</f>
        <v>1.4613552542373216</v>
      </c>
      <c r="N24" s="10">
        <f>L26</f>
        <v>2.4417233759636745</v>
      </c>
      <c r="O24" s="14">
        <f>L27</f>
        <v>2.1246162148916774</v>
      </c>
      <c r="P24" s="120">
        <f>D24*SQRT(B24/E24)</f>
        <v>0.33266925514344858</v>
      </c>
      <c r="Q24" s="120"/>
      <c r="R24" s="125"/>
      <c r="S24" s="125"/>
      <c r="T24" s="125"/>
      <c r="U24" s="125"/>
      <c r="V24" s="125"/>
    </row>
    <row r="25" spans="1:22" x14ac:dyDescent="0.2">
      <c r="A25" s="37" t="str">
        <f>A9</f>
        <v>n-BUTANE</v>
      </c>
      <c r="B25" s="49">
        <v>0.35277516462841019</v>
      </c>
      <c r="C25" s="49">
        <v>0.73742428232815371</v>
      </c>
      <c r="D25" s="49">
        <v>0.66224155743000002</v>
      </c>
      <c r="E25" s="49">
        <v>1.6101173256697261</v>
      </c>
      <c r="F25" s="49">
        <v>1505064.1989255524</v>
      </c>
      <c r="G25" s="49">
        <v>2423329.9429352591</v>
      </c>
      <c r="H25" s="73">
        <v>72.434407180869016</v>
      </c>
      <c r="I25" s="71">
        <v>4.3623340644185156</v>
      </c>
      <c r="J25" s="82">
        <v>0.16262118139134404</v>
      </c>
      <c r="K25" s="80">
        <f>SQRT(I$23*I25)*(1-F9)</f>
        <v>1.0357763484885043</v>
      </c>
      <c r="L25" s="52">
        <f>SQRT(I$24*I25)*(1-G9)</f>
        <v>1.4613552542373216</v>
      </c>
      <c r="M25" s="52">
        <f>I25</f>
        <v>4.3623340644185156</v>
      </c>
      <c r="N25" s="17">
        <f>M26</f>
        <v>7.288859452872992</v>
      </c>
      <c r="O25" s="10">
        <f>M27</f>
        <v>6.3422536451446181</v>
      </c>
      <c r="P25" s="120">
        <f>D25*SQRT(B25/E25)</f>
        <v>0.30998213874217884</v>
      </c>
      <c r="Q25" s="120"/>
      <c r="R25" s="125"/>
      <c r="S25" s="125"/>
      <c r="T25" s="125"/>
      <c r="U25" s="125"/>
      <c r="V25" s="125"/>
    </row>
    <row r="26" spans="1:22" x14ac:dyDescent="0.2">
      <c r="A26" s="37" t="str">
        <f>A10</f>
        <v>n-HEPTANE</v>
      </c>
      <c r="B26" s="49">
        <v>0.27762354247640203</v>
      </c>
      <c r="C26" s="49">
        <v>1.0233918128654969</v>
      </c>
      <c r="D26" s="49">
        <v>0.88001099607</v>
      </c>
      <c r="E26" s="49">
        <v>2.0059998994974042</v>
      </c>
      <c r="F26" s="49">
        <v>3372585.3777342224</v>
      </c>
      <c r="G26" s="49">
        <v>6765405.9287812654</v>
      </c>
      <c r="H26" s="73">
        <v>127.73535693276257</v>
      </c>
      <c r="I26" s="71">
        <v>12.178680343871758</v>
      </c>
      <c r="J26" s="82">
        <v>0.28677634646725142</v>
      </c>
      <c r="K26" s="80">
        <f>SQRT(I$23*I26)*(1-F10)</f>
        <v>1.7306396340256087</v>
      </c>
      <c r="L26" s="52">
        <f>SQRT(I$24*I26)*(1-G10)</f>
        <v>2.4417233759636745</v>
      </c>
      <c r="M26" s="52">
        <f>SQRT(I$25*I26)*(1-H10)</f>
        <v>7.288859452872992</v>
      </c>
      <c r="N26" s="17">
        <f>I26</f>
        <v>12.178680343871758</v>
      </c>
      <c r="O26" s="10">
        <f>N27</f>
        <v>10.597032403132232</v>
      </c>
      <c r="P26" s="120">
        <f>D26*SQRT(B26/E26)</f>
        <v>0.32737897992342313</v>
      </c>
      <c r="Q26" s="120"/>
      <c r="R26" s="125"/>
      <c r="S26" s="125"/>
      <c r="T26" s="125"/>
      <c r="U26" s="125"/>
      <c r="V26" s="125"/>
    </row>
    <row r="27" spans="1:22" x14ac:dyDescent="0.2">
      <c r="A27" s="20" t="str">
        <f>A11</f>
        <v>Toluene</v>
      </c>
      <c r="B27" s="68">
        <v>0.25346400811084829</v>
      </c>
      <c r="C27" s="68">
        <v>0.68143100511073251</v>
      </c>
      <c r="D27" s="68">
        <v>0.76298359871999999</v>
      </c>
      <c r="E27" s="68">
        <v>1.9012491371013198</v>
      </c>
      <c r="F27" s="68">
        <v>2694156.9428443355</v>
      </c>
      <c r="G27" s="68">
        <v>5122263.5627983222</v>
      </c>
      <c r="H27" s="74">
        <v>93.16034130510188</v>
      </c>
      <c r="I27" s="69">
        <v>9.2207934342854934</v>
      </c>
      <c r="J27" s="83">
        <v>0.20915260235411698</v>
      </c>
      <c r="K27" s="80">
        <f>SQRT(I$23*I27)*(1-F11)</f>
        <v>1.50588107759497</v>
      </c>
      <c r="L27" s="52">
        <f>SQRT(I$24*I27)*(1-G11)</f>
        <v>2.1246162148916774</v>
      </c>
      <c r="M27" s="66">
        <f>SQRT(I$25*I27)*(1-H11)</f>
        <v>6.3422536451446181</v>
      </c>
      <c r="N27" s="67">
        <f>SQRT(I$26*I27)*(1-I11)</f>
        <v>10.597032403132232</v>
      </c>
      <c r="O27" s="16">
        <f>I27</f>
        <v>9.2207934342854934</v>
      </c>
      <c r="P27" s="120">
        <f>D27*SQRT(B27/E27)</f>
        <v>0.27858250325102496</v>
      </c>
      <c r="Q27" s="120"/>
      <c r="R27" s="125"/>
      <c r="S27" s="125"/>
      <c r="T27" s="125"/>
      <c r="U27" s="125"/>
      <c r="V27" s="125"/>
    </row>
    <row r="28" spans="1:22" x14ac:dyDescent="0.2">
      <c r="A28" s="49"/>
      <c r="B28" s="49"/>
      <c r="C28" s="49"/>
      <c r="D28" s="49"/>
      <c r="E28" s="49"/>
      <c r="F28" s="49"/>
      <c r="G28" s="50"/>
      <c r="H28" s="49"/>
      <c r="I28" s="49"/>
      <c r="J28" s="51"/>
      <c r="K28" s="51"/>
      <c r="L28" s="51"/>
    </row>
    <row r="29" spans="1:22" ht="15.75" x14ac:dyDescent="0.3">
      <c r="A29" t="s">
        <v>35</v>
      </c>
      <c r="C29" t="s">
        <v>36</v>
      </c>
      <c r="F29" s="13"/>
      <c r="G29" s="13"/>
      <c r="H29" s="13"/>
      <c r="I29" s="13"/>
    </row>
    <row r="30" spans="1:22" ht="14.25" x14ac:dyDescent="0.2">
      <c r="F30" s="1" t="s">
        <v>37</v>
      </c>
      <c r="G30" s="11"/>
      <c r="H30" s="11">
        <f>E32^2/4+D32^3/27</f>
        <v>9.4421445777119176E-6</v>
      </c>
      <c r="I30" s="12"/>
    </row>
    <row r="31" spans="1:22" ht="15.75" x14ac:dyDescent="0.3">
      <c r="A31" s="27" t="s">
        <v>38</v>
      </c>
      <c r="B31" s="27" t="s">
        <v>39</v>
      </c>
      <c r="C31" s="27" t="s">
        <v>40</v>
      </c>
      <c r="D31" s="27" t="s">
        <v>41</v>
      </c>
      <c r="E31" s="27" t="s">
        <v>42</v>
      </c>
      <c r="F31" s="2" t="s">
        <v>43</v>
      </c>
      <c r="G31" s="13"/>
      <c r="H31" s="13"/>
      <c r="I31" s="14"/>
    </row>
    <row r="32" spans="1:22" x14ac:dyDescent="0.2">
      <c r="A32" s="17">
        <f>-(1-B)</f>
        <v>-0.94173031632286874</v>
      </c>
      <c r="B32" s="17">
        <f>A-3*B^2-2*B</f>
        <v>0.28101659219948094</v>
      </c>
      <c r="C32" s="17">
        <f>-(A*B-B^2-B^3)</f>
        <v>-2.016579661568052E-2</v>
      </c>
      <c r="D32" s="17">
        <f>(3*B32-A32^2)/3</f>
        <v>-1.4602070694375876E-2</v>
      </c>
      <c r="E32" s="17">
        <f>(2*A32^3-9*A32*B32+27*C32)/27</f>
        <v>6.1830277127666745E-3</v>
      </c>
      <c r="F32" s="3" t="s">
        <v>44</v>
      </c>
      <c r="G32" s="15"/>
      <c r="H32" s="15"/>
      <c r="I32" s="16"/>
    </row>
    <row r="34" spans="1:7" x14ac:dyDescent="0.2">
      <c r="A34" t="s">
        <v>45</v>
      </c>
    </row>
    <row r="35" spans="1:7" x14ac:dyDescent="0.2">
      <c r="A35" s="17" t="s">
        <v>46</v>
      </c>
      <c r="B35" s="17" t="s">
        <v>47</v>
      </c>
      <c r="C35" s="17" t="s">
        <v>48</v>
      </c>
      <c r="D35" s="17"/>
      <c r="F35" t="s">
        <v>49</v>
      </c>
    </row>
    <row r="36" spans="1:7" x14ac:dyDescent="0.2">
      <c r="A36" s="17">
        <f>(-$E$32/2+SQRT($H$30))^(1/3)</f>
        <v>-2.6545939897667768E-2</v>
      </c>
      <c r="B36" s="17">
        <f>(-$E$32/2-SQRT($H$30))^(1/3)</f>
        <v>-0.18335598275625192</v>
      </c>
      <c r="C36" s="17">
        <f>A36+B36</f>
        <v>-0.20990192265391969</v>
      </c>
      <c r="D36" s="13"/>
      <c r="F36" t="s">
        <v>50</v>
      </c>
    </row>
    <row r="38" spans="1:7" x14ac:dyDescent="0.2">
      <c r="A38" t="s">
        <v>51</v>
      </c>
    </row>
    <row r="39" spans="1:7" ht="15.75" x14ac:dyDescent="0.3">
      <c r="A39" s="17" t="s">
        <v>52</v>
      </c>
      <c r="B39" s="17" t="s">
        <v>53</v>
      </c>
      <c r="C39" s="17" t="s">
        <v>54</v>
      </c>
      <c r="D39" s="35" t="s">
        <v>55</v>
      </c>
      <c r="E39" s="17" t="s">
        <v>56</v>
      </c>
      <c r="F39" s="17"/>
      <c r="G39" s="17"/>
    </row>
    <row r="40" spans="1:7" x14ac:dyDescent="0.2">
      <c r="A40" s="17">
        <f>2*SQRT(-D32/3)</f>
        <v>0.13953289071936109</v>
      </c>
      <c r="B40" s="17">
        <f>3*E32/D32/A40</f>
        <v>-9.1039823987724038</v>
      </c>
      <c r="C40" s="17" t="e">
        <f>ACOS(B40)</f>
        <v>#NUM!</v>
      </c>
      <c r="D40" s="17" t="e">
        <f>C40/3</f>
        <v>#NUM!</v>
      </c>
      <c r="E40" s="17" t="e">
        <f>$A$40*COS($D$40)</f>
        <v>#NUM!</v>
      </c>
      <c r="F40" s="17" t="e">
        <f>$A$40*COS($D$40+4*PI()/3)</f>
        <v>#NUM!</v>
      </c>
      <c r="G40" s="17" t="e">
        <f>$A$40*COS($D$40+2*PI()/3)</f>
        <v>#NUM!</v>
      </c>
    </row>
    <row r="43" spans="1:7" x14ac:dyDescent="0.2">
      <c r="A43" s="13"/>
    </row>
  </sheetData>
  <sheetProtection sheet="1" objects="1" scenarios="1"/>
  <phoneticPr fontId="10" type="noConversion"/>
  <printOptions gridLinesSet="0"/>
  <pageMargins left="0.75" right="0.75" top="1" bottom="1" header="0.5" footer="0.5"/>
  <pageSetup scale="90" orientation="landscape" horizontalDpi="300" verticalDpi="30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2.75" x14ac:dyDescent="0.2"/>
  <cols>
    <col min="3" max="3" width="10.140625" bestFit="1" customWidth="1"/>
  </cols>
  <sheetData>
    <row r="1" spans="1:4" x14ac:dyDescent="0.2">
      <c r="A1" s="109"/>
    </row>
    <row r="3" spans="1:4" x14ac:dyDescent="0.2">
      <c r="B3">
        <v>1.01</v>
      </c>
      <c r="C3" s="233">
        <v>41957</v>
      </c>
      <c r="D3" s="109" t="s">
        <v>119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39</vt:i4>
      </vt:variant>
    </vt:vector>
  </HeadingPairs>
  <TitlesOfParts>
    <vt:vector size="44" baseType="lpstr">
      <vt:lpstr>Instructions</vt:lpstr>
      <vt:lpstr>Kvalues</vt:lpstr>
      <vt:lpstr>Vapor</vt:lpstr>
      <vt:lpstr>Liquid</vt:lpstr>
      <vt:lpstr>rev.</vt:lpstr>
      <vt:lpstr>Liquid!_R</vt:lpstr>
      <vt:lpstr>_R</vt:lpstr>
      <vt:lpstr>Liquid!A</vt:lpstr>
      <vt:lpstr>Vapor!A</vt:lpstr>
      <vt:lpstr>Liquid!ac</vt:lpstr>
      <vt:lpstr>ac</vt:lpstr>
      <vt:lpstr>Liquid!Ai</vt:lpstr>
      <vt:lpstr>Ai</vt:lpstr>
      <vt:lpstr>Liquid!alpha</vt:lpstr>
      <vt:lpstr>alpha</vt:lpstr>
      <vt:lpstr>Liquid!Amatrix</vt:lpstr>
      <vt:lpstr>Amatrix</vt:lpstr>
      <vt:lpstr>Liquid!B</vt:lpstr>
      <vt:lpstr>Vapor!B</vt:lpstr>
      <vt:lpstr>Liquid!Bi</vt:lpstr>
      <vt:lpstr>Bi</vt:lpstr>
      <vt:lpstr>dAmatrix</vt:lpstr>
      <vt:lpstr>Liquid!kappa</vt:lpstr>
      <vt:lpstr>kappa</vt:lpstr>
      <vt:lpstr>Liquid!P</vt:lpstr>
      <vt:lpstr>Vapor!P</vt:lpstr>
      <vt:lpstr>Liquid!Pc</vt:lpstr>
      <vt:lpstr>Pc</vt:lpstr>
      <vt:lpstr>Liquid!Pr</vt:lpstr>
      <vt:lpstr>Pr</vt:lpstr>
      <vt:lpstr>Liquid!q</vt:lpstr>
      <vt:lpstr>q</vt:lpstr>
      <vt:lpstr>Liquid!T</vt:lpstr>
      <vt:lpstr>T</vt:lpstr>
      <vt:lpstr>Liquid!Tc</vt:lpstr>
      <vt:lpstr>Tc</vt:lpstr>
      <vt:lpstr>Liquid!Tr</vt:lpstr>
      <vt:lpstr>Tr</vt:lpstr>
      <vt:lpstr>Liquid!w</vt:lpstr>
      <vt:lpstr>w</vt:lpstr>
      <vt:lpstr>Liquid!Z</vt:lpstr>
      <vt:lpstr>Vapor!Z</vt:lpstr>
      <vt:lpstr>Liquid!zi</vt:lpstr>
      <vt:lpstr>zi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Lira</dc:creator>
  <cp:lastModifiedBy>Carl Lira</cp:lastModifiedBy>
  <cp:lastPrinted>1997-12-15T03:10:37Z</cp:lastPrinted>
  <dcterms:created xsi:type="dcterms:W3CDTF">1999-01-06T02:41:37Z</dcterms:created>
  <dcterms:modified xsi:type="dcterms:W3CDTF">2014-11-14T18:59:54Z</dcterms:modified>
</cp:coreProperties>
</file>