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PycharmProjects\BHEModel3.0\calculation\1 - EOS analysis\res\ver2.45\Excel\"/>
    </mc:Choice>
  </mc:AlternateContent>
  <xr:revisionPtr revIDLastSave="0" documentId="13_ncr:1_{C7CDB1FD-95B1-44D5-BE56-3F9015B4050F}" xr6:coauthVersionLast="36" xr6:coauthVersionMax="36" xr10:uidLastSave="{00000000-0000-0000-0000-000000000000}"/>
  <bookViews>
    <workbookView xWindow="-15" yWindow="-15" windowWidth="9630" windowHeight="7245" tabRatio="538" activeTab="3" xr2:uid="{00000000-000D-0000-FFFF-FFFF00000000}"/>
  </bookViews>
  <sheets>
    <sheet name="Instructions" sheetId="1" r:id="rId1"/>
    <sheet name="PVT" sheetId="2" r:id="rId2"/>
    <sheet name="Props" sheetId="3" r:id="rId3"/>
    <sheet name="Ref State" sheetId="4" r:id="rId4"/>
    <sheet name="Crit. Props" sheetId="5" r:id="rId5"/>
    <sheet name="IG Cps" sheetId="6" r:id="rId6"/>
    <sheet name="rev. info" sheetId="7" r:id="rId7"/>
  </sheets>
  <definedNames>
    <definedName name="_a" localSheetId="2">Props!$I$25</definedName>
    <definedName name="_a">'Ref State'!$I$28</definedName>
    <definedName name="_b" localSheetId="2">Props!$I$27</definedName>
    <definedName name="_b">'Ref State'!$I$30</definedName>
    <definedName name="_R">'Ref State'!$I$26</definedName>
    <definedName name="A" localSheetId="2">Props!$J$28</definedName>
    <definedName name="A" localSheetId="1">PVT!$J$11</definedName>
    <definedName name="A">'Ref State'!$J$31</definedName>
    <definedName name="a_" localSheetId="1">PVT!$I$8</definedName>
    <definedName name="a0_" localSheetId="1">PVT!$C$18</definedName>
    <definedName name="a1_" localSheetId="1">PVT!$B$18</definedName>
    <definedName name="a2_" localSheetId="1">PVT!$A$18</definedName>
    <definedName name="alpha" localSheetId="2">Props!$H$27</definedName>
    <definedName name="alpha" localSheetId="1">PVT!$H$10</definedName>
    <definedName name="alpha">'Ref State'!$H$30</definedName>
    <definedName name="B" localSheetId="2">Props!$J$29</definedName>
    <definedName name="B" localSheetId="1">PVT!$J$12</definedName>
    <definedName name="B">'Ref State'!$J$32</definedName>
    <definedName name="b_" localSheetId="1">PVT!$I$10</definedName>
    <definedName name="CPA">Props!$E$4</definedName>
    <definedName name="CPB">Props!$F$4</definedName>
    <definedName name="CPC">Props!$G$4</definedName>
    <definedName name="CPD">Props!$H$4</definedName>
    <definedName name="fugratio">PVT!$H$12</definedName>
    <definedName name="igrflag">'Ref State'!$A$12</definedName>
    <definedName name="index">'Ref State'!$A$15</definedName>
    <definedName name="kappa" localSheetId="2">Props!$H$26</definedName>
    <definedName name="kappa" localSheetId="1">PVT!$H$9</definedName>
    <definedName name="kappa">'Ref State'!$H$29</definedName>
    <definedName name="omega" localSheetId="1">PVT!$D$4</definedName>
    <definedName name="P" localSheetId="2">Props!$B$8</definedName>
    <definedName name="P" localSheetId="1">PVT!$B$8</definedName>
    <definedName name="P">'Ref State'!$B$8</definedName>
    <definedName name="Pc" localSheetId="1">PVT!$C$4</definedName>
    <definedName name="Pr" localSheetId="2">Props!$H$25</definedName>
    <definedName name="Pr">'Ref State'!$H$28</definedName>
    <definedName name="PREF">'Ref State'!$B$8</definedName>
    <definedName name="q" localSheetId="2">Props!$E$20</definedName>
    <definedName name="q">'Ref State'!$E$23</definedName>
    <definedName name="R_" localSheetId="1">PVT!$I$6</definedName>
    <definedName name="Rroot" localSheetId="1">PVT!$H$16</definedName>
    <definedName name="solver_adj" localSheetId="2" hidden="1">Props!$B$7</definedName>
    <definedName name="solver_adj" localSheetId="1" hidden="1">PVT!$B$7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st" localSheetId="2" hidden="1">1</definedName>
    <definedName name="solver_est" localSheetId="1" hidden="1">1</definedName>
    <definedName name="solver_itr" localSheetId="2" hidden="1">100</definedName>
    <definedName name="solver_itr" localSheetId="1" hidden="1">100</definedName>
    <definedName name="solver_lhs1" localSheetId="1" hidden="1">PVT!$B$7</definedName>
    <definedName name="solver_lin" localSheetId="2" hidden="1">2</definedName>
    <definedName name="solver_lin" localSheetId="1" hidden="1">2</definedName>
    <definedName name="solver_neg" localSheetId="2" hidden="1">2</definedName>
    <definedName name="solver_neg" localSheetId="1" hidden="1">2</definedName>
    <definedName name="solver_num" localSheetId="2" hidden="1">0</definedName>
    <definedName name="solver_num" localSheetId="1" hidden="1">1</definedName>
    <definedName name="solver_nwt" localSheetId="2" hidden="1">1</definedName>
    <definedName name="solver_nwt" localSheetId="1" hidden="1">1</definedName>
    <definedName name="solver_opt" localSheetId="2" hidden="1">Props!$G$12</definedName>
    <definedName name="solver_opt" localSheetId="1" hidden="1">PVT!$H$12</definedName>
    <definedName name="solver_pre" localSheetId="2" hidden="1">0.000001</definedName>
    <definedName name="solver_pre" localSheetId="1" hidden="1">0.000001</definedName>
    <definedName name="solver_rel1" localSheetId="1" hidden="1">1</definedName>
    <definedName name="solver_rhs1" localSheetId="1" hidden="1">PVT!$B$4</definedName>
    <definedName name="solver_scl" localSheetId="2" hidden="1">2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tim" localSheetId="2" hidden="1">100</definedName>
    <definedName name="solver_tim" localSheetId="1" hidden="1">100</definedName>
    <definedName name="solver_tol" localSheetId="2" hidden="1">0.05</definedName>
    <definedName name="solver_tol" localSheetId="1" hidden="1">0.05</definedName>
    <definedName name="solver_typ" localSheetId="2" hidden="1">3</definedName>
    <definedName name="solver_typ" localSheetId="1" hidden="1">3</definedName>
    <definedName name="solver_val" localSheetId="2" hidden="1">3290</definedName>
    <definedName name="solver_val" localSheetId="1" hidden="1">1</definedName>
    <definedName name="Tc" localSheetId="1">PVT!$B$4</definedName>
    <definedName name="Tc">Props!$B$4</definedName>
    <definedName name="TK" localSheetId="2">Props!$B$7</definedName>
    <definedName name="TK" localSheetId="1">PVT!$B$7</definedName>
    <definedName name="TK">'Ref State'!$B$7</definedName>
    <definedName name="Tr" localSheetId="2">Props!$H$24</definedName>
    <definedName name="Tr" localSheetId="1">PVT!$H$7</definedName>
    <definedName name="Tr">'Ref State'!$H$27</definedName>
    <definedName name="TREF">'Ref State'!$B$7</definedName>
    <definedName name="uhflag">'Ref State'!$A$10</definedName>
    <definedName name="Z" localSheetId="2">Props!$C$9:$C$12</definedName>
    <definedName name="Z" localSheetId="1">PVT!$C$9:$C$12</definedName>
    <definedName name="Z">'Ref State'!$E$9:$E$12</definedName>
  </definedNames>
  <calcPr calcId="191029" iterate="1" iterateDelta="9.9999999999999995E-8"/>
</workbook>
</file>

<file path=xl/calcChain.xml><?xml version="1.0" encoding="utf-8"?>
<calcChain xmlns="http://schemas.openxmlformats.org/spreadsheetml/2006/main">
  <c r="K12" i="3" l="1"/>
  <c r="L4" i="3"/>
  <c r="J4" i="3"/>
  <c r="I10" i="2" l="1"/>
  <c r="J12" i="2" s="1"/>
  <c r="A18" i="2" s="1"/>
  <c r="H9" i="2"/>
  <c r="H10" i="2" s="1"/>
  <c r="H7" i="2"/>
  <c r="H8" i="2"/>
  <c r="D59" i="6"/>
  <c r="I26" i="4"/>
  <c r="H26" i="3"/>
  <c r="H24" i="3"/>
  <c r="I27" i="3"/>
  <c r="J29" i="3" s="1"/>
  <c r="A20" i="3" s="1"/>
  <c r="D34" i="3"/>
  <c r="D33" i="3"/>
  <c r="B35" i="3"/>
  <c r="B34" i="3"/>
  <c r="B33" i="3"/>
  <c r="H25" i="3"/>
  <c r="B4" i="4"/>
  <c r="H27" i="4" s="1"/>
  <c r="C4" i="4"/>
  <c r="D4" i="4"/>
  <c r="H29" i="4" s="1"/>
  <c r="A4" i="4"/>
  <c r="H28" i="4"/>
  <c r="H27" i="3" l="1"/>
  <c r="I25" i="3" s="1"/>
  <c r="J28" i="3" s="1"/>
  <c r="B20" i="3" s="1"/>
  <c r="H30" i="4"/>
  <c r="I28" i="4" s="1"/>
  <c r="J31" i="4" s="1"/>
  <c r="K4" i="3"/>
  <c r="I8" i="2"/>
  <c r="J11" i="2" s="1"/>
  <c r="I30" i="4"/>
  <c r="J32" i="4" s="1"/>
  <c r="A23" i="4" s="1"/>
  <c r="D20" i="3" l="1"/>
  <c r="A30" i="3" s="1"/>
  <c r="C20" i="3"/>
  <c r="E20" i="3" s="1"/>
  <c r="B23" i="4"/>
  <c r="D23" i="4" s="1"/>
  <c r="A33" i="4" s="1"/>
  <c r="C23" i="4"/>
  <c r="C18" i="2"/>
  <c r="B18" i="2"/>
  <c r="B30" i="3" l="1"/>
  <c r="C30" i="3" s="1"/>
  <c r="D30" i="3" s="1"/>
  <c r="G30" i="3" s="1"/>
  <c r="C11" i="3" s="1"/>
  <c r="K11" i="3" s="1"/>
  <c r="H18" i="3"/>
  <c r="A26" i="3" s="1"/>
  <c r="E23" i="4"/>
  <c r="H21" i="4"/>
  <c r="B29" i="4" s="1"/>
  <c r="B33" i="4"/>
  <c r="C33" i="4" s="1"/>
  <c r="D33" i="4" s="1"/>
  <c r="G33" i="4" s="1"/>
  <c r="E11" i="4" s="1"/>
  <c r="D18" i="2"/>
  <c r="A26" i="2" s="1"/>
  <c r="E18" i="2"/>
  <c r="E33" i="4" l="1"/>
  <c r="E9" i="4" s="1"/>
  <c r="H9" i="4" s="1"/>
  <c r="I11" i="3"/>
  <c r="J11" i="3" s="1"/>
  <c r="D11" i="3"/>
  <c r="E11" i="3"/>
  <c r="F33" i="4"/>
  <c r="E10" i="4" s="1"/>
  <c r="F10" i="4" s="1"/>
  <c r="F30" i="3"/>
  <c r="C10" i="3" s="1"/>
  <c r="D10" i="3" s="1"/>
  <c r="B26" i="3"/>
  <c r="C26" i="3" s="1"/>
  <c r="C12" i="3" s="1"/>
  <c r="E30" i="3"/>
  <c r="C9" i="3" s="1"/>
  <c r="I9" i="3" s="1"/>
  <c r="G11" i="4"/>
  <c r="F11" i="4"/>
  <c r="H11" i="4"/>
  <c r="I11" i="4" s="1"/>
  <c r="J11" i="4"/>
  <c r="B26" i="2"/>
  <c r="C26" i="2" s="1"/>
  <c r="D26" i="2" s="1"/>
  <c r="E26" i="2" s="1"/>
  <c r="C9" i="2" s="1"/>
  <c r="H16" i="2"/>
  <c r="B22" i="2" s="1"/>
  <c r="A22" i="2"/>
  <c r="A29" i="4"/>
  <c r="C29" i="4" s="1"/>
  <c r="E12" i="4" s="1"/>
  <c r="C18" i="4" s="1"/>
  <c r="G9" i="4"/>
  <c r="F9" i="4"/>
  <c r="J9" i="4"/>
  <c r="K9" i="3"/>
  <c r="I10" i="3" l="1"/>
  <c r="I12" i="3"/>
  <c r="J12" i="3" s="1"/>
  <c r="E12" i="3"/>
  <c r="D12" i="3"/>
  <c r="E9" i="3"/>
  <c r="E14" i="3" s="1"/>
  <c r="K10" i="3"/>
  <c r="D9" i="3"/>
  <c r="C22" i="2"/>
  <c r="C12" i="2" s="1"/>
  <c r="D9" i="2"/>
  <c r="E9" i="2"/>
  <c r="D19" i="4"/>
  <c r="I9" i="4"/>
  <c r="E19" i="4" s="1"/>
  <c r="F26" i="2"/>
  <c r="C10" i="2" s="1"/>
  <c r="D10" i="2" s="1"/>
  <c r="D12" i="2"/>
  <c r="E12" i="2"/>
  <c r="G26" i="2"/>
  <c r="C11" i="2" s="1"/>
  <c r="E18" i="4"/>
  <c r="D18" i="4"/>
  <c r="F12" i="4"/>
  <c r="J12" i="4"/>
  <c r="F19" i="4" s="1"/>
  <c r="G12" i="4"/>
  <c r="H12" i="4"/>
  <c r="I12" i="4" s="1"/>
  <c r="J9" i="3"/>
  <c r="J10" i="3"/>
  <c r="H9" i="3" l="1"/>
  <c r="H11" i="3"/>
  <c r="H12" i="3"/>
  <c r="H10" i="3"/>
  <c r="F9" i="3"/>
  <c r="G9" i="3" s="1"/>
  <c r="F12" i="3"/>
  <c r="G12" i="3" s="1"/>
  <c r="F11" i="3"/>
  <c r="G11" i="3" s="1"/>
  <c r="F10" i="3"/>
  <c r="G10" i="3" s="1"/>
  <c r="E11" i="2"/>
  <c r="H12" i="2" s="1"/>
  <c r="D11" i="2"/>
</calcChain>
</file>

<file path=xl/sharedStrings.xml><?xml version="1.0" encoding="utf-8"?>
<sst xmlns="http://schemas.openxmlformats.org/spreadsheetml/2006/main" count="500" uniqueCount="308">
  <si>
    <t>PREOS.XLS</t>
  </si>
  <si>
    <t>This workbook will calculate P,V,T and thermodynamic properties using the Peng-Robinson Equation.</t>
  </si>
  <si>
    <t>PVT</t>
  </si>
  <si>
    <t>This worksheet solves the Peng-Robinson Equation given critical constants, acentric factor,</t>
  </si>
  <si>
    <t>and a pressure and temperature.</t>
  </si>
  <si>
    <t>Props</t>
  </si>
  <si>
    <t xml:space="preserve">This worksheet calculates departure functions and fugacities. You will need </t>
  </si>
  <si>
    <t>to enter critical constants and heat capacity constants on this worksheet.</t>
  </si>
  <si>
    <t>Critical properties will be transferred automatically to the "Ref State" worksheet.</t>
  </si>
  <si>
    <t>Heat capacity constants are from the appendix or from Reid, Prausnitz and Poling.</t>
  </si>
  <si>
    <t>Ref State</t>
  </si>
  <si>
    <t xml:space="preserve">This worksheet specifies the reference state for the "Props" calculations.  Both ideal and </t>
  </si>
  <si>
    <t xml:space="preserve">real fluid reference states may be chosen, and the user may specify whether to set H = 0 or </t>
  </si>
  <si>
    <t>U = 0 in the reference state.  The entropy is arbitrarily set to zero at the reference state.</t>
  </si>
  <si>
    <t>Crit. Props</t>
  </si>
  <si>
    <t>A copy of the critical properties tabulated in the endflap of the book.</t>
  </si>
  <si>
    <t>IG Cps</t>
  </si>
  <si>
    <t>A copy of the ideal gas heat capacity constants tabulated in the appendix of the book.</t>
  </si>
  <si>
    <t>Worksheets are protected. Values in blue may be changed without unlocking the spreadsheet, which will</t>
  </si>
  <si>
    <t>permit most common calculations. The worksheets may easily be changed to use a different equation of state.</t>
  </si>
  <si>
    <t>Peng-Robinson Equation of State (Pure Fluid)</t>
  </si>
  <si>
    <t>Spreadsheet protected, but no password used.</t>
  </si>
  <si>
    <t>Properties</t>
  </si>
  <si>
    <t>Gas</t>
  </si>
  <si>
    <r>
      <t>T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 xml:space="preserve"> (K)</t>
    </r>
  </si>
  <si>
    <r>
      <t>P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 xml:space="preserve"> (MPa)</t>
    </r>
  </si>
  <si>
    <t>w</t>
  </si>
  <si>
    <t>METHANE</t>
  </si>
  <si>
    <t>Intermediate Calculations</t>
  </si>
  <si>
    <t>Current State</t>
  </si>
  <si>
    <t>Roots</t>
  </si>
  <si>
    <r>
      <t>R(cm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MPa/molK)</t>
    </r>
  </si>
  <si>
    <t>T (K)</t>
  </si>
  <si>
    <t>Z</t>
  </si>
  <si>
    <t>V</t>
  </si>
  <si>
    <t>fugacity</t>
  </si>
  <si>
    <r>
      <t>T</t>
    </r>
    <r>
      <rPr>
        <vertAlign val="subscript"/>
        <sz val="10"/>
        <rFont val="Arial"/>
        <family val="2"/>
      </rPr>
      <t>r</t>
    </r>
  </si>
  <si>
    <r>
      <t>a (MPa cm</t>
    </r>
    <r>
      <rPr>
        <vertAlign val="superscript"/>
        <sz val="10"/>
        <rFont val="Arial"/>
        <family val="2"/>
      </rPr>
      <t>6</t>
    </r>
    <r>
      <rPr>
        <sz val="10"/>
        <rFont val="Arial"/>
        <family val="2"/>
      </rPr>
      <t>/gmol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</si>
  <si>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P (MPa)</t>
  </si>
  <si>
    <r>
      <t>cm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/gmol</t>
    </r>
  </si>
  <si>
    <t>MPa</t>
  </si>
  <si>
    <r>
      <t>P</t>
    </r>
    <r>
      <rPr>
        <vertAlign val="subscript"/>
        <sz val="10"/>
        <rFont val="Arial"/>
        <family val="2"/>
      </rPr>
      <t>r</t>
    </r>
  </si>
  <si>
    <t>answers for three</t>
  </si>
  <si>
    <t>k</t>
  </si>
  <si>
    <r>
      <t>b (cm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/gmol)</t>
    </r>
  </si>
  <si>
    <t>root region</t>
  </si>
  <si>
    <t>a</t>
  </si>
  <si>
    <t>fugacity ratio</t>
  </si>
  <si>
    <t>A</t>
  </si>
  <si>
    <t>&amp; for 1 root region</t>
  </si>
  <si>
    <t>B</t>
  </si>
  <si>
    <t>Stable Root has a lower fugacity</t>
  </si>
  <si>
    <t>To find vapor pressure, or saturation temperature,</t>
  </si>
  <si>
    <t>see cell A28 for instructions</t>
  </si>
  <si>
    <t>Solution to Cubic</t>
  </si>
  <si>
    <r>
      <t>Z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+ a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Z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+ a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Z + a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 xml:space="preserve"> =0</t>
    </r>
  </si>
  <si>
    <r>
      <t>R = q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/4 + p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/27 =</t>
    </r>
  </si>
  <si>
    <r>
      <t>a</t>
    </r>
    <r>
      <rPr>
        <vertAlign val="subscript"/>
        <sz val="10"/>
        <rFont val="Arial"/>
        <family val="2"/>
      </rPr>
      <t>2</t>
    </r>
  </si>
  <si>
    <r>
      <t>a</t>
    </r>
    <r>
      <rPr>
        <vertAlign val="subscript"/>
        <sz val="10"/>
        <rFont val="Arial"/>
        <family val="2"/>
      </rPr>
      <t>1</t>
    </r>
  </si>
  <si>
    <r>
      <t>a</t>
    </r>
    <r>
      <rPr>
        <vertAlign val="subscript"/>
        <sz val="10"/>
        <rFont val="Arial"/>
        <family val="2"/>
      </rPr>
      <t>0</t>
    </r>
  </si>
  <si>
    <t>p</t>
  </si>
  <si>
    <t>q</t>
  </si>
  <si>
    <t>If Negative, three unequal real roots,</t>
  </si>
  <si>
    <t>If Positive, one real root</t>
  </si>
  <si>
    <t>Method 1 - For region with one real root</t>
  </si>
  <si>
    <t>P</t>
  </si>
  <si>
    <t>Q</t>
  </si>
  <si>
    <t>Root to equation in x</t>
  </si>
  <si>
    <t>Solution methods are summarized</t>
  </si>
  <si>
    <t>in the appendix of the text.</t>
  </si>
  <si>
    <t>Method 2 - For region with three real roots</t>
  </si>
  <si>
    <t>m</t>
  </si>
  <si>
    <t>3q/pm</t>
  </si>
  <si>
    <r>
      <t>3*</t>
    </r>
    <r>
      <rPr>
        <sz val="10"/>
        <rFont val="Symbol"/>
        <family val="1"/>
        <charset val="2"/>
      </rPr>
      <t>q</t>
    </r>
    <r>
      <rPr>
        <vertAlign val="subscript"/>
        <sz val="10"/>
        <rFont val="Arial"/>
        <family val="2"/>
      </rPr>
      <t>1</t>
    </r>
  </si>
  <si>
    <r>
      <t>q</t>
    </r>
    <r>
      <rPr>
        <vertAlign val="subscript"/>
        <sz val="10"/>
        <rFont val="Arial"/>
        <family val="2"/>
      </rPr>
      <t>1</t>
    </r>
  </si>
  <si>
    <t>Roots to equation in x</t>
  </si>
  <si>
    <t xml:space="preserve">To find vapor pressure, use solver to vary $B$8 (P) </t>
  </si>
  <si>
    <r>
      <t>to find where target cell $H$12 = 1, for any T &lt; T</t>
    </r>
    <r>
      <rPr>
        <vertAlign val="subscript"/>
        <sz val="10"/>
        <rFont val="Arial"/>
        <family val="2"/>
      </rPr>
      <t>c.</t>
    </r>
  </si>
  <si>
    <t>To find saturation temperature, use solver to vary $B$7 (T)</t>
  </si>
  <si>
    <t>to find where target cell $H$12 = 1, by adjusting $B$7, subject to $B$7 &lt;= $B$4</t>
  </si>
  <si>
    <t>Heat Capacity constants from Appendix</t>
  </si>
  <si>
    <t>ideal gas</t>
  </si>
  <si>
    <r>
      <t>H</t>
    </r>
    <r>
      <rPr>
        <vertAlign val="superscript"/>
        <sz val="10"/>
        <rFont val="Arial"/>
        <family val="2"/>
      </rPr>
      <t>ig</t>
    </r>
    <r>
      <rPr>
        <sz val="10"/>
        <rFont val="Arial"/>
        <family val="2"/>
      </rPr>
      <t xml:space="preserve"> - H</t>
    </r>
    <r>
      <rPr>
        <vertAlign val="subscript"/>
        <sz val="10"/>
        <rFont val="Arial"/>
        <family val="2"/>
      </rPr>
      <t>R</t>
    </r>
    <r>
      <rPr>
        <vertAlign val="superscript"/>
        <sz val="10"/>
        <rFont val="Arial"/>
        <family val="2"/>
      </rPr>
      <t>ig</t>
    </r>
  </si>
  <si>
    <r>
      <t>U</t>
    </r>
    <r>
      <rPr>
        <vertAlign val="superscript"/>
        <sz val="10"/>
        <rFont val="Arial"/>
        <family val="2"/>
      </rPr>
      <t>ig</t>
    </r>
    <r>
      <rPr>
        <sz val="10"/>
        <rFont val="Arial"/>
        <family val="2"/>
      </rPr>
      <t xml:space="preserve"> - U</t>
    </r>
    <r>
      <rPr>
        <vertAlign val="subscript"/>
        <sz val="10"/>
        <rFont val="Arial"/>
        <family val="2"/>
      </rPr>
      <t>R</t>
    </r>
    <r>
      <rPr>
        <vertAlign val="superscript"/>
        <sz val="10"/>
        <rFont val="Arial"/>
        <family val="2"/>
      </rPr>
      <t>ig</t>
    </r>
  </si>
  <si>
    <r>
      <t>S</t>
    </r>
    <r>
      <rPr>
        <vertAlign val="superscript"/>
        <sz val="10"/>
        <rFont val="Arial"/>
        <family val="2"/>
      </rPr>
      <t>ig</t>
    </r>
    <r>
      <rPr>
        <sz val="10"/>
        <rFont val="Arial"/>
        <family val="2"/>
      </rPr>
      <t xml:space="preserve"> -S</t>
    </r>
    <r>
      <rPr>
        <vertAlign val="subscript"/>
        <sz val="10"/>
        <rFont val="Arial"/>
        <family val="2"/>
      </rPr>
      <t>R</t>
    </r>
    <r>
      <rPr>
        <vertAlign val="superscript"/>
        <sz val="10"/>
        <rFont val="Arial"/>
        <family val="2"/>
      </rPr>
      <t>ig</t>
    </r>
  </si>
  <si>
    <t>C</t>
  </si>
  <si>
    <t>D</t>
  </si>
  <si>
    <t>values</t>
  </si>
  <si>
    <t>J/mol</t>
  </si>
  <si>
    <t>J/molK</t>
  </si>
  <si>
    <t>H</t>
  </si>
  <si>
    <t>U</t>
  </si>
  <si>
    <t>S</t>
  </si>
  <si>
    <r>
      <t>H-H</t>
    </r>
    <r>
      <rPr>
        <vertAlign val="superscript"/>
        <sz val="10"/>
        <rFont val="Arial"/>
        <family val="2"/>
      </rPr>
      <t>ig</t>
    </r>
  </si>
  <si>
    <r>
      <t>U-U</t>
    </r>
    <r>
      <rPr>
        <vertAlign val="superscript"/>
        <sz val="10"/>
        <rFont val="Arial"/>
        <family val="2"/>
      </rPr>
      <t>ig</t>
    </r>
  </si>
  <si>
    <r>
      <t>S-S</t>
    </r>
    <r>
      <rPr>
        <vertAlign val="superscript"/>
        <sz val="10"/>
        <rFont val="Arial"/>
        <family val="2"/>
      </rPr>
      <t>ig</t>
    </r>
  </si>
  <si>
    <t>fugratio</t>
  </si>
  <si>
    <t xml:space="preserve">  If thermodynamic property calculations give a #NUM! error for both root regions in the</t>
  </si>
  <si>
    <t xml:space="preserve">   table above, fix the "reference state index indentifier" on "Ref State" page.</t>
  </si>
  <si>
    <t>Reference State Info from 'Ref State' (enter data on Worksheet 'Ref State')</t>
  </si>
  <si>
    <t>T=</t>
  </si>
  <si>
    <t>igrflag=</t>
  </si>
  <si>
    <t>P=</t>
  </si>
  <si>
    <t>uhflag=</t>
  </si>
  <si>
    <t>index=</t>
  </si>
  <si>
    <t xml:space="preserve">  Enter Name and Critical</t>
  </si>
  <si>
    <t xml:space="preserve">  Properities on "Props"</t>
  </si>
  <si>
    <t xml:space="preserve">  Worksheet.</t>
  </si>
  <si>
    <t>Reference State</t>
  </si>
  <si>
    <t>For real fluid</t>
  </si>
  <si>
    <t>reference state</t>
  </si>
  <si>
    <t>identifier index</t>
  </si>
  <si>
    <r>
      <t>0 for H</t>
    </r>
    <r>
      <rPr>
        <vertAlign val="subscript"/>
        <sz val="10"/>
        <rFont val="Arial"/>
        <family val="2"/>
      </rPr>
      <t>R</t>
    </r>
    <r>
      <rPr>
        <sz val="10"/>
        <rFont val="Arial"/>
        <family val="2"/>
      </rPr>
      <t xml:space="preserve"> = 0, 1 for U</t>
    </r>
    <r>
      <rPr>
        <vertAlign val="subscript"/>
        <sz val="10"/>
        <rFont val="Arial"/>
        <family val="2"/>
      </rPr>
      <t>R</t>
    </r>
    <r>
      <rPr>
        <sz val="10"/>
        <rFont val="Arial"/>
        <family val="2"/>
      </rPr>
      <t xml:space="preserve"> = 0</t>
    </r>
  </si>
  <si>
    <t>0 for ig, 1 for real fluid ref</t>
  </si>
  <si>
    <t>Identifier Index for reference state row to use from Row 9 - Row 12 (Enter 1, 2, or 3)</t>
  </si>
  <si>
    <t>YOU MUST CHOOSE A ROW  WITH CALCULABLE NUMBERS, NOT ONE WITH #NUM!</t>
  </si>
  <si>
    <t>H(J/mol)</t>
  </si>
  <si>
    <t>U(J/mol)</t>
  </si>
  <si>
    <t>S(J/molK)</t>
  </si>
  <si>
    <t>Reference State Values</t>
  </si>
  <si>
    <t>Ref State Departures</t>
  </si>
  <si>
    <t>Critical properties from the endflap.</t>
  </si>
  <si>
    <t>PROPERTIES OF SELECTED COMPOUNDS</t>
  </si>
  <si>
    <t xml:space="preserve">Heat capacities are values for vapor at 298 K and should be used for order of </t>
  </si>
  <si>
    <t xml:space="preserve">magnitude calculations only.  See appendices for temperature dependent formulas </t>
  </si>
  <si>
    <t>and constants.</t>
  </si>
  <si>
    <t>Hint: To transfer values to the other worksheets, copy the desired cells, then use Paste Special... Values....</t>
  </si>
  <si>
    <t>in order to preserve the formats of the cells.</t>
  </si>
  <si>
    <t>Compound</t>
  </si>
  <si>
    <t>Tc(K)</t>
  </si>
  <si>
    <t>Pc(MPa)</t>
  </si>
  <si>
    <t>Zc</t>
  </si>
  <si>
    <t>CP/R</t>
  </si>
  <si>
    <t>Paraffins</t>
  </si>
  <si>
    <t>ETHANE</t>
  </si>
  <si>
    <t>PROPANE</t>
  </si>
  <si>
    <t>n-BUTANE</t>
  </si>
  <si>
    <t>ISOBUTANE</t>
  </si>
  <si>
    <t>n-PENTANE</t>
  </si>
  <si>
    <t>ISOPENTANE</t>
  </si>
  <si>
    <t>NEOPENTANE</t>
  </si>
  <si>
    <t>n-HEXANE</t>
  </si>
  <si>
    <t>n-HEPTANE</t>
  </si>
  <si>
    <t>n-OCTANE</t>
  </si>
  <si>
    <t>n-NONANE</t>
  </si>
  <si>
    <t>n-DECANE</t>
  </si>
  <si>
    <t>n-DODECANE</t>
  </si>
  <si>
    <t>n-TETRADECANE</t>
  </si>
  <si>
    <t>n-HEXADECANE</t>
  </si>
  <si>
    <t>Naphthenes</t>
  </si>
  <si>
    <t>CYCLOPENTANE</t>
  </si>
  <si>
    <t>METHYLCYCLOPENTANE</t>
  </si>
  <si>
    <t>CYCLOHEXANE</t>
  </si>
  <si>
    <t>METHYLCYCLOHEXANE</t>
  </si>
  <si>
    <t>Olefins and Acetylene</t>
  </si>
  <si>
    <t>ETHYLENE</t>
  </si>
  <si>
    <t>PROPYLENE</t>
  </si>
  <si>
    <t>1-BUTENE</t>
  </si>
  <si>
    <t>ISOBUTENE</t>
  </si>
  <si>
    <t>1-PENTENE</t>
  </si>
  <si>
    <t>ACETYLENE</t>
  </si>
  <si>
    <t>1,3-BUTADIENE</t>
  </si>
  <si>
    <t>ISOPRENE</t>
  </si>
  <si>
    <t>Aromatics</t>
  </si>
  <si>
    <t>BENZENE</t>
  </si>
  <si>
    <t>TOLUENE</t>
  </si>
  <si>
    <t>ETHYLBENZENE</t>
  </si>
  <si>
    <t>o-XYLENE</t>
  </si>
  <si>
    <t>m-XYLENE</t>
  </si>
  <si>
    <t>p-XYLENE</t>
  </si>
  <si>
    <t>CUMENE</t>
  </si>
  <si>
    <t>BIPHENYL</t>
  </si>
  <si>
    <t>DIPHENYLMETHANE</t>
  </si>
  <si>
    <t>NAPHTHALENE</t>
  </si>
  <si>
    <t>1-METHYLNAPHTHALENE</t>
  </si>
  <si>
    <t>TETRALIN</t>
  </si>
  <si>
    <t>Oxygenated</t>
  </si>
  <si>
    <t>Hydrocarbons</t>
  </si>
  <si>
    <t>METHANOL</t>
  </si>
  <si>
    <t>ETHANOL</t>
  </si>
  <si>
    <t>PROPANOL</t>
  </si>
  <si>
    <t>ISOPROPANOL</t>
  </si>
  <si>
    <t>1-BUTANOL</t>
  </si>
  <si>
    <t>ISOBUTANOL</t>
  </si>
  <si>
    <t>THF</t>
  </si>
  <si>
    <t>###</t>
  </si>
  <si>
    <t>DIETHYL ETHER</t>
  </si>
  <si>
    <t>#</t>
  </si>
  <si>
    <t>ETHYLENE OXIDE</t>
  </si>
  <si>
    <t>METHYL ETHYL KETONE</t>
  </si>
  <si>
    <t>Halocarbons</t>
  </si>
  <si>
    <t>FREON-12(CCl2F2)</t>
  </si>
  <si>
    <t>FREON-22(CClF2)</t>
  </si>
  <si>
    <t>FREON-11(CCl3F)</t>
  </si>
  <si>
    <t>FREON-113(C2Cl3F3)</t>
  </si>
  <si>
    <t>METHYL CHLORIDE</t>
  </si>
  <si>
    <t>CHLOROFORM(CHCl3)</t>
  </si>
  <si>
    <t>CARBON TETRACHLORIDE</t>
  </si>
  <si>
    <t>CHLOROBENZENE</t>
  </si>
  <si>
    <t>Gases</t>
  </si>
  <si>
    <t>ARGON</t>
  </si>
  <si>
    <t>BROMINE</t>
  </si>
  <si>
    <t>CHLORINE</t>
  </si>
  <si>
    <t>HELIUM-4</t>
  </si>
  <si>
    <t>KRYPTON</t>
  </si>
  <si>
    <t>NEON</t>
  </si>
  <si>
    <t>XENON</t>
  </si>
  <si>
    <t>NITRIC OXIDE</t>
  </si>
  <si>
    <t>NITROUS OXIDE</t>
  </si>
  <si>
    <t>SULFUR DIOXIDE</t>
  </si>
  <si>
    <t>SULFUR TRIOXIDE</t>
  </si>
  <si>
    <t>OXYGEN</t>
  </si>
  <si>
    <t>HYDROGEN</t>
  </si>
  <si>
    <t>NITROGEN</t>
  </si>
  <si>
    <t>CARBON MONOXIDE</t>
  </si>
  <si>
    <t>CARBON DIOXIDE</t>
  </si>
  <si>
    <t>Nasty gases</t>
  </si>
  <si>
    <t>HYDROGEN SULFIDE</t>
  </si>
  <si>
    <t>CARBON DISULFIDE</t>
  </si>
  <si>
    <t>HYDRAZINE(N2H4)</t>
  </si>
  <si>
    <t>HYDROGEN CHLORIDE</t>
  </si>
  <si>
    <t>HYDROGEN CYANIDE</t>
  </si>
  <si>
    <t>Miscellaneous Compounds</t>
  </si>
  <si>
    <t>ACETONE</t>
  </si>
  <si>
    <t>ACETONITRILE</t>
  </si>
  <si>
    <t>ACETIC ACID</t>
  </si>
  <si>
    <t>AMMONIA</t>
  </si>
  <si>
    <t>WATER</t>
  </si>
  <si>
    <t>References:  API Technical Data Book (extant 1988), and Reid,R.C., Prausnitz,J.M., and Sherwood, T.K.,  The  Properties of Liquids   and Gases , 3rd Edition,Mcgraw-Hill, New York (1977)</t>
  </si>
  <si>
    <t>Heat Capacity constants from the Appendix</t>
  </si>
  <si>
    <t xml:space="preserve"> Ideal gas heat capacity constants are tabulated below as selected from The Properties of Gases and Liquids, 4th </t>
  </si>
  <si>
    <t xml:space="preserve">ed. R.C. Reid, J.M. Prausnitz, B.E. Poling, McGraw-Hill, 1987, p 656-732. The heat capacities tabulated in </t>
  </si>
  <si>
    <t xml:space="preserve">the endflap are only suitable for quick order of magnitude calculations. The full form of the heat capacity </t>
  </si>
  <si>
    <t>should be used when possible.</t>
  </si>
  <si>
    <t>Caution: Note that the value of the heat capacity at room temperature is not given by the first</t>
  </si>
  <si>
    <t xml:space="preserve">coefficient A. The polynomial should not be truncated. </t>
  </si>
  <si>
    <t xml:space="preserve">Compound                     </t>
  </si>
  <si>
    <t>NEOPENTANE (2,2-Dimethylpropane)</t>
  </si>
  <si>
    <t>ISOOCTANE</t>
  </si>
  <si>
    <t>cis-DECALIN</t>
  </si>
  <si>
    <t>trans-DECALIN</t>
  </si>
  <si>
    <t xml:space="preserve"> Olefins and Acetylene</t>
  </si>
  <si>
    <t>cis-2-BUTENE</t>
  </si>
  <si>
    <t>trans-2-BUTENE</t>
  </si>
  <si>
    <t>ISOBUTENE (Isobutylene)</t>
  </si>
  <si>
    <t>1-HEXENE</t>
  </si>
  <si>
    <t>1-DECENE</t>
  </si>
  <si>
    <t>CYCLOHEXENE</t>
  </si>
  <si>
    <t>2-METHYL-1,3-BUTADIENE (Isoprene)</t>
  </si>
  <si>
    <t xml:space="preserve"> Aromatics</t>
  </si>
  <si>
    <t>1,2-DIMETHYL BENZENE</t>
  </si>
  <si>
    <t>1,3-DIMETHYL BENZENE</t>
  </si>
  <si>
    <t>1,4-DIMETHYL BENZENE</t>
  </si>
  <si>
    <t>ISOPROPYLBENZENE (Cumene)</t>
  </si>
  <si>
    <t>DIPHENYL</t>
  </si>
  <si>
    <t>PHENYLETHENE</t>
  </si>
  <si>
    <t>1,2,3,4-TETRAHYDRONAPHTHALENE (Tetralin)</t>
  </si>
  <si>
    <t>INDENE</t>
  </si>
  <si>
    <t>PHENANTHRENE</t>
  </si>
  <si>
    <t>Oxygenated Hydrocarbons</t>
  </si>
  <si>
    <t>FORMALDEHYDE</t>
  </si>
  <si>
    <t>ACETALDEHYDE</t>
  </si>
  <si>
    <t>2-BUTANONE</t>
  </si>
  <si>
    <t>2-PROPANOL</t>
  </si>
  <si>
    <t>1-HEXANOL</t>
  </si>
  <si>
    <t>PHENOL</t>
  </si>
  <si>
    <t>ETHYLENE GLYCOL</t>
  </si>
  <si>
    <t>PROPYLENE GLYCOL</t>
  </si>
  <si>
    <t>BUTYRIC ACID</t>
  </si>
  <si>
    <t>BENZOIC ACID</t>
  </si>
  <si>
    <t>TEREPHTHALIC ACID</t>
  </si>
  <si>
    <t>METHYL ACETATE</t>
  </si>
  <si>
    <t>ETHYL ACETATE</t>
  </si>
  <si>
    <t>DIMETHYL TEREPHTHALATE</t>
  </si>
  <si>
    <t>TETRAHYDROFURAN(THF)</t>
  </si>
  <si>
    <t>ISOPROPYL ETHER</t>
  </si>
  <si>
    <t xml:space="preserve"> ETHYLENE OXIDE</t>
  </si>
  <si>
    <t xml:space="preserve">METHYL CHLORIDE        </t>
  </si>
  <si>
    <t>ETHYL CHLORIDE</t>
  </si>
  <si>
    <t>DICHLOROMETHANE</t>
  </si>
  <si>
    <t xml:space="preserve">CHLOROFORM(CHCl3)      </t>
  </si>
  <si>
    <t xml:space="preserve">CHLOROBENZENE          </t>
  </si>
  <si>
    <t>VINYLIDENE CHLORIDE(1,1-C2H2Cl2)</t>
  </si>
  <si>
    <t xml:space="preserve">FREON-12(CCl2F2)       </t>
  </si>
  <si>
    <t xml:space="preserve">FREON-22(CClF2)        </t>
  </si>
  <si>
    <t xml:space="preserve">         </t>
  </si>
  <si>
    <t xml:space="preserve">FREON-11(CCl3F)     </t>
  </si>
  <si>
    <t xml:space="preserve">FREON-113(C2Cl3F3) </t>
  </si>
  <si>
    <t>HYDROGEN (equilibrium)</t>
  </si>
  <si>
    <t>FLUORINE</t>
  </si>
  <si>
    <t>Nitrogen and Sulfur Gases</t>
  </si>
  <si>
    <t>METHYLAMINE</t>
  </si>
  <si>
    <t>ETHYLAMINE</t>
  </si>
  <si>
    <t xml:space="preserve">ACETONITRILE </t>
  </si>
  <si>
    <t>METHANETHIOL</t>
  </si>
  <si>
    <t>ETHANETHIOL</t>
  </si>
  <si>
    <t>DIMETHYL SULFIDE</t>
  </si>
  <si>
    <t>UREA</t>
  </si>
  <si>
    <t>SULFURIC ACID</t>
  </si>
  <si>
    <t>PHOSPHORIC ACID</t>
  </si>
  <si>
    <t>NITRIC ACID</t>
  </si>
  <si>
    <t xml:space="preserve">AMMONIA                </t>
  </si>
  <si>
    <t>SODIUM HYDROXIDE</t>
  </si>
  <si>
    <t xml:space="preserve">WATER </t>
  </si>
  <si>
    <t>Copyright 1996-2013, Carl Lira</t>
  </si>
  <si>
    <t>turned on protection for Props, Ref State, Crit. Props, IG Cps</t>
  </si>
  <si>
    <t>chethermo.net</t>
  </si>
  <si>
    <t>For use with "An Introduction to Applied Thermodynamics" 2nd. ed, by J.R. Elliott, C.T. Lira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</si>
</sst>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sz val="10"/>
      <name val="Symbol"/>
      <family val="1"/>
      <charset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sz val="10"/>
      <name val="Symbol"/>
      <family val="1"/>
      <charset val="2"/>
    </font>
    <font>
      <sz val="10"/>
      <color indexed="39"/>
      <name val="Arial"/>
      <family val="2"/>
    </font>
    <font>
      <sz val="10"/>
      <name val="Arial"/>
      <family val="2"/>
    </font>
    <font>
      <sz val="18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1" fillId="0" borderId="3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20" xfId="0" applyFont="1" applyBorder="1"/>
    <xf numFmtId="0" fontId="0" fillId="0" borderId="20" xfId="0" applyBorder="1" applyAlignment="1">
      <alignment horizontal="center"/>
    </xf>
    <xf numFmtId="0" fontId="0" fillId="0" borderId="28" xfId="0" applyBorder="1"/>
    <xf numFmtId="0" fontId="0" fillId="0" borderId="4" xfId="0" applyBorder="1" applyAlignment="1">
      <alignment horizontal="centerContinuous"/>
    </xf>
    <xf numFmtId="0" fontId="0" fillId="0" borderId="24" xfId="0" applyBorder="1" applyAlignment="1">
      <alignment horizontal="centerContinuous"/>
    </xf>
    <xf numFmtId="0" fontId="0" fillId="0" borderId="29" xfId="0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0" fillId="0" borderId="26" xfId="0" applyBorder="1" applyAlignment="1">
      <alignment horizontal="centerContinuous"/>
    </xf>
    <xf numFmtId="0" fontId="0" fillId="0" borderId="28" xfId="0" applyBorder="1" applyAlignment="1">
      <alignment horizontal="centerContinuous"/>
    </xf>
    <xf numFmtId="0" fontId="4" fillId="0" borderId="20" xfId="0" applyFont="1" applyBorder="1"/>
    <xf numFmtId="0" fontId="0" fillId="0" borderId="7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23" xfId="0" applyBorder="1" applyAlignment="1">
      <alignment horizontal="centerContinuous"/>
    </xf>
    <xf numFmtId="0" fontId="0" fillId="0" borderId="21" xfId="0" applyBorder="1" applyAlignment="1">
      <alignment horizontal="centerContinuous"/>
    </xf>
    <xf numFmtId="0" fontId="0" fillId="0" borderId="22" xfId="0" applyBorder="1" applyAlignment="1">
      <alignment horizontal="centerContinuous"/>
    </xf>
    <xf numFmtId="0" fontId="5" fillId="0" borderId="5" xfId="0" applyFont="1" applyBorder="1" applyProtection="1">
      <protection locked="0"/>
    </xf>
    <xf numFmtId="0" fontId="5" fillId="0" borderId="7" xfId="0" applyNumberFormat="1" applyFont="1" applyBorder="1" applyProtection="1">
      <protection locked="0"/>
    </xf>
    <xf numFmtId="0" fontId="0" fillId="0" borderId="2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9" xfId="0" applyBorder="1"/>
    <xf numFmtId="0" fontId="0" fillId="0" borderId="27" xfId="0" applyBorder="1" applyAlignment="1">
      <alignment horizontal="centerContinuous"/>
    </xf>
    <xf numFmtId="0" fontId="6" fillId="0" borderId="29" xfId="0" applyFont="1" applyBorder="1" applyAlignment="1" applyProtection="1">
      <alignment horizontal="centerContinuous"/>
    </xf>
    <xf numFmtId="0" fontId="6" fillId="0" borderId="6" xfId="0" applyFont="1" applyBorder="1" applyAlignment="1" applyProtection="1">
      <alignment horizontal="centerContinuous"/>
    </xf>
    <xf numFmtId="0" fontId="0" fillId="0" borderId="29" xfId="0" applyBorder="1" applyAlignment="1"/>
    <xf numFmtId="0" fontId="0" fillId="0" borderId="23" xfId="0" applyBorder="1" applyAlignment="1"/>
    <xf numFmtId="0" fontId="0" fillId="0" borderId="0" xfId="0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17" xfId="0" applyBorder="1" applyAlignment="1">
      <alignment horizontal="center"/>
    </xf>
    <xf numFmtId="0" fontId="0" fillId="0" borderId="33" xfId="0" applyBorder="1"/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/>
    <xf numFmtId="0" fontId="0" fillId="0" borderId="38" xfId="0" applyBorder="1" applyAlignment="1">
      <alignment horizontal="center"/>
    </xf>
    <xf numFmtId="0" fontId="0" fillId="0" borderId="39" xfId="0" applyBorder="1"/>
    <xf numFmtId="0" fontId="0" fillId="0" borderId="40" xfId="0" applyBorder="1"/>
    <xf numFmtId="0" fontId="5" fillId="0" borderId="20" xfId="0" applyFont="1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</xf>
    <xf numFmtId="0" fontId="5" fillId="0" borderId="6" xfId="0" applyFont="1" applyBorder="1" applyAlignment="1" applyProtection="1">
      <protection locked="0"/>
    </xf>
    <xf numFmtId="0" fontId="7" fillId="0" borderId="0" xfId="0" applyFont="1"/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0" fillId="0" borderId="42" xfId="0" applyBorder="1"/>
    <xf numFmtId="0" fontId="8" fillId="0" borderId="6" xfId="0" applyFont="1" applyBorder="1"/>
    <xf numFmtId="0" fontId="8" fillId="0" borderId="1" xfId="0" applyFont="1" applyBorder="1"/>
    <xf numFmtId="0" fontId="8" fillId="0" borderId="3" xfId="0" applyFont="1" applyBorder="1"/>
    <xf numFmtId="0" fontId="0" fillId="0" borderId="1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NumberFormat="1"/>
    <xf numFmtId="0" fontId="8" fillId="0" borderId="0" xfId="0" applyFont="1" applyBorder="1"/>
    <xf numFmtId="0" fontId="0" fillId="0" borderId="44" xfId="0" applyBorder="1"/>
    <xf numFmtId="0" fontId="0" fillId="0" borderId="45" xfId="0" applyBorder="1"/>
    <xf numFmtId="0" fontId="0" fillId="0" borderId="11" xfId="0" applyBorder="1" applyAlignment="1">
      <alignment horizontal="center"/>
    </xf>
    <xf numFmtId="11" fontId="0" fillId="0" borderId="0" xfId="0" applyNumberFormat="1"/>
    <xf numFmtId="0" fontId="8" fillId="0" borderId="0" xfId="0" applyFont="1"/>
    <xf numFmtId="0" fontId="6" fillId="0" borderId="0" xfId="0" applyFont="1"/>
    <xf numFmtId="14" fontId="0" fillId="0" borderId="0" xfId="0" applyNumberFormat="1"/>
    <xf numFmtId="11" fontId="0" fillId="0" borderId="0" xfId="0" applyNumberFormat="1" applyProtection="1">
      <protection locked="0"/>
    </xf>
    <xf numFmtId="0" fontId="0" fillId="0" borderId="0" xfId="0" applyProtection="1">
      <protection locked="0"/>
    </xf>
  </cellXfs>
  <cellStyles count="1">
    <cellStyle name="Normale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C27"/>
  <sheetViews>
    <sheetView showGridLines="0" zoomScale="115" zoomScaleNormal="115" workbookViewId="0">
      <selection activeCell="C12" sqref="C12"/>
    </sheetView>
  </sheetViews>
  <sheetFormatPr defaultRowHeight="12.75" x14ac:dyDescent="0.2"/>
  <cols>
    <col min="2" max="2" width="11" customWidth="1"/>
  </cols>
  <sheetData>
    <row r="2" spans="2:3" s="76" customFormat="1" ht="23.25" x14ac:dyDescent="0.35">
      <c r="B2" s="76" t="s">
        <v>0</v>
      </c>
      <c r="C2"/>
    </row>
    <row r="4" spans="2:3" x14ac:dyDescent="0.2">
      <c r="B4" t="s">
        <v>1</v>
      </c>
    </row>
    <row r="6" spans="2:3" x14ac:dyDescent="0.2">
      <c r="B6" t="s">
        <v>2</v>
      </c>
      <c r="C6" t="s">
        <v>3</v>
      </c>
    </row>
    <row r="7" spans="2:3" x14ac:dyDescent="0.2">
      <c r="C7" t="s">
        <v>4</v>
      </c>
    </row>
    <row r="9" spans="2:3" x14ac:dyDescent="0.2">
      <c r="B9" t="s">
        <v>5</v>
      </c>
      <c r="C9" t="s">
        <v>6</v>
      </c>
    </row>
    <row r="10" spans="2:3" x14ac:dyDescent="0.2">
      <c r="C10" t="s">
        <v>7</v>
      </c>
    </row>
    <row r="11" spans="2:3" x14ac:dyDescent="0.2">
      <c r="C11" t="s">
        <v>8</v>
      </c>
    </row>
    <row r="12" spans="2:3" x14ac:dyDescent="0.2">
      <c r="C12" t="s">
        <v>9</v>
      </c>
    </row>
    <row r="14" spans="2:3" x14ac:dyDescent="0.2">
      <c r="B14" t="s">
        <v>10</v>
      </c>
      <c r="C14" t="s">
        <v>11</v>
      </c>
    </row>
    <row r="15" spans="2:3" x14ac:dyDescent="0.2">
      <c r="C15" t="s">
        <v>12</v>
      </c>
    </row>
    <row r="16" spans="2:3" x14ac:dyDescent="0.2">
      <c r="C16" t="s">
        <v>13</v>
      </c>
    </row>
    <row r="18" spans="2:3" x14ac:dyDescent="0.2">
      <c r="B18" t="s">
        <v>14</v>
      </c>
      <c r="C18" t="s">
        <v>15</v>
      </c>
    </row>
    <row r="20" spans="2:3" x14ac:dyDescent="0.2">
      <c r="B20" t="s">
        <v>16</v>
      </c>
      <c r="C20" t="s">
        <v>17</v>
      </c>
    </row>
    <row r="22" spans="2:3" x14ac:dyDescent="0.2">
      <c r="B22" t="s">
        <v>18</v>
      </c>
    </row>
    <row r="23" spans="2:3" x14ac:dyDescent="0.2">
      <c r="B23" t="s">
        <v>19</v>
      </c>
    </row>
    <row r="25" spans="2:3" x14ac:dyDescent="0.2">
      <c r="B25" s="93" t="s">
        <v>304</v>
      </c>
    </row>
    <row r="26" spans="2:3" x14ac:dyDescent="0.2">
      <c r="B26" s="93" t="s">
        <v>307</v>
      </c>
    </row>
    <row r="27" spans="2:3" x14ac:dyDescent="0.2">
      <c r="B27" s="93" t="s">
        <v>306</v>
      </c>
    </row>
  </sheetData>
  <phoneticPr fontId="9" type="noConversion"/>
  <printOptions gridLinesSet="0"/>
  <pageMargins left="0.75" right="0.75" top="1" bottom="1" header="0.5" footer="0.5"/>
  <pageSetup orientation="landscape" horizontalDpi="0" verticalDpi="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0"/>
  <sheetViews>
    <sheetView showGridLines="0" zoomScale="145" zoomScaleNormal="145" workbookViewId="0">
      <selection activeCell="H4" sqref="H4"/>
    </sheetView>
  </sheetViews>
  <sheetFormatPr defaultRowHeight="12.75" x14ac:dyDescent="0.2"/>
  <cols>
    <col min="3" max="3" width="13.7109375" bestFit="1" customWidth="1"/>
  </cols>
  <sheetData>
    <row r="1" spans="1:10" x14ac:dyDescent="0.2">
      <c r="A1" t="s">
        <v>20</v>
      </c>
      <c r="F1" t="s">
        <v>21</v>
      </c>
    </row>
    <row r="2" spans="1:10" ht="13.5" thickBot="1" x14ac:dyDescent="0.25">
      <c r="A2" s="13" t="s">
        <v>22</v>
      </c>
      <c r="B2" s="14"/>
    </row>
    <row r="3" spans="1:10" ht="16.5" thickTop="1" x14ac:dyDescent="0.3">
      <c r="A3" s="23" t="s">
        <v>23</v>
      </c>
      <c r="B3" s="23" t="s">
        <v>24</v>
      </c>
      <c r="C3" s="23" t="s">
        <v>25</v>
      </c>
      <c r="D3" s="33" t="s">
        <v>26</v>
      </c>
    </row>
    <row r="4" spans="1:10" x14ac:dyDescent="0.2">
      <c r="A4" s="73" t="s">
        <v>27</v>
      </c>
      <c r="B4" s="73">
        <v>190.6</v>
      </c>
      <c r="C4" s="73">
        <v>4.6040000000000001</v>
      </c>
      <c r="D4" s="73">
        <v>1.0999999999999999E-2</v>
      </c>
      <c r="F4" s="17"/>
    </row>
    <row r="5" spans="1:10" ht="13.5" thickBot="1" x14ac:dyDescent="0.25">
      <c r="G5" s="11" t="s">
        <v>28</v>
      </c>
      <c r="H5" s="22"/>
      <c r="I5" s="22"/>
      <c r="J5" s="12"/>
    </row>
    <row r="6" spans="1:10" ht="15" thickBot="1" x14ac:dyDescent="0.25">
      <c r="A6" s="9" t="s">
        <v>29</v>
      </c>
      <c r="B6" s="10"/>
      <c r="C6" s="31" t="s">
        <v>30</v>
      </c>
      <c r="D6" s="32"/>
      <c r="G6" s="23" t="s">
        <v>31</v>
      </c>
      <c r="H6" s="23"/>
      <c r="I6" s="34">
        <v>8.3144720000000003</v>
      </c>
      <c r="J6" s="12"/>
    </row>
    <row r="7" spans="1:10" ht="16.5" thickTop="1" x14ac:dyDescent="0.3">
      <c r="A7" s="5" t="s">
        <v>32</v>
      </c>
      <c r="B7" s="48">
        <v>111.40684117605109</v>
      </c>
      <c r="C7" s="24" t="s">
        <v>33</v>
      </c>
      <c r="D7" s="25" t="s">
        <v>34</v>
      </c>
      <c r="E7" s="77" t="s">
        <v>35</v>
      </c>
      <c r="G7" s="1" t="s">
        <v>36</v>
      </c>
      <c r="H7" s="16">
        <f>TK/Tc</f>
        <v>0.58450598728253456</v>
      </c>
      <c r="I7" s="23" t="s">
        <v>37</v>
      </c>
      <c r="J7" s="23"/>
    </row>
    <row r="8" spans="1:10" ht="16.5" thickBot="1" x14ac:dyDescent="0.35">
      <c r="A8" s="7" t="s">
        <v>38</v>
      </c>
      <c r="B8" s="49">
        <v>0.1</v>
      </c>
      <c r="C8" s="26"/>
      <c r="D8" s="27" t="s">
        <v>39</v>
      </c>
      <c r="E8" s="78" t="s">
        <v>40</v>
      </c>
      <c r="G8" s="2" t="s">
        <v>41</v>
      </c>
      <c r="H8" s="18">
        <f>P/Pc</f>
        <v>2.1720243266724587E-2</v>
      </c>
      <c r="I8" s="11">
        <f>0.4572355289*(Tc*_R)^2*alpha/Pc</f>
        <v>297527.39300120424</v>
      </c>
      <c r="J8" s="12"/>
    </row>
    <row r="9" spans="1:10" ht="14.25" x14ac:dyDescent="0.2">
      <c r="A9" s="36" t="s">
        <v>42</v>
      </c>
      <c r="B9" s="37"/>
      <c r="C9" s="29">
        <f>E26-a2_/3</f>
        <v>0.9673637722131988</v>
      </c>
      <c r="D9" s="6">
        <f>Z*R_*TK/P</f>
        <v>8960.5848075700997</v>
      </c>
      <c r="E9" s="79">
        <f>P*EXP(Z-1-LN(Z-B)-A/B/2.8284*LN((Z+2.4142*B)/(Z-0.4142*B)))</f>
        <v>9.6831063764224581E-2</v>
      </c>
      <c r="G9" s="3" t="s">
        <v>43</v>
      </c>
      <c r="H9" s="18">
        <f>0.37464+1.54226*omega-0.26992*omega^2</f>
        <v>0.39157219967999995</v>
      </c>
      <c r="I9" s="23" t="s">
        <v>44</v>
      </c>
      <c r="J9" s="23"/>
    </row>
    <row r="10" spans="1:10" x14ac:dyDescent="0.2">
      <c r="A10" s="38" t="s">
        <v>45</v>
      </c>
      <c r="B10" s="39"/>
      <c r="C10" s="17">
        <f>F26-a2_/3</f>
        <v>2.6107975804786354E-2</v>
      </c>
      <c r="D10" s="28">
        <f>Z*R_*TK/P</f>
        <v>241.83532407622283</v>
      </c>
      <c r="E10" s="79"/>
      <c r="G10" s="19" t="s">
        <v>46</v>
      </c>
      <c r="H10" s="21">
        <f>(1+kappa*(1-SQRT(Tr)))^2</f>
        <v>1.1929085729552695</v>
      </c>
      <c r="I10" s="11">
        <f>0.0777960739*R_*Tc/Pc</f>
        <v>26.778110950406653</v>
      </c>
      <c r="J10" s="12"/>
    </row>
    <row r="11" spans="1:10" ht="13.5" thickBot="1" x14ac:dyDescent="0.25">
      <c r="A11" s="7"/>
      <c r="B11" s="30"/>
      <c r="C11" s="30">
        <f>G26-a2_/3</f>
        <v>3.6373497721673975E-3</v>
      </c>
      <c r="D11" s="8">
        <f>Z*R_*TK/P</f>
        <v>33.692373070508751</v>
      </c>
      <c r="E11" s="80">
        <f>P*EXP(Z-1-LN(Z-B)-A/B/2.8284*LN((Z+2.4142*B)/(Z-0.4142*B)))</f>
        <v>9.6831072345721192E-2</v>
      </c>
      <c r="G11" s="1" t="s">
        <v>47</v>
      </c>
      <c r="H11" s="16"/>
      <c r="I11" s="1" t="s">
        <v>48</v>
      </c>
      <c r="J11" s="16">
        <f>a_*P/(R_*TK)^2</f>
        <v>3.4676390562132502E-2</v>
      </c>
    </row>
    <row r="12" spans="1:10" ht="13.5" thickBot="1" x14ac:dyDescent="0.25">
      <c r="A12" s="40" t="s">
        <v>49</v>
      </c>
      <c r="B12" s="41"/>
      <c r="C12" s="35" t="e">
        <f>C22-a2_/3</f>
        <v>#NUM!</v>
      </c>
      <c r="D12" s="32" t="e">
        <f>Z*R_*TK/P</f>
        <v>#NUM!</v>
      </c>
      <c r="E12" s="80" t="e">
        <f>P*EXP(Z-1-LN(Z-B)-A/B/2.8284*LN((Z+2.4142*B)/(Z-0.4142*B)))</f>
        <v>#NUM!</v>
      </c>
      <c r="G12" s="4"/>
      <c r="H12" s="21">
        <f>E9/E11</f>
        <v>0.99999991137662325</v>
      </c>
      <c r="I12" s="4" t="s">
        <v>50</v>
      </c>
      <c r="J12" s="21">
        <f>b_*P/R_/TK</f>
        <v>2.8909022098473451E-3</v>
      </c>
    </row>
    <row r="13" spans="1:10" x14ac:dyDescent="0.2">
      <c r="C13" t="s">
        <v>51</v>
      </c>
      <c r="G13" t="s">
        <v>52</v>
      </c>
    </row>
    <row r="14" spans="1:10" x14ac:dyDescent="0.2">
      <c r="A14" s="17"/>
      <c r="B14" s="17"/>
      <c r="F14" s="17"/>
      <c r="G14" t="s">
        <v>53</v>
      </c>
      <c r="H14" s="17"/>
      <c r="I14" s="17"/>
    </row>
    <row r="15" spans="1:10" x14ac:dyDescent="0.2">
      <c r="F15" s="17"/>
      <c r="G15" s="17"/>
      <c r="H15" s="17"/>
      <c r="I15" s="17"/>
    </row>
    <row r="16" spans="1:10" ht="15.75" x14ac:dyDescent="0.3">
      <c r="A16" t="s">
        <v>54</v>
      </c>
      <c r="C16" t="s">
        <v>55</v>
      </c>
      <c r="F16" s="1" t="s">
        <v>56</v>
      </c>
      <c r="G16" s="15"/>
      <c r="H16" s="15">
        <f>E18^2/4+D18^3/27</f>
        <v>-3.8470643277668196E-6</v>
      </c>
      <c r="I16" s="16"/>
    </row>
    <row r="17" spans="1:12" ht="15.75" x14ac:dyDescent="0.3">
      <c r="A17" s="34" t="s">
        <v>57</v>
      </c>
      <c r="B17" s="34" t="s">
        <v>58</v>
      </c>
      <c r="C17" s="34" t="s">
        <v>59</v>
      </c>
      <c r="D17" s="34" t="s">
        <v>60</v>
      </c>
      <c r="E17" s="34" t="s">
        <v>61</v>
      </c>
      <c r="F17" s="2" t="s">
        <v>62</v>
      </c>
      <c r="G17" s="17"/>
      <c r="H17" s="17"/>
      <c r="I17" s="18"/>
      <c r="K17" s="86"/>
      <c r="L17" s="86"/>
    </row>
    <row r="18" spans="1:12" x14ac:dyDescent="0.2">
      <c r="A18" s="23">
        <f>-(1-B)</f>
        <v>-0.99710909779015267</v>
      </c>
      <c r="B18" s="23">
        <f>A-3*B^2-2*B</f>
        <v>2.8869514195677112E-2</v>
      </c>
      <c r="C18" s="23">
        <f>-(A*B-B^2-B^3)</f>
        <v>-9.1864578336599639E-5</v>
      </c>
      <c r="D18" s="23">
        <f>(3*B18-A18^2)/3</f>
        <v>-0.3025393367696203</v>
      </c>
      <c r="E18" s="23">
        <f>(2*A18^3-9*A18*B18+27*C18)/27</f>
        <v>-6.3930019579612474E-2</v>
      </c>
      <c r="F18" s="4" t="s">
        <v>63</v>
      </c>
      <c r="G18" s="20"/>
      <c r="H18" s="20"/>
      <c r="I18" s="21"/>
      <c r="K18" s="86"/>
      <c r="L18" s="86"/>
    </row>
    <row r="19" spans="1:12" x14ac:dyDescent="0.2">
      <c r="K19" s="86"/>
      <c r="L19" s="86"/>
    </row>
    <row r="20" spans="1:12" x14ac:dyDescent="0.2">
      <c r="A20" t="s">
        <v>64</v>
      </c>
      <c r="K20" s="86"/>
      <c r="L20" s="86"/>
    </row>
    <row r="21" spans="1:12" x14ac:dyDescent="0.2">
      <c r="A21" s="23" t="s">
        <v>65</v>
      </c>
      <c r="B21" s="23" t="s">
        <v>66</v>
      </c>
      <c r="C21" s="23" t="s">
        <v>67</v>
      </c>
      <c r="D21" s="23"/>
      <c r="F21" t="s">
        <v>68</v>
      </c>
      <c r="K21" s="86"/>
      <c r="L21" s="86"/>
    </row>
    <row r="22" spans="1:12" x14ac:dyDescent="0.2">
      <c r="A22" s="23" t="e">
        <f>(-$E$18/2+SQRT($H$16))^(1/3)</f>
        <v>#NUM!</v>
      </c>
      <c r="B22" s="23" t="e">
        <f>(-$E$18/2-SQRT($H$16))^(1/3)</f>
        <v>#NUM!</v>
      </c>
      <c r="C22" s="23" t="e">
        <f>A22+B22</f>
        <v>#NUM!</v>
      </c>
      <c r="D22" s="17"/>
      <c r="F22" t="s">
        <v>69</v>
      </c>
      <c r="K22" s="86"/>
      <c r="L22" s="86"/>
    </row>
    <row r="23" spans="1:12" x14ac:dyDescent="0.2">
      <c r="K23" s="86"/>
      <c r="L23" s="86"/>
    </row>
    <row r="24" spans="1:12" x14ac:dyDescent="0.2">
      <c r="A24" t="s">
        <v>70</v>
      </c>
      <c r="K24" s="86"/>
      <c r="L24" s="86"/>
    </row>
    <row r="25" spans="1:12" ht="15.75" x14ac:dyDescent="0.3">
      <c r="A25" s="23" t="s">
        <v>71</v>
      </c>
      <c r="B25" s="23" t="s">
        <v>72</v>
      </c>
      <c r="C25" s="23" t="s">
        <v>73</v>
      </c>
      <c r="D25" s="42" t="s">
        <v>74</v>
      </c>
      <c r="E25" s="23" t="s">
        <v>75</v>
      </c>
      <c r="F25" s="23"/>
      <c r="G25" s="23"/>
      <c r="K25" s="86"/>
      <c r="L25" s="86"/>
    </row>
    <row r="26" spans="1:12" x14ac:dyDescent="0.2">
      <c r="A26" s="23">
        <f>2*SQRT(-D18/3)</f>
        <v>0.63512658766539898</v>
      </c>
      <c r="B26" s="23">
        <f>3*E18/D18/A26</f>
        <v>0.99812273536129925</v>
      </c>
      <c r="C26" s="23">
        <f>ACOS(B26)</f>
        <v>6.1283803515510105E-2</v>
      </c>
      <c r="D26" s="23">
        <f>C26/3</f>
        <v>2.0427934505170036E-2</v>
      </c>
      <c r="E26" s="23">
        <f>$A$26*COS($D$26)</f>
        <v>0.63499407294981458</v>
      </c>
      <c r="F26" s="23">
        <f>$A$26*COS($D$26+4*PI()/3)</f>
        <v>-0.30626172345859787</v>
      </c>
      <c r="G26" s="23">
        <f>$A$26*COS($D$26+2*PI()/3)</f>
        <v>-0.32873234949121682</v>
      </c>
      <c r="K26" s="86"/>
      <c r="L26" s="86"/>
    </row>
    <row r="27" spans="1:12" x14ac:dyDescent="0.2">
      <c r="K27" s="86"/>
      <c r="L27" s="86"/>
    </row>
    <row r="28" spans="1:12" x14ac:dyDescent="0.2">
      <c r="A28" t="s">
        <v>76</v>
      </c>
      <c r="K28" s="86"/>
      <c r="L28" s="86"/>
    </row>
    <row r="29" spans="1:12" ht="15.75" x14ac:dyDescent="0.3">
      <c r="A29" s="17" t="s">
        <v>77</v>
      </c>
      <c r="K29" s="86"/>
      <c r="L29" s="86"/>
    </row>
    <row r="30" spans="1:12" x14ac:dyDescent="0.2">
      <c r="A30" t="s">
        <v>78</v>
      </c>
      <c r="K30" s="86"/>
      <c r="L30" s="86"/>
    </row>
    <row r="31" spans="1:12" x14ac:dyDescent="0.2">
      <c r="A31" t="s">
        <v>79</v>
      </c>
      <c r="K31" s="86"/>
      <c r="L31" s="86"/>
    </row>
    <row r="32" spans="1:12" x14ac:dyDescent="0.2">
      <c r="K32" s="86"/>
      <c r="L32" s="86"/>
    </row>
    <row r="33" spans="11:12" x14ac:dyDescent="0.2">
      <c r="K33" s="86"/>
      <c r="L33" s="86"/>
    </row>
    <row r="34" spans="11:12" x14ac:dyDescent="0.2">
      <c r="K34" s="86"/>
      <c r="L34" s="86"/>
    </row>
    <row r="35" spans="11:12" x14ac:dyDescent="0.2">
      <c r="K35" s="86"/>
      <c r="L35" s="86"/>
    </row>
    <row r="36" spans="11:12" x14ac:dyDescent="0.2">
      <c r="K36" s="86"/>
      <c r="L36" s="86"/>
    </row>
    <row r="37" spans="11:12" x14ac:dyDescent="0.2">
      <c r="K37" s="86"/>
      <c r="L37" s="86"/>
    </row>
    <row r="38" spans="11:12" x14ac:dyDescent="0.2">
      <c r="K38" s="86"/>
      <c r="L38" s="86"/>
    </row>
    <row r="39" spans="11:12" x14ac:dyDescent="0.2">
      <c r="K39" s="86"/>
      <c r="L39" s="86"/>
    </row>
    <row r="40" spans="11:12" x14ac:dyDescent="0.2">
      <c r="K40" s="86"/>
      <c r="L40" s="86"/>
    </row>
  </sheetData>
  <sheetProtection sheet="1" objects="1" scenarios="1"/>
  <phoneticPr fontId="9" type="noConversion"/>
  <printOptions gridLinesSet="0"/>
  <pageMargins left="0.75" right="0.75" top="1" bottom="1" header="0.5" footer="0.5"/>
  <pageSetup orientation="landscape" horizontalDpi="300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41"/>
  <sheetViews>
    <sheetView showGridLines="0" zoomScale="130" zoomScaleNormal="130" workbookViewId="0">
      <selection activeCell="H27" sqref="H27"/>
    </sheetView>
  </sheetViews>
  <sheetFormatPr defaultRowHeight="12.75" x14ac:dyDescent="0.2"/>
  <cols>
    <col min="1" max="1" width="28.28515625" customWidth="1"/>
    <col min="2" max="2" width="11.42578125" customWidth="1"/>
    <col min="3" max="3" width="10" customWidth="1"/>
    <col min="4" max="4" width="10.28515625" customWidth="1"/>
  </cols>
  <sheetData>
    <row r="1" spans="1:12" x14ac:dyDescent="0.2">
      <c r="A1" t="s">
        <v>20</v>
      </c>
      <c r="F1" t="s">
        <v>21</v>
      </c>
    </row>
    <row r="2" spans="1:12" ht="16.5" thickBot="1" x14ac:dyDescent="0.35">
      <c r="A2" s="13" t="s">
        <v>22</v>
      </c>
      <c r="B2" s="14"/>
      <c r="E2" s="1" t="s">
        <v>80</v>
      </c>
      <c r="F2" s="15"/>
      <c r="G2" s="15"/>
      <c r="H2" s="15"/>
      <c r="I2" s="15" t="s">
        <v>81</v>
      </c>
      <c r="J2" s="1" t="s">
        <v>82</v>
      </c>
      <c r="K2" s="15" t="s">
        <v>83</v>
      </c>
      <c r="L2" s="16" t="s">
        <v>84</v>
      </c>
    </row>
    <row r="3" spans="1:12" ht="16.5" thickTop="1" x14ac:dyDescent="0.3">
      <c r="A3" s="23" t="s">
        <v>23</v>
      </c>
      <c r="B3" s="23" t="s">
        <v>24</v>
      </c>
      <c r="C3" s="23" t="s">
        <v>25</v>
      </c>
      <c r="D3" s="33" t="s">
        <v>26</v>
      </c>
      <c r="E3" s="34" t="s">
        <v>48</v>
      </c>
      <c r="F3" s="34" t="s">
        <v>50</v>
      </c>
      <c r="G3" s="34" t="s">
        <v>85</v>
      </c>
      <c r="H3" s="34" t="s">
        <v>86</v>
      </c>
      <c r="I3" s="17" t="s">
        <v>87</v>
      </c>
      <c r="J3" s="85" t="s">
        <v>88</v>
      </c>
      <c r="K3" s="64" t="s">
        <v>88</v>
      </c>
      <c r="L3" s="84" t="s">
        <v>89</v>
      </c>
    </row>
    <row r="4" spans="1:12" x14ac:dyDescent="0.2">
      <c r="A4" s="73" t="s">
        <v>215</v>
      </c>
      <c r="B4" s="96">
        <v>304.2</v>
      </c>
      <c r="C4" s="96">
        <v>7.3819999999999997</v>
      </c>
      <c r="D4" s="96">
        <v>0.22800000000000001</v>
      </c>
      <c r="E4" s="95">
        <v>19.8</v>
      </c>
      <c r="F4" s="95">
        <v>7.3440000000000005E-2</v>
      </c>
      <c r="G4" s="95">
        <v>-5.6020000000000002E-5</v>
      </c>
      <c r="H4" s="95">
        <v>1.7150000000000001E-8</v>
      </c>
      <c r="I4" s="20"/>
      <c r="J4" s="4">
        <f>CPA*(TK-TREF)+CPB/2*(TK^2-TREF^2)+CPC/3*(TK^3-TREF^3)+CPD/4*(TK^4-TREF^4)</f>
        <v>8461.2531596685949</v>
      </c>
      <c r="K4" s="20">
        <f>J4-_R*(TK-TREF)</f>
        <v>6647.0353692685949</v>
      </c>
      <c r="L4" s="21">
        <f>CPA*LN(TK/TREF)+CPB*(TK-TREF)+CPC/2*(TK^2-TREF^2)+CPD/3*(TK^3-TREF^3)-_R*LN(P/PREF)</f>
        <v>0.62658870104996822</v>
      </c>
    </row>
    <row r="5" spans="1:12" ht="13.5" thickBot="1" x14ac:dyDescent="0.25"/>
    <row r="6" spans="1:12" ht="13.5" thickBot="1" x14ac:dyDescent="0.25">
      <c r="A6" s="9" t="s">
        <v>29</v>
      </c>
      <c r="B6" s="10"/>
      <c r="C6" s="31" t="s">
        <v>30</v>
      </c>
      <c r="D6" s="32"/>
      <c r="E6" t="s">
        <v>51</v>
      </c>
    </row>
    <row r="7" spans="1:12" ht="15" thickTop="1" x14ac:dyDescent="0.2">
      <c r="A7" s="5" t="s">
        <v>32</v>
      </c>
      <c r="B7" s="48">
        <v>448.2</v>
      </c>
      <c r="C7" s="24" t="s">
        <v>33</v>
      </c>
      <c r="D7" s="25" t="s">
        <v>34</v>
      </c>
      <c r="E7" s="24" t="s">
        <v>35</v>
      </c>
      <c r="F7" s="50" t="s">
        <v>90</v>
      </c>
      <c r="G7" s="50" t="s">
        <v>91</v>
      </c>
      <c r="H7" s="50" t="s">
        <v>92</v>
      </c>
      <c r="I7" s="50" t="s">
        <v>93</v>
      </c>
      <c r="J7" s="50" t="s">
        <v>94</v>
      </c>
      <c r="K7" s="25" t="s">
        <v>95</v>
      </c>
    </row>
    <row r="8" spans="1:12" ht="15" thickBot="1" x14ac:dyDescent="0.25">
      <c r="A8" s="7" t="s">
        <v>38</v>
      </c>
      <c r="B8" s="49">
        <v>2</v>
      </c>
      <c r="C8" s="26"/>
      <c r="D8" s="27" t="s">
        <v>39</v>
      </c>
      <c r="E8" s="51" t="s">
        <v>40</v>
      </c>
      <c r="F8" s="52" t="s">
        <v>88</v>
      </c>
      <c r="G8" s="52" t="s">
        <v>88</v>
      </c>
      <c r="H8" s="52" t="s">
        <v>89</v>
      </c>
      <c r="I8" s="52" t="s">
        <v>88</v>
      </c>
      <c r="J8" s="52" t="s">
        <v>88</v>
      </c>
      <c r="K8" s="53" t="s">
        <v>89</v>
      </c>
    </row>
    <row r="9" spans="1:12" x14ac:dyDescent="0.2">
      <c r="A9" s="36" t="s">
        <v>42</v>
      </c>
      <c r="B9" s="44"/>
      <c r="C9" s="29" t="e">
        <f>E30-$A$20/3</f>
        <v>#NUM!</v>
      </c>
      <c r="D9" s="6" t="e">
        <f>C9*$I$23*$B$7/$B$8</f>
        <v>#NUM!</v>
      </c>
      <c r="E9" s="5" t="e">
        <f>P*EXP(Z-1-LN(Z-B)-A/B/2.8284*LN((Z+2.4142*B)/(Z-0.4142*B)))</f>
        <v>#NUM!</v>
      </c>
      <c r="F9" s="29" t="e">
        <f>I9+$J$4-'Ref State'!$D$19+'Ref State'!$D$18</f>
        <v>#NUM!</v>
      </c>
      <c r="G9" s="29" t="e">
        <f>F9-Z*_R*TK</f>
        <v>#NUM!</v>
      </c>
      <c r="H9" s="29" t="e">
        <f>K9+$L$4-'Ref State'!$F$19+'Ref State'!$F$18</f>
        <v>#NUM!</v>
      </c>
      <c r="I9" s="29" t="e">
        <f>_R*TK*(Z-1-A/B/2.8284*(1+kappa*SQRT(Tr/alpha))*LN((Z+2.4142*B)/(Z-0.4142*B)))</f>
        <v>#NUM!</v>
      </c>
      <c r="J9" s="29" t="e">
        <f>I9-(Z-1)*_R*TK</f>
        <v>#NUM!</v>
      </c>
      <c r="K9" s="6" t="e">
        <f>_R*LN(Z-B)-A*_R/B/2.8284*kappa*SQRT(Tr/alpha)*LN((Z+2.4142*B)/(Z-0.4142*B))</f>
        <v>#NUM!</v>
      </c>
    </row>
    <row r="10" spans="1:12" x14ac:dyDescent="0.2">
      <c r="A10" s="38" t="s">
        <v>45</v>
      </c>
      <c r="B10" s="45"/>
      <c r="C10" s="17" t="e">
        <f>F30-$A$20/3</f>
        <v>#NUM!</v>
      </c>
      <c r="D10" s="28" t="e">
        <f>C10*$I$23*$B$7/$B$8</f>
        <v>#NUM!</v>
      </c>
      <c r="E10" s="54"/>
      <c r="F10" s="17" t="e">
        <f>I10+$J$4-'Ref State'!$D$19+'Ref State'!$D$18</f>
        <v>#NUM!</v>
      </c>
      <c r="G10" s="17" t="e">
        <f>F10-Z*_R*TK</f>
        <v>#NUM!</v>
      </c>
      <c r="H10" s="17" t="e">
        <f>K10+$L$4-'Ref State'!$F$19+'Ref State'!$F$18</f>
        <v>#NUM!</v>
      </c>
      <c r="I10" s="17" t="e">
        <f>_R*TK*(Z-1-A/B/2.8284*(1+kappa*SQRT(Tr/alpha))*LN((Z+2.4142*B)/(Z-0.4142*B)))</f>
        <v>#NUM!</v>
      </c>
      <c r="J10" s="17" t="e">
        <f>I10-(Z-1)*_R*TK</f>
        <v>#NUM!</v>
      </c>
      <c r="K10" s="28" t="e">
        <f>_R*LN(Z-B)-A*_R/B/2.8284*kappa*SQRT(Tr/alpha)*LN((Z+2.4142*B)/(Z-0.4142*B))</f>
        <v>#NUM!</v>
      </c>
    </row>
    <row r="11" spans="1:12" ht="13.5" thickBot="1" x14ac:dyDescent="0.25">
      <c r="A11" s="7"/>
      <c r="B11" s="8"/>
      <c r="C11" s="30" t="e">
        <f>G30-$A$20/3</f>
        <v>#NUM!</v>
      </c>
      <c r="D11" s="8" t="e">
        <f>C11*$I$23*$B$7/$B$8</f>
        <v>#NUM!</v>
      </c>
      <c r="E11" s="7" t="e">
        <f>P*EXP(Z-1-LN(Z-B)-A/B/2.8284*LN((Z+2.4142*B)/(Z-0.4142*B)))</f>
        <v>#NUM!</v>
      </c>
      <c r="F11" s="30" t="e">
        <f>I11+$J$4-'Ref State'!$D$19+'Ref State'!$D$18</f>
        <v>#NUM!</v>
      </c>
      <c r="G11" s="30" t="e">
        <f>F11-Z*_R*TK</f>
        <v>#NUM!</v>
      </c>
      <c r="H11" s="30" t="e">
        <f>K11+$L$4-'Ref State'!$F$19+'Ref State'!$F$18</f>
        <v>#NUM!</v>
      </c>
      <c r="I11" s="30" t="e">
        <f>_R*TK*(Z-1-A/B/2.8284*(1+kappa*SQRT(Tr/alpha))*LN((Z+2.4142*B)/(Z-0.4142*B)))</f>
        <v>#NUM!</v>
      </c>
      <c r="J11" s="30" t="e">
        <f>I11-(Z-1)*_R*TK</f>
        <v>#NUM!</v>
      </c>
      <c r="K11" s="8" t="e">
        <f>_R*LN(Z-B)-A*_R/B/2.8284*kappa*SQRT(Tr/alpha)*LN((Z+2.4142*B)/(Z-0.4142*B))</f>
        <v>#NUM!</v>
      </c>
    </row>
    <row r="12" spans="1:12" ht="13.5" thickBot="1" x14ac:dyDescent="0.25">
      <c r="A12" s="40" t="s">
        <v>49</v>
      </c>
      <c r="B12" s="55"/>
      <c r="C12" s="35">
        <f>C26-A20/3</f>
        <v>0.97399727427166438</v>
      </c>
      <c r="D12" s="32">
        <f>C12*$I$23*$B$7/$B$8</f>
        <v>1814.8229938683094</v>
      </c>
      <c r="E12" s="31">
        <f>P*EXP(Z-1-LN(Z-B)-A/B/2.8284*LN((Z+2.4142*B)/(Z-0.4142*B)))</f>
        <v>1.9479728131619181</v>
      </c>
      <c r="F12" s="35">
        <f>I12+$J$4-'Ref State'!$D$19+'Ref State'!$D$18</f>
        <v>23196.376111544239</v>
      </c>
      <c r="G12" s="35">
        <f>F12-Z*_R*TK</f>
        <v>19566.730123807622</v>
      </c>
      <c r="H12" s="35">
        <f>K12+$L$4-'Ref State'!$F$19+'Ref State'!$F$18</f>
        <v>82.838613178780932</v>
      </c>
      <c r="I12" s="35">
        <f>_R*TK*(Z-1-A/B/2.8284*(1+kappa*SQRT(Tr/alpha))*LN((Z+2.4142*B)/(Z-0.4142*B)))</f>
        <v>-409.26198840715358</v>
      </c>
      <c r="J12" s="35">
        <f>I12-(Z-1)*_R*TK</f>
        <v>-312.36162574377232</v>
      </c>
      <c r="K12" s="32">
        <f>_R*LN(Z-B)-A*_R/B/2.8284*kappa*SQRT(Tr/alpha)*LN((Z+2.4142*B)/(Z-0.4142*B))</f>
        <v>-0.6939712944092491</v>
      </c>
    </row>
    <row r="13" spans="1:12" x14ac:dyDescent="0.2">
      <c r="A13" s="17"/>
      <c r="B13" s="17"/>
      <c r="E13" s="88" t="s">
        <v>96</v>
      </c>
      <c r="F13" s="17"/>
      <c r="G13" s="17"/>
      <c r="H13" s="17"/>
      <c r="I13" s="17"/>
    </row>
    <row r="14" spans="1:12" x14ac:dyDescent="0.2">
      <c r="C14" s="17"/>
      <c r="D14" s="17"/>
      <c r="E14" s="89" t="e">
        <f>E9/E11</f>
        <v>#NUM!</v>
      </c>
      <c r="F14" s="17"/>
      <c r="G14" s="17"/>
    </row>
    <row r="15" spans="1:12" x14ac:dyDescent="0.2">
      <c r="A15" s="82" t="s">
        <v>97</v>
      </c>
      <c r="B15" s="15"/>
      <c r="C15" s="15"/>
      <c r="D15" s="15"/>
      <c r="E15" s="15"/>
      <c r="F15" s="15"/>
      <c r="G15" s="15"/>
      <c r="H15" s="16"/>
    </row>
    <row r="16" spans="1:12" x14ac:dyDescent="0.2">
      <c r="A16" s="83" t="s">
        <v>98</v>
      </c>
      <c r="B16" s="20"/>
      <c r="C16" s="20"/>
      <c r="D16" s="20"/>
      <c r="E16" s="20"/>
      <c r="F16" s="20"/>
      <c r="G16" s="20"/>
      <c r="H16" s="21"/>
    </row>
    <row r="17" spans="1:13" x14ac:dyDescent="0.2">
      <c r="A17" s="60"/>
      <c r="B17" s="60"/>
      <c r="C17" s="87"/>
      <c r="D17" s="17"/>
      <c r="E17" s="17"/>
      <c r="F17" s="17"/>
      <c r="G17" s="17"/>
      <c r="H17" s="17"/>
    </row>
    <row r="18" spans="1:13" ht="15.75" x14ac:dyDescent="0.3">
      <c r="A18" t="s">
        <v>54</v>
      </c>
      <c r="C18" t="s">
        <v>55</v>
      </c>
      <c r="F18" s="1" t="s">
        <v>56</v>
      </c>
      <c r="G18" s="15"/>
      <c r="H18" s="15">
        <f>E20^2/4+D20^3/27</f>
        <v>1.155893625905775E-5</v>
      </c>
      <c r="I18" s="16"/>
      <c r="L18" s="86"/>
      <c r="M18" s="86"/>
    </row>
    <row r="19" spans="1:13" ht="15.75" x14ac:dyDescent="0.3">
      <c r="A19" s="34" t="s">
        <v>57</v>
      </c>
      <c r="B19" s="34" t="s">
        <v>58</v>
      </c>
      <c r="C19" s="34" t="s">
        <v>59</v>
      </c>
      <c r="D19" s="34" t="s">
        <v>60</v>
      </c>
      <c r="E19" s="34" t="s">
        <v>61</v>
      </c>
      <c r="F19" s="2" t="s">
        <v>62</v>
      </c>
      <c r="G19" s="17"/>
      <c r="H19" s="17"/>
      <c r="I19" s="18"/>
      <c r="L19" s="86"/>
      <c r="M19" s="86"/>
    </row>
    <row r="20" spans="1:13" x14ac:dyDescent="0.2">
      <c r="A20" s="23">
        <f>-(1-J29)</f>
        <v>-0.98569456749882212</v>
      </c>
      <c r="B20" s="23">
        <f>J28-3*J29^2-2*J29</f>
        <v>1.1782302640384087E-2</v>
      </c>
      <c r="C20" s="23">
        <f>-(J28*J29-J29^2-J29^3)</f>
        <v>-3.7905141606167035E-4</v>
      </c>
      <c r="D20" s="23">
        <f>(3*B20-A20^2)/3</f>
        <v>-0.31208229082517924</v>
      </c>
      <c r="E20" s="23">
        <f>(2*A20^3-9*A20*B20+27*C20)/27</f>
        <v>-6.7448149821914979E-2</v>
      </c>
      <c r="F20" s="4" t="s">
        <v>63</v>
      </c>
      <c r="G20" s="20"/>
      <c r="H20" s="20"/>
      <c r="I20" s="21"/>
      <c r="L20" s="86"/>
      <c r="M20" s="86"/>
    </row>
    <row r="21" spans="1:13" x14ac:dyDescent="0.2">
      <c r="L21" s="86"/>
      <c r="M21" s="86"/>
    </row>
    <row r="22" spans="1:13" x14ac:dyDescent="0.2">
      <c r="A22" s="17"/>
      <c r="B22" s="17"/>
      <c r="C22" s="17"/>
      <c r="D22" s="17"/>
      <c r="E22" s="17"/>
      <c r="F22" s="17"/>
      <c r="G22" s="11" t="s">
        <v>28</v>
      </c>
      <c r="H22" s="22"/>
      <c r="I22" s="22"/>
      <c r="J22" s="12"/>
      <c r="L22" s="86"/>
      <c r="M22" s="86"/>
    </row>
    <row r="23" spans="1:13" ht="14.25" x14ac:dyDescent="0.2">
      <c r="G23" s="23" t="s">
        <v>31</v>
      </c>
      <c r="H23" s="11"/>
      <c r="I23" s="90">
        <v>8.3144720000000003</v>
      </c>
      <c r="J23" s="23"/>
      <c r="M23" s="86"/>
    </row>
    <row r="24" spans="1:13" ht="15.75" x14ac:dyDescent="0.3">
      <c r="A24" t="s">
        <v>64</v>
      </c>
      <c r="G24" s="1" t="s">
        <v>36</v>
      </c>
      <c r="H24" s="16">
        <f>TK/B4</f>
        <v>1.4733727810650887</v>
      </c>
      <c r="I24" s="23" t="s">
        <v>37</v>
      </c>
      <c r="J24" s="23"/>
      <c r="L24" s="17"/>
      <c r="M24" s="86"/>
    </row>
    <row r="25" spans="1:13" ht="15.75" x14ac:dyDescent="0.3">
      <c r="A25" s="23" t="s">
        <v>65</v>
      </c>
      <c r="B25" s="23" t="s">
        <v>66</v>
      </c>
      <c r="C25" s="23" t="s">
        <v>67</v>
      </c>
      <c r="D25" s="23"/>
      <c r="G25" s="2" t="s">
        <v>41</v>
      </c>
      <c r="H25" s="18">
        <f>P/C4</f>
        <v>0.270929287455974</v>
      </c>
      <c r="I25" s="11">
        <f>0.4572355289*(B4*I23)^2*H27/C4</f>
        <v>284735.85392124165</v>
      </c>
      <c r="J25" s="12"/>
      <c r="L25" s="86"/>
      <c r="M25" s="86"/>
    </row>
    <row r="26" spans="1:13" ht="14.25" x14ac:dyDescent="0.2">
      <c r="A26" s="23">
        <f>(-$E$20/2+SQRT($H$18))^(1/3)</f>
        <v>0.33359377410563934</v>
      </c>
      <c r="B26" s="23">
        <f>(-$E$20/2-SQRT($H$18))^(1/3)</f>
        <v>0.31183864433308434</v>
      </c>
      <c r="C26" s="23">
        <f>A26+B26</f>
        <v>0.64543241843872368</v>
      </c>
      <c r="D26" s="17"/>
      <c r="G26" s="3" t="s">
        <v>43</v>
      </c>
      <c r="H26" s="18">
        <f>0.37464+1.54226*D4-0.26992*D4^2</f>
        <v>0.71224375872000001</v>
      </c>
      <c r="I26" s="23" t="s">
        <v>44</v>
      </c>
      <c r="J26" s="23"/>
      <c r="L26" s="86"/>
      <c r="M26" s="86"/>
    </row>
    <row r="27" spans="1:13" x14ac:dyDescent="0.2">
      <c r="G27" s="19" t="s">
        <v>46</v>
      </c>
      <c r="H27" s="21">
        <f>(1+kappa*(1-SQRT(Tr)))^2</f>
        <v>0.71860206156605566</v>
      </c>
      <c r="I27" s="11">
        <f>0.0777960739*I23*B4/C4</f>
        <v>26.654928639078904</v>
      </c>
      <c r="J27" s="12"/>
      <c r="L27" s="86"/>
      <c r="M27" s="86"/>
    </row>
    <row r="28" spans="1:13" x14ac:dyDescent="0.2">
      <c r="A28" t="s">
        <v>70</v>
      </c>
      <c r="I28" s="1" t="s">
        <v>48</v>
      </c>
      <c r="J28" s="16">
        <f>I25*B8/(I23*B7)^2</f>
        <v>4.1007103839877025E-2</v>
      </c>
      <c r="L28" s="86"/>
      <c r="M28" s="86"/>
    </row>
    <row r="29" spans="1:13" ht="15.75" x14ac:dyDescent="0.3">
      <c r="A29" s="23" t="s">
        <v>71</v>
      </c>
      <c r="B29" s="23" t="s">
        <v>72</v>
      </c>
      <c r="C29" s="23" t="s">
        <v>73</v>
      </c>
      <c r="D29" s="42" t="s">
        <v>74</v>
      </c>
      <c r="E29" s="23" t="s">
        <v>75</v>
      </c>
      <c r="F29" s="23"/>
      <c r="G29" s="23"/>
      <c r="I29" s="4" t="s">
        <v>50</v>
      </c>
      <c r="J29" s="21">
        <f>I27*B8/I23/B7</f>
        <v>1.4305432501177835E-2</v>
      </c>
      <c r="L29" s="86"/>
      <c r="M29" s="86"/>
    </row>
    <row r="30" spans="1:13" x14ac:dyDescent="0.2">
      <c r="A30" s="23">
        <f>2*SQRT(-D20/3)</f>
        <v>0.6450656719282456</v>
      </c>
      <c r="B30" s="23">
        <f>3*E20/D20/A30</f>
        <v>1.0051207517915306</v>
      </c>
      <c r="C30" s="23" t="e">
        <f>ACOS(B30)</f>
        <v>#NUM!</v>
      </c>
      <c r="D30" s="23" t="e">
        <f>C30/3</f>
        <v>#NUM!</v>
      </c>
      <c r="E30" s="23" t="e">
        <f>$A$30*COS($D$30)</f>
        <v>#NUM!</v>
      </c>
      <c r="F30" s="23" t="e">
        <f>$A$30*COS($D$30+4*PI()/3)</f>
        <v>#NUM!</v>
      </c>
      <c r="G30" s="23" t="e">
        <f>$A$30*COS($D$30+2*PI()/3)</f>
        <v>#NUM!</v>
      </c>
      <c r="L30" s="86"/>
      <c r="M30" s="86"/>
    </row>
    <row r="31" spans="1:13" x14ac:dyDescent="0.2">
      <c r="L31" s="86"/>
      <c r="M31" s="86"/>
    </row>
    <row r="32" spans="1:13" x14ac:dyDescent="0.2">
      <c r="A32" s="11" t="s">
        <v>99</v>
      </c>
      <c r="B32" s="22"/>
      <c r="C32" s="22"/>
      <c r="D32" s="22"/>
      <c r="E32" s="22"/>
      <c r="F32" s="22"/>
      <c r="G32" s="12"/>
      <c r="L32" s="86"/>
      <c r="M32" s="86"/>
    </row>
    <row r="33" spans="1:13" x14ac:dyDescent="0.2">
      <c r="A33" s="23" t="s">
        <v>100</v>
      </c>
      <c r="B33" s="23">
        <f>'Ref State'!B7</f>
        <v>230</v>
      </c>
      <c r="C33" s="23" t="s">
        <v>101</v>
      </c>
      <c r="D33" s="23">
        <f>'Ref State'!A12</f>
        <v>1</v>
      </c>
      <c r="L33" s="86"/>
      <c r="M33" s="86"/>
    </row>
    <row r="34" spans="1:13" x14ac:dyDescent="0.2">
      <c r="A34" s="23" t="s">
        <v>102</v>
      </c>
      <c r="B34" s="23">
        <f>'Ref State'!B8</f>
        <v>0.1</v>
      </c>
      <c r="C34" s="23" t="s">
        <v>103</v>
      </c>
      <c r="D34" s="23">
        <f>'Ref State'!A12</f>
        <v>1</v>
      </c>
      <c r="L34" s="86"/>
      <c r="M34" s="86"/>
    </row>
    <row r="35" spans="1:13" x14ac:dyDescent="0.2">
      <c r="A35" s="23" t="s">
        <v>104</v>
      </c>
      <c r="B35" s="23">
        <f>'Ref State'!A15</f>
        <v>2</v>
      </c>
      <c r="C35" s="23"/>
      <c r="D35" s="23"/>
      <c r="L35" s="86"/>
      <c r="M35" s="86"/>
    </row>
    <row r="36" spans="1:13" x14ac:dyDescent="0.2">
      <c r="L36" s="86"/>
      <c r="M36" s="86"/>
    </row>
    <row r="37" spans="1:13" x14ac:dyDescent="0.2">
      <c r="L37" s="86"/>
      <c r="M37" s="86"/>
    </row>
    <row r="38" spans="1:13" x14ac:dyDescent="0.2">
      <c r="L38" s="86"/>
      <c r="M38" s="86"/>
    </row>
    <row r="39" spans="1:13" x14ac:dyDescent="0.2">
      <c r="L39" s="86"/>
      <c r="M39" s="86"/>
    </row>
    <row r="40" spans="1:13" x14ac:dyDescent="0.2">
      <c r="L40" s="86"/>
      <c r="M40" s="86"/>
    </row>
    <row r="41" spans="1:13" x14ac:dyDescent="0.2">
      <c r="L41" s="86"/>
      <c r="M41" s="86"/>
    </row>
  </sheetData>
  <phoneticPr fontId="9" type="noConversion"/>
  <printOptions gridLinesSet="0"/>
  <pageMargins left="0.75" right="0.75" top="1" bottom="1" header="0.5" footer="0.5"/>
  <pageSetup orientation="landscape" horizontalDpi="300" verticalDpi="30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33"/>
  <sheetViews>
    <sheetView showGridLines="0" tabSelected="1" zoomScale="115" zoomScaleNormal="115" workbookViewId="0">
      <selection activeCell="I26" sqref="I26"/>
    </sheetView>
  </sheetViews>
  <sheetFormatPr defaultRowHeight="12.75" x14ac:dyDescent="0.2"/>
  <cols>
    <col min="1" max="1" width="11.28515625" customWidth="1"/>
    <col min="2" max="2" width="11.42578125" customWidth="1"/>
  </cols>
  <sheetData>
    <row r="1" spans="1:12" x14ac:dyDescent="0.2">
      <c r="A1" t="s">
        <v>20</v>
      </c>
      <c r="F1" t="s">
        <v>21</v>
      </c>
    </row>
    <row r="2" spans="1:12" ht="13.5" thickBot="1" x14ac:dyDescent="0.25">
      <c r="A2" s="13" t="s">
        <v>22</v>
      </c>
      <c r="B2" s="14"/>
    </row>
    <row r="3" spans="1:12" ht="16.5" thickTop="1" x14ac:dyDescent="0.3">
      <c r="A3" s="23" t="s">
        <v>23</v>
      </c>
      <c r="B3" s="23" t="s">
        <v>24</v>
      </c>
      <c r="C3" s="23" t="s">
        <v>25</v>
      </c>
      <c r="D3" s="33" t="s">
        <v>26</v>
      </c>
      <c r="G3" t="s">
        <v>105</v>
      </c>
    </row>
    <row r="4" spans="1:12" x14ac:dyDescent="0.2">
      <c r="A4" s="74" t="str">
        <f>Props!A4</f>
        <v>CARBON DIOXIDE</v>
      </c>
      <c r="B4" s="74">
        <f>Props!B4</f>
        <v>304.2</v>
      </c>
      <c r="C4" s="74">
        <f>Props!C4</f>
        <v>7.3819999999999997</v>
      </c>
      <c r="D4" s="74">
        <f>Props!D4</f>
        <v>0.22800000000000001</v>
      </c>
      <c r="G4" t="s">
        <v>106</v>
      </c>
    </row>
    <row r="5" spans="1:12" ht="13.5" thickBot="1" x14ac:dyDescent="0.25">
      <c r="G5" t="s">
        <v>107</v>
      </c>
    </row>
    <row r="6" spans="1:12" ht="13.5" thickBot="1" x14ac:dyDescent="0.25">
      <c r="A6" s="9" t="s">
        <v>108</v>
      </c>
      <c r="B6" s="10"/>
      <c r="C6" s="36" t="s">
        <v>109</v>
      </c>
      <c r="D6" s="44"/>
      <c r="E6" s="31" t="s">
        <v>30</v>
      </c>
      <c r="F6" s="32"/>
    </row>
    <row r="7" spans="1:12" ht="15" thickTop="1" x14ac:dyDescent="0.2">
      <c r="A7" s="5" t="s">
        <v>32</v>
      </c>
      <c r="B7" s="48">
        <v>230</v>
      </c>
      <c r="C7" s="38" t="s">
        <v>110</v>
      </c>
      <c r="D7" s="45"/>
      <c r="E7" s="24" t="s">
        <v>33</v>
      </c>
      <c r="F7" s="25" t="s">
        <v>34</v>
      </c>
      <c r="G7" s="24" t="s">
        <v>35</v>
      </c>
      <c r="H7" s="50" t="s">
        <v>93</v>
      </c>
      <c r="I7" s="50" t="s">
        <v>94</v>
      </c>
      <c r="J7" s="25" t="s">
        <v>95</v>
      </c>
    </row>
    <row r="8" spans="1:12" ht="15" thickBot="1" x14ac:dyDescent="0.25">
      <c r="A8" s="7" t="s">
        <v>38</v>
      </c>
      <c r="B8" s="49">
        <v>0.1</v>
      </c>
      <c r="C8" s="46" t="s">
        <v>111</v>
      </c>
      <c r="D8" s="47"/>
      <c r="E8" s="26"/>
      <c r="F8" s="27" t="s">
        <v>39</v>
      </c>
      <c r="G8" s="51" t="s">
        <v>40</v>
      </c>
      <c r="H8" s="52" t="s">
        <v>88</v>
      </c>
      <c r="I8" s="52" t="s">
        <v>88</v>
      </c>
      <c r="J8" s="53" t="s">
        <v>89</v>
      </c>
    </row>
    <row r="9" spans="1:12" ht="15.75" x14ac:dyDescent="0.3">
      <c r="A9" s="5" t="s">
        <v>112</v>
      </c>
      <c r="B9" s="6"/>
      <c r="C9" s="56">
        <v>1</v>
      </c>
      <c r="D9" s="45"/>
      <c r="E9" s="29">
        <f>E33-$A$23/3</f>
        <v>0.98835428721930962</v>
      </c>
      <c r="F9" s="6">
        <f>E9*$I$26*$B$7/$B$8</f>
        <v>18900.581308479286</v>
      </c>
      <c r="G9" s="5">
        <f>P*EXP(Z-1-LN(Z-B)-A/B/2.8284*LN((Z+2.414*B)/(Z-0.414*B)))</f>
        <v>9.8847206372300614E-2</v>
      </c>
      <c r="H9" s="29">
        <f>_R*TK*(Z-1-A/B/2.8284*(1+kappa*SQRT(Tr/alpha))*LN((Z+2.4142*B)/(Z-0.4142*B)))</f>
        <v>-61.44675840237484</v>
      </c>
      <c r="I9" s="29">
        <f>H9-(Z-1)*_R*TK</f>
        <v>-39.176329250303617</v>
      </c>
      <c r="J9" s="6">
        <f>_R*LN(Z-B)-A*_R/B/2.8284*kappa*SQRT(Tr/alpha)*LN((Z+2.4142*B)/(Z-0.4142*B))</f>
        <v>-0.17073898799893036</v>
      </c>
      <c r="K9" s="36" t="s">
        <v>42</v>
      </c>
      <c r="L9" s="44"/>
    </row>
    <row r="10" spans="1:12" ht="13.5" thickBot="1" x14ac:dyDescent="0.25">
      <c r="A10" s="75">
        <v>0</v>
      </c>
      <c r="B10" s="43"/>
      <c r="C10" s="58"/>
      <c r="D10" s="59"/>
      <c r="E10" s="17">
        <f>F33-$A$23/3</f>
        <v>8.2868688116319866E-3</v>
      </c>
      <c r="F10" s="28">
        <f>E10*$I$26*$B$7/$B$8</f>
        <v>158.4721590145711</v>
      </c>
      <c r="G10" s="54"/>
      <c r="H10" s="17"/>
      <c r="I10" s="17"/>
      <c r="J10" s="28"/>
      <c r="K10" s="38" t="s">
        <v>45</v>
      </c>
      <c r="L10" s="45"/>
    </row>
    <row r="11" spans="1:12" ht="13.5" thickBot="1" x14ac:dyDescent="0.25">
      <c r="A11" s="5" t="s">
        <v>113</v>
      </c>
      <c r="B11" s="6"/>
      <c r="C11" s="56">
        <v>2</v>
      </c>
      <c r="D11" s="45"/>
      <c r="E11" s="30">
        <f>G33-$A$23/3</f>
        <v>1.9649972631828327E-3</v>
      </c>
      <c r="F11" s="8">
        <f>E11*$I$26*$B$7/$B$8</f>
        <v>37.577203867063673</v>
      </c>
      <c r="G11" s="7">
        <f>P*EXP(Z-1-LN(Z-B)-A/B/2.8284*LN((Z+2.414*B)/(Z-0.414*B)))</f>
        <v>0.77895001589480006</v>
      </c>
      <c r="H11" s="30">
        <f>_R*TK*(Z-1-A/B/2.8284*(1+kappa*SQRT(Tr/alpha))*LN((Z+2.4142*B)/(Z-0.4142*B)))</f>
        <v>-15144.384940282796</v>
      </c>
      <c r="I11" s="30">
        <f>H11-(Z-1)*_R*TK</f>
        <v>-13235.814100669502</v>
      </c>
      <c r="J11" s="8">
        <f>_R*LN(Z-B)-A*_R/B/2.8284*kappa*SQRT(Tr/alpha)*LN((Z+2.4142*B)/(Z-0.4142*B))</f>
        <v>-82.905995772140216</v>
      </c>
      <c r="K11" s="7"/>
      <c r="L11" s="8"/>
    </row>
    <row r="12" spans="1:12" ht="13.5" thickBot="1" x14ac:dyDescent="0.25">
      <c r="A12" s="75">
        <v>1</v>
      </c>
      <c r="B12" s="43"/>
      <c r="C12" s="57">
        <v>3</v>
      </c>
      <c r="D12" s="43"/>
      <c r="E12" s="35" t="e">
        <f>C29-A23/3</f>
        <v>#NUM!</v>
      </c>
      <c r="F12" s="32" t="e">
        <f>E12*$I$26*$B$7/$B$8</f>
        <v>#NUM!</v>
      </c>
      <c r="G12" s="31" t="e">
        <f>P*EXP(Z-1-LN(Z-B)-A/B/2.8284*LN((Z+2.414*B)/(Z-0.414*B)))</f>
        <v>#NUM!</v>
      </c>
      <c r="H12" s="35" t="e">
        <f>_R*TK*(Z-1-A/B/2.8284*(1+kappa*SQRT(Tr/alpha))*LN((Z+2.4142*B)/(Z-0.4142*B)))</f>
        <v>#NUM!</v>
      </c>
      <c r="I12" s="35" t="e">
        <f>H12-(Z-1)*_R*TK</f>
        <v>#NUM!</v>
      </c>
      <c r="J12" s="32" t="e">
        <f>_R*LN(Z-B)-A*_R/B/2.8284*kappa*SQRT(Tr/alpha)*LN((Z+2.4142*B)/(Z-0.4142*B))</f>
        <v>#NUM!</v>
      </c>
      <c r="K12" s="40" t="s">
        <v>49</v>
      </c>
      <c r="L12" s="55"/>
    </row>
    <row r="13" spans="1:12" x14ac:dyDescent="0.2">
      <c r="A13" s="5" t="s">
        <v>114</v>
      </c>
      <c r="B13" s="29"/>
      <c r="C13" s="29"/>
      <c r="D13" s="29"/>
      <c r="E13" s="29"/>
      <c r="F13" s="29"/>
      <c r="G13" s="29"/>
      <c r="H13" s="6"/>
    </row>
    <row r="14" spans="1:12" ht="13.5" thickBot="1" x14ac:dyDescent="0.25">
      <c r="A14" s="81" t="s">
        <v>115</v>
      </c>
      <c r="B14" s="30"/>
      <c r="C14" s="30"/>
      <c r="D14" s="30"/>
      <c r="E14" s="30"/>
      <c r="F14" s="30"/>
      <c r="G14" s="30"/>
      <c r="H14" s="8"/>
    </row>
    <row r="15" spans="1:12" ht="13.5" thickBot="1" x14ac:dyDescent="0.25">
      <c r="A15" s="75">
        <v>2</v>
      </c>
      <c r="B15" s="43"/>
    </row>
    <row r="16" spans="1:12" ht="13.5" thickBot="1" x14ac:dyDescent="0.25"/>
    <row r="17" spans="1:10" x14ac:dyDescent="0.2">
      <c r="A17" s="5"/>
      <c r="B17" s="29"/>
      <c r="C17" s="70" t="s">
        <v>33</v>
      </c>
      <c r="D17" s="66" t="s">
        <v>116</v>
      </c>
      <c r="E17" s="67" t="s">
        <v>117</v>
      </c>
      <c r="F17" s="68" t="s">
        <v>118</v>
      </c>
    </row>
    <row r="18" spans="1:10" x14ac:dyDescent="0.2">
      <c r="A18" s="54" t="s">
        <v>119</v>
      </c>
      <c r="B18" s="17"/>
      <c r="C18" s="71">
        <f>IF(igrflag=0,1,CHOOSE(index,E9,E11,E12))</f>
        <v>1.9649972631828327E-3</v>
      </c>
      <c r="D18" s="69">
        <f>uhflag*$C$18*_R*TK</f>
        <v>0</v>
      </c>
      <c r="E18" s="69">
        <f>(uhflag-1)*$C$18*_R*TK</f>
        <v>-3.7577203867063673</v>
      </c>
      <c r="F18" s="61">
        <v>0</v>
      </c>
    </row>
    <row r="19" spans="1:10" ht="13.5" thickBot="1" x14ac:dyDescent="0.25">
      <c r="A19" s="7" t="s">
        <v>120</v>
      </c>
      <c r="B19" s="30"/>
      <c r="C19" s="72"/>
      <c r="D19" s="65">
        <f>igrflag*CHOOSE(index,H9,H11,H12)</f>
        <v>-15144.384940282796</v>
      </c>
      <c r="E19" s="62">
        <f>igrflag*CHOOSE(index,I9,I11,I12)</f>
        <v>-13235.814100669502</v>
      </c>
      <c r="F19" s="63">
        <f>igrflag*CHOOSE(index,J9,J11,J12)</f>
        <v>-82.905995772140216</v>
      </c>
      <c r="G19" s="17"/>
      <c r="H19" s="17"/>
      <c r="I19" s="17"/>
    </row>
    <row r="20" spans="1:10" x14ac:dyDescent="0.2">
      <c r="A20" s="17"/>
      <c r="B20" s="17"/>
      <c r="F20" s="17"/>
      <c r="G20" s="17"/>
      <c r="H20" s="17"/>
      <c r="I20" s="17"/>
    </row>
    <row r="21" spans="1:10" ht="15.75" x14ac:dyDescent="0.3">
      <c r="A21" t="s">
        <v>54</v>
      </c>
      <c r="C21" t="s">
        <v>55</v>
      </c>
      <c r="F21" s="1" t="s">
        <v>56</v>
      </c>
      <c r="G21" s="15"/>
      <c r="H21" s="15">
        <f>E23^2/4+D23^3/27</f>
        <v>-3.4584076144582657E-7</v>
      </c>
      <c r="I21" s="16"/>
    </row>
    <row r="22" spans="1:10" ht="15.75" x14ac:dyDescent="0.3">
      <c r="A22" s="34" t="s">
        <v>57</v>
      </c>
      <c r="B22" s="34" t="s">
        <v>58</v>
      </c>
      <c r="C22" s="34" t="s">
        <v>59</v>
      </c>
      <c r="D22" s="34" t="s">
        <v>60</v>
      </c>
      <c r="E22" s="34" t="s">
        <v>61</v>
      </c>
      <c r="F22" s="2" t="s">
        <v>62</v>
      </c>
      <c r="G22" s="17"/>
      <c r="H22" s="17"/>
      <c r="I22" s="18"/>
    </row>
    <row r="23" spans="1:10" x14ac:dyDescent="0.2">
      <c r="A23" s="23">
        <f>-(1-J32)</f>
        <v>-0.99860615329412439</v>
      </c>
      <c r="B23" s="23">
        <f>J31-3*J32^2-2*J32</f>
        <v>1.0148759461576565E-2</v>
      </c>
      <c r="C23" s="23">
        <f>-(J31*J32-J32^2-J32^3)</f>
        <v>-1.6094039538567562E-5</v>
      </c>
      <c r="D23" s="23">
        <f>(3*B23-A23^2)/3</f>
        <v>-0.32225599033738622</v>
      </c>
      <c r="E23" s="23">
        <f>(2*A23^3-9*A23*B23+27*C23)/27</f>
        <v>-7.0402651386980708E-2</v>
      </c>
      <c r="F23" s="4" t="s">
        <v>63</v>
      </c>
      <c r="G23" s="20"/>
      <c r="H23" s="20"/>
      <c r="I23" s="21"/>
    </row>
    <row r="25" spans="1:10" x14ac:dyDescent="0.2">
      <c r="A25" s="17"/>
      <c r="B25" s="17"/>
      <c r="C25" s="17"/>
      <c r="D25" s="17"/>
      <c r="E25" s="17"/>
      <c r="F25" s="17"/>
      <c r="G25" s="11" t="s">
        <v>28</v>
      </c>
      <c r="H25" s="22"/>
      <c r="I25" s="22"/>
      <c r="J25" s="12"/>
    </row>
    <row r="26" spans="1:10" ht="14.25" x14ac:dyDescent="0.2">
      <c r="G26" s="23" t="s">
        <v>31</v>
      </c>
      <c r="H26" s="23"/>
      <c r="I26" s="34">
        <f>PVT!I6</f>
        <v>8.3144720000000003</v>
      </c>
      <c r="J26" s="23"/>
    </row>
    <row r="27" spans="1:10" ht="15.75" x14ac:dyDescent="0.3">
      <c r="A27" t="s">
        <v>64</v>
      </c>
      <c r="G27" s="1" t="s">
        <v>36</v>
      </c>
      <c r="H27" s="16">
        <f>TK/B4</f>
        <v>0.75608152531229456</v>
      </c>
      <c r="I27" s="23" t="s">
        <v>37</v>
      </c>
      <c r="J27" s="23"/>
    </row>
    <row r="28" spans="1:10" ht="15.75" x14ac:dyDescent="0.3">
      <c r="A28" s="23" t="s">
        <v>65</v>
      </c>
      <c r="B28" s="23" t="s">
        <v>66</v>
      </c>
      <c r="C28" s="23" t="s">
        <v>67</v>
      </c>
      <c r="D28" s="23"/>
      <c r="G28" s="2" t="s">
        <v>41</v>
      </c>
      <c r="H28" s="18">
        <f>P/C4</f>
        <v>1.3546464372798701E-2</v>
      </c>
      <c r="I28" s="11">
        <f>0.4572355289*(B4*I26)^2*H30/C4</f>
        <v>473299.29459341319</v>
      </c>
      <c r="J28" s="12"/>
    </row>
    <row r="29" spans="1:10" ht="14.25" x14ac:dyDescent="0.2">
      <c r="A29" s="23" t="e">
        <f>(-$E$23/2+SQRT($H$21))^(1/3)</f>
        <v>#NUM!</v>
      </c>
      <c r="B29" s="23" t="e">
        <f>(-$E$23/2-SQRT($H$21))^(1/3)</f>
        <v>#NUM!</v>
      </c>
      <c r="C29" s="23" t="e">
        <f>A29+B29</f>
        <v>#NUM!</v>
      </c>
      <c r="D29" s="17"/>
      <c r="G29" s="3" t="s">
        <v>43</v>
      </c>
      <c r="H29" s="18">
        <f>0.37464+1.54226*D4-0.26992*D4^2</f>
        <v>0.71224375872000001</v>
      </c>
      <c r="I29" s="23" t="s">
        <v>44</v>
      </c>
      <c r="J29" s="23"/>
    </row>
    <row r="30" spans="1:10" x14ac:dyDescent="0.2">
      <c r="G30" s="19" t="s">
        <v>46</v>
      </c>
      <c r="H30" s="21">
        <f>(1+kappa*(1-SQRT(Tr)))^2</f>
        <v>1.1944890120043068</v>
      </c>
      <c r="I30" s="11">
        <f>0.0777960739*I26*B4/C4</f>
        <v>26.654928639078904</v>
      </c>
      <c r="J30" s="12"/>
    </row>
    <row r="31" spans="1:10" x14ac:dyDescent="0.2">
      <c r="A31" t="s">
        <v>70</v>
      </c>
      <c r="I31" s="1" t="s">
        <v>48</v>
      </c>
      <c r="J31" s="16">
        <f>I28*B8/(I26*B7)^2</f>
        <v>1.2942281299246268E-2</v>
      </c>
    </row>
    <row r="32" spans="1:10" ht="15.75" x14ac:dyDescent="0.3">
      <c r="A32" s="23" t="s">
        <v>71</v>
      </c>
      <c r="B32" s="23" t="s">
        <v>72</v>
      </c>
      <c r="C32" s="23" t="s">
        <v>73</v>
      </c>
      <c r="D32" s="42" t="s">
        <v>74</v>
      </c>
      <c r="E32" s="23" t="s">
        <v>75</v>
      </c>
      <c r="F32" s="23"/>
      <c r="G32" s="23"/>
      <c r="I32" s="4" t="s">
        <v>50</v>
      </c>
      <c r="J32" s="21">
        <f>I30*B8/I26/B7</f>
        <v>1.3938467058756316E-3</v>
      </c>
    </row>
    <row r="33" spans="1:7" x14ac:dyDescent="0.2">
      <c r="A33" s="23">
        <f>2*SQRT(-D23/3)</f>
        <v>0.65549573132338679</v>
      </c>
      <c r="B33" s="23">
        <f>3*E23/D23/A33</f>
        <v>0.99986047974947001</v>
      </c>
      <c r="C33" s="23">
        <f>ACOS(B33)</f>
        <v>1.6704699636175269E-2</v>
      </c>
      <c r="D33" s="23">
        <f>C33/3</f>
        <v>5.5682332120584226E-3</v>
      </c>
      <c r="E33" s="23">
        <f>$A$33*COS($D$33)</f>
        <v>0.65548556945460157</v>
      </c>
      <c r="F33" s="23">
        <f>$A$33*COS($D$33+4*PI()/3)</f>
        <v>-0.32458184895307612</v>
      </c>
      <c r="G33" s="23">
        <f>$A$33*COS($D$33+2*PI()/3)</f>
        <v>-0.33090372050152528</v>
      </c>
    </row>
  </sheetData>
  <sheetProtection sheet="1" objects="1" scenarios="1"/>
  <phoneticPr fontId="9" type="noConversion"/>
  <printOptions gridLinesSet="0"/>
  <pageMargins left="0.75" right="0.75" top="1" bottom="1" header="0.5" footer="0.5"/>
  <pageSetup orientation="landscape" horizontalDpi="300" verticalDpi="30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106"/>
  <sheetViews>
    <sheetView topLeftCell="A55" workbookViewId="0">
      <selection activeCell="C98" sqref="C98"/>
    </sheetView>
  </sheetViews>
  <sheetFormatPr defaultRowHeight="12.75" x14ac:dyDescent="0.2"/>
  <cols>
    <col min="2" max="2" width="12.140625" customWidth="1"/>
    <col min="3" max="3" width="20.7109375" customWidth="1"/>
  </cols>
  <sheetData>
    <row r="1" spans="2:8" x14ac:dyDescent="0.2">
      <c r="B1" t="s">
        <v>121</v>
      </c>
    </row>
    <row r="2" spans="2:8" x14ac:dyDescent="0.2">
      <c r="B2" t="s">
        <v>122</v>
      </c>
    </row>
    <row r="3" spans="2:8" x14ac:dyDescent="0.2">
      <c r="B3" t="s">
        <v>123</v>
      </c>
    </row>
    <row r="4" spans="2:8" x14ac:dyDescent="0.2">
      <c r="B4" t="s">
        <v>124</v>
      </c>
    </row>
    <row r="5" spans="2:8" x14ac:dyDescent="0.2">
      <c r="B5" t="s">
        <v>125</v>
      </c>
    </row>
    <row r="7" spans="2:8" x14ac:dyDescent="0.2">
      <c r="B7" s="92" t="s">
        <v>126</v>
      </c>
    </row>
    <row r="8" spans="2:8" x14ac:dyDescent="0.2">
      <c r="B8" s="92" t="s">
        <v>127</v>
      </c>
    </row>
    <row r="10" spans="2:8" x14ac:dyDescent="0.2">
      <c r="C10" t="s">
        <v>128</v>
      </c>
      <c r="D10" t="s">
        <v>129</v>
      </c>
      <c r="E10" t="s">
        <v>130</v>
      </c>
      <c r="F10" t="s">
        <v>26</v>
      </c>
      <c r="G10" t="s">
        <v>131</v>
      </c>
      <c r="H10" t="s">
        <v>132</v>
      </c>
    </row>
    <row r="11" spans="2:8" x14ac:dyDescent="0.2">
      <c r="B11" t="s">
        <v>133</v>
      </c>
    </row>
    <row r="12" spans="2:8" x14ac:dyDescent="0.2">
      <c r="B12">
        <v>1</v>
      </c>
      <c r="C12" t="s">
        <v>27</v>
      </c>
      <c r="D12">
        <v>190.6</v>
      </c>
      <c r="E12">
        <v>4.6040000000000001</v>
      </c>
      <c r="F12">
        <v>1.0999999999999999E-2</v>
      </c>
      <c r="G12">
        <v>0.28799999999999998</v>
      </c>
      <c r="H12">
        <v>4.298</v>
      </c>
    </row>
    <row r="13" spans="2:8" x14ac:dyDescent="0.2">
      <c r="B13">
        <v>2</v>
      </c>
      <c r="C13" t="s">
        <v>134</v>
      </c>
      <c r="D13">
        <v>305.39999999999998</v>
      </c>
      <c r="E13">
        <v>4.88</v>
      </c>
      <c r="F13">
        <v>9.9000000000000005E-2</v>
      </c>
      <c r="G13">
        <v>0.28399999999999997</v>
      </c>
      <c r="H13">
        <v>6.3120000000000003</v>
      </c>
    </row>
    <row r="14" spans="2:8" x14ac:dyDescent="0.2">
      <c r="B14">
        <v>3</v>
      </c>
      <c r="C14" t="s">
        <v>135</v>
      </c>
      <c r="D14">
        <v>369.8</v>
      </c>
      <c r="E14">
        <v>4.2489999999999997</v>
      </c>
      <c r="F14">
        <v>0.152</v>
      </c>
      <c r="G14">
        <v>0.28100000000000003</v>
      </c>
      <c r="H14">
        <v>8.8510000000000009</v>
      </c>
    </row>
    <row r="15" spans="2:8" x14ac:dyDescent="0.2">
      <c r="B15">
        <v>4</v>
      </c>
      <c r="C15" t="s">
        <v>136</v>
      </c>
      <c r="D15">
        <v>425.2</v>
      </c>
      <c r="E15">
        <v>3.7970000000000002</v>
      </c>
      <c r="F15">
        <v>0.193</v>
      </c>
      <c r="G15">
        <v>0.27400000000000002</v>
      </c>
      <c r="H15">
        <v>11.89</v>
      </c>
    </row>
    <row r="16" spans="2:8" x14ac:dyDescent="0.2">
      <c r="B16">
        <v>5</v>
      </c>
      <c r="C16" t="s">
        <v>137</v>
      </c>
      <c r="D16">
        <v>408.1</v>
      </c>
      <c r="E16">
        <v>3.6480000000000001</v>
      </c>
      <c r="F16">
        <v>0.17699999999999999</v>
      </c>
      <c r="G16">
        <v>0.28199999999999997</v>
      </c>
      <c r="H16">
        <v>11.695</v>
      </c>
    </row>
    <row r="17" spans="2:8" x14ac:dyDescent="0.2">
      <c r="B17">
        <v>7</v>
      </c>
      <c r="C17" t="s">
        <v>138</v>
      </c>
      <c r="D17">
        <v>469.7</v>
      </c>
      <c r="E17">
        <v>3.3690000000000002</v>
      </c>
      <c r="F17">
        <v>0.249</v>
      </c>
      <c r="G17">
        <v>0.26900000000000002</v>
      </c>
      <c r="H17">
        <v>14.446</v>
      </c>
    </row>
    <row r="18" spans="2:8" x14ac:dyDescent="0.2">
      <c r="B18">
        <v>8</v>
      </c>
      <c r="C18" t="s">
        <v>139</v>
      </c>
      <c r="D18">
        <v>460.4</v>
      </c>
      <c r="E18">
        <v>3.3809999999999998</v>
      </c>
      <c r="F18">
        <v>0.22800000000000001</v>
      </c>
      <c r="G18">
        <v>0.27</v>
      </c>
    </row>
    <row r="19" spans="2:8" x14ac:dyDescent="0.2">
      <c r="B19">
        <v>9</v>
      </c>
      <c r="C19" t="s">
        <v>140</v>
      </c>
      <c r="D19">
        <v>433.8</v>
      </c>
      <c r="E19">
        <v>3.1989999999999998</v>
      </c>
      <c r="F19">
        <v>0.19600000000000001</v>
      </c>
      <c r="G19">
        <v>0.26900000000000002</v>
      </c>
    </row>
    <row r="20" spans="2:8" x14ac:dyDescent="0.2">
      <c r="B20">
        <v>11</v>
      </c>
      <c r="C20" t="s">
        <v>141</v>
      </c>
      <c r="D20">
        <v>507.4</v>
      </c>
      <c r="E20">
        <v>3.012</v>
      </c>
      <c r="F20">
        <v>0.30499999999999999</v>
      </c>
      <c r="G20">
        <v>0.26400000000000001</v>
      </c>
      <c r="H20">
        <v>17.212</v>
      </c>
    </row>
    <row r="21" spans="2:8" x14ac:dyDescent="0.2">
      <c r="B21">
        <v>17</v>
      </c>
      <c r="C21" t="s">
        <v>142</v>
      </c>
      <c r="D21">
        <v>540.29999999999995</v>
      </c>
      <c r="E21">
        <v>2.7360000000000002</v>
      </c>
      <c r="F21">
        <v>0.34899999999999998</v>
      </c>
      <c r="G21">
        <v>0.26300000000000001</v>
      </c>
      <c r="H21">
        <v>19.954000000000001</v>
      </c>
    </row>
    <row r="22" spans="2:8" x14ac:dyDescent="0.2">
      <c r="B22">
        <v>27</v>
      </c>
      <c r="C22" t="s">
        <v>143</v>
      </c>
      <c r="D22">
        <v>568.79999999999995</v>
      </c>
      <c r="E22">
        <v>2.4860000000000002</v>
      </c>
      <c r="F22">
        <v>0.39600000000000002</v>
      </c>
      <c r="G22">
        <v>0.25900000000000001</v>
      </c>
      <c r="H22">
        <v>22.696999999999999</v>
      </c>
    </row>
    <row r="23" spans="2:8" x14ac:dyDescent="0.2">
      <c r="B23">
        <v>46</v>
      </c>
      <c r="C23" t="s">
        <v>144</v>
      </c>
      <c r="D23">
        <v>595.70000000000005</v>
      </c>
      <c r="E23">
        <v>2.306</v>
      </c>
      <c r="F23">
        <v>0.437</v>
      </c>
      <c r="G23">
        <v>0.255</v>
      </c>
      <c r="H23">
        <v>25.451000000000001</v>
      </c>
    </row>
    <row r="24" spans="2:8" x14ac:dyDescent="0.2">
      <c r="B24">
        <v>56</v>
      </c>
      <c r="C24" t="s">
        <v>145</v>
      </c>
      <c r="D24">
        <v>618.5</v>
      </c>
      <c r="E24">
        <v>2.1230000000000002</v>
      </c>
      <c r="F24">
        <v>0.48399999999999999</v>
      </c>
      <c r="G24">
        <v>0.249</v>
      </c>
      <c r="H24">
        <v>28.216999999999999</v>
      </c>
    </row>
    <row r="25" spans="2:8" x14ac:dyDescent="0.2">
      <c r="B25">
        <v>64</v>
      </c>
      <c r="C25" t="s">
        <v>146</v>
      </c>
      <c r="D25">
        <v>658.2</v>
      </c>
      <c r="E25">
        <v>1.8240000000000001</v>
      </c>
      <c r="F25">
        <v>0.57499999999999996</v>
      </c>
      <c r="G25">
        <v>0.23799999999999999</v>
      </c>
    </row>
    <row r="26" spans="2:8" x14ac:dyDescent="0.2">
      <c r="B26">
        <v>66</v>
      </c>
      <c r="C26" t="s">
        <v>147</v>
      </c>
      <c r="D26">
        <v>696.9</v>
      </c>
      <c r="E26">
        <v>1.4379999999999999</v>
      </c>
      <c r="F26">
        <v>0.56999999999999995</v>
      </c>
      <c r="G26">
        <v>0.20300000000000001</v>
      </c>
    </row>
    <row r="27" spans="2:8" x14ac:dyDescent="0.2">
      <c r="B27">
        <v>68</v>
      </c>
      <c r="C27" t="s">
        <v>148</v>
      </c>
      <c r="D27">
        <v>720.6</v>
      </c>
      <c r="E27">
        <v>1.419</v>
      </c>
      <c r="F27">
        <v>0.747</v>
      </c>
      <c r="G27">
        <v>0.22</v>
      </c>
      <c r="H27">
        <v>44.539000000000001</v>
      </c>
    </row>
    <row r="28" spans="2:8" x14ac:dyDescent="0.2">
      <c r="B28" t="s">
        <v>149</v>
      </c>
    </row>
    <row r="29" spans="2:8" x14ac:dyDescent="0.2">
      <c r="B29">
        <v>104</v>
      </c>
      <c r="C29" t="s">
        <v>150</v>
      </c>
      <c r="D29">
        <v>511.8</v>
      </c>
      <c r="E29">
        <v>4.5019999999999998</v>
      </c>
      <c r="F29">
        <v>0.19400000000000001</v>
      </c>
      <c r="G29">
        <v>0.27300000000000002</v>
      </c>
      <c r="H29">
        <v>9.9740000000000002</v>
      </c>
    </row>
    <row r="30" spans="2:8" x14ac:dyDescent="0.2">
      <c r="B30">
        <v>105</v>
      </c>
      <c r="C30" t="s">
        <v>151</v>
      </c>
      <c r="D30">
        <v>532.79999999999995</v>
      </c>
      <c r="E30">
        <v>3.7850000000000001</v>
      </c>
      <c r="F30">
        <v>0.23</v>
      </c>
      <c r="G30">
        <v>0.27200000000000002</v>
      </c>
    </row>
    <row r="31" spans="2:8" x14ac:dyDescent="0.2">
      <c r="B31">
        <v>137</v>
      </c>
      <c r="C31" t="s">
        <v>152</v>
      </c>
      <c r="D31">
        <v>553.5</v>
      </c>
      <c r="E31">
        <v>4.0750000000000002</v>
      </c>
      <c r="F31">
        <v>0.215</v>
      </c>
      <c r="G31">
        <v>0.27300000000000002</v>
      </c>
      <c r="H31">
        <v>12.738</v>
      </c>
    </row>
    <row r="32" spans="2:8" x14ac:dyDescent="0.2">
      <c r="B32">
        <v>138</v>
      </c>
      <c r="C32" t="s">
        <v>153</v>
      </c>
      <c r="D32">
        <v>572.20000000000005</v>
      </c>
      <c r="E32">
        <v>3.4710000000000001</v>
      </c>
      <c r="F32">
        <v>0.23499999999999999</v>
      </c>
      <c r="G32">
        <v>0.26900000000000002</v>
      </c>
      <c r="H32">
        <v>16.25</v>
      </c>
    </row>
    <row r="33" spans="2:8" x14ac:dyDescent="0.2">
      <c r="B33" t="s">
        <v>154</v>
      </c>
    </row>
    <row r="34" spans="2:8" x14ac:dyDescent="0.2">
      <c r="B34">
        <v>201</v>
      </c>
      <c r="C34" t="s">
        <v>155</v>
      </c>
      <c r="D34">
        <v>282.39999999999998</v>
      </c>
      <c r="E34">
        <v>5.032</v>
      </c>
      <c r="F34">
        <v>8.5000000000000006E-2</v>
      </c>
      <c r="G34">
        <v>0.27700000000000002</v>
      </c>
      <c r="H34">
        <v>5.26</v>
      </c>
    </row>
    <row r="35" spans="2:8" x14ac:dyDescent="0.2">
      <c r="B35">
        <v>202</v>
      </c>
      <c r="C35" t="s">
        <v>156</v>
      </c>
      <c r="D35">
        <v>364.8</v>
      </c>
      <c r="E35">
        <v>4.6130000000000004</v>
      </c>
      <c r="F35">
        <v>0.14199999999999999</v>
      </c>
      <c r="G35">
        <v>0.27500000000000002</v>
      </c>
      <c r="H35">
        <v>7.6879999999999997</v>
      </c>
    </row>
    <row r="36" spans="2:8" x14ac:dyDescent="0.2">
      <c r="B36">
        <v>204</v>
      </c>
      <c r="C36" t="s">
        <v>157</v>
      </c>
      <c r="D36">
        <v>419.6</v>
      </c>
      <c r="E36">
        <v>4.0199999999999996</v>
      </c>
      <c r="F36">
        <v>0.187</v>
      </c>
      <c r="G36">
        <v>0.27600000000000002</v>
      </c>
      <c r="H36">
        <v>10.305999999999999</v>
      </c>
    </row>
    <row r="37" spans="2:8" x14ac:dyDescent="0.2">
      <c r="B37">
        <v>207</v>
      </c>
      <c r="C37" t="s">
        <v>158</v>
      </c>
      <c r="D37">
        <v>417.9</v>
      </c>
      <c r="E37">
        <v>3.9990000000000001</v>
      </c>
      <c r="F37">
        <v>0.189</v>
      </c>
      <c r="G37">
        <v>0.27500000000000002</v>
      </c>
      <c r="H37">
        <v>10.724</v>
      </c>
    </row>
    <row r="38" spans="2:8" x14ac:dyDescent="0.2">
      <c r="B38">
        <v>209</v>
      </c>
      <c r="C38" t="s">
        <v>159</v>
      </c>
      <c r="D38">
        <v>464.8</v>
      </c>
      <c r="E38">
        <v>3.5289999999999999</v>
      </c>
      <c r="F38">
        <v>0.23300000000000001</v>
      </c>
      <c r="G38">
        <v>0.27</v>
      </c>
    </row>
    <row r="39" spans="2:8" x14ac:dyDescent="0.2">
      <c r="B39">
        <v>401</v>
      </c>
      <c r="C39" t="s">
        <v>160</v>
      </c>
      <c r="D39">
        <v>308.3</v>
      </c>
      <c r="E39">
        <v>6.1390000000000002</v>
      </c>
      <c r="F39">
        <v>0.187</v>
      </c>
      <c r="G39">
        <v>0.27100000000000002</v>
      </c>
      <c r="H39">
        <v>5.32</v>
      </c>
    </row>
    <row r="40" spans="2:8" x14ac:dyDescent="0.2">
      <c r="B40">
        <v>303</v>
      </c>
      <c r="C40" t="s">
        <v>161</v>
      </c>
      <c r="D40">
        <v>425.4</v>
      </c>
      <c r="E40">
        <v>4.33</v>
      </c>
      <c r="F40">
        <v>0.193</v>
      </c>
      <c r="G40">
        <v>0.27</v>
      </c>
      <c r="H40">
        <v>9.56</v>
      </c>
    </row>
    <row r="41" spans="2:8" x14ac:dyDescent="0.2">
      <c r="B41">
        <v>309</v>
      </c>
      <c r="C41" t="s">
        <v>162</v>
      </c>
      <c r="D41">
        <v>484</v>
      </c>
      <c r="E41">
        <v>3.85</v>
      </c>
      <c r="F41">
        <v>0.158</v>
      </c>
      <c r="G41">
        <v>0.26400000000000001</v>
      </c>
    </row>
    <row r="42" spans="2:8" x14ac:dyDescent="0.2">
      <c r="B42" t="s">
        <v>163</v>
      </c>
    </row>
    <row r="43" spans="2:8" x14ac:dyDescent="0.2">
      <c r="B43">
        <v>501</v>
      </c>
      <c r="C43" t="s">
        <v>164</v>
      </c>
      <c r="D43">
        <v>562.20000000000005</v>
      </c>
      <c r="E43">
        <v>4.8979999999999997</v>
      </c>
      <c r="F43">
        <v>0.21099999999999999</v>
      </c>
      <c r="G43">
        <v>0.27100000000000002</v>
      </c>
      <c r="H43">
        <v>9.8219999999999992</v>
      </c>
    </row>
    <row r="44" spans="2:8" x14ac:dyDescent="0.2">
      <c r="B44">
        <v>502</v>
      </c>
      <c r="C44" t="s">
        <v>165</v>
      </c>
      <c r="D44">
        <v>591.79999999999995</v>
      </c>
      <c r="E44">
        <v>4.109</v>
      </c>
      <c r="F44">
        <v>0.26400000000000001</v>
      </c>
      <c r="G44">
        <v>0.26400000000000001</v>
      </c>
      <c r="H44">
        <v>12.484999999999999</v>
      </c>
    </row>
    <row r="45" spans="2:8" x14ac:dyDescent="0.2">
      <c r="B45">
        <v>504</v>
      </c>
      <c r="C45" t="s">
        <v>166</v>
      </c>
      <c r="D45">
        <v>617.20000000000005</v>
      </c>
      <c r="E45">
        <v>3.609</v>
      </c>
      <c r="F45">
        <v>0.30399999999999999</v>
      </c>
      <c r="G45">
        <v>0.26300000000000001</v>
      </c>
      <c r="H45">
        <v>15.444000000000001</v>
      </c>
    </row>
    <row r="46" spans="2:8" x14ac:dyDescent="0.2">
      <c r="B46">
        <v>505</v>
      </c>
      <c r="C46" t="s">
        <v>167</v>
      </c>
      <c r="D46">
        <v>630.4</v>
      </c>
      <c r="E46">
        <v>3.734</v>
      </c>
      <c r="F46">
        <v>0.313</v>
      </c>
      <c r="G46">
        <v>0.26300000000000001</v>
      </c>
      <c r="H46">
        <v>16.033000000000001</v>
      </c>
    </row>
    <row r="47" spans="2:8" x14ac:dyDescent="0.2">
      <c r="B47">
        <v>506</v>
      </c>
      <c r="C47" t="s">
        <v>168</v>
      </c>
      <c r="D47">
        <v>617.1</v>
      </c>
      <c r="E47">
        <v>3.5409999999999999</v>
      </c>
      <c r="F47">
        <v>0.32600000000000001</v>
      </c>
      <c r="G47">
        <v>0.25900000000000001</v>
      </c>
      <c r="H47">
        <v>15.348000000000001</v>
      </c>
    </row>
    <row r="48" spans="2:8" x14ac:dyDescent="0.2">
      <c r="B48">
        <v>507</v>
      </c>
      <c r="C48" t="s">
        <v>169</v>
      </c>
      <c r="D48">
        <v>616.29999999999995</v>
      </c>
      <c r="E48">
        <v>3.5110000000000001</v>
      </c>
      <c r="F48">
        <v>0.32600000000000001</v>
      </c>
      <c r="G48">
        <v>0.26</v>
      </c>
      <c r="H48">
        <v>15.263</v>
      </c>
    </row>
    <row r="49" spans="2:8" x14ac:dyDescent="0.2">
      <c r="B49">
        <v>510</v>
      </c>
      <c r="C49" t="s">
        <v>170</v>
      </c>
      <c r="D49">
        <v>631.20000000000005</v>
      </c>
      <c r="E49">
        <v>3.2090000000000001</v>
      </c>
      <c r="F49">
        <v>0.33800000000000002</v>
      </c>
      <c r="G49">
        <v>0.26200000000000001</v>
      </c>
      <c r="H49">
        <v>18.245999999999999</v>
      </c>
    </row>
    <row r="50" spans="2:8" x14ac:dyDescent="0.2">
      <c r="B50">
        <v>558</v>
      </c>
      <c r="C50" t="s">
        <v>171</v>
      </c>
      <c r="D50">
        <v>789.3</v>
      </c>
      <c r="E50">
        <v>3.847</v>
      </c>
      <c r="F50">
        <v>0.36599999999999999</v>
      </c>
      <c r="G50">
        <v>0.29399999999999998</v>
      </c>
      <c r="H50">
        <v>19.521000000000001</v>
      </c>
    </row>
    <row r="51" spans="2:8" x14ac:dyDescent="0.2">
      <c r="B51">
        <v>563</v>
      </c>
      <c r="C51" t="s">
        <v>172</v>
      </c>
      <c r="D51">
        <v>768</v>
      </c>
      <c r="E51">
        <v>2.92</v>
      </c>
      <c r="F51">
        <v>0.46100000000000002</v>
      </c>
      <c r="G51">
        <v>0.25</v>
      </c>
    </row>
    <row r="52" spans="2:8" x14ac:dyDescent="0.2">
      <c r="B52">
        <v>701</v>
      </c>
      <c r="C52" t="s">
        <v>173</v>
      </c>
      <c r="D52">
        <v>748.4</v>
      </c>
      <c r="E52">
        <v>4.0510000000000002</v>
      </c>
      <c r="F52">
        <v>0.30199999999999999</v>
      </c>
      <c r="G52">
        <v>0.26900000000000002</v>
      </c>
      <c r="H52">
        <v>16.033000000000001</v>
      </c>
    </row>
    <row r="53" spans="2:8" x14ac:dyDescent="0.2">
      <c r="B53">
        <v>702</v>
      </c>
      <c r="C53" t="s">
        <v>174</v>
      </c>
      <c r="D53">
        <v>772</v>
      </c>
      <c r="E53">
        <v>3.65</v>
      </c>
      <c r="F53">
        <v>0.29199999999999998</v>
      </c>
      <c r="G53">
        <v>0.29699999999999999</v>
      </c>
    </row>
    <row r="54" spans="2:8" x14ac:dyDescent="0.2">
      <c r="B54">
        <v>706</v>
      </c>
      <c r="C54" t="s">
        <v>175</v>
      </c>
      <c r="D54">
        <v>720.2</v>
      </c>
      <c r="E54">
        <v>3.3</v>
      </c>
      <c r="F54">
        <v>0.28599999999999998</v>
      </c>
      <c r="G54">
        <v>0.24299999999999999</v>
      </c>
      <c r="H54">
        <v>18.631</v>
      </c>
    </row>
    <row r="55" spans="2:8" x14ac:dyDescent="0.2">
      <c r="B55" t="s">
        <v>176</v>
      </c>
      <c r="C55" t="s">
        <v>177</v>
      </c>
    </row>
    <row r="56" spans="2:8" x14ac:dyDescent="0.2">
      <c r="B56">
        <v>1101</v>
      </c>
      <c r="C56" t="s">
        <v>178</v>
      </c>
      <c r="D56">
        <v>512.6</v>
      </c>
      <c r="E56">
        <v>8.0960000000000001</v>
      </c>
      <c r="F56">
        <v>0.56599999999999995</v>
      </c>
      <c r="G56">
        <v>0.224</v>
      </c>
      <c r="H56">
        <v>5.2830000000000004</v>
      </c>
    </row>
    <row r="57" spans="2:8" x14ac:dyDescent="0.2">
      <c r="B57">
        <v>1102</v>
      </c>
      <c r="C57" t="s">
        <v>179</v>
      </c>
      <c r="D57">
        <v>516.4</v>
      </c>
      <c r="E57">
        <v>6.3840000000000003</v>
      </c>
      <c r="F57">
        <v>0.63700000000000001</v>
      </c>
      <c r="G57">
        <v>0.248</v>
      </c>
      <c r="H57">
        <v>7.8789999999999996</v>
      </c>
    </row>
    <row r="58" spans="2:8" x14ac:dyDescent="0.2">
      <c r="B58">
        <v>1103</v>
      </c>
      <c r="C58" t="s">
        <v>180</v>
      </c>
      <c r="D58">
        <v>536.70000000000005</v>
      </c>
      <c r="E58">
        <v>5.17</v>
      </c>
      <c r="F58">
        <v>0.628</v>
      </c>
      <c r="G58">
        <v>0.253</v>
      </c>
      <c r="H58">
        <v>10.496</v>
      </c>
    </row>
    <row r="59" spans="2:8" x14ac:dyDescent="0.2">
      <c r="B59">
        <v>1104</v>
      </c>
      <c r="C59" t="s">
        <v>181</v>
      </c>
      <c r="D59">
        <v>508.3</v>
      </c>
      <c r="E59">
        <v>4.7640000000000002</v>
      </c>
      <c r="F59">
        <v>0.66900000000000004</v>
      </c>
      <c r="G59">
        <v>0.248</v>
      </c>
      <c r="H59">
        <v>10.69</v>
      </c>
    </row>
    <row r="60" spans="2:8" x14ac:dyDescent="0.2">
      <c r="B60">
        <v>1105</v>
      </c>
      <c r="C60" t="s">
        <v>182</v>
      </c>
      <c r="D60">
        <v>562.9</v>
      </c>
      <c r="E60">
        <v>4.4119999999999999</v>
      </c>
      <c r="F60">
        <v>0.59399999999999997</v>
      </c>
      <c r="G60">
        <v>0.25900000000000001</v>
      </c>
    </row>
    <row r="61" spans="2:8" x14ac:dyDescent="0.2">
      <c r="B61">
        <v>1107</v>
      </c>
      <c r="C61" t="s">
        <v>183</v>
      </c>
      <c r="D61">
        <v>547.70000000000005</v>
      </c>
      <c r="E61">
        <v>4.2949999999999999</v>
      </c>
      <c r="F61">
        <v>0.58899999999999997</v>
      </c>
      <c r="G61">
        <v>0.25700000000000001</v>
      </c>
    </row>
    <row r="62" spans="2:8" x14ac:dyDescent="0.2">
      <c r="B62">
        <v>1479</v>
      </c>
      <c r="C62" t="s">
        <v>184</v>
      </c>
      <c r="D62">
        <v>501.1</v>
      </c>
      <c r="E62">
        <v>5.19</v>
      </c>
      <c r="F62">
        <v>0.217</v>
      </c>
      <c r="G62">
        <v>0.25900000000000001</v>
      </c>
    </row>
    <row r="63" spans="2:8" x14ac:dyDescent="0.2">
      <c r="B63" t="s">
        <v>185</v>
      </c>
      <c r="C63" t="s">
        <v>186</v>
      </c>
      <c r="D63">
        <v>466.7</v>
      </c>
      <c r="E63">
        <v>3.59</v>
      </c>
      <c r="F63">
        <v>0.28100000000000003</v>
      </c>
      <c r="G63">
        <v>0.26200000000000001</v>
      </c>
      <c r="H63">
        <v>13.531000000000001</v>
      </c>
    </row>
    <row r="64" spans="2:8" x14ac:dyDescent="0.2">
      <c r="B64" t="s">
        <v>187</v>
      </c>
      <c r="C64" t="s">
        <v>188</v>
      </c>
      <c r="D64">
        <v>469</v>
      </c>
      <c r="E64">
        <v>7.1</v>
      </c>
      <c r="F64">
        <v>0.2</v>
      </c>
      <c r="G64">
        <v>0.25800000000000001</v>
      </c>
    </row>
    <row r="65" spans="2:8" x14ac:dyDescent="0.2">
      <c r="B65" t="s">
        <v>185</v>
      </c>
      <c r="C65" t="s">
        <v>189</v>
      </c>
      <c r="D65">
        <v>535.6</v>
      </c>
      <c r="E65">
        <v>4.0999999999999996</v>
      </c>
      <c r="F65">
        <v>0.32900000000000001</v>
      </c>
      <c r="G65">
        <v>0.249</v>
      </c>
      <c r="H65">
        <v>12.557</v>
      </c>
    </row>
    <row r="66" spans="2:8" x14ac:dyDescent="0.2">
      <c r="B66" t="s">
        <v>190</v>
      </c>
    </row>
    <row r="67" spans="2:8" x14ac:dyDescent="0.2">
      <c r="C67" t="s">
        <v>191</v>
      </c>
      <c r="D67">
        <v>385</v>
      </c>
      <c r="E67">
        <v>4.07</v>
      </c>
      <c r="F67">
        <v>0.17599999999999999</v>
      </c>
      <c r="G67">
        <v>0.28000000000000003</v>
      </c>
    </row>
    <row r="68" spans="2:8" x14ac:dyDescent="0.2">
      <c r="C68" t="s">
        <v>192</v>
      </c>
      <c r="D68">
        <v>369.8</v>
      </c>
      <c r="E68">
        <v>4.97</v>
      </c>
      <c r="F68">
        <v>0.221</v>
      </c>
      <c r="G68">
        <v>0.26800000000000002</v>
      </c>
    </row>
    <row r="69" spans="2:8" x14ac:dyDescent="0.2">
      <c r="C69" t="s">
        <v>193</v>
      </c>
      <c r="D69">
        <v>471.2</v>
      </c>
      <c r="E69">
        <v>4.3499999999999996</v>
      </c>
      <c r="F69">
        <v>0.188</v>
      </c>
      <c r="G69">
        <v>0.27900000000000003</v>
      </c>
    </row>
    <row r="70" spans="2:8" x14ac:dyDescent="0.2">
      <c r="C70" t="s">
        <v>194</v>
      </c>
      <c r="D70">
        <v>487.2</v>
      </c>
      <c r="E70">
        <v>3.37</v>
      </c>
      <c r="F70">
        <v>0.252</v>
      </c>
      <c r="G70">
        <v>0.25600000000000001</v>
      </c>
    </row>
    <row r="71" spans="2:8" x14ac:dyDescent="0.2">
      <c r="C71" t="s">
        <v>195</v>
      </c>
      <c r="D71">
        <v>416.3</v>
      </c>
      <c r="E71">
        <v>6.59</v>
      </c>
      <c r="F71">
        <v>0.156</v>
      </c>
      <c r="G71">
        <v>0.26800000000000002</v>
      </c>
    </row>
    <row r="72" spans="2:8" x14ac:dyDescent="0.2">
      <c r="C72" t="s">
        <v>196</v>
      </c>
      <c r="D72">
        <v>536.4</v>
      </c>
      <c r="E72">
        <v>5.4</v>
      </c>
      <c r="F72">
        <v>0.216</v>
      </c>
      <c r="G72">
        <v>0.29299999999999998</v>
      </c>
    </row>
    <row r="73" spans="2:8" x14ac:dyDescent="0.2">
      <c r="C73" t="s">
        <v>197</v>
      </c>
      <c r="D73">
        <v>556.4</v>
      </c>
      <c r="E73">
        <v>4.5</v>
      </c>
      <c r="F73">
        <v>0.19400000000000001</v>
      </c>
      <c r="G73">
        <v>0.27200000000000002</v>
      </c>
    </row>
    <row r="74" spans="2:8" x14ac:dyDescent="0.2">
      <c r="C74" t="s">
        <v>198</v>
      </c>
      <c r="D74">
        <v>632.4</v>
      </c>
      <c r="E74">
        <v>4.46</v>
      </c>
      <c r="F74">
        <v>0.249</v>
      </c>
      <c r="G74">
        <v>0.26500000000000001</v>
      </c>
    </row>
    <row r="75" spans="2:8" x14ac:dyDescent="0.2">
      <c r="B75" t="s">
        <v>199</v>
      </c>
    </row>
    <row r="76" spans="2:8" x14ac:dyDescent="0.2">
      <c r="B76">
        <v>914</v>
      </c>
      <c r="C76" t="s">
        <v>200</v>
      </c>
      <c r="D76">
        <v>150.9</v>
      </c>
      <c r="E76">
        <v>4.8979999999999997</v>
      </c>
      <c r="F76">
        <v>-4.0000000000000001E-3</v>
      </c>
      <c r="G76">
        <v>0.29099999999999998</v>
      </c>
      <c r="H76">
        <v>2.4990000000000001</v>
      </c>
    </row>
    <row r="77" spans="2:8" x14ac:dyDescent="0.2">
      <c r="B77">
        <v>922</v>
      </c>
      <c r="C77" t="s">
        <v>201</v>
      </c>
      <c r="D77">
        <v>584.20000000000005</v>
      </c>
      <c r="E77">
        <v>10.335000000000001</v>
      </c>
      <c r="F77">
        <v>0.11899999999999999</v>
      </c>
      <c r="G77">
        <v>0.28699999999999998</v>
      </c>
    </row>
    <row r="78" spans="2:8" x14ac:dyDescent="0.2">
      <c r="B78">
        <v>918</v>
      </c>
      <c r="C78" t="s">
        <v>202</v>
      </c>
      <c r="D78">
        <v>417.2</v>
      </c>
      <c r="E78">
        <v>7.7110000000000003</v>
      </c>
      <c r="F78">
        <v>6.9000000000000006E-2</v>
      </c>
      <c r="G78">
        <v>0.27500000000000002</v>
      </c>
    </row>
    <row r="79" spans="2:8" x14ac:dyDescent="0.2">
      <c r="B79">
        <v>913</v>
      </c>
      <c r="C79" t="s">
        <v>203</v>
      </c>
      <c r="D79">
        <v>5.2</v>
      </c>
      <c r="E79">
        <v>0.22800000000000001</v>
      </c>
      <c r="F79">
        <v>0</v>
      </c>
      <c r="G79">
        <v>0.30199999999999999</v>
      </c>
      <c r="H79">
        <v>2.5009999999999999</v>
      </c>
    </row>
    <row r="80" spans="2:8" x14ac:dyDescent="0.2">
      <c r="B80">
        <v>920</v>
      </c>
      <c r="C80" t="s">
        <v>204</v>
      </c>
      <c r="D80">
        <v>209.4</v>
      </c>
      <c r="E80">
        <v>5.5019999999999998</v>
      </c>
      <c r="F80">
        <v>1E-3</v>
      </c>
      <c r="G80">
        <v>0.28799999999999998</v>
      </c>
    </row>
    <row r="81" spans="2:8" x14ac:dyDescent="0.2">
      <c r="B81">
        <v>919</v>
      </c>
      <c r="C81" t="s">
        <v>205</v>
      </c>
      <c r="D81">
        <v>44.4</v>
      </c>
      <c r="E81">
        <v>2.653</v>
      </c>
      <c r="F81">
        <v>-4.1000000000000002E-2</v>
      </c>
      <c r="G81">
        <v>0.3</v>
      </c>
    </row>
    <row r="82" spans="2:8" x14ac:dyDescent="0.2">
      <c r="B82">
        <v>959</v>
      </c>
      <c r="C82" t="s">
        <v>206</v>
      </c>
      <c r="D82">
        <v>289.7</v>
      </c>
      <c r="E82">
        <v>5.84</v>
      </c>
      <c r="F82">
        <v>1.2E-2</v>
      </c>
      <c r="G82">
        <v>0.28599999999999998</v>
      </c>
    </row>
    <row r="83" spans="2:8" x14ac:dyDescent="0.2">
      <c r="B83">
        <v>912</v>
      </c>
      <c r="C83" t="s">
        <v>207</v>
      </c>
      <c r="D83">
        <v>180.2</v>
      </c>
      <c r="E83">
        <v>6.4850000000000003</v>
      </c>
      <c r="F83">
        <v>0.58499999999999996</v>
      </c>
      <c r="G83">
        <v>0.25</v>
      </c>
      <c r="H83">
        <v>3.5880000000000001</v>
      </c>
    </row>
    <row r="84" spans="2:8" x14ac:dyDescent="0.2">
      <c r="B84">
        <v>899</v>
      </c>
      <c r="C84" t="s">
        <v>208</v>
      </c>
      <c r="D84">
        <v>309.60000000000002</v>
      </c>
      <c r="E84">
        <v>7.2450000000000001</v>
      </c>
      <c r="F84">
        <v>0.14199999999999999</v>
      </c>
      <c r="G84">
        <v>0.27400000000000002</v>
      </c>
      <c r="H84">
        <v>4.633</v>
      </c>
    </row>
    <row r="85" spans="2:8" x14ac:dyDescent="0.2">
      <c r="B85">
        <v>910</v>
      </c>
      <c r="C85" t="s">
        <v>209</v>
      </c>
      <c r="D85">
        <v>430.8</v>
      </c>
      <c r="E85">
        <v>7.8840000000000003</v>
      </c>
      <c r="F85">
        <v>0.245</v>
      </c>
      <c r="G85">
        <v>0.26900000000000002</v>
      </c>
      <c r="H85">
        <v>4.7960000000000003</v>
      </c>
    </row>
    <row r="86" spans="2:8" x14ac:dyDescent="0.2">
      <c r="B86">
        <v>911</v>
      </c>
      <c r="C86" t="s">
        <v>210</v>
      </c>
      <c r="D86">
        <v>490.9</v>
      </c>
      <c r="E86">
        <v>8.2070000000000007</v>
      </c>
      <c r="F86">
        <v>0.42199999999999999</v>
      </c>
      <c r="G86">
        <v>0.25600000000000001</v>
      </c>
      <c r="H86">
        <v>6.1109999999999998</v>
      </c>
    </row>
    <row r="87" spans="2:8" x14ac:dyDescent="0.2">
      <c r="B87">
        <v>901</v>
      </c>
      <c r="C87" t="s">
        <v>211</v>
      </c>
      <c r="D87">
        <v>154.6</v>
      </c>
      <c r="E87">
        <v>5.0430000000000001</v>
      </c>
      <c r="F87">
        <v>2.1999999999999999E-2</v>
      </c>
      <c r="G87">
        <v>0.28799999999999998</v>
      </c>
      <c r="H87">
        <v>3.5289999999999999</v>
      </c>
    </row>
    <row r="88" spans="2:8" x14ac:dyDescent="0.2">
      <c r="B88">
        <v>902</v>
      </c>
      <c r="C88" t="s">
        <v>212</v>
      </c>
      <c r="D88">
        <v>33.299999999999997</v>
      </c>
      <c r="E88">
        <v>1.2969999999999999</v>
      </c>
      <c r="F88">
        <v>-0.215</v>
      </c>
      <c r="G88">
        <v>0.3</v>
      </c>
      <c r="H88">
        <v>3.5070000000000001</v>
      </c>
    </row>
    <row r="89" spans="2:8" x14ac:dyDescent="0.2">
      <c r="B89">
        <v>905</v>
      </c>
      <c r="C89" t="s">
        <v>213</v>
      </c>
      <c r="D89">
        <v>126.1</v>
      </c>
      <c r="E89">
        <v>3.3940000000000001</v>
      </c>
      <c r="F89">
        <v>0.04</v>
      </c>
      <c r="G89">
        <v>0.29199999999999998</v>
      </c>
      <c r="H89">
        <v>3.5</v>
      </c>
    </row>
    <row r="90" spans="2:8" x14ac:dyDescent="0.2">
      <c r="B90">
        <v>908</v>
      </c>
      <c r="C90" t="s">
        <v>214</v>
      </c>
      <c r="D90">
        <v>132.9</v>
      </c>
      <c r="E90">
        <v>3.4990000000000001</v>
      </c>
      <c r="F90">
        <v>6.6000000000000003E-2</v>
      </c>
      <c r="G90">
        <v>0.29499999999999998</v>
      </c>
      <c r="H90">
        <v>3.5049999999999999</v>
      </c>
    </row>
    <row r="91" spans="2:8" x14ac:dyDescent="0.2">
      <c r="B91">
        <v>909</v>
      </c>
      <c r="C91" t="s">
        <v>215</v>
      </c>
      <c r="D91">
        <v>304.2</v>
      </c>
      <c r="E91">
        <v>7.3819999999999997</v>
      </c>
      <c r="F91">
        <v>0.22800000000000001</v>
      </c>
      <c r="G91">
        <v>0.27400000000000002</v>
      </c>
      <c r="H91">
        <v>4.4560000000000004</v>
      </c>
    </row>
    <row r="92" spans="2:8" x14ac:dyDescent="0.2">
      <c r="B92" t="s">
        <v>216</v>
      </c>
    </row>
    <row r="93" spans="2:8" x14ac:dyDescent="0.2">
      <c r="B93">
        <v>1922</v>
      </c>
      <c r="C93" t="s">
        <v>217</v>
      </c>
      <c r="D93">
        <v>373.5</v>
      </c>
      <c r="E93">
        <v>8.9369999999999994</v>
      </c>
      <c r="F93">
        <v>8.1000000000000003E-2</v>
      </c>
      <c r="G93">
        <v>0.28299999999999997</v>
      </c>
    </row>
    <row r="94" spans="2:8" x14ac:dyDescent="0.2">
      <c r="B94" t="s">
        <v>185</v>
      </c>
      <c r="C94" t="s">
        <v>218</v>
      </c>
      <c r="D94">
        <v>552</v>
      </c>
      <c r="E94">
        <v>7.8</v>
      </c>
      <c r="F94">
        <v>0.115</v>
      </c>
      <c r="G94">
        <v>0.29299999999999998</v>
      </c>
      <c r="H94">
        <v>4.109</v>
      </c>
    </row>
    <row r="95" spans="2:8" x14ac:dyDescent="0.2">
      <c r="B95" t="s">
        <v>185</v>
      </c>
      <c r="C95" t="s">
        <v>219</v>
      </c>
      <c r="D95">
        <v>653</v>
      </c>
      <c r="E95">
        <v>14.5</v>
      </c>
      <c r="F95">
        <v>0.32800000000000001</v>
      </c>
      <c r="G95">
        <v>0.26</v>
      </c>
      <c r="H95">
        <v>5.47</v>
      </c>
    </row>
    <row r="96" spans="2:8" x14ac:dyDescent="0.2">
      <c r="B96" t="s">
        <v>185</v>
      </c>
      <c r="C96" t="s">
        <v>220</v>
      </c>
      <c r="D96">
        <v>324.60000000000002</v>
      </c>
      <c r="E96">
        <v>8.1999999999999993</v>
      </c>
      <c r="F96">
        <v>0.12</v>
      </c>
      <c r="G96">
        <v>0.249</v>
      </c>
    </row>
    <row r="97" spans="2:8" x14ac:dyDescent="0.2">
      <c r="B97" t="s">
        <v>185</v>
      </c>
      <c r="C97" t="s">
        <v>221</v>
      </c>
      <c r="D97">
        <v>456.8</v>
      </c>
      <c r="E97">
        <v>5.32</v>
      </c>
      <c r="F97">
        <v>0.40699999999999997</v>
      </c>
      <c r="G97">
        <v>0.19700000000000001</v>
      </c>
    </row>
    <row r="98" spans="2:8" x14ac:dyDescent="0.2">
      <c r="B98" t="s">
        <v>222</v>
      </c>
    </row>
    <row r="99" spans="2:8" x14ac:dyDescent="0.2">
      <c r="B99">
        <v>1051</v>
      </c>
      <c r="C99" t="s">
        <v>223</v>
      </c>
      <c r="D99">
        <v>508.2</v>
      </c>
      <c r="E99">
        <v>4.7009999999999996</v>
      </c>
      <c r="F99">
        <v>0.30599999999999999</v>
      </c>
      <c r="G99">
        <v>0.23300000000000001</v>
      </c>
      <c r="H99">
        <v>8.9600000000000009</v>
      </c>
    </row>
    <row r="100" spans="2:8" x14ac:dyDescent="0.2">
      <c r="B100">
        <v>1772</v>
      </c>
      <c r="C100" t="s">
        <v>224</v>
      </c>
      <c r="D100">
        <v>545.5</v>
      </c>
      <c r="E100">
        <v>4.8330000000000002</v>
      </c>
      <c r="F100">
        <v>0.35299999999999998</v>
      </c>
      <c r="G100">
        <v>0.184</v>
      </c>
    </row>
    <row r="101" spans="2:8" x14ac:dyDescent="0.2">
      <c r="B101">
        <v>1251</v>
      </c>
      <c r="C101" t="s">
        <v>225</v>
      </c>
      <c r="D101">
        <v>592.70000000000005</v>
      </c>
      <c r="E101">
        <v>5.7859999999999996</v>
      </c>
      <c r="F101">
        <v>0.46200000000000002</v>
      </c>
      <c r="G101">
        <v>0.2</v>
      </c>
      <c r="H101">
        <v>15.010999999999999</v>
      </c>
    </row>
    <row r="102" spans="2:8" x14ac:dyDescent="0.2">
      <c r="B102">
        <v>1911</v>
      </c>
      <c r="C102" t="s">
        <v>226</v>
      </c>
      <c r="D102">
        <v>406.6</v>
      </c>
      <c r="E102">
        <v>11.27</v>
      </c>
      <c r="F102">
        <v>0.252</v>
      </c>
      <c r="G102">
        <v>0.24199999999999999</v>
      </c>
      <c r="H102">
        <v>4.2889999999999997</v>
      </c>
    </row>
    <row r="103" spans="2:8" x14ac:dyDescent="0.2">
      <c r="B103">
        <v>1921</v>
      </c>
      <c r="C103" t="s">
        <v>227</v>
      </c>
      <c r="D103">
        <v>647.29999999999995</v>
      </c>
      <c r="E103">
        <v>22.12</v>
      </c>
      <c r="F103">
        <v>0.34399999999999997</v>
      </c>
      <c r="G103">
        <v>0.23300000000000001</v>
      </c>
      <c r="H103">
        <v>4.0410000000000004</v>
      </c>
    </row>
    <row r="106" spans="2:8" x14ac:dyDescent="0.2">
      <c r="B106" t="s">
        <v>228</v>
      </c>
    </row>
  </sheetData>
  <sheetProtection sheet="1" objects="1" scenarios="1"/>
  <phoneticPr fontId="9" type="noConversion"/>
  <printOptions gridLines="1" gridLinesSet="0"/>
  <pageMargins left="0.75" right="0.75" top="1" bottom="1" header="0.5" footer="0.5"/>
  <pageSetup orientation="landscape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G143"/>
  <sheetViews>
    <sheetView topLeftCell="A85" workbookViewId="0">
      <selection activeCell="G112" sqref="D112:G112"/>
    </sheetView>
  </sheetViews>
  <sheetFormatPr defaultRowHeight="12.75" x14ac:dyDescent="0.2"/>
  <cols>
    <col min="3" max="3" width="34.7109375" customWidth="1"/>
    <col min="4" max="4" width="11.28515625" customWidth="1"/>
  </cols>
  <sheetData>
    <row r="1" spans="2:7" x14ac:dyDescent="0.2">
      <c r="B1" t="s">
        <v>229</v>
      </c>
    </row>
    <row r="2" spans="2:7" x14ac:dyDescent="0.2">
      <c r="B2" t="s">
        <v>230</v>
      </c>
    </row>
    <row r="3" spans="2:7" x14ac:dyDescent="0.2">
      <c r="B3" t="s">
        <v>231</v>
      </c>
    </row>
    <row r="4" spans="2:7" x14ac:dyDescent="0.2">
      <c r="B4" t="s">
        <v>232</v>
      </c>
    </row>
    <row r="5" spans="2:7" x14ac:dyDescent="0.2">
      <c r="B5" t="s">
        <v>233</v>
      </c>
    </row>
    <row r="7" spans="2:7" x14ac:dyDescent="0.2">
      <c r="B7" s="92" t="s">
        <v>126</v>
      </c>
    </row>
    <row r="8" spans="2:7" x14ac:dyDescent="0.2">
      <c r="B8" s="92" t="s">
        <v>127</v>
      </c>
    </row>
    <row r="10" spans="2:7" x14ac:dyDescent="0.2">
      <c r="B10" t="s">
        <v>234</v>
      </c>
    </row>
    <row r="11" spans="2:7" x14ac:dyDescent="0.2">
      <c r="B11" t="s">
        <v>235</v>
      </c>
    </row>
    <row r="13" spans="2:7" x14ac:dyDescent="0.2">
      <c r="C13" t="s">
        <v>236</v>
      </c>
      <c r="D13" t="s">
        <v>48</v>
      </c>
      <c r="E13" t="s">
        <v>50</v>
      </c>
      <c r="F13" t="s">
        <v>85</v>
      </c>
      <c r="G13" t="s">
        <v>86</v>
      </c>
    </row>
    <row r="14" spans="2:7" x14ac:dyDescent="0.2">
      <c r="B14" t="s">
        <v>133</v>
      </c>
    </row>
    <row r="15" spans="2:7" x14ac:dyDescent="0.2">
      <c r="B15">
        <v>1</v>
      </c>
      <c r="C15" t="s">
        <v>27</v>
      </c>
      <c r="D15">
        <v>19.25</v>
      </c>
      <c r="E15" s="91">
        <v>5.2130000000000003E-2</v>
      </c>
      <c r="F15" s="91">
        <v>1.1970000000000001E-5</v>
      </c>
      <c r="G15" s="91">
        <v>-1.132E-8</v>
      </c>
    </row>
    <row r="16" spans="2:7" x14ac:dyDescent="0.2">
      <c r="B16">
        <v>2</v>
      </c>
      <c r="C16" t="s">
        <v>134</v>
      </c>
      <c r="D16">
        <v>5.4089999999999998</v>
      </c>
      <c r="E16" s="91">
        <v>0.17810000000000001</v>
      </c>
      <c r="F16" s="91">
        <v>-6.9380000000000003E-5</v>
      </c>
      <c r="G16" s="91">
        <v>8.713E-9</v>
      </c>
    </row>
    <row r="17" spans="2:7" x14ac:dyDescent="0.2">
      <c r="B17">
        <v>3</v>
      </c>
      <c r="C17" t="s">
        <v>135</v>
      </c>
      <c r="D17">
        <v>-4.2240000000000002</v>
      </c>
      <c r="E17" s="91">
        <v>0.30630000000000002</v>
      </c>
      <c r="F17" s="91">
        <v>-1.5860000000000001E-4</v>
      </c>
      <c r="G17" s="91">
        <v>3.215E-8</v>
      </c>
    </row>
    <row r="18" spans="2:7" x14ac:dyDescent="0.2">
      <c r="B18">
        <v>4</v>
      </c>
      <c r="C18" t="s">
        <v>136</v>
      </c>
      <c r="D18">
        <v>9.4870000000000001</v>
      </c>
      <c r="E18" s="91">
        <v>0.33129999999999998</v>
      </c>
      <c r="F18" s="91">
        <v>-1.108E-4</v>
      </c>
      <c r="G18" s="91">
        <v>-2.822E-9</v>
      </c>
    </row>
    <row r="19" spans="2:7" x14ac:dyDescent="0.2">
      <c r="B19">
        <v>5</v>
      </c>
      <c r="C19" t="s">
        <v>137</v>
      </c>
      <c r="D19">
        <v>-1.39</v>
      </c>
      <c r="E19" s="91">
        <v>0.38469999999999999</v>
      </c>
      <c r="F19" s="91">
        <v>-1.8459999999999999E-4</v>
      </c>
      <c r="G19" s="91">
        <v>2.8950000000000001E-8</v>
      </c>
    </row>
    <row r="20" spans="2:7" x14ac:dyDescent="0.2">
      <c r="B20">
        <v>7</v>
      </c>
      <c r="C20" t="s">
        <v>138</v>
      </c>
      <c r="D20">
        <v>-3.6259999999999999</v>
      </c>
      <c r="E20" s="91">
        <v>0.48730000000000001</v>
      </c>
      <c r="F20" s="91">
        <v>-2.5799999999999998E-4</v>
      </c>
      <c r="G20" s="91">
        <v>5.3050000000000002E-8</v>
      </c>
    </row>
    <row r="21" spans="2:7" x14ac:dyDescent="0.2">
      <c r="B21">
        <v>8</v>
      </c>
      <c r="C21" t="s">
        <v>139</v>
      </c>
      <c r="D21">
        <v>-9.5250000000000004</v>
      </c>
      <c r="E21" s="91">
        <v>0.50660000000000005</v>
      </c>
      <c r="F21" s="91">
        <v>-2.7290000000000002E-4</v>
      </c>
      <c r="G21" s="91">
        <v>5.7229999999999997E-8</v>
      </c>
    </row>
    <row r="22" spans="2:7" x14ac:dyDescent="0.2">
      <c r="B22">
        <v>9</v>
      </c>
      <c r="C22" t="s">
        <v>237</v>
      </c>
      <c r="D22">
        <v>-16.59</v>
      </c>
      <c r="E22" s="91">
        <v>0.55520000000000003</v>
      </c>
      <c r="F22" s="91">
        <v>-3.3060000000000001E-4</v>
      </c>
      <c r="G22" s="91">
        <v>7.6329999999999996E-8</v>
      </c>
    </row>
    <row r="23" spans="2:7" x14ac:dyDescent="0.2">
      <c r="B23">
        <v>11</v>
      </c>
      <c r="C23" t="s">
        <v>141</v>
      </c>
      <c r="D23">
        <v>-4.4130000000000003</v>
      </c>
      <c r="E23" s="91">
        <v>0.52800000000000002</v>
      </c>
      <c r="F23" s="91">
        <v>-3.1189999999999999E-4</v>
      </c>
      <c r="G23" s="91">
        <v>6.4939999999999998E-8</v>
      </c>
    </row>
    <row r="24" spans="2:7" x14ac:dyDescent="0.2">
      <c r="B24">
        <v>17</v>
      </c>
      <c r="C24" t="s">
        <v>142</v>
      </c>
      <c r="D24">
        <v>-5.1459999999999999</v>
      </c>
      <c r="E24" s="91">
        <v>0.67620000000000002</v>
      </c>
      <c r="F24" s="91">
        <v>-3.6509999999999998E-4</v>
      </c>
      <c r="G24" s="91">
        <v>7.6580000000000001E-8</v>
      </c>
    </row>
    <row r="25" spans="2:7" x14ac:dyDescent="0.2">
      <c r="B25">
        <v>27</v>
      </c>
      <c r="C25" t="s">
        <v>143</v>
      </c>
      <c r="D25">
        <v>-6.0960000000000001</v>
      </c>
      <c r="E25" s="91">
        <v>0.7712</v>
      </c>
      <c r="F25" s="91">
        <v>-4.1950000000000001E-4</v>
      </c>
      <c r="G25" s="91">
        <v>8.8549999999999996E-8</v>
      </c>
    </row>
    <row r="26" spans="2:7" x14ac:dyDescent="0.2">
      <c r="B26">
        <v>41</v>
      </c>
      <c r="C26" t="s">
        <v>238</v>
      </c>
      <c r="E26" s="91"/>
      <c r="F26" s="91"/>
      <c r="G26" s="91"/>
    </row>
    <row r="27" spans="2:7" x14ac:dyDescent="0.2">
      <c r="B27">
        <v>46</v>
      </c>
      <c r="C27" t="s">
        <v>144</v>
      </c>
      <c r="D27">
        <v>-8.3740000000000006</v>
      </c>
      <c r="E27" s="91">
        <v>0.87290000000000001</v>
      </c>
      <c r="F27" s="91">
        <v>-4.8230000000000001E-4</v>
      </c>
      <c r="G27" s="91">
        <v>1.031E-7</v>
      </c>
    </row>
    <row r="28" spans="2:7" x14ac:dyDescent="0.2">
      <c r="B28">
        <v>56</v>
      </c>
      <c r="C28" t="s">
        <v>145</v>
      </c>
      <c r="D28">
        <v>-7.9130000000000003</v>
      </c>
      <c r="E28" s="91">
        <v>0.96089999999999998</v>
      </c>
      <c r="F28" s="91">
        <v>-5.2879999999999995E-4</v>
      </c>
      <c r="G28" s="91">
        <v>1.131E-7</v>
      </c>
    </row>
    <row r="29" spans="2:7" x14ac:dyDescent="0.2">
      <c r="B29">
        <v>64</v>
      </c>
      <c r="C29" t="s">
        <v>146</v>
      </c>
      <c r="D29">
        <v>-9.3279999999999994</v>
      </c>
      <c r="E29">
        <v>1.149</v>
      </c>
      <c r="F29" s="91">
        <v>-6.3469999999999998E-4</v>
      </c>
      <c r="G29" s="91">
        <v>1.3589999999999999E-7</v>
      </c>
    </row>
    <row r="30" spans="2:7" x14ac:dyDescent="0.2">
      <c r="B30">
        <v>66</v>
      </c>
      <c r="C30" t="s">
        <v>147</v>
      </c>
      <c r="D30" s="91">
        <v>-10.98</v>
      </c>
      <c r="E30">
        <v>1.3380000000000001</v>
      </c>
      <c r="F30" s="91">
        <v>-7.4229999999999999E-4</v>
      </c>
      <c r="G30" s="91">
        <v>1.5979999999999999E-7</v>
      </c>
    </row>
    <row r="31" spans="2:7" x14ac:dyDescent="0.2">
      <c r="B31">
        <v>68</v>
      </c>
      <c r="C31" t="s">
        <v>148</v>
      </c>
      <c r="D31" s="91">
        <v>-13.02</v>
      </c>
      <c r="E31">
        <v>1.5289999999999999</v>
      </c>
      <c r="F31" s="91">
        <v>-8.5369999999999999E-4</v>
      </c>
      <c r="G31" s="91">
        <v>1.85E-7</v>
      </c>
    </row>
    <row r="32" spans="2:7" x14ac:dyDescent="0.2">
      <c r="B32" t="s">
        <v>149</v>
      </c>
    </row>
    <row r="33" spans="2:7" x14ac:dyDescent="0.2">
      <c r="B33">
        <v>104</v>
      </c>
      <c r="C33" t="s">
        <v>150</v>
      </c>
      <c r="D33" s="91">
        <v>-53.62</v>
      </c>
      <c r="E33" s="91">
        <v>0.54259999999999997</v>
      </c>
      <c r="F33" s="91">
        <v>-3.0309999999999999E-4</v>
      </c>
      <c r="G33" s="91">
        <v>6.4850000000000002E-8</v>
      </c>
    </row>
    <row r="34" spans="2:7" x14ac:dyDescent="0.2">
      <c r="B34">
        <v>105</v>
      </c>
      <c r="C34" t="s">
        <v>151</v>
      </c>
      <c r="D34" s="91">
        <v>-50.11</v>
      </c>
      <c r="E34" s="91">
        <v>0.6381</v>
      </c>
      <c r="F34" s="91">
        <v>-3.6420000000000002E-4</v>
      </c>
      <c r="G34" s="91">
        <v>8.0140000000000002E-8</v>
      </c>
    </row>
    <row r="35" spans="2:7" x14ac:dyDescent="0.2">
      <c r="B35">
        <v>137</v>
      </c>
      <c r="C35" t="s">
        <v>152</v>
      </c>
      <c r="D35" s="91">
        <v>-54.54</v>
      </c>
      <c r="E35" s="91">
        <v>0.61129999999999995</v>
      </c>
      <c r="F35" s="91">
        <v>-2.5230000000000001E-4</v>
      </c>
      <c r="G35" s="91">
        <v>1.321E-8</v>
      </c>
    </row>
    <row r="36" spans="2:7" x14ac:dyDescent="0.2">
      <c r="B36">
        <v>138</v>
      </c>
      <c r="C36" t="s">
        <v>153</v>
      </c>
      <c r="D36" s="91">
        <v>-61.92</v>
      </c>
      <c r="E36" s="91">
        <v>0.78420000000000001</v>
      </c>
      <c r="F36" s="91">
        <v>-4.438E-4</v>
      </c>
      <c r="G36" s="91">
        <v>9.3660000000000006E-8</v>
      </c>
    </row>
    <row r="37" spans="2:7" x14ac:dyDescent="0.2">
      <c r="B37">
        <v>153</v>
      </c>
      <c r="C37" t="s">
        <v>239</v>
      </c>
      <c r="D37" s="91"/>
      <c r="E37" s="91"/>
      <c r="F37" s="91"/>
      <c r="G37" s="91"/>
    </row>
    <row r="38" spans="2:7" x14ac:dyDescent="0.2">
      <c r="B38">
        <v>154</v>
      </c>
      <c r="C38" t="s">
        <v>240</v>
      </c>
      <c r="D38" s="91"/>
      <c r="E38" s="91"/>
      <c r="F38" s="91"/>
      <c r="G38" s="91"/>
    </row>
    <row r="39" spans="2:7" x14ac:dyDescent="0.2">
      <c r="B39" t="s">
        <v>241</v>
      </c>
    </row>
    <row r="40" spans="2:7" x14ac:dyDescent="0.2">
      <c r="B40">
        <v>201</v>
      </c>
      <c r="C40" t="s">
        <v>155</v>
      </c>
      <c r="D40">
        <v>3.806</v>
      </c>
      <c r="E40" s="91">
        <v>0.15659999999999999</v>
      </c>
      <c r="F40" s="91">
        <v>-8.3479999999999994E-5</v>
      </c>
      <c r="G40" s="91">
        <v>1.7550000000000002E-8</v>
      </c>
    </row>
    <row r="41" spans="2:7" x14ac:dyDescent="0.2">
      <c r="B41">
        <v>202</v>
      </c>
      <c r="C41" t="s">
        <v>156</v>
      </c>
      <c r="D41">
        <v>3.71</v>
      </c>
      <c r="E41" s="91">
        <v>0.23449999999999999</v>
      </c>
      <c r="F41" s="91">
        <v>-1.16E-4</v>
      </c>
      <c r="G41" s="91">
        <v>2.2049999999999999E-8</v>
      </c>
    </row>
    <row r="42" spans="2:7" x14ac:dyDescent="0.2">
      <c r="B42">
        <v>204</v>
      </c>
      <c r="C42" t="s">
        <v>157</v>
      </c>
      <c r="D42">
        <v>-2.9940000000000002</v>
      </c>
      <c r="E42" s="91">
        <v>0.35320000000000001</v>
      </c>
      <c r="F42" s="91">
        <v>-1.9900000000000001E-4</v>
      </c>
      <c r="G42" s="91">
        <v>4.4630000000000003E-8</v>
      </c>
    </row>
    <row r="43" spans="2:7" x14ac:dyDescent="0.2">
      <c r="B43">
        <v>205</v>
      </c>
      <c r="C43" t="s">
        <v>242</v>
      </c>
      <c r="E43" s="91"/>
      <c r="F43" s="91"/>
      <c r="G43" s="91"/>
    </row>
    <row r="44" spans="2:7" x14ac:dyDescent="0.2">
      <c r="B44">
        <v>206</v>
      </c>
      <c r="C44" t="s">
        <v>243</v>
      </c>
      <c r="E44" s="91"/>
      <c r="F44" s="91"/>
      <c r="G44" s="91"/>
    </row>
    <row r="45" spans="2:7" x14ac:dyDescent="0.2">
      <c r="B45">
        <v>207</v>
      </c>
      <c r="C45" t="s">
        <v>244</v>
      </c>
      <c r="D45" s="91">
        <v>16.05</v>
      </c>
      <c r="E45" s="91">
        <v>0.28039999999999998</v>
      </c>
      <c r="F45" s="91">
        <v>-1.091E-4</v>
      </c>
      <c r="G45" s="91">
        <v>9.0979999999999998E-9</v>
      </c>
    </row>
    <row r="46" spans="2:7" x14ac:dyDescent="0.2">
      <c r="B46">
        <v>209</v>
      </c>
      <c r="C46" t="s">
        <v>159</v>
      </c>
      <c r="D46" s="91">
        <v>-0.13400000000000001</v>
      </c>
      <c r="E46" s="91">
        <v>0.43290000000000001</v>
      </c>
      <c r="F46" s="91">
        <v>-2.3169999999999999E-4</v>
      </c>
      <c r="G46" s="91">
        <v>4.681E-8</v>
      </c>
    </row>
    <row r="47" spans="2:7" x14ac:dyDescent="0.2">
      <c r="B47">
        <v>216</v>
      </c>
      <c r="C47" t="s">
        <v>245</v>
      </c>
    </row>
    <row r="48" spans="2:7" x14ac:dyDescent="0.2">
      <c r="B48">
        <v>260</v>
      </c>
      <c r="C48" t="s">
        <v>246</v>
      </c>
    </row>
    <row r="49" spans="2:7" x14ac:dyDescent="0.2">
      <c r="B49">
        <v>270</v>
      </c>
      <c r="C49" t="s">
        <v>247</v>
      </c>
    </row>
    <row r="50" spans="2:7" x14ac:dyDescent="0.2">
      <c r="B50">
        <v>303</v>
      </c>
      <c r="C50" t="s">
        <v>161</v>
      </c>
      <c r="D50">
        <v>-1.6870000000000001</v>
      </c>
      <c r="E50" s="91">
        <v>0.34189999999999998</v>
      </c>
      <c r="F50" s="91">
        <v>-2.34E-4</v>
      </c>
      <c r="G50" s="91">
        <v>6.3349999999999995E-8</v>
      </c>
    </row>
    <row r="51" spans="2:7" x14ac:dyDescent="0.2">
      <c r="B51">
        <v>309</v>
      </c>
      <c r="C51" t="s">
        <v>248</v>
      </c>
      <c r="D51">
        <v>-3.4119999999999999</v>
      </c>
      <c r="E51" s="91">
        <v>0.45850000000000002</v>
      </c>
      <c r="F51" s="91">
        <v>-3.3369999999999998E-4</v>
      </c>
      <c r="G51" s="91">
        <v>9.9999999999999995E-8</v>
      </c>
    </row>
    <row r="52" spans="2:7" x14ac:dyDescent="0.2">
      <c r="B52">
        <v>401</v>
      </c>
      <c r="C52" t="s">
        <v>160</v>
      </c>
      <c r="D52" s="91">
        <v>26.82</v>
      </c>
      <c r="E52" s="91">
        <v>7.578E-2</v>
      </c>
      <c r="F52" s="91">
        <v>-5.007E-5</v>
      </c>
      <c r="G52" s="91">
        <v>1.412E-8</v>
      </c>
    </row>
    <row r="53" spans="2:7" x14ac:dyDescent="0.2">
      <c r="B53" t="s">
        <v>249</v>
      </c>
    </row>
    <row r="54" spans="2:7" x14ac:dyDescent="0.2">
      <c r="B54">
        <v>501</v>
      </c>
      <c r="C54" t="s">
        <v>164</v>
      </c>
      <c r="D54" s="91">
        <v>-33.92</v>
      </c>
      <c r="E54" s="91">
        <v>0.47389999999999999</v>
      </c>
      <c r="F54" s="91">
        <v>-3.0170000000000002E-4</v>
      </c>
      <c r="G54" s="91">
        <v>7.1299999999999997E-8</v>
      </c>
    </row>
    <row r="55" spans="2:7" x14ac:dyDescent="0.2">
      <c r="B55">
        <v>502</v>
      </c>
      <c r="C55" t="s">
        <v>165</v>
      </c>
      <c r="D55" s="91">
        <v>-24.35</v>
      </c>
      <c r="E55" s="91">
        <v>0.51249999999999996</v>
      </c>
      <c r="F55" s="91">
        <v>-2.765E-4</v>
      </c>
      <c r="G55" s="91">
        <v>4.9110000000000001E-8</v>
      </c>
    </row>
    <row r="56" spans="2:7" x14ac:dyDescent="0.2">
      <c r="B56">
        <v>504</v>
      </c>
      <c r="C56" t="s">
        <v>166</v>
      </c>
      <c r="D56" s="91">
        <v>-43.1</v>
      </c>
      <c r="E56" s="91">
        <v>0.70720000000000005</v>
      </c>
      <c r="F56" s="91">
        <v>-4.8109999999999998E-4</v>
      </c>
      <c r="G56" s="91">
        <v>1.3010000000000001E-7</v>
      </c>
    </row>
    <row r="57" spans="2:7" x14ac:dyDescent="0.2">
      <c r="B57">
        <v>505</v>
      </c>
      <c r="C57" t="s">
        <v>250</v>
      </c>
      <c r="D57" s="91">
        <v>-15.85</v>
      </c>
      <c r="E57" s="91">
        <v>0.59619999999999995</v>
      </c>
      <c r="F57" s="91">
        <v>-3.4430000000000002E-4</v>
      </c>
      <c r="G57" s="91">
        <v>7.5279999999999996E-8</v>
      </c>
    </row>
    <row r="58" spans="2:7" x14ac:dyDescent="0.2">
      <c r="B58">
        <v>506</v>
      </c>
      <c r="C58" t="s">
        <v>251</v>
      </c>
      <c r="D58" s="91">
        <v>-29.17</v>
      </c>
      <c r="E58" s="91">
        <v>0.62970000000000004</v>
      </c>
      <c r="F58" s="91">
        <v>-3.747E-4</v>
      </c>
      <c r="G58" s="91">
        <v>8.4779999999999996E-8</v>
      </c>
    </row>
    <row r="59" spans="2:7" x14ac:dyDescent="0.2">
      <c r="B59">
        <v>507</v>
      </c>
      <c r="C59" t="s">
        <v>252</v>
      </c>
      <c r="D59">
        <f>-2.509+1</f>
        <v>-1.5089999999999999</v>
      </c>
      <c r="E59" s="91">
        <v>0.60419999999999996</v>
      </c>
      <c r="F59" s="91">
        <v>-3.3740000000000002E-4</v>
      </c>
      <c r="G59" s="91">
        <v>6.8200000000000002E-8</v>
      </c>
    </row>
    <row r="60" spans="2:7" x14ac:dyDescent="0.2">
      <c r="B60">
        <v>510</v>
      </c>
      <c r="C60" t="s">
        <v>253</v>
      </c>
      <c r="D60" s="91">
        <v>-33.936</v>
      </c>
      <c r="E60" s="91">
        <v>0.78420000000000001</v>
      </c>
      <c r="F60" s="91">
        <v>-5.0869999999999995E-4</v>
      </c>
      <c r="G60" s="91">
        <v>1.2910000000000001E-7</v>
      </c>
    </row>
    <row r="61" spans="2:7" x14ac:dyDescent="0.2">
      <c r="B61">
        <v>558</v>
      </c>
      <c r="C61" t="s">
        <v>254</v>
      </c>
      <c r="D61" s="91">
        <v>-97.07</v>
      </c>
      <c r="E61">
        <v>1.1060000000000001</v>
      </c>
      <c r="F61" s="91">
        <v>-8.855E-4</v>
      </c>
      <c r="G61" s="91">
        <v>2.79E-7</v>
      </c>
    </row>
    <row r="62" spans="2:7" x14ac:dyDescent="0.2">
      <c r="B62">
        <v>601</v>
      </c>
      <c r="C62" t="s">
        <v>255</v>
      </c>
    </row>
    <row r="63" spans="2:7" x14ac:dyDescent="0.2">
      <c r="B63">
        <v>701</v>
      </c>
      <c r="C63" t="s">
        <v>173</v>
      </c>
      <c r="D63" s="91">
        <v>-68.8</v>
      </c>
      <c r="E63" s="91">
        <v>0.84989999999999999</v>
      </c>
      <c r="F63" s="91">
        <v>-6.5059999999999998E-4</v>
      </c>
      <c r="G63" s="91">
        <v>1.9810000000000001E-7</v>
      </c>
    </row>
    <row r="64" spans="2:7" x14ac:dyDescent="0.2">
      <c r="B64">
        <v>702</v>
      </c>
      <c r="C64" t="s">
        <v>174</v>
      </c>
      <c r="D64" s="91">
        <v>-64.819999999999993</v>
      </c>
      <c r="E64" s="91">
        <v>0.93869999999999998</v>
      </c>
      <c r="F64" s="91">
        <v>-6.9419999999999996E-4</v>
      </c>
      <c r="G64" s="91">
        <v>2.0160000000000001E-7</v>
      </c>
    </row>
    <row r="65" spans="2:7" x14ac:dyDescent="0.2">
      <c r="B65">
        <v>706</v>
      </c>
      <c r="C65" t="s">
        <v>256</v>
      </c>
    </row>
    <row r="66" spans="2:7" x14ac:dyDescent="0.2">
      <c r="B66">
        <v>803</v>
      </c>
      <c r="C66" t="s">
        <v>257</v>
      </c>
    </row>
    <row r="67" spans="2:7" x14ac:dyDescent="0.2">
      <c r="B67">
        <v>805</v>
      </c>
      <c r="C67" t="s">
        <v>258</v>
      </c>
    </row>
    <row r="68" spans="2:7" x14ac:dyDescent="0.2">
      <c r="B68" t="s">
        <v>259</v>
      </c>
    </row>
    <row r="69" spans="2:7" x14ac:dyDescent="0.2">
      <c r="B69">
        <v>1001</v>
      </c>
      <c r="C69" t="s">
        <v>260</v>
      </c>
    </row>
    <row r="70" spans="2:7" x14ac:dyDescent="0.2">
      <c r="B70">
        <v>1002</v>
      </c>
      <c r="C70" t="s">
        <v>261</v>
      </c>
    </row>
    <row r="71" spans="2:7" x14ac:dyDescent="0.2">
      <c r="B71">
        <v>1052</v>
      </c>
      <c r="C71" t="s">
        <v>262</v>
      </c>
      <c r="D71" s="91">
        <v>10.94</v>
      </c>
      <c r="E71" s="91">
        <v>0.35589999999999999</v>
      </c>
      <c r="F71" s="91">
        <v>-1.9000000000000001E-4</v>
      </c>
      <c r="G71" s="91">
        <v>3.92E-8</v>
      </c>
    </row>
    <row r="72" spans="2:7" x14ac:dyDescent="0.2">
      <c r="B72">
        <v>1051</v>
      </c>
      <c r="C72" t="s">
        <v>223</v>
      </c>
      <c r="D72">
        <v>6.3010000000000002</v>
      </c>
      <c r="E72" s="91">
        <v>0.2606</v>
      </c>
      <c r="F72" s="91">
        <v>-1.2530000000000001E-4</v>
      </c>
      <c r="G72" s="91">
        <v>2.0380000000000001E-8</v>
      </c>
    </row>
    <row r="73" spans="2:7" x14ac:dyDescent="0.2">
      <c r="B73">
        <v>1101</v>
      </c>
      <c r="C73" t="s">
        <v>178</v>
      </c>
      <c r="D73">
        <v>21.15</v>
      </c>
      <c r="E73" s="91">
        <v>7.0919999999999997E-2</v>
      </c>
      <c r="F73" s="91">
        <v>2.5870000000000001E-5</v>
      </c>
      <c r="G73" s="91">
        <v>-2.852E-8</v>
      </c>
    </row>
    <row r="74" spans="2:7" x14ac:dyDescent="0.2">
      <c r="B74">
        <v>1102</v>
      </c>
      <c r="C74" t="s">
        <v>179</v>
      </c>
      <c r="D74">
        <v>9.0139999999999993</v>
      </c>
      <c r="E74" s="91">
        <v>0.21410000000000001</v>
      </c>
      <c r="F74" s="91">
        <v>-8.3900000000000006E-5</v>
      </c>
      <c r="G74" s="91">
        <v>1.3729999999999999E-9</v>
      </c>
    </row>
    <row r="75" spans="2:7" x14ac:dyDescent="0.2">
      <c r="B75">
        <v>1103</v>
      </c>
      <c r="C75" t="s">
        <v>180</v>
      </c>
      <c r="D75">
        <v>2.4700000000000002</v>
      </c>
      <c r="E75" s="91">
        <v>0.33250000000000002</v>
      </c>
      <c r="F75" s="91">
        <v>-1.8550000000000001E-4</v>
      </c>
      <c r="G75" s="91">
        <v>4.2960000000000002E-8</v>
      </c>
    </row>
    <row r="76" spans="2:7" x14ac:dyDescent="0.2">
      <c r="B76">
        <v>1104</v>
      </c>
      <c r="C76" t="s">
        <v>263</v>
      </c>
      <c r="D76" s="91">
        <v>32.43</v>
      </c>
      <c r="E76" s="91">
        <v>0.1885</v>
      </c>
      <c r="F76" s="91">
        <v>6.4060000000000007E-5</v>
      </c>
      <c r="G76" s="91">
        <v>-9.2609999999999993E-8</v>
      </c>
    </row>
    <row r="77" spans="2:7" x14ac:dyDescent="0.2">
      <c r="B77">
        <v>1105</v>
      </c>
      <c r="C77" t="s">
        <v>182</v>
      </c>
      <c r="D77">
        <v>3.266</v>
      </c>
      <c r="E77" s="91">
        <v>0.41799999999999998</v>
      </c>
      <c r="F77" s="91">
        <v>-2.242E-4</v>
      </c>
      <c r="G77" s="91">
        <v>4.6849999999999999E-8</v>
      </c>
    </row>
    <row r="78" spans="2:7" x14ac:dyDescent="0.2">
      <c r="B78">
        <v>1107</v>
      </c>
      <c r="C78" t="s">
        <v>183</v>
      </c>
      <c r="D78">
        <v>-7.7080000000000002</v>
      </c>
      <c r="E78" s="91">
        <v>0.46889999999999998</v>
      </c>
      <c r="F78" s="91">
        <v>-2.8840000000000002E-4</v>
      </c>
      <c r="G78" s="91">
        <v>7.2310000000000004E-8</v>
      </c>
    </row>
    <row r="79" spans="2:7" x14ac:dyDescent="0.2">
      <c r="B79">
        <v>1114</v>
      </c>
      <c r="C79" t="s">
        <v>264</v>
      </c>
      <c r="E79" s="91"/>
      <c r="F79" s="91"/>
      <c r="G79" s="91"/>
    </row>
    <row r="80" spans="2:7" x14ac:dyDescent="0.2">
      <c r="B80">
        <v>1181</v>
      </c>
      <c r="C80" t="s">
        <v>265</v>
      </c>
      <c r="E80" s="91"/>
      <c r="F80" s="91"/>
      <c r="G80" s="91"/>
    </row>
    <row r="81" spans="2:7" x14ac:dyDescent="0.2">
      <c r="B81">
        <v>1201</v>
      </c>
      <c r="C81" t="s">
        <v>266</v>
      </c>
      <c r="E81" s="91"/>
      <c r="F81" s="91"/>
      <c r="G81" s="91"/>
    </row>
    <row r="82" spans="2:7" x14ac:dyDescent="0.2">
      <c r="B82">
        <v>1211</v>
      </c>
      <c r="C82" t="s">
        <v>267</v>
      </c>
      <c r="E82" s="91"/>
      <c r="F82" s="91"/>
      <c r="G82" s="91"/>
    </row>
    <row r="83" spans="2:7" x14ac:dyDescent="0.2">
      <c r="B83">
        <v>1251</v>
      </c>
      <c r="C83" t="s">
        <v>225</v>
      </c>
      <c r="D83">
        <v>4.84</v>
      </c>
      <c r="E83" s="91">
        <v>0.25490000000000002</v>
      </c>
      <c r="F83" s="91">
        <v>-1.7530000000000001E-4</v>
      </c>
      <c r="G83" s="91">
        <v>4.9490000000000002E-8</v>
      </c>
    </row>
    <row r="84" spans="2:7" x14ac:dyDescent="0.2">
      <c r="B84">
        <v>1256</v>
      </c>
      <c r="C84" t="s">
        <v>268</v>
      </c>
      <c r="E84" s="91"/>
      <c r="F84" s="91"/>
      <c r="G84" s="91"/>
    </row>
    <row r="85" spans="2:7" x14ac:dyDescent="0.2">
      <c r="B85">
        <v>1281</v>
      </c>
      <c r="C85" t="s">
        <v>269</v>
      </c>
      <c r="E85" s="91"/>
      <c r="F85" s="91"/>
      <c r="G85" s="91"/>
    </row>
    <row r="86" spans="2:7" x14ac:dyDescent="0.2">
      <c r="B86">
        <v>1289</v>
      </c>
      <c r="C86" t="s">
        <v>270</v>
      </c>
      <c r="E86" s="91"/>
      <c r="F86" s="91"/>
      <c r="G86" s="91"/>
    </row>
    <row r="87" spans="2:7" x14ac:dyDescent="0.2">
      <c r="B87">
        <v>1312</v>
      </c>
      <c r="C87" t="s">
        <v>271</v>
      </c>
      <c r="E87" s="91"/>
      <c r="F87" s="91"/>
      <c r="G87" s="91"/>
    </row>
    <row r="88" spans="2:7" x14ac:dyDescent="0.2">
      <c r="B88">
        <v>1313</v>
      </c>
      <c r="C88" t="s">
        <v>272</v>
      </c>
      <c r="E88" s="91"/>
      <c r="F88" s="91"/>
      <c r="G88" s="91"/>
    </row>
    <row r="89" spans="2:7" x14ac:dyDescent="0.2">
      <c r="B89">
        <v>1381</v>
      </c>
      <c r="C89" t="s">
        <v>273</v>
      </c>
      <c r="E89" s="91"/>
      <c r="F89" s="91"/>
      <c r="G89" s="91"/>
    </row>
    <row r="90" spans="2:7" x14ac:dyDescent="0.2">
      <c r="B90">
        <v>1479</v>
      </c>
      <c r="C90" t="s">
        <v>274</v>
      </c>
      <c r="D90" s="91">
        <v>19.100000000000001</v>
      </c>
      <c r="E90" s="91">
        <v>0.51619999999999999</v>
      </c>
      <c r="F90" s="91">
        <v>-4.1320000000000001E-4</v>
      </c>
      <c r="G90" s="91">
        <v>1.4539999999999999E-7</v>
      </c>
    </row>
    <row r="91" spans="2:7" x14ac:dyDescent="0.2">
      <c r="B91">
        <v>1402</v>
      </c>
      <c r="C91" t="s">
        <v>186</v>
      </c>
      <c r="D91" s="91">
        <v>21.42</v>
      </c>
      <c r="E91" s="91">
        <v>0.33589999999999998</v>
      </c>
      <c r="F91" s="91">
        <v>-1.0349999999999999E-4</v>
      </c>
      <c r="G91" s="91">
        <v>-9.3570000000000007E-9</v>
      </c>
    </row>
    <row r="92" spans="2:7" x14ac:dyDescent="0.2">
      <c r="B92">
        <v>1403</v>
      </c>
      <c r="C92" t="s">
        <v>275</v>
      </c>
      <c r="D92" s="91"/>
      <c r="E92" s="91"/>
      <c r="F92" s="91"/>
      <c r="G92" s="91"/>
    </row>
    <row r="93" spans="2:7" x14ac:dyDescent="0.2">
      <c r="C93" t="s">
        <v>276</v>
      </c>
      <c r="D93">
        <v>-7.5190000000000001</v>
      </c>
      <c r="E93" s="91">
        <v>0.22220000000000001</v>
      </c>
      <c r="F93" s="91">
        <v>-1.2559999999999999E-4</v>
      </c>
      <c r="G93" s="91">
        <v>2.592E-8</v>
      </c>
    </row>
    <row r="94" spans="2:7" x14ac:dyDescent="0.2">
      <c r="B94" t="s">
        <v>190</v>
      </c>
    </row>
    <row r="95" spans="2:7" x14ac:dyDescent="0.2">
      <c r="B95">
        <v>1501</v>
      </c>
      <c r="C95" t="s">
        <v>197</v>
      </c>
      <c r="D95" s="91">
        <v>40.72</v>
      </c>
      <c r="E95" s="91">
        <v>0.2049</v>
      </c>
      <c r="F95" s="91">
        <v>-2.2699999999999999E-4</v>
      </c>
      <c r="G95" s="91">
        <v>8.8430000000000005E-8</v>
      </c>
    </row>
    <row r="96" spans="2:7" x14ac:dyDescent="0.2">
      <c r="B96">
        <v>1502</v>
      </c>
      <c r="C96" t="s">
        <v>277</v>
      </c>
      <c r="D96" s="91">
        <v>13.88</v>
      </c>
      <c r="E96" s="91">
        <v>0.1014</v>
      </c>
      <c r="F96" s="91">
        <v>-3.8890000000000002E-5</v>
      </c>
      <c r="G96" s="91">
        <v>2.5669999999999999E-9</v>
      </c>
    </row>
    <row r="97" spans="2:7" x14ac:dyDescent="0.2">
      <c r="B97">
        <v>1503</v>
      </c>
      <c r="C97" t="s">
        <v>278</v>
      </c>
      <c r="D97" s="91"/>
      <c r="E97" s="91"/>
      <c r="F97" s="91"/>
      <c r="G97" s="91"/>
    </row>
    <row r="98" spans="2:7" x14ac:dyDescent="0.2">
      <c r="B98">
        <v>1511</v>
      </c>
      <c r="C98" t="s">
        <v>279</v>
      </c>
      <c r="D98" s="91"/>
      <c r="E98" s="91"/>
      <c r="F98" s="91"/>
      <c r="G98" s="91"/>
    </row>
    <row r="99" spans="2:7" x14ac:dyDescent="0.2">
      <c r="B99">
        <v>1521</v>
      </c>
      <c r="C99" t="s">
        <v>280</v>
      </c>
      <c r="D99" s="91">
        <v>24</v>
      </c>
      <c r="E99" s="91">
        <v>0.1893</v>
      </c>
      <c r="F99" s="91">
        <v>-1.841E-4</v>
      </c>
      <c r="G99" s="91">
        <v>6.6570000000000006E-8</v>
      </c>
    </row>
    <row r="100" spans="2:7" x14ac:dyDescent="0.2">
      <c r="C100" t="s">
        <v>281</v>
      </c>
      <c r="D100" s="91">
        <v>-33.89</v>
      </c>
      <c r="E100" s="91">
        <v>0.56310000000000004</v>
      </c>
      <c r="F100" s="91">
        <v>-4.5219999999999999E-4</v>
      </c>
      <c r="G100" s="91">
        <v>1.4259999999999999E-7</v>
      </c>
    </row>
    <row r="101" spans="2:7" x14ac:dyDescent="0.2">
      <c r="B101">
        <v>1591</v>
      </c>
      <c r="C101" t="s">
        <v>282</v>
      </c>
      <c r="D101" s="91"/>
      <c r="E101" s="91"/>
      <c r="F101" s="91"/>
      <c r="G101" s="91"/>
    </row>
    <row r="102" spans="2:7" x14ac:dyDescent="0.2">
      <c r="B102">
        <v>1601</v>
      </c>
      <c r="C102" t="s">
        <v>283</v>
      </c>
      <c r="D102" s="91">
        <v>31.6</v>
      </c>
      <c r="E102" s="91">
        <v>0.1782</v>
      </c>
      <c r="F102" s="91">
        <v>-1.5090000000000001E-4</v>
      </c>
      <c r="G102" s="91">
        <v>4.3420000000000001E-8</v>
      </c>
    </row>
    <row r="103" spans="2:7" x14ac:dyDescent="0.2">
      <c r="C103" t="s">
        <v>284</v>
      </c>
      <c r="D103" s="91">
        <v>17.3</v>
      </c>
      <c r="E103" s="91">
        <v>0.1618</v>
      </c>
      <c r="F103" s="91">
        <v>-1.17E-4</v>
      </c>
      <c r="G103" s="91">
        <v>3.058E-8</v>
      </c>
    </row>
    <row r="104" spans="2:7" x14ac:dyDescent="0.2">
      <c r="B104" t="s">
        <v>285</v>
      </c>
      <c r="C104" t="s">
        <v>286</v>
      </c>
      <c r="D104" s="91">
        <v>40.98</v>
      </c>
      <c r="E104" s="91">
        <v>0.1668</v>
      </c>
      <c r="F104" s="91">
        <v>-1.416E-4</v>
      </c>
      <c r="G104" s="91">
        <v>4.1460000000000002E-8</v>
      </c>
    </row>
    <row r="105" spans="2:7" x14ac:dyDescent="0.2">
      <c r="C105" t="s">
        <v>287</v>
      </c>
      <c r="D105" s="91">
        <v>61.14</v>
      </c>
      <c r="E105" s="91">
        <v>0.28739999999999999</v>
      </c>
      <c r="F105" s="91">
        <v>-2.42E-4</v>
      </c>
      <c r="G105" s="91">
        <v>6.9040000000000001E-8</v>
      </c>
    </row>
    <row r="106" spans="2:7" x14ac:dyDescent="0.2">
      <c r="B106" t="s">
        <v>199</v>
      </c>
    </row>
    <row r="107" spans="2:7" x14ac:dyDescent="0.2">
      <c r="B107">
        <v>899</v>
      </c>
      <c r="C107" t="s">
        <v>208</v>
      </c>
      <c r="D107" s="91">
        <v>21.62</v>
      </c>
      <c r="E107" s="91">
        <v>7.281E-2</v>
      </c>
      <c r="F107" s="91">
        <v>-5.7779999999999999E-5</v>
      </c>
      <c r="G107" s="91">
        <v>1.8299999999999998E-8</v>
      </c>
    </row>
    <row r="108" spans="2:7" x14ac:dyDescent="0.2">
      <c r="B108">
        <v>901</v>
      </c>
      <c r="C108" t="s">
        <v>211</v>
      </c>
      <c r="D108" s="91">
        <v>28.11</v>
      </c>
      <c r="E108" s="91">
        <v>-3.6799999999999999E-6</v>
      </c>
      <c r="F108" s="91">
        <v>1.7459999999999999E-5</v>
      </c>
      <c r="G108" s="91">
        <v>-1.0649999999999999E-8</v>
      </c>
    </row>
    <row r="109" spans="2:7" x14ac:dyDescent="0.2">
      <c r="B109">
        <v>902</v>
      </c>
      <c r="C109" t="s">
        <v>288</v>
      </c>
      <c r="D109" s="91">
        <v>27.14</v>
      </c>
      <c r="E109" s="91">
        <v>9.2739999999999993E-3</v>
      </c>
      <c r="F109" s="91">
        <v>-1.381E-5</v>
      </c>
      <c r="G109" s="91">
        <v>7.645E-9</v>
      </c>
    </row>
    <row r="110" spans="2:7" x14ac:dyDescent="0.2">
      <c r="B110">
        <v>905</v>
      </c>
      <c r="C110" t="s">
        <v>213</v>
      </c>
      <c r="D110" s="91">
        <v>31.15</v>
      </c>
      <c r="E110" s="91">
        <v>-1.357E-2</v>
      </c>
      <c r="F110" s="91">
        <v>2.6800000000000001E-5</v>
      </c>
      <c r="G110" s="91">
        <v>-1.1679999999999999E-8</v>
      </c>
    </row>
    <row r="111" spans="2:7" x14ac:dyDescent="0.2">
      <c r="B111">
        <v>908</v>
      </c>
      <c r="C111" t="s">
        <v>214</v>
      </c>
      <c r="D111" s="91">
        <v>30.87</v>
      </c>
      <c r="E111" s="91">
        <v>-1.285E-2</v>
      </c>
      <c r="F111" s="91">
        <v>2.7889999999999999E-5</v>
      </c>
      <c r="G111" s="91">
        <v>-1.2720000000000001E-8</v>
      </c>
    </row>
    <row r="112" spans="2:7" x14ac:dyDescent="0.2">
      <c r="B112">
        <v>909</v>
      </c>
      <c r="C112" t="s">
        <v>215</v>
      </c>
      <c r="D112" s="91">
        <v>19.8</v>
      </c>
      <c r="E112" s="91">
        <v>7.3440000000000005E-2</v>
      </c>
      <c r="F112" s="91">
        <v>-5.6020000000000002E-5</v>
      </c>
      <c r="G112" s="91">
        <v>1.7150000000000001E-8</v>
      </c>
    </row>
    <row r="113" spans="2:7" x14ac:dyDescent="0.2">
      <c r="B113">
        <v>910</v>
      </c>
      <c r="C113" t="s">
        <v>209</v>
      </c>
      <c r="D113" s="91">
        <v>23.85</v>
      </c>
      <c r="E113" s="91">
        <v>6.6989999999999994E-2</v>
      </c>
      <c r="F113" s="91">
        <v>-4.9610000000000001E-5</v>
      </c>
      <c r="G113" s="91">
        <v>1.328E-8</v>
      </c>
    </row>
    <row r="114" spans="2:7" x14ac:dyDescent="0.2">
      <c r="B114">
        <v>911</v>
      </c>
      <c r="C114" t="s">
        <v>210</v>
      </c>
      <c r="D114" s="91">
        <v>19.21</v>
      </c>
      <c r="E114" s="91">
        <v>0.13739999999999999</v>
      </c>
      <c r="F114" s="91">
        <v>-1.176E-4</v>
      </c>
      <c r="G114" s="91">
        <v>3.7E-8</v>
      </c>
    </row>
    <row r="115" spans="2:7" x14ac:dyDescent="0.2">
      <c r="B115">
        <v>912</v>
      </c>
      <c r="C115" t="s">
        <v>207</v>
      </c>
      <c r="D115" s="91">
        <v>29.35</v>
      </c>
      <c r="E115" s="91">
        <v>-9.3780000000000003E-4</v>
      </c>
      <c r="F115" s="91">
        <v>9.747E-6</v>
      </c>
      <c r="G115" s="91">
        <v>-4.1869999999999997E-9</v>
      </c>
    </row>
    <row r="116" spans="2:7" x14ac:dyDescent="0.2">
      <c r="B116">
        <v>913</v>
      </c>
      <c r="C116" t="s">
        <v>203</v>
      </c>
      <c r="D116" s="91">
        <v>20.8</v>
      </c>
    </row>
    <row r="117" spans="2:7" x14ac:dyDescent="0.2">
      <c r="B117">
        <v>914</v>
      </c>
      <c r="C117" t="s">
        <v>200</v>
      </c>
      <c r="D117" s="91">
        <v>20.8</v>
      </c>
    </row>
    <row r="118" spans="2:7" x14ac:dyDescent="0.2">
      <c r="B118">
        <v>917</v>
      </c>
      <c r="C118" t="s">
        <v>289</v>
      </c>
      <c r="D118" s="91"/>
      <c r="E118" s="91"/>
      <c r="F118" s="91"/>
      <c r="G118" s="91"/>
    </row>
    <row r="119" spans="2:7" x14ac:dyDescent="0.2">
      <c r="B119">
        <v>918</v>
      </c>
      <c r="C119" t="s">
        <v>202</v>
      </c>
      <c r="D119" s="91">
        <v>26.93</v>
      </c>
      <c r="E119" s="91">
        <v>3.3840000000000002E-2</v>
      </c>
      <c r="F119" s="91">
        <v>-3.8689999999999997E-5</v>
      </c>
      <c r="G119" s="91">
        <v>1.5469999999999999E-8</v>
      </c>
    </row>
    <row r="120" spans="2:7" x14ac:dyDescent="0.2">
      <c r="B120">
        <v>919</v>
      </c>
      <c r="C120" t="s">
        <v>205</v>
      </c>
      <c r="D120" s="91">
        <v>20.8</v>
      </c>
    </row>
    <row r="121" spans="2:7" x14ac:dyDescent="0.2">
      <c r="B121">
        <v>920</v>
      </c>
      <c r="C121" t="s">
        <v>204</v>
      </c>
      <c r="D121" s="91">
        <v>20.8</v>
      </c>
    </row>
    <row r="122" spans="2:7" x14ac:dyDescent="0.2">
      <c r="B122">
        <v>922</v>
      </c>
      <c r="C122" t="s">
        <v>201</v>
      </c>
      <c r="D122" s="91">
        <v>33.86</v>
      </c>
      <c r="E122" s="91">
        <v>1.125E-2</v>
      </c>
      <c r="F122" s="91">
        <v>-1.1919999999999999E-5</v>
      </c>
      <c r="G122" s="91">
        <v>4.5340000000000003E-9</v>
      </c>
    </row>
    <row r="123" spans="2:7" x14ac:dyDescent="0.2">
      <c r="B123">
        <v>959</v>
      </c>
      <c r="C123" t="s">
        <v>206</v>
      </c>
      <c r="D123" s="91">
        <v>20.8</v>
      </c>
    </row>
    <row r="124" spans="2:7" x14ac:dyDescent="0.2">
      <c r="B124" t="s">
        <v>290</v>
      </c>
    </row>
    <row r="125" spans="2:7" x14ac:dyDescent="0.2">
      <c r="B125">
        <v>1904</v>
      </c>
      <c r="C125" t="s">
        <v>220</v>
      </c>
      <c r="D125" s="91">
        <v>30.67</v>
      </c>
      <c r="E125" s="91">
        <v>-7.2009999999999999E-3</v>
      </c>
      <c r="F125" s="91">
        <v>1.2459999999999999E-5</v>
      </c>
      <c r="G125" s="91">
        <v>-3.8980000000000004E-9</v>
      </c>
    </row>
    <row r="126" spans="2:7" x14ac:dyDescent="0.2">
      <c r="B126">
        <v>1922</v>
      </c>
      <c r="C126" t="s">
        <v>217</v>
      </c>
      <c r="D126" s="91">
        <v>31.94</v>
      </c>
      <c r="E126" s="91">
        <v>1.436E-3</v>
      </c>
      <c r="F126" s="91">
        <v>2.4320000000000001E-5</v>
      </c>
      <c r="G126" s="91">
        <v>-1.1760000000000001E-8</v>
      </c>
    </row>
    <row r="127" spans="2:7" x14ac:dyDescent="0.2">
      <c r="B127">
        <v>1938</v>
      </c>
      <c r="C127" t="s">
        <v>218</v>
      </c>
      <c r="D127" s="91">
        <v>27.44</v>
      </c>
      <c r="E127" s="91">
        <v>8.1269999999999995E-2</v>
      </c>
      <c r="F127" s="91">
        <v>-7.6660000000000001E-5</v>
      </c>
      <c r="G127" s="91">
        <v>2.6729999999999998E-8</v>
      </c>
    </row>
    <row r="128" spans="2:7" x14ac:dyDescent="0.2">
      <c r="C128" t="s">
        <v>219</v>
      </c>
      <c r="D128">
        <v>9.7680000000000007</v>
      </c>
      <c r="E128" s="91">
        <v>0.1895</v>
      </c>
      <c r="F128" s="91">
        <v>-1.6569999999999999E-4</v>
      </c>
      <c r="G128" s="91">
        <v>6.025E-8</v>
      </c>
    </row>
    <row r="129" spans="2:7" x14ac:dyDescent="0.2">
      <c r="C129" t="s">
        <v>221</v>
      </c>
      <c r="D129" s="91">
        <v>21.86</v>
      </c>
      <c r="E129" s="91">
        <v>6.062E-2</v>
      </c>
      <c r="F129" s="91">
        <v>-4.9610000000000001E-5</v>
      </c>
      <c r="G129" s="91">
        <v>1.815E-8</v>
      </c>
    </row>
    <row r="130" spans="2:7" x14ac:dyDescent="0.2">
      <c r="B130" t="s">
        <v>222</v>
      </c>
    </row>
    <row r="131" spans="2:7" x14ac:dyDescent="0.2">
      <c r="B131">
        <v>1701</v>
      </c>
      <c r="C131" t="s">
        <v>291</v>
      </c>
    </row>
    <row r="132" spans="2:7" x14ac:dyDescent="0.2">
      <c r="B132">
        <v>1704</v>
      </c>
      <c r="C132" t="s">
        <v>292</v>
      </c>
    </row>
    <row r="133" spans="2:7" x14ac:dyDescent="0.2">
      <c r="B133">
        <v>1772</v>
      </c>
      <c r="C133" t="s">
        <v>293</v>
      </c>
      <c r="D133" s="91">
        <v>20.48</v>
      </c>
      <c r="E133" s="91">
        <v>0.1196</v>
      </c>
      <c r="F133" s="91">
        <v>-4.4919999999999997E-5</v>
      </c>
      <c r="G133" s="91">
        <v>3.2029999999999998E-9</v>
      </c>
    </row>
    <row r="134" spans="2:7" x14ac:dyDescent="0.2">
      <c r="B134">
        <v>1801</v>
      </c>
      <c r="C134" t="s">
        <v>294</v>
      </c>
      <c r="D134" s="91"/>
      <c r="E134" s="91"/>
      <c r="F134" s="91"/>
      <c r="G134" s="91"/>
    </row>
    <row r="135" spans="2:7" x14ac:dyDescent="0.2">
      <c r="B135">
        <v>1802</v>
      </c>
      <c r="C135" t="s">
        <v>295</v>
      </c>
      <c r="D135" s="91"/>
      <c r="E135" s="91"/>
      <c r="F135" s="91"/>
      <c r="G135" s="91"/>
    </row>
    <row r="136" spans="2:7" x14ac:dyDescent="0.2">
      <c r="B136">
        <v>1820</v>
      </c>
      <c r="C136" t="s">
        <v>296</v>
      </c>
      <c r="D136" s="91"/>
      <c r="E136" s="91"/>
      <c r="F136" s="91"/>
      <c r="G136" s="91"/>
    </row>
    <row r="137" spans="2:7" x14ac:dyDescent="0.2">
      <c r="B137">
        <v>1877</v>
      </c>
      <c r="C137" t="s">
        <v>297</v>
      </c>
      <c r="D137" s="91"/>
      <c r="E137" s="91"/>
      <c r="F137" s="91"/>
      <c r="G137" s="91"/>
    </row>
    <row r="138" spans="2:7" x14ac:dyDescent="0.2">
      <c r="B138">
        <v>1901</v>
      </c>
      <c r="C138" t="s">
        <v>298</v>
      </c>
      <c r="D138" s="91"/>
      <c r="E138" s="91"/>
      <c r="F138" s="91"/>
      <c r="G138" s="91"/>
    </row>
    <row r="139" spans="2:7" x14ac:dyDescent="0.2">
      <c r="B139">
        <v>1902</v>
      </c>
      <c r="C139" t="s">
        <v>299</v>
      </c>
      <c r="D139" s="91"/>
      <c r="E139" s="91"/>
      <c r="F139" s="91"/>
      <c r="G139" s="91"/>
    </row>
    <row r="140" spans="2:7" x14ac:dyDescent="0.2">
      <c r="B140">
        <v>1903</v>
      </c>
      <c r="C140" t="s">
        <v>300</v>
      </c>
      <c r="D140" s="91"/>
      <c r="E140" s="91"/>
      <c r="F140" s="91"/>
      <c r="G140" s="91"/>
    </row>
    <row r="141" spans="2:7" x14ac:dyDescent="0.2">
      <c r="B141">
        <v>1911</v>
      </c>
      <c r="C141" t="s">
        <v>301</v>
      </c>
      <c r="D141" s="91">
        <v>27.31</v>
      </c>
      <c r="E141" s="91">
        <v>2.383E-2</v>
      </c>
      <c r="F141" s="91">
        <v>1.7070000000000001E-5</v>
      </c>
      <c r="G141" s="91">
        <v>-1.185E-8</v>
      </c>
    </row>
    <row r="142" spans="2:7" x14ac:dyDescent="0.2">
      <c r="B142">
        <v>1912</v>
      </c>
      <c r="C142" t="s">
        <v>302</v>
      </c>
    </row>
    <row r="143" spans="2:7" x14ac:dyDescent="0.2">
      <c r="B143">
        <v>1921</v>
      </c>
      <c r="C143" t="s">
        <v>303</v>
      </c>
      <c r="D143">
        <v>32.24</v>
      </c>
      <c r="E143" s="91">
        <v>1.9239999999999999E-3</v>
      </c>
      <c r="F143" s="91">
        <v>1.0550000000000001E-5</v>
      </c>
      <c r="G143" s="91">
        <v>-3.596E-9</v>
      </c>
    </row>
  </sheetData>
  <sheetProtection sheet="1" objects="1" scenarios="1"/>
  <phoneticPr fontId="9" type="noConversion"/>
  <printOptions gridLines="1" gridLinesSet="0"/>
  <pageMargins left="0.75" right="0.75" top="1" bottom="1" header="0.5" footer="0.5"/>
  <pageSetup orientation="portrait" horizontalDpi="300" verticalDpi="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6:C6"/>
  <sheetViews>
    <sheetView workbookViewId="0">
      <selection activeCell="C6" sqref="C6"/>
    </sheetView>
  </sheetViews>
  <sheetFormatPr defaultRowHeight="12.75" x14ac:dyDescent="0.2"/>
  <sheetData>
    <row r="6" spans="2:3" x14ac:dyDescent="0.2">
      <c r="B6" s="94">
        <v>41322</v>
      </c>
      <c r="C6" s="93" t="s">
        <v>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54</vt:i4>
      </vt:variant>
    </vt:vector>
  </HeadingPairs>
  <TitlesOfParts>
    <vt:vector size="61" baseType="lpstr">
      <vt:lpstr>Instructions</vt:lpstr>
      <vt:lpstr>PVT</vt:lpstr>
      <vt:lpstr>Props</vt:lpstr>
      <vt:lpstr>Ref State</vt:lpstr>
      <vt:lpstr>Crit. Props</vt:lpstr>
      <vt:lpstr>IG Cps</vt:lpstr>
      <vt:lpstr>rev. info</vt:lpstr>
      <vt:lpstr>Props!_a</vt:lpstr>
      <vt:lpstr>_a</vt:lpstr>
      <vt:lpstr>Props!_b</vt:lpstr>
      <vt:lpstr>_b</vt:lpstr>
      <vt:lpstr>_R</vt:lpstr>
      <vt:lpstr>Props!A</vt:lpstr>
      <vt:lpstr>PVT!A</vt:lpstr>
      <vt:lpstr>A</vt:lpstr>
      <vt:lpstr>PVT!a_</vt:lpstr>
      <vt:lpstr>PVT!a0_</vt:lpstr>
      <vt:lpstr>PVT!a1_</vt:lpstr>
      <vt:lpstr>PVT!a2_</vt:lpstr>
      <vt:lpstr>Props!alpha</vt:lpstr>
      <vt:lpstr>PVT!alpha</vt:lpstr>
      <vt:lpstr>alpha</vt:lpstr>
      <vt:lpstr>Props!B</vt:lpstr>
      <vt:lpstr>PVT!B</vt:lpstr>
      <vt:lpstr>B</vt:lpstr>
      <vt:lpstr>PVT!b_</vt:lpstr>
      <vt:lpstr>CPA</vt:lpstr>
      <vt:lpstr>CPB</vt:lpstr>
      <vt:lpstr>CPC</vt:lpstr>
      <vt:lpstr>CPD</vt:lpstr>
      <vt:lpstr>fugratio</vt:lpstr>
      <vt:lpstr>igrflag</vt:lpstr>
      <vt:lpstr>index</vt:lpstr>
      <vt:lpstr>Props!kappa</vt:lpstr>
      <vt:lpstr>PVT!kappa</vt:lpstr>
      <vt:lpstr>kappa</vt:lpstr>
      <vt:lpstr>PVT!omega</vt:lpstr>
      <vt:lpstr>Props!P</vt:lpstr>
      <vt:lpstr>PVT!P</vt:lpstr>
      <vt:lpstr>P</vt:lpstr>
      <vt:lpstr>PVT!Pc</vt:lpstr>
      <vt:lpstr>Props!Pr</vt:lpstr>
      <vt:lpstr>Pr</vt:lpstr>
      <vt:lpstr>PREF</vt:lpstr>
      <vt:lpstr>Props!q</vt:lpstr>
      <vt:lpstr>q</vt:lpstr>
      <vt:lpstr>PVT!R_</vt:lpstr>
      <vt:lpstr>PVT!Rroot</vt:lpstr>
      <vt:lpstr>PVT!Tc</vt:lpstr>
      <vt:lpstr>Tc</vt:lpstr>
      <vt:lpstr>Props!TK</vt:lpstr>
      <vt:lpstr>PVT!TK</vt:lpstr>
      <vt:lpstr>TK</vt:lpstr>
      <vt:lpstr>Props!Tr</vt:lpstr>
      <vt:lpstr>PVT!Tr</vt:lpstr>
      <vt:lpstr>Tr</vt:lpstr>
      <vt:lpstr>TREF</vt:lpstr>
      <vt:lpstr>uhflag</vt:lpstr>
      <vt:lpstr>Props!Z</vt:lpstr>
      <vt:lpstr>PVT!Z</vt:lpstr>
      <vt:lpstr>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Lira</dc:creator>
  <cp:lastModifiedBy>Utente</cp:lastModifiedBy>
  <dcterms:created xsi:type="dcterms:W3CDTF">2011-01-25T03:35:55Z</dcterms:created>
  <dcterms:modified xsi:type="dcterms:W3CDTF">2023-06-16T12:41:24Z</dcterms:modified>
</cp:coreProperties>
</file>