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9255" windowHeight="4710"/>
  </bookViews>
  <sheets>
    <sheet name="Introduction" sheetId="1" r:id="rId1"/>
    <sheet name="RXNADIA-shortcut" sheetId="7" r:id="rId2"/>
    <sheet name="RXNADIA" sheetId="6" r:id="rId3"/>
    <sheet name="DUALRXN" sheetId="2" r:id="rId4"/>
    <sheet name="GIBBSMIN" sheetId="3" r:id="rId5"/>
    <sheet name="SMPRXN" sheetId="4" r:id="rId6"/>
  </sheets>
  <definedNames>
    <definedName name="solver_adj" localSheetId="3" hidden="1">DUALRXN!$C$11:$C$12</definedName>
    <definedName name="solver_adj" localSheetId="4" hidden="1">GIBBSMIN!$E$6:$E$14</definedName>
    <definedName name="solver_adj" localSheetId="2" hidden="1">RXNADIA!$D$3</definedName>
    <definedName name="solver_adj" localSheetId="1" hidden="1">'RXNADIA-shortcut'!$D$3</definedName>
    <definedName name="solver_cvg" localSheetId="3" hidden="1">0.001</definedName>
    <definedName name="solver_cvg" localSheetId="4" hidden="1">0.00000000001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4" hidden="1">2</definedName>
    <definedName name="solver_drv" localSheetId="2" hidden="1">1</definedName>
    <definedName name="solver_drv" localSheetId="1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3" hidden="1">100</definedName>
    <definedName name="solver_itr" localSheetId="4" hidden="1">100</definedName>
    <definedName name="solver_itr" localSheetId="2" hidden="1">100</definedName>
    <definedName name="solver_itr" localSheetId="1" hidden="1">100</definedName>
    <definedName name="solver_lhs1" localSheetId="3" hidden="1">DUALRXN!$C$21</definedName>
    <definedName name="solver_lhs1" localSheetId="4" hidden="1">GIBBSMIN!$D$18</definedName>
    <definedName name="solver_lhs2" localSheetId="4" hidden="1">GIBBSMIN!$D$17</definedName>
    <definedName name="solver_lhs3" localSheetId="4" hidden="1">GIBBSMIN!$D$19</definedName>
    <definedName name="solver_lin" localSheetId="3" hidden="1">2</definedName>
    <definedName name="solver_lin" localSheetId="4" hidden="1">2</definedName>
    <definedName name="solver_lin" localSheetId="2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3" hidden="1">2</definedName>
    <definedName name="solver_neg" localSheetId="4" hidden="1">2</definedName>
    <definedName name="solver_neg" localSheetId="2" hidden="1">2</definedName>
    <definedName name="solver_neg" localSheetId="1" hidden="1">2</definedName>
    <definedName name="solver_nod" localSheetId="1" hidden="1">2147483647</definedName>
    <definedName name="solver_num" localSheetId="3" hidden="1">1</definedName>
    <definedName name="solver_num" localSheetId="4" hidden="1">3</definedName>
    <definedName name="solver_num" localSheetId="2" hidden="1">0</definedName>
    <definedName name="solver_num" localSheetId="1" hidden="1">0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3" hidden="1">DUALRXN!$C$20</definedName>
    <definedName name="solver_opt" localSheetId="4" hidden="1">GIBBSMIN!$H$15</definedName>
    <definedName name="solver_opt" localSheetId="2" hidden="1">RXNADIA!$F$21</definedName>
    <definedName name="solver_opt" localSheetId="1" hidden="1">'RXNADIA-shortcut'!$F$19</definedName>
    <definedName name="solver_pre" localSheetId="3" hidden="1">0.000001</definedName>
    <definedName name="solver_pre" localSheetId="4" hidden="1">0.0000000001</definedName>
    <definedName name="solver_pre" localSheetId="2" hidden="1">0.000001</definedName>
    <definedName name="solver_pre" localSheetId="1" hidden="1">0.000001</definedName>
    <definedName name="solver_rbv" localSheetId="1" hidden="1">1</definedName>
    <definedName name="solver_rel1" localSheetId="3" hidden="1">2</definedName>
    <definedName name="solver_rel1" localSheetId="4" hidden="1">2</definedName>
    <definedName name="solver_rel2" localSheetId="4" hidden="1">2</definedName>
    <definedName name="solver_rel3" localSheetId="4" hidden="1">2</definedName>
    <definedName name="solver_rhs1" localSheetId="3" hidden="1">0</definedName>
    <definedName name="solver_rhs1" localSheetId="4" hidden="1">GIBBSMIN!$E$18</definedName>
    <definedName name="solver_rhs2" localSheetId="4" hidden="1">GIBBSMIN!$E$17</definedName>
    <definedName name="solver_rhs3" localSheetId="4" hidden="1">GIBBSMIN!$E$19</definedName>
    <definedName name="solver_rlx" localSheetId="1" hidden="1">1</definedName>
    <definedName name="solver_rsd" localSheetId="1" hidden="1">0</definedName>
    <definedName name="solver_scl" localSheetId="3" hidden="1">2</definedName>
    <definedName name="solver_scl" localSheetId="4" hidden="1">1</definedName>
    <definedName name="solver_scl" localSheetId="2" hidden="1">2</definedName>
    <definedName name="solver_scl" localSheetId="1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1" hidden="1">100</definedName>
    <definedName name="solver_tim" localSheetId="3" hidden="1">100</definedName>
    <definedName name="solver_tim" localSheetId="4" hidden="1">100</definedName>
    <definedName name="solver_tim" localSheetId="2" hidden="1">100</definedName>
    <definedName name="solver_tim" localSheetId="1" hidden="1">100</definedName>
    <definedName name="solver_tmp" localSheetId="3" hidden="1">0</definedName>
    <definedName name="solver_tmp" localSheetId="4" hidden="1">2</definedName>
    <definedName name="solver_tol" localSheetId="3" hidden="1">0.05</definedName>
    <definedName name="solver_tol" localSheetId="4" hidden="1">0.0000001</definedName>
    <definedName name="solver_tol" localSheetId="2" hidden="1">0.05</definedName>
    <definedName name="solver_tol" localSheetId="1" hidden="1">0.05</definedName>
    <definedName name="solver_typ" localSheetId="3" hidden="1">3</definedName>
    <definedName name="solver_typ" localSheetId="4" hidden="1">2</definedName>
    <definedName name="solver_typ" localSheetId="2" hidden="1">3</definedName>
    <definedName name="solver_typ" localSheetId="1" hidden="1">3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15" i="7" l="1"/>
  <c r="F14" i="7"/>
  <c r="F13" i="7"/>
  <c r="C15" i="7"/>
  <c r="C14" i="7"/>
  <c r="D14" i="7" s="1"/>
  <c r="C13" i="7"/>
  <c r="D13" i="7" s="1"/>
  <c r="D6" i="6"/>
  <c r="F15" i="6"/>
  <c r="C15" i="6"/>
  <c r="G8" i="6"/>
  <c r="I8" i="6"/>
  <c r="D10" i="6" s="1"/>
  <c r="J8" i="6"/>
  <c r="K8" i="6"/>
  <c r="L8" i="6"/>
  <c r="H8" i="6"/>
  <c r="F17" i="6"/>
  <c r="F12" i="3"/>
  <c r="D18" i="3" s="1"/>
  <c r="F13" i="3"/>
  <c r="F6" i="3"/>
  <c r="F7" i="3"/>
  <c r="F8" i="3"/>
  <c r="F9" i="3"/>
  <c r="F10" i="3"/>
  <c r="F11" i="3"/>
  <c r="F14" i="3"/>
  <c r="C9" i="2"/>
  <c r="C20" i="2" s="1"/>
  <c r="C10" i="2"/>
  <c r="C21" i="2"/>
  <c r="D13" i="2"/>
  <c r="E13" i="2"/>
  <c r="F13" i="2"/>
  <c r="G13" i="2"/>
  <c r="H13" i="2"/>
  <c r="C13" i="2"/>
  <c r="D10" i="2"/>
  <c r="E10" i="2"/>
  <c r="E21" i="2" s="1"/>
  <c r="F10" i="2"/>
  <c r="G10" i="2"/>
  <c r="H10" i="2"/>
  <c r="E9" i="2"/>
  <c r="E20" i="2"/>
  <c r="F9" i="2"/>
  <c r="G9" i="2"/>
  <c r="G20" i="2" s="1"/>
  <c r="H9" i="2"/>
  <c r="H20" i="2" s="1"/>
  <c r="D9" i="2"/>
  <c r="H21" i="2"/>
  <c r="G21" i="2"/>
  <c r="F21" i="2"/>
  <c r="D21" i="2"/>
  <c r="F20" i="2"/>
  <c r="D20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C17" i="2"/>
  <c r="C16" i="2"/>
  <c r="C15" i="2"/>
  <c r="C14" i="2"/>
  <c r="D19" i="3"/>
  <c r="D17" i="3"/>
  <c r="F16" i="6"/>
  <c r="C17" i="6"/>
  <c r="C16" i="6"/>
  <c r="D15" i="6"/>
  <c r="D16" i="6"/>
  <c r="D19" i="6" s="1"/>
  <c r="D17" i="6"/>
  <c r="H10" i="4"/>
  <c r="E39" i="4" s="1"/>
  <c r="E31" i="4" s="1"/>
  <c r="C35" i="4"/>
  <c r="C27" i="4" s="1"/>
  <c r="C14" i="4"/>
  <c r="C17" i="4" s="1"/>
  <c r="G39" i="4"/>
  <c r="C39" i="4"/>
  <c r="C31" i="4" s="1"/>
  <c r="G38" i="4"/>
  <c r="C38" i="4"/>
  <c r="G37" i="4"/>
  <c r="G29" i="4" s="1"/>
  <c r="C37" i="4"/>
  <c r="C29" i="4" s="1"/>
  <c r="G36" i="4"/>
  <c r="G28" i="4" s="1"/>
  <c r="C36" i="4"/>
  <c r="C28" i="4" s="1"/>
  <c r="G35" i="4"/>
  <c r="G27" i="4" s="1"/>
  <c r="H14" i="4"/>
  <c r="H17" i="4" s="1"/>
  <c r="H27" i="4" s="1"/>
  <c r="H18" i="4"/>
  <c r="H28" i="4" s="1"/>
  <c r="G14" i="4"/>
  <c r="G17" i="4"/>
  <c r="G18" i="4"/>
  <c r="F14" i="4"/>
  <c r="F17" i="4" s="1"/>
  <c r="F27" i="4" s="1"/>
  <c r="F18" i="4"/>
  <c r="E14" i="4"/>
  <c r="E17" i="4"/>
  <c r="E18" i="4"/>
  <c r="D14" i="4"/>
  <c r="D17" i="4" s="1"/>
  <c r="D27" i="4" s="1"/>
  <c r="D18" i="4"/>
  <c r="D28" i="4" s="1"/>
  <c r="C18" i="4"/>
  <c r="C19" i="4"/>
  <c r="C21" i="4"/>
  <c r="C15" i="4"/>
  <c r="D15" i="4"/>
  <c r="E15" i="4"/>
  <c r="F15" i="4"/>
  <c r="G15" i="4"/>
  <c r="H15" i="4"/>
  <c r="E16" i="4"/>
  <c r="G16" i="4"/>
  <c r="D21" i="4"/>
  <c r="D19" i="4"/>
  <c r="E21" i="4"/>
  <c r="E20" i="4"/>
  <c r="E19" i="4"/>
  <c r="F21" i="4"/>
  <c r="F19" i="4"/>
  <c r="F29" i="4" s="1"/>
  <c r="G21" i="4"/>
  <c r="G31" i="4"/>
  <c r="G20" i="4"/>
  <c r="G30" i="4"/>
  <c r="G19" i="4"/>
  <c r="H21" i="4"/>
  <c r="H19" i="4"/>
  <c r="D35" i="4"/>
  <c r="F35" i="4"/>
  <c r="H35" i="4"/>
  <c r="D36" i="4"/>
  <c r="F36" i="4"/>
  <c r="F28" i="4"/>
  <c r="H36" i="4"/>
  <c r="D37" i="4"/>
  <c r="D29" i="4"/>
  <c r="F37" i="4"/>
  <c r="H37" i="4"/>
  <c r="H29" i="4"/>
  <c r="D38" i="4"/>
  <c r="F38" i="4"/>
  <c r="H38" i="4"/>
  <c r="D39" i="4"/>
  <c r="D31" i="4"/>
  <c r="F39" i="4"/>
  <c r="F31" i="4"/>
  <c r="H39" i="4"/>
  <c r="H31" i="4"/>
  <c r="D5" i="6"/>
  <c r="D8" i="7"/>
  <c r="D9" i="7" s="1"/>
  <c r="I9" i="7" s="1"/>
  <c r="K9" i="7" s="1"/>
  <c r="G8" i="7"/>
  <c r="H8" i="7"/>
  <c r="D15" i="7"/>
  <c r="G34" i="4" l="1"/>
  <c r="G32" i="4"/>
  <c r="D11" i="6"/>
  <c r="D7" i="6" s="1"/>
  <c r="D9" i="6" s="1"/>
  <c r="I9" i="6" s="1"/>
  <c r="K9" i="6" s="1"/>
  <c r="E13" i="7"/>
  <c r="G13" i="7" s="1"/>
  <c r="E14" i="7"/>
  <c r="G14" i="7" s="1"/>
  <c r="E15" i="7"/>
  <c r="G15" i="7" s="1"/>
  <c r="G33" i="4"/>
  <c r="C30" i="4"/>
  <c r="C34" i="4" s="1"/>
  <c r="D17" i="7"/>
  <c r="H32" i="4"/>
  <c r="H34" i="4"/>
  <c r="H12" i="3"/>
  <c r="H20" i="4"/>
  <c r="H30" i="4" s="1"/>
  <c r="D20" i="4"/>
  <c r="D30" i="4" s="1"/>
  <c r="D32" i="4" s="1"/>
  <c r="F16" i="4"/>
  <c r="C16" i="4"/>
  <c r="C33" i="4" s="1"/>
  <c r="E35" i="4"/>
  <c r="E27" i="4" s="1"/>
  <c r="E36" i="4"/>
  <c r="E28" i="4" s="1"/>
  <c r="E37" i="4"/>
  <c r="E29" i="4" s="1"/>
  <c r="E38" i="4"/>
  <c r="E30" i="4" s="1"/>
  <c r="E33" i="4" s="1"/>
  <c r="F15" i="3"/>
  <c r="F20" i="4"/>
  <c r="F30" i="4" s="1"/>
  <c r="F32" i="4" s="1"/>
  <c r="H16" i="4"/>
  <c r="H33" i="4" s="1"/>
  <c r="D16" i="4"/>
  <c r="C20" i="4"/>
  <c r="E17" i="6" l="1"/>
  <c r="G17" i="6" s="1"/>
  <c r="E15" i="6"/>
  <c r="G15" i="6" s="1"/>
  <c r="E16" i="6"/>
  <c r="G16" i="6" s="1"/>
  <c r="H13" i="3"/>
  <c r="G10" i="3"/>
  <c r="G6" i="3"/>
  <c r="G13" i="3"/>
  <c r="H8" i="3"/>
  <c r="H14" i="3"/>
  <c r="G9" i="3"/>
  <c r="H6" i="3"/>
  <c r="G14" i="3"/>
  <c r="G8" i="3"/>
  <c r="H10" i="3"/>
  <c r="G11" i="3"/>
  <c r="G7" i="3"/>
  <c r="H7" i="3"/>
  <c r="D34" i="4"/>
  <c r="F34" i="4"/>
  <c r="D33" i="4"/>
  <c r="G12" i="3"/>
  <c r="E32" i="4"/>
  <c r="E34" i="4"/>
  <c r="H11" i="3"/>
  <c r="G17" i="7"/>
  <c r="F19" i="7" s="1"/>
  <c r="C32" i="4"/>
  <c r="F33" i="4"/>
  <c r="H9" i="3"/>
  <c r="H15" i="3" l="1"/>
  <c r="G19" i="6"/>
  <c r="F21" i="6" s="1"/>
</calcChain>
</file>

<file path=xl/sharedStrings.xml><?xml version="1.0" encoding="utf-8"?>
<sst xmlns="http://schemas.openxmlformats.org/spreadsheetml/2006/main" count="187" uniqueCount="124">
  <si>
    <t>RXNS.XLS</t>
  </si>
  <si>
    <t>This workbook has three worksheets for examples worked in the textbook.</t>
  </si>
  <si>
    <t>DUALRXN</t>
  </si>
  <si>
    <t>Illustration of worksheet using solver for two simultaneous reactions.</t>
  </si>
  <si>
    <t>GIBBSMIN</t>
  </si>
  <si>
    <t>Illustration of multireaction equilibria using minimization of Gibbs Energy</t>
  </si>
  <si>
    <t>SMPRXN</t>
  </si>
  <si>
    <t>Two simultaneous reactions with phase equilibria.</t>
  </si>
  <si>
    <t>These worksheets are protected to prevent accidental modification.</t>
  </si>
  <si>
    <t>You must unprotect before using solver. (Tools... Protection... Unprotect...)</t>
  </si>
  <si>
    <t>For use with "An Introduction to Applied Thermodynamics" by J.R. Elliott, C.T. Lira</t>
  </si>
  <si>
    <t>www.egr.msu.edu/~lira/thermtxt.htm</t>
  </si>
  <si>
    <t>Sample solution of two simultaneous reactions:</t>
  </si>
  <si>
    <r>
      <t>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OH = CO+2H</t>
    </r>
    <r>
      <rPr>
        <vertAlign val="subscript"/>
        <sz val="12"/>
        <rFont val="Arial"/>
        <family val="2"/>
      </rPr>
      <t>2</t>
    </r>
  </si>
  <si>
    <r>
      <t>2CH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OH = 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+H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</si>
  <si>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(Details of input equations described in text by Elliott and Lira)</t>
  </si>
  <si>
    <t>T(K)</t>
  </si>
  <si>
    <r>
      <t>K</t>
    </r>
    <r>
      <rPr>
        <b/>
        <vertAlign val="subscript"/>
        <sz val="12"/>
        <rFont val="Arial"/>
        <family val="2"/>
      </rPr>
      <t>a1</t>
    </r>
  </si>
  <si>
    <r>
      <t>K</t>
    </r>
    <r>
      <rPr>
        <b/>
        <vertAlign val="subscript"/>
        <sz val="12"/>
        <rFont val="Arial"/>
        <family val="2"/>
      </rPr>
      <t>a2</t>
    </r>
  </si>
  <si>
    <r>
      <t>x</t>
    </r>
    <r>
      <rPr>
        <b/>
        <vertAlign val="subscript"/>
        <sz val="12"/>
        <rFont val="Arial"/>
        <family val="2"/>
      </rPr>
      <t>1</t>
    </r>
  </si>
  <si>
    <r>
      <t>x</t>
    </r>
    <r>
      <rPr>
        <b/>
        <vertAlign val="subscript"/>
        <sz val="12"/>
        <rFont val="Arial"/>
        <family val="2"/>
      </rPr>
      <t>2</t>
    </r>
  </si>
  <si>
    <r>
      <t>y</t>
    </r>
    <r>
      <rPr>
        <b/>
        <vertAlign val="subscript"/>
        <sz val="12"/>
        <rFont val="Arial"/>
        <family val="2"/>
      </rPr>
      <t>1</t>
    </r>
  </si>
  <si>
    <r>
      <t>y</t>
    </r>
    <r>
      <rPr>
        <b/>
        <vertAlign val="subscript"/>
        <sz val="12"/>
        <rFont val="Arial"/>
        <family val="2"/>
      </rPr>
      <t>2</t>
    </r>
  </si>
  <si>
    <r>
      <t>y</t>
    </r>
    <r>
      <rPr>
        <b/>
        <vertAlign val="subscript"/>
        <sz val="12"/>
        <rFont val="Arial"/>
        <family val="2"/>
      </rPr>
      <t>3</t>
    </r>
  </si>
  <si>
    <r>
      <t>y</t>
    </r>
    <r>
      <rPr>
        <b/>
        <vertAlign val="subscript"/>
        <sz val="12"/>
        <rFont val="Arial"/>
        <family val="2"/>
      </rPr>
      <t>4</t>
    </r>
  </si>
  <si>
    <r>
      <t>y</t>
    </r>
    <r>
      <rPr>
        <b/>
        <vertAlign val="subscript"/>
        <sz val="12"/>
        <rFont val="Arial"/>
        <family val="2"/>
      </rPr>
      <t>5</t>
    </r>
  </si>
  <si>
    <t>Objective Functions</t>
  </si>
  <si>
    <t>err1</t>
  </si>
  <si>
    <t>err2</t>
  </si>
  <si>
    <r>
      <t xml:space="preserve">Values for </t>
    </r>
    <r>
      <rPr>
        <sz val="12"/>
        <rFont val="Symbol"/>
        <family val="1"/>
        <charset val="2"/>
      </rPr>
      <t>D</t>
    </r>
    <r>
      <rPr>
        <sz val="12"/>
        <rFont val="Arial"/>
        <family val="2"/>
      </rPr>
      <t>G</t>
    </r>
    <r>
      <rPr>
        <vertAlign val="subscript"/>
        <sz val="12"/>
        <rFont val="Arial"/>
        <family val="2"/>
      </rPr>
      <t>f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/RT are determined by using Kcalc.xls at 1000 K prior to</t>
    </r>
  </si>
  <si>
    <t>using this spreadsheet.</t>
  </si>
  <si>
    <r>
      <t>G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/RT</t>
    </r>
  </si>
  <si>
    <t>moles</t>
  </si>
  <si>
    <t>1000 K</t>
  </si>
  <si>
    <r>
      <t>log(n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)</t>
    </r>
  </si>
  <si>
    <r>
      <t>n</t>
    </r>
    <r>
      <rPr>
        <b/>
        <vertAlign val="subscript"/>
        <sz val="12"/>
        <rFont val="Arial"/>
        <family val="2"/>
      </rPr>
      <t>i</t>
    </r>
  </si>
  <si>
    <r>
      <t>y</t>
    </r>
    <r>
      <rPr>
        <b/>
        <vertAlign val="subscript"/>
        <sz val="12"/>
        <rFont val="Arial"/>
        <family val="2"/>
      </rPr>
      <t>i</t>
    </r>
  </si>
  <si>
    <r>
      <t>n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(</t>
    </r>
    <r>
      <rPr>
        <b/>
        <sz val="12"/>
        <rFont val="Arial"/>
        <family val="2"/>
      </rPr>
      <t>G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/RT+lny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)</t>
    </r>
  </si>
  <si>
    <r>
      <t>CH</t>
    </r>
    <r>
      <rPr>
        <vertAlign val="subscript"/>
        <sz val="12"/>
        <rFont val="Arial"/>
        <family val="2"/>
      </rPr>
      <t>4</t>
    </r>
  </si>
  <si>
    <r>
      <t>C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H</t>
    </r>
    <r>
      <rPr>
        <vertAlign val="subscript"/>
        <sz val="12"/>
        <rFont val="Arial"/>
        <family val="2"/>
      </rPr>
      <t>4</t>
    </r>
  </si>
  <si>
    <r>
      <t>C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H</t>
    </r>
    <r>
      <rPr>
        <vertAlign val="subscript"/>
        <sz val="12"/>
        <rFont val="Arial"/>
        <family val="2"/>
      </rPr>
      <t>2</t>
    </r>
  </si>
  <si>
    <r>
      <t>CO</t>
    </r>
    <r>
      <rPr>
        <vertAlign val="subscript"/>
        <sz val="12"/>
        <rFont val="Arial"/>
        <family val="2"/>
      </rPr>
      <t>2</t>
    </r>
  </si>
  <si>
    <t>CO</t>
  </si>
  <si>
    <r>
      <t>O</t>
    </r>
    <r>
      <rPr>
        <vertAlign val="subscript"/>
        <sz val="12"/>
        <rFont val="Arial"/>
        <family val="2"/>
      </rPr>
      <t>2</t>
    </r>
  </si>
  <si>
    <r>
      <t>H</t>
    </r>
    <r>
      <rPr>
        <vertAlign val="subscript"/>
        <sz val="12"/>
        <rFont val="Arial"/>
        <family val="2"/>
      </rPr>
      <t>2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</si>
  <si>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</si>
  <si>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C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H</t>
    </r>
    <r>
      <rPr>
        <vertAlign val="subscript"/>
        <sz val="12"/>
        <rFont val="Arial"/>
        <family val="2"/>
      </rPr>
      <t>6</t>
    </r>
  </si>
  <si>
    <t>Total</t>
  </si>
  <si>
    <t>Balances</t>
  </si>
  <si>
    <t>O-bal</t>
  </si>
  <si>
    <t>H-bal</t>
  </si>
  <si>
    <t>C-bal</t>
  </si>
  <si>
    <t>Sample solution of two simultaneous reactions with VLE:</t>
  </si>
  <si>
    <t xml:space="preserve">This system corresponds to the equilibrium analysis of the "Solvent </t>
  </si>
  <si>
    <t xml:space="preserve"> Methanol Process" (cf. Krishnan et al., IEC Res., 30:1413, 1991)</t>
  </si>
  <si>
    <r>
      <t>CO+2H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= 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OH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</si>
  <si>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+3H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=CH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OH+H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</si>
  <si>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Species ID:</t>
  </si>
  <si>
    <t xml:space="preserve">Moles fed: </t>
  </si>
  <si>
    <t>MeOH</t>
  </si>
  <si>
    <t>TOTAL</t>
  </si>
  <si>
    <t>(excl. solv.)</t>
  </si>
  <si>
    <t>P(bar)</t>
  </si>
  <si>
    <r>
      <t>Ka</t>
    </r>
    <r>
      <rPr>
        <b/>
        <vertAlign val="subscript"/>
        <sz val="12"/>
        <rFont val="Arial"/>
        <family val="2"/>
      </rPr>
      <t>1</t>
    </r>
  </si>
  <si>
    <r>
      <t>Ka</t>
    </r>
    <r>
      <rPr>
        <b/>
        <vertAlign val="subscript"/>
        <sz val="12"/>
        <rFont val="Arial"/>
        <family val="2"/>
      </rPr>
      <t>2</t>
    </r>
  </si>
  <si>
    <r>
      <t>K</t>
    </r>
    <r>
      <rPr>
        <b/>
        <vertAlign val="subscript"/>
        <sz val="12"/>
        <rFont val="Arial"/>
        <family val="2"/>
      </rPr>
      <t>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</si>
  <si>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</si>
  <si>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</t>
    </r>
    <r>
      <rPr>
        <b/>
        <vertAlign val="subscript"/>
        <sz val="12"/>
        <rFont val="Arial"/>
        <family val="2"/>
      </rPr>
      <t>3</t>
    </r>
  </si>
  <si>
    <r>
      <t>K</t>
    </r>
    <r>
      <rPr>
        <b/>
        <vertAlign val="subscript"/>
        <sz val="12"/>
        <rFont val="Arial"/>
        <family val="2"/>
      </rPr>
      <t>4</t>
    </r>
  </si>
  <si>
    <r>
      <t>K</t>
    </r>
    <r>
      <rPr>
        <b/>
        <vertAlign val="subscript"/>
        <sz val="12"/>
        <rFont val="Arial"/>
        <family val="2"/>
      </rPr>
      <t>5</t>
    </r>
  </si>
  <si>
    <r>
      <t>K</t>
    </r>
    <r>
      <rPr>
        <b/>
        <vertAlign val="subscript"/>
        <sz val="12"/>
        <rFont val="Arial"/>
        <family val="2"/>
      </rPr>
      <t>6</t>
    </r>
  </si>
  <si>
    <t>L/F</t>
  </si>
  <si>
    <t>moles solv</t>
  </si>
  <si>
    <r>
      <t>S</t>
    </r>
    <r>
      <rPr>
        <b/>
        <sz val="12"/>
        <rFont val="Arial"/>
        <family val="2"/>
      </rPr>
      <t>(y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>)</t>
    </r>
  </si>
  <si>
    <r>
      <t>z</t>
    </r>
    <r>
      <rPr>
        <b/>
        <vertAlign val="subscript"/>
        <sz val="12"/>
        <rFont val="Arial"/>
        <family val="2"/>
      </rPr>
      <t>1</t>
    </r>
  </si>
  <si>
    <r>
      <t>z</t>
    </r>
    <r>
      <rPr>
        <b/>
        <vertAlign val="subscript"/>
        <sz val="12"/>
        <rFont val="Arial"/>
        <family val="2"/>
      </rPr>
      <t>2</t>
    </r>
  </si>
  <si>
    <r>
      <t>z</t>
    </r>
    <r>
      <rPr>
        <b/>
        <vertAlign val="subscript"/>
        <sz val="12"/>
        <rFont val="Arial"/>
        <family val="2"/>
      </rPr>
      <t>3</t>
    </r>
  </si>
  <si>
    <r>
      <t>z</t>
    </r>
    <r>
      <rPr>
        <b/>
        <vertAlign val="subscript"/>
        <sz val="12"/>
        <rFont val="Arial"/>
        <family val="2"/>
      </rPr>
      <t>4</t>
    </r>
  </si>
  <si>
    <r>
      <t>z</t>
    </r>
    <r>
      <rPr>
        <b/>
        <vertAlign val="subscript"/>
        <sz val="12"/>
        <rFont val="Arial"/>
        <family val="2"/>
      </rPr>
      <t>5</t>
    </r>
  </si>
  <si>
    <t>Adiabatic Synthesis of Ammonia</t>
  </si>
  <si>
    <t>Protected without a password</t>
  </si>
  <si>
    <t>Feed Temperature (K)</t>
  </si>
  <si>
    <t>Outlet Temperature(K)</t>
  </si>
  <si>
    <t>Heat Capacity Constants</t>
  </si>
  <si>
    <t>a</t>
  </si>
  <si>
    <t>b</t>
  </si>
  <si>
    <t>c</t>
  </si>
  <si>
    <t>d</t>
  </si>
  <si>
    <t>J/mol</t>
  </si>
  <si>
    <t>H2</t>
  </si>
  <si>
    <t>N2</t>
  </si>
  <si>
    <t>NH3</t>
  </si>
  <si>
    <t>M</t>
  </si>
  <si>
    <t>x</t>
  </si>
  <si>
    <t>Inlet</t>
  </si>
  <si>
    <t>Outlet</t>
  </si>
  <si>
    <t>H(J/mol)</t>
  </si>
  <si>
    <t>totals</t>
  </si>
  <si>
    <t>J</t>
  </si>
  <si>
    <t>Use solver to set value of Balance to zero by adjusting Feed Temperature, Outlet Temperature, or P.</t>
  </si>
  <si>
    <r>
      <t>K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at reaction T</t>
    </r>
  </si>
  <si>
    <r>
      <t xml:space="preserve">Balance(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in</t>
    </r>
    <r>
      <rPr>
        <sz val="10"/>
        <rFont val="Arial"/>
        <family val="2"/>
      </rPr>
      <t>n</t>
    </r>
    <r>
      <rPr>
        <vertAlign val="superscript"/>
        <sz val="10"/>
        <rFont val="Arial"/>
        <family val="2"/>
      </rPr>
      <t>in</t>
    </r>
    <r>
      <rPr>
        <sz val="10"/>
        <rFont val="Arial"/>
        <family val="2"/>
      </rPr>
      <t>-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out</t>
    </r>
    <r>
      <rPr>
        <sz val="10"/>
        <rFont val="Arial"/>
        <family val="2"/>
      </rPr>
      <t>n</t>
    </r>
    <r>
      <rPr>
        <vertAlign val="superscript"/>
        <sz val="10"/>
        <rFont val="Arial"/>
        <family val="2"/>
      </rPr>
      <t>out</t>
    </r>
    <r>
      <rPr>
        <sz val="10"/>
        <rFont val="Arial"/>
        <family val="2"/>
      </rPr>
      <t>-</t>
    </r>
    <r>
      <rPr>
        <sz val="10"/>
        <rFont val="Symbol"/>
        <family val="1"/>
        <charset val="2"/>
      </rPr>
      <t>x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H)=</t>
    </r>
  </si>
  <si>
    <r>
      <t xml:space="preserve">NOTE: The inlet moles cannot be changed without recalulating a formula for </t>
    </r>
    <r>
      <rPr>
        <b/>
        <sz val="10"/>
        <rFont val="Symbol"/>
        <family val="1"/>
        <charset val="2"/>
      </rPr>
      <t>x</t>
    </r>
  </si>
  <si>
    <t>RXNADIA</t>
  </si>
  <si>
    <t>Solves the energy balance for the adiabatic reaction of ammonia.</t>
  </si>
  <si>
    <r>
      <t>D</t>
    </r>
    <r>
      <rPr>
        <sz val="12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  <r>
      <rPr>
        <sz val="10"/>
        <rFont val="Arial"/>
        <family val="2"/>
      </rPr>
      <t xml:space="preserve"> </t>
    </r>
  </si>
  <si>
    <r>
      <t>D</t>
    </r>
    <r>
      <rPr>
        <sz val="12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</si>
  <si>
    <t>(kJ/mol)</t>
  </si>
  <si>
    <t>Standard State Hrxn(298)</t>
  </si>
  <si>
    <t>Ka (298.15)</t>
  </si>
  <si>
    <t>D</t>
  </si>
  <si>
    <t>I</t>
  </si>
  <si>
    <r>
      <t>ln[K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(T)]</t>
    </r>
  </si>
  <si>
    <t>kJ/mol</t>
  </si>
  <si>
    <r>
      <t>T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(K)</t>
    </r>
  </si>
  <si>
    <t>K</t>
  </si>
  <si>
    <r>
      <t>Standard State Hrxn(T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</si>
  <si>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r>
      <t>Ka (T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</si>
  <si>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(Details of input equations described in text by Elliott and Lira.)</t>
  </si>
  <si>
    <t>Moles</t>
  </si>
  <si>
    <t>Fed</t>
  </si>
  <si>
    <t>Copyright 1996-2012, Richard Elliott, Carl Lira</t>
  </si>
  <si>
    <t>version 1.01 4/10/12, update RXNADIA-shortcut TR for E-balance</t>
  </si>
  <si>
    <t>version 1.01 4/12/12 update TR in energy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</si>
</sst>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3" x14ac:knownFonts="1"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vertAlign val="subscript"/>
      <sz val="12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2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vertAlign val="superscript"/>
      <sz val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9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1" xfId="0" applyFill="1" applyBorder="1" applyAlignment="1">
      <alignment horizontal="left"/>
    </xf>
    <xf numFmtId="166" fontId="0" fillId="0" borderId="3" xfId="0" applyNumberFormat="1" applyFill="1" applyBorder="1" applyAlignment="1"/>
    <xf numFmtId="0" fontId="5" fillId="0" borderId="3" xfId="0" applyFont="1" applyFill="1" applyBorder="1" applyAlignment="1">
      <alignment horizontal="left"/>
    </xf>
    <xf numFmtId="165" fontId="0" fillId="0" borderId="3" xfId="0" applyNumberFormat="1" applyFill="1" applyBorder="1" applyAlignment="1"/>
    <xf numFmtId="0" fontId="5" fillId="0" borderId="4" xfId="0" applyFont="1" applyFill="1" applyBorder="1" applyAlignment="1">
      <alignment horizontal="left"/>
    </xf>
    <xf numFmtId="165" fontId="0" fillId="0" borderId="4" xfId="0" applyNumberFormat="1" applyFill="1" applyBorder="1" applyAlignment="1"/>
    <xf numFmtId="165" fontId="0" fillId="0" borderId="5" xfId="0" applyNumberFormat="1" applyFill="1" applyBorder="1" applyAlignment="1"/>
    <xf numFmtId="0" fontId="5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/>
    <xf numFmtId="166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3" fillId="0" borderId="0" xfId="1" applyFont="1"/>
    <xf numFmtId="0" fontId="13" fillId="0" borderId="6" xfId="1" applyFont="1" applyBorder="1"/>
    <xf numFmtId="0" fontId="13" fillId="0" borderId="7" xfId="1" applyFont="1" applyBorder="1"/>
    <xf numFmtId="0" fontId="14" fillId="0" borderId="8" xfId="1" applyFont="1" applyBorder="1" applyProtection="1">
      <protection locked="0"/>
    </xf>
    <xf numFmtId="0" fontId="13" fillId="0" borderId="0" xfId="1" applyFont="1" applyProtection="1"/>
    <xf numFmtId="0" fontId="13" fillId="0" borderId="9" xfId="1" applyFont="1" applyBorder="1"/>
    <xf numFmtId="0" fontId="13" fillId="0" borderId="0" xfId="1" applyFont="1" applyBorder="1"/>
    <xf numFmtId="0" fontId="14" fillId="0" borderId="10" xfId="1" applyFont="1" applyBorder="1" applyProtection="1">
      <protection locked="0"/>
    </xf>
    <xf numFmtId="0" fontId="13" fillId="0" borderId="11" xfId="1" applyFont="1" applyBorder="1"/>
    <xf numFmtId="0" fontId="13" fillId="0" borderId="5" xfId="1" applyFont="1" applyBorder="1"/>
    <xf numFmtId="0" fontId="14" fillId="0" borderId="12" xfId="1" applyFont="1" applyBorder="1" applyProtection="1">
      <protection locked="0"/>
    </xf>
    <xf numFmtId="0" fontId="15" fillId="0" borderId="13" xfId="1" applyFont="1" applyFill="1" applyBorder="1" applyAlignment="1" applyProtection="1">
      <alignment horizontal="center"/>
    </xf>
    <xf numFmtId="0" fontId="15" fillId="0" borderId="3" xfId="1" applyFont="1" applyFill="1" applyBorder="1" applyAlignment="1" applyProtection="1">
      <alignment horizontal="center"/>
    </xf>
    <xf numFmtId="0" fontId="15" fillId="0" borderId="14" xfId="1" applyFont="1" applyFill="1" applyBorder="1" applyAlignment="1" applyProtection="1">
      <alignment horizontal="center"/>
    </xf>
    <xf numFmtId="0" fontId="13" fillId="0" borderId="6" xfId="1" applyFont="1" applyBorder="1" applyProtection="1"/>
    <xf numFmtId="0" fontId="13" fillId="0" borderId="7" xfId="1" applyFont="1" applyBorder="1" applyProtection="1"/>
    <xf numFmtId="0" fontId="13" fillId="0" borderId="8" xfId="1" applyFont="1" applyBorder="1" applyProtection="1"/>
    <xf numFmtId="0" fontId="13" fillId="0" borderId="9" xfId="1" applyFont="1" applyFill="1" applyBorder="1" applyAlignment="1" applyProtection="1"/>
    <xf numFmtId="0" fontId="13" fillId="0" borderId="9" xfId="1" applyFont="1" applyBorder="1" applyProtection="1"/>
    <xf numFmtId="0" fontId="13" fillId="0" borderId="0" xfId="1" applyFont="1" applyBorder="1" applyProtection="1"/>
    <xf numFmtId="0" fontId="13" fillId="0" borderId="10" xfId="1" applyFont="1" applyBorder="1" applyProtection="1"/>
    <xf numFmtId="11" fontId="13" fillId="0" borderId="0" xfId="1" applyNumberFormat="1" applyFont="1" applyFill="1" applyBorder="1" applyAlignment="1" applyProtection="1"/>
    <xf numFmtId="11" fontId="13" fillId="0" borderId="10" xfId="1" applyNumberFormat="1" applyFont="1" applyFill="1" applyBorder="1" applyAlignment="1" applyProtection="1"/>
    <xf numFmtId="0" fontId="13" fillId="0" borderId="11" xfId="1" applyFont="1" applyBorder="1" applyProtection="1"/>
    <xf numFmtId="0" fontId="13" fillId="0" borderId="5" xfId="1" applyFont="1" applyBorder="1" applyProtection="1"/>
    <xf numFmtId="0" fontId="13" fillId="0" borderId="12" xfId="1" applyFont="1" applyBorder="1" applyProtection="1"/>
    <xf numFmtId="0" fontId="13" fillId="0" borderId="11" xfId="1" applyFont="1" applyFill="1" applyBorder="1" applyAlignment="1" applyProtection="1"/>
    <xf numFmtId="11" fontId="13" fillId="0" borderId="5" xfId="1" applyNumberFormat="1" applyFont="1" applyFill="1" applyBorder="1" applyAlignment="1" applyProtection="1"/>
    <xf numFmtId="11" fontId="13" fillId="0" borderId="12" xfId="1" applyNumberFormat="1" applyFont="1" applyFill="1" applyBorder="1" applyAlignment="1" applyProtection="1"/>
    <xf numFmtId="0" fontId="13" fillId="0" borderId="13" xfId="1" applyFont="1" applyBorder="1" applyProtection="1"/>
    <xf numFmtId="0" fontId="13" fillId="0" borderId="3" xfId="1" applyFont="1" applyBorder="1" applyProtection="1"/>
    <xf numFmtId="0" fontId="17" fillId="0" borderId="3" xfId="1" applyFont="1" applyBorder="1" applyProtection="1"/>
    <xf numFmtId="0" fontId="13" fillId="0" borderId="14" xfId="1" applyFont="1" applyBorder="1" applyProtection="1"/>
    <xf numFmtId="0" fontId="13" fillId="0" borderId="15" xfId="1" applyFont="1" applyBorder="1" applyProtection="1"/>
    <xf numFmtId="0" fontId="13" fillId="0" borderId="16" xfId="1" applyFont="1" applyBorder="1" applyProtection="1"/>
    <xf numFmtId="0" fontId="13" fillId="0" borderId="17" xfId="1" applyFont="1" applyBorder="1" applyProtection="1"/>
    <xf numFmtId="0" fontId="13" fillId="0" borderId="18" xfId="1" applyFont="1" applyBorder="1" applyProtection="1"/>
    <xf numFmtId="0" fontId="13" fillId="0" borderId="19" xfId="1" applyFont="1" applyBorder="1" applyProtection="1"/>
    <xf numFmtId="0" fontId="13" fillId="0" borderId="20" xfId="1" applyFont="1" applyBorder="1" applyProtection="1"/>
    <xf numFmtId="0" fontId="20" fillId="0" borderId="0" xfId="1" applyFont="1" applyProtection="1"/>
    <xf numFmtId="0" fontId="9" fillId="0" borderId="0" xfId="1" applyFont="1"/>
    <xf numFmtId="0" fontId="0" fillId="0" borderId="0" xfId="0" applyNumberFormat="1"/>
    <xf numFmtId="11" fontId="0" fillId="0" borderId="0" xfId="0" applyNumberFormat="1"/>
    <xf numFmtId="0" fontId="17" fillId="0" borderId="0" xfId="0" applyFont="1" applyBorder="1"/>
    <xf numFmtId="0" fontId="17" fillId="0" borderId="0" xfId="1" applyFont="1" applyProtection="1"/>
    <xf numFmtId="11" fontId="13" fillId="0" borderId="0" xfId="1" applyNumberFormat="1" applyFont="1" applyProtection="1"/>
    <xf numFmtId="0" fontId="13" fillId="0" borderId="0" xfId="1" applyNumberFormat="1" applyFont="1" applyProtection="1"/>
    <xf numFmtId="0" fontId="22" fillId="0" borderId="5" xfId="0" applyFont="1" applyBorder="1"/>
    <xf numFmtId="0" fontId="22" fillId="0" borderId="3" xfId="0" applyFont="1" applyBorder="1"/>
    <xf numFmtId="0" fontId="13" fillId="0" borderId="0" xfId="0" applyFont="1"/>
    <xf numFmtId="0" fontId="2" fillId="0" borderId="0" xfId="0" applyFont="1"/>
    <xf numFmtId="2" fontId="13" fillId="0" borderId="8" xfId="1" applyNumberFormat="1" applyFont="1" applyBorder="1" applyProtection="1"/>
    <xf numFmtId="2" fontId="13" fillId="0" borderId="10" xfId="1" applyNumberFormat="1" applyFont="1" applyBorder="1" applyProtection="1"/>
    <xf numFmtId="2" fontId="13" fillId="0" borderId="12" xfId="1" applyNumberFormat="1" applyFont="1" applyBorder="1" applyProtection="1"/>
    <xf numFmtId="11" fontId="13" fillId="0" borderId="0" xfId="1" applyNumberFormat="1" applyFont="1"/>
    <xf numFmtId="11" fontId="13" fillId="0" borderId="10" xfId="1" applyNumberFormat="1" applyFont="1" applyBorder="1"/>
    <xf numFmtId="0" fontId="13" fillId="0" borderId="3" xfId="0" applyFont="1" applyBorder="1"/>
    <xf numFmtId="0" fontId="13" fillId="0" borderId="10" xfId="1" applyFont="1" applyBorder="1"/>
    <xf numFmtId="0" fontId="13" fillId="0" borderId="0" xfId="1" applyFont="1" applyFill="1" applyBorder="1" applyAlignment="1" applyProtection="1"/>
    <xf numFmtId="0" fontId="13" fillId="0" borderId="5" xfId="0" applyFont="1" applyBorder="1"/>
  </cellXfs>
  <cellStyles count="2">
    <cellStyle name="Normal" xfId="0" builtinId="0"/>
    <cellStyle name="Normal_RXNADIA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showGridLines="0" tabSelected="1" zoomScaleNormal="100" workbookViewId="0">
      <selection activeCell="B23" sqref="B23"/>
    </sheetView>
  </sheetViews>
  <sheetFormatPr defaultRowHeight="15" x14ac:dyDescent="0.2"/>
  <cols>
    <col min="2" max="2" width="14" customWidth="1"/>
  </cols>
  <sheetData>
    <row r="2" spans="2:3" ht="23.25" x14ac:dyDescent="0.35">
      <c r="B2" s="3" t="s">
        <v>0</v>
      </c>
    </row>
    <row r="5" spans="2:3" x14ac:dyDescent="0.2">
      <c r="B5" t="s">
        <v>1</v>
      </c>
    </row>
    <row r="7" spans="2:3" x14ac:dyDescent="0.2">
      <c r="B7" t="s">
        <v>103</v>
      </c>
      <c r="C7" s="73" t="s">
        <v>104</v>
      </c>
    </row>
    <row r="9" spans="2:3" x14ac:dyDescent="0.2">
      <c r="B9" t="s">
        <v>2</v>
      </c>
      <c r="C9" t="s">
        <v>3</v>
      </c>
    </row>
    <row r="11" spans="2:3" x14ac:dyDescent="0.2">
      <c r="B11" t="s">
        <v>4</v>
      </c>
      <c r="C11" t="s">
        <v>5</v>
      </c>
    </row>
    <row r="13" spans="2:3" x14ac:dyDescent="0.2">
      <c r="B13" t="s">
        <v>6</v>
      </c>
      <c r="C13" t="s">
        <v>7</v>
      </c>
    </row>
    <row r="15" spans="2:3" x14ac:dyDescent="0.2">
      <c r="B15" t="s">
        <v>8</v>
      </c>
    </row>
    <row r="16" spans="2:3" x14ac:dyDescent="0.2">
      <c r="B16" t="s">
        <v>9</v>
      </c>
    </row>
    <row r="19" spans="2:2" x14ac:dyDescent="0.2">
      <c r="B19" s="83" t="s">
        <v>121</v>
      </c>
    </row>
    <row r="20" spans="2:2" x14ac:dyDescent="0.2">
      <c r="B20" t="s">
        <v>10</v>
      </c>
    </row>
    <row r="21" spans="2:2" x14ac:dyDescent="0.2">
      <c r="B21" t="s">
        <v>11</v>
      </c>
    </row>
    <row r="23" spans="2:2" x14ac:dyDescent="0.2">
      <c r="B23" s="83" t="s">
        <v>122</v>
      </c>
    </row>
  </sheetData>
  <sheetProtection sheet="1" objects="1" scenarios="1"/>
  <phoneticPr fontId="21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Normal="100" workbookViewId="0">
      <selection activeCell="D3" sqref="D3"/>
    </sheetView>
  </sheetViews>
  <sheetFormatPr defaultColWidth="7.109375" defaultRowHeight="12.75" x14ac:dyDescent="0.2"/>
  <cols>
    <col min="1" max="5" width="7.109375" style="33" customWidth="1"/>
    <col min="6" max="6" width="8.33203125" style="33" customWidth="1"/>
    <col min="7" max="7" width="7.109375" style="33" customWidth="1"/>
    <col min="8" max="8" width="7.6640625" style="33" customWidth="1"/>
    <col min="9" max="9" width="8" style="33" customWidth="1"/>
    <col min="10" max="10" width="7.77734375" style="33" customWidth="1"/>
    <col min="11" max="11" width="8.21875" style="33" customWidth="1"/>
    <col min="12" max="12" width="8.88671875" style="33" customWidth="1"/>
    <col min="13" max="16384" width="7.109375" style="33"/>
  </cols>
  <sheetData>
    <row r="1" spans="1:12" x14ac:dyDescent="0.2">
      <c r="A1" s="33" t="s">
        <v>79</v>
      </c>
      <c r="E1" s="33" t="s">
        <v>80</v>
      </c>
    </row>
    <row r="2" spans="1:12" x14ac:dyDescent="0.2">
      <c r="A2" s="34" t="s">
        <v>81</v>
      </c>
      <c r="B2" s="35"/>
      <c r="C2" s="35"/>
      <c r="D2" s="36">
        <v>400</v>
      </c>
      <c r="E2" s="37"/>
      <c r="F2" s="37"/>
      <c r="G2" s="37"/>
      <c r="H2" s="37"/>
      <c r="I2" s="37"/>
    </row>
    <row r="3" spans="1:12" ht="16.5" x14ac:dyDescent="0.3">
      <c r="A3" s="38" t="s">
        <v>82</v>
      </c>
      <c r="B3" s="39"/>
      <c r="C3" s="39"/>
      <c r="D3" s="40">
        <v>699.0700402176401</v>
      </c>
      <c r="E3" s="37"/>
      <c r="G3" s="76" t="s">
        <v>105</v>
      </c>
      <c r="H3" s="76" t="s">
        <v>106</v>
      </c>
      <c r="I3" s="37" t="s">
        <v>83</v>
      </c>
    </row>
    <row r="4" spans="1:12" x14ac:dyDescent="0.2">
      <c r="A4" s="41" t="s">
        <v>62</v>
      </c>
      <c r="B4" s="42"/>
      <c r="C4" s="42"/>
      <c r="D4" s="43">
        <v>100</v>
      </c>
      <c r="E4" s="58"/>
      <c r="F4" s="44"/>
      <c r="G4" s="89" t="s">
        <v>107</v>
      </c>
      <c r="H4" s="89" t="s">
        <v>107</v>
      </c>
      <c r="I4" s="45" t="s">
        <v>84</v>
      </c>
      <c r="J4" s="45" t="s">
        <v>85</v>
      </c>
      <c r="K4" s="45" t="s">
        <v>86</v>
      </c>
      <c r="L4" s="46" t="s">
        <v>87</v>
      </c>
    </row>
    <row r="5" spans="1:12" ht="15.75" x14ac:dyDescent="0.3">
      <c r="A5" s="51" t="s">
        <v>114</v>
      </c>
      <c r="B5" s="39"/>
      <c r="C5" s="39"/>
      <c r="D5" s="39">
        <v>600</v>
      </c>
      <c r="E5" s="90" t="s">
        <v>115</v>
      </c>
      <c r="F5" s="91" t="s">
        <v>89</v>
      </c>
      <c r="G5" s="33">
        <v>0</v>
      </c>
      <c r="H5" s="33">
        <v>0</v>
      </c>
      <c r="I5" s="87">
        <v>27.14</v>
      </c>
      <c r="J5" s="87">
        <v>9.2739999999999993E-3</v>
      </c>
      <c r="K5" s="87">
        <v>-1.381E-5</v>
      </c>
      <c r="L5" s="88">
        <v>7.645E-9</v>
      </c>
    </row>
    <row r="6" spans="1:12" ht="15.75" x14ac:dyDescent="0.3">
      <c r="A6" s="51" t="s">
        <v>116</v>
      </c>
      <c r="B6" s="52"/>
      <c r="C6" s="52"/>
      <c r="D6" s="52">
        <v>-51413</v>
      </c>
      <c r="E6" s="53" t="s">
        <v>88</v>
      </c>
      <c r="F6" s="91" t="s">
        <v>90</v>
      </c>
      <c r="G6" s="82">
        <v>0</v>
      </c>
      <c r="H6" s="82">
        <v>0</v>
      </c>
      <c r="I6" s="54">
        <v>31.15</v>
      </c>
      <c r="J6" s="54">
        <v>-1.357E-2</v>
      </c>
      <c r="K6" s="54">
        <v>2.6800000000000001E-5</v>
      </c>
      <c r="L6" s="55">
        <v>-1.1679999999999999E-8</v>
      </c>
    </row>
    <row r="7" spans="1:12" ht="15.75" x14ac:dyDescent="0.3">
      <c r="A7" s="51" t="s">
        <v>117</v>
      </c>
      <c r="B7" s="52"/>
      <c r="C7" s="52"/>
      <c r="D7" s="52">
        <v>4.1765900000000002E-2</v>
      </c>
      <c r="E7" s="53"/>
      <c r="F7" s="59" t="s">
        <v>91</v>
      </c>
      <c r="G7" s="92">
        <v>-45.94</v>
      </c>
      <c r="H7" s="92">
        <v>-16.401299999999999</v>
      </c>
      <c r="I7" s="60">
        <v>27.31</v>
      </c>
      <c r="J7" s="60">
        <v>2.383E-2</v>
      </c>
      <c r="K7" s="60">
        <v>1.7070000000000001E-5</v>
      </c>
      <c r="L7" s="61">
        <v>-1.185E-8</v>
      </c>
    </row>
    <row r="8" spans="1:12" ht="15.75" x14ac:dyDescent="0.3">
      <c r="A8" s="56" t="s">
        <v>112</v>
      </c>
      <c r="B8" s="57"/>
      <c r="C8" s="57"/>
      <c r="D8" s="57">
        <f>-D6/8.3143*(1/D3-1/D5)+LN(D7)</f>
        <v>-4.6362291815792158</v>
      </c>
      <c r="E8" s="58"/>
      <c r="F8" s="77" t="s">
        <v>110</v>
      </c>
      <c r="G8" s="79">
        <f>G7-0.5*G6-1.5*G5</f>
        <v>-45.94</v>
      </c>
      <c r="H8" s="79">
        <f>H7-0.5*H6-1.5*H5</f>
        <v>-16.401299999999999</v>
      </c>
      <c r="I8" s="79"/>
      <c r="J8" s="78"/>
      <c r="K8" s="78"/>
      <c r="L8" s="78"/>
    </row>
    <row r="9" spans="1:12" ht="15.75" x14ac:dyDescent="0.3">
      <c r="A9" s="62" t="s">
        <v>100</v>
      </c>
      <c r="B9" s="63"/>
      <c r="C9" s="63"/>
      <c r="D9" s="63">
        <f>EXP(D8)</f>
        <v>9.6941837997859843E-3</v>
      </c>
      <c r="E9" s="63"/>
      <c r="F9" s="63" t="s">
        <v>92</v>
      </c>
      <c r="G9" s="63"/>
      <c r="H9" s="63"/>
      <c r="I9" s="63">
        <f>SQRT(27)/4*D4*D9</f>
        <v>1.2593114159355332</v>
      </c>
      <c r="J9" s="64" t="s">
        <v>93</v>
      </c>
      <c r="K9" s="65">
        <f>1-SQRT(1-I9/(1+I9))</f>
        <v>0.33470853547010215</v>
      </c>
    </row>
    <row r="10" spans="1:12" x14ac:dyDescent="0.2">
      <c r="F10" s="37"/>
      <c r="G10" s="37"/>
      <c r="H10" s="37"/>
      <c r="I10" s="37"/>
    </row>
    <row r="11" spans="1:12" x14ac:dyDescent="0.2">
      <c r="A11" s="37"/>
      <c r="B11" s="37"/>
      <c r="C11" s="37" t="s">
        <v>94</v>
      </c>
      <c r="D11" s="37"/>
      <c r="E11" s="37"/>
      <c r="F11" s="37" t="s">
        <v>95</v>
      </c>
      <c r="G11" s="37"/>
      <c r="H11" s="37"/>
      <c r="I11" s="37"/>
    </row>
    <row r="12" spans="1:12" x14ac:dyDescent="0.2">
      <c r="A12" s="37"/>
      <c r="B12" s="47" t="s">
        <v>32</v>
      </c>
      <c r="C12" s="48" t="s">
        <v>96</v>
      </c>
      <c r="D12" s="66" t="s">
        <v>97</v>
      </c>
      <c r="E12" s="47" t="s">
        <v>32</v>
      </c>
      <c r="F12" s="48" t="s">
        <v>96</v>
      </c>
      <c r="G12" s="66" t="s">
        <v>97</v>
      </c>
      <c r="H12" s="37"/>
      <c r="I12" s="37"/>
    </row>
    <row r="13" spans="1:12" x14ac:dyDescent="0.2">
      <c r="A13" s="47" t="s">
        <v>89</v>
      </c>
      <c r="B13" s="47">
        <v>1.5</v>
      </c>
      <c r="C13" s="84">
        <f>I5*($D$2-$D$5)+J5/2*($D$2^2-$D$5^2)+K5/3*($D$2^3-$D$5^3)+L5/4*($D$2^4-$D$5^4)</f>
        <v>-5854.4633333333331</v>
      </c>
      <c r="D13" s="66">
        <f>C13*B13</f>
        <v>-8781.6949999999997</v>
      </c>
      <c r="E13" s="47">
        <f>B13-1.5*K9</f>
        <v>0.99793719679484671</v>
      </c>
      <c r="F13" s="84">
        <f>I5*($D$3-$D$5)+J5/2*($D$3^2-$D$5^2)+K5/3*($D$3^3-$D$5^3)+L5/4*($D$3^4-$D$5^4)</f>
        <v>2915.958450866267</v>
      </c>
      <c r="G13" s="66">
        <f>F13*E13</f>
        <v>2909.9434024277261</v>
      </c>
      <c r="H13" s="37"/>
      <c r="I13" s="37"/>
    </row>
    <row r="14" spans="1:12" x14ac:dyDescent="0.2">
      <c r="A14" s="51" t="s">
        <v>90</v>
      </c>
      <c r="B14" s="51">
        <v>0.5</v>
      </c>
      <c r="C14" s="85">
        <f>I6*($D$2-$D$5)+J6/2*($D$2^2-$D$5^2)+K6/3*($D$2^3-$D$5^3)+L6/4*($D$2^4-$D$5^4)</f>
        <v>-5927.1866666666665</v>
      </c>
      <c r="D14" s="67">
        <f>C14*B14</f>
        <v>-2963.5933333333332</v>
      </c>
      <c r="E14" s="51">
        <f>B14-0.5*K9</f>
        <v>0.33264573226494892</v>
      </c>
      <c r="F14" s="85">
        <f>I6*($D$3-$D$5)+J6/2*($D$3^2-$D$5^2)+K6/3*($D$3^3-$D$5^3)+L6/4*($D$3^4-$D$5^4)</f>
        <v>3016.2051156211014</v>
      </c>
      <c r="G14" s="67">
        <f>F14*E14</f>
        <v>1003.3277593470663</v>
      </c>
      <c r="H14" s="37"/>
      <c r="I14" s="37"/>
    </row>
    <row r="15" spans="1:12" x14ac:dyDescent="0.2">
      <c r="A15" s="51" t="s">
        <v>91</v>
      </c>
      <c r="B15" s="56">
        <v>0</v>
      </c>
      <c r="C15" s="86">
        <f>I7*($D$2-$D$5)+J7/2*($D$2^2-$D$5^2)+K7/3*($D$2^3-$D$5^3)+L7/4*($D$2^4-$D$5^4)</f>
        <v>-8401.7800000000007</v>
      </c>
      <c r="D15" s="68">
        <f>C15*B15</f>
        <v>0</v>
      </c>
      <c r="E15" s="56">
        <f>K9</f>
        <v>0.33470853547010215</v>
      </c>
      <c r="F15" s="86">
        <f>I7*($D$3-$D$5)+J7/2*($D$3^2-$D$5^2)+K7/3*($D$3^3-$D$5^3)+L7/4*($D$3^4-$D$5^4)</f>
        <v>4630.3284025101048</v>
      </c>
      <c r="G15" s="68">
        <f>F15*E15</f>
        <v>1549.8104383497748</v>
      </c>
      <c r="H15" s="37"/>
      <c r="I15" s="37"/>
    </row>
    <row r="16" spans="1:12" x14ac:dyDescent="0.2">
      <c r="A16" s="51"/>
      <c r="B16" s="52"/>
      <c r="C16" s="52"/>
      <c r="D16" s="67"/>
      <c r="E16" s="52"/>
      <c r="F16" s="52"/>
      <c r="G16" s="67"/>
      <c r="H16" s="37"/>
      <c r="I16" s="37"/>
    </row>
    <row r="17" spans="1:10" x14ac:dyDescent="0.2">
      <c r="A17" s="56" t="s">
        <v>47</v>
      </c>
      <c r="B17" s="57"/>
      <c r="C17" s="57"/>
      <c r="D17" s="68">
        <f>SUM(D13:D16)</f>
        <v>-11745.288333333334</v>
      </c>
      <c r="E17" s="57"/>
      <c r="F17" s="57"/>
      <c r="G17" s="68">
        <f>SUM(G13:G16)</f>
        <v>5463.0816001245676</v>
      </c>
      <c r="H17" s="37"/>
      <c r="I17" s="37"/>
    </row>
    <row r="18" spans="1:10" ht="13.5" thickBot="1" x14ac:dyDescent="0.25">
      <c r="A18" s="37"/>
      <c r="B18" s="37"/>
      <c r="C18" s="37"/>
      <c r="D18" s="37"/>
      <c r="E18" s="37"/>
      <c r="F18" s="37"/>
      <c r="G18" s="37"/>
      <c r="H18" s="37"/>
      <c r="I18" s="37"/>
    </row>
    <row r="19" spans="1:10" ht="15" thickBot="1" x14ac:dyDescent="0.25">
      <c r="A19" s="37"/>
      <c r="B19" s="69" t="s">
        <v>101</v>
      </c>
      <c r="C19" s="70"/>
      <c r="D19" s="70"/>
      <c r="E19" s="71"/>
      <c r="F19" s="69">
        <f>D17-G17-D6*(E15-B15)</f>
        <v>6.6646316554397345E-7</v>
      </c>
      <c r="G19" s="71" t="s">
        <v>98</v>
      </c>
      <c r="H19" s="37"/>
      <c r="I19" s="37"/>
    </row>
    <row r="20" spans="1:10" x14ac:dyDescent="0.2">
      <c r="A20" s="72" t="s">
        <v>102</v>
      </c>
      <c r="B20" s="37"/>
      <c r="C20" s="37"/>
      <c r="D20" s="37"/>
      <c r="E20" s="37"/>
      <c r="F20" s="37"/>
      <c r="G20" s="37"/>
      <c r="H20" s="37"/>
      <c r="I20" s="37"/>
    </row>
    <row r="21" spans="1:10" x14ac:dyDescent="0.2">
      <c r="A21" s="33" t="s">
        <v>99</v>
      </c>
    </row>
    <row r="24" spans="1:10" x14ac:dyDescent="0.2">
      <c r="A24" s="33" t="s">
        <v>123</v>
      </c>
    </row>
    <row r="28" spans="1:10" ht="15" x14ac:dyDescent="0.2">
      <c r="D28"/>
      <c r="E28"/>
      <c r="F28"/>
      <c r="G28" s="75"/>
      <c r="H28" s="75"/>
      <c r="I28" s="75"/>
      <c r="J28" s="75"/>
    </row>
  </sheetData>
  <sheetProtection sheet="1" objects="1" scenarios="1"/>
  <phoneticPr fontId="21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D3" sqref="D3"/>
    </sheetView>
  </sheetViews>
  <sheetFormatPr defaultColWidth="7.109375" defaultRowHeight="12.75" x14ac:dyDescent="0.2"/>
  <cols>
    <col min="1" max="7" width="7.109375" style="33" customWidth="1"/>
    <col min="8" max="8" width="7.6640625" style="33" customWidth="1"/>
    <col min="9" max="9" width="8" style="33" customWidth="1"/>
    <col min="10" max="10" width="7.77734375" style="33" customWidth="1"/>
    <col min="11" max="11" width="8.21875" style="33" customWidth="1"/>
    <col min="12" max="12" width="8.88671875" style="33" customWidth="1"/>
    <col min="13" max="16384" width="7.109375" style="33"/>
  </cols>
  <sheetData>
    <row r="1" spans="1:12" x14ac:dyDescent="0.2">
      <c r="A1" s="33" t="s">
        <v>79</v>
      </c>
      <c r="E1" s="33" t="s">
        <v>80</v>
      </c>
    </row>
    <row r="2" spans="1:12" x14ac:dyDescent="0.2">
      <c r="A2" s="34" t="s">
        <v>81</v>
      </c>
      <c r="B2" s="35"/>
      <c r="C2" s="35"/>
      <c r="D2" s="36">
        <v>400</v>
      </c>
      <c r="E2" s="37"/>
      <c r="F2" s="37"/>
      <c r="G2" s="37"/>
      <c r="H2" s="37"/>
      <c r="I2" s="37"/>
    </row>
    <row r="3" spans="1:12" ht="16.5" x14ac:dyDescent="0.3">
      <c r="A3" s="38" t="s">
        <v>82</v>
      </c>
      <c r="B3" s="39"/>
      <c r="C3" s="39"/>
      <c r="D3" s="40">
        <v>736.70330365665711</v>
      </c>
      <c r="E3" s="37"/>
      <c r="G3" s="76" t="s">
        <v>105</v>
      </c>
      <c r="H3" s="76" t="s">
        <v>106</v>
      </c>
      <c r="I3" s="37" t="s">
        <v>83</v>
      </c>
    </row>
    <row r="4" spans="1:12" x14ac:dyDescent="0.2">
      <c r="A4" s="41" t="s">
        <v>62</v>
      </c>
      <c r="B4" s="42"/>
      <c r="C4" s="42"/>
      <c r="D4" s="43">
        <v>200</v>
      </c>
      <c r="E4" s="37"/>
      <c r="F4" s="44"/>
      <c r="G4" s="81" t="s">
        <v>107</v>
      </c>
      <c r="H4" s="81" t="s">
        <v>107</v>
      </c>
      <c r="I4" s="45" t="s">
        <v>84</v>
      </c>
      <c r="J4" s="45" t="s">
        <v>85</v>
      </c>
      <c r="K4" s="45" t="s">
        <v>86</v>
      </c>
      <c r="L4" s="46" t="s">
        <v>87</v>
      </c>
    </row>
    <row r="5" spans="1:12" x14ac:dyDescent="0.2">
      <c r="A5" s="47" t="s">
        <v>108</v>
      </c>
      <c r="B5" s="48"/>
      <c r="C5" s="48"/>
      <c r="D5" s="48">
        <f>G8*1000</f>
        <v>-45940</v>
      </c>
      <c r="E5" s="49" t="s">
        <v>88</v>
      </c>
      <c r="F5" s="50" t="s">
        <v>89</v>
      </c>
      <c r="G5" s="33">
        <v>0</v>
      </c>
      <c r="H5" s="33">
        <v>0</v>
      </c>
      <c r="I5" s="87">
        <v>27.14</v>
      </c>
      <c r="J5" s="87">
        <v>9.2739999999999993E-3</v>
      </c>
      <c r="K5" s="87">
        <v>-1.381E-5</v>
      </c>
      <c r="L5" s="88">
        <v>7.645E-9</v>
      </c>
    </row>
    <row r="6" spans="1:12" x14ac:dyDescent="0.2">
      <c r="A6" s="51" t="s">
        <v>109</v>
      </c>
      <c r="B6" s="52"/>
      <c r="C6" s="52"/>
      <c r="D6" s="52">
        <f>EXP(-H7/298.15/0.00831446)</f>
        <v>747.10965401081774</v>
      </c>
      <c r="E6" s="53"/>
      <c r="F6" s="50" t="s">
        <v>90</v>
      </c>
      <c r="G6" s="82">
        <v>0</v>
      </c>
      <c r="H6" s="82">
        <v>0</v>
      </c>
      <c r="I6" s="54">
        <v>31.15</v>
      </c>
      <c r="J6" s="54">
        <v>-1.357E-2</v>
      </c>
      <c r="K6" s="54">
        <v>2.6800000000000001E-5</v>
      </c>
      <c r="L6" s="55">
        <v>-1.1679999999999999E-8</v>
      </c>
    </row>
    <row r="7" spans="1:12" ht="15.75" x14ac:dyDescent="0.3">
      <c r="A7" s="56" t="s">
        <v>112</v>
      </c>
      <c r="B7" s="57"/>
      <c r="C7" s="57"/>
      <c r="D7" s="57">
        <f>-(D10/D3+(-I8*LN(D3)-J8/2*D3-K8/6*D3^2-L8/12*D3^3)/1000)/0.00831446-D11</f>
        <v>-5.1181931535655316</v>
      </c>
      <c r="E7" s="58"/>
      <c r="F7" s="59" t="s">
        <v>91</v>
      </c>
      <c r="G7" s="80">
        <v>-45.94</v>
      </c>
      <c r="H7" s="80">
        <v>-16.401299999999999</v>
      </c>
      <c r="I7" s="60">
        <v>27.31</v>
      </c>
      <c r="J7" s="60">
        <v>2.383E-2</v>
      </c>
      <c r="K7" s="60">
        <v>1.7070000000000001E-5</v>
      </c>
      <c r="L7" s="61">
        <v>-1.185E-8</v>
      </c>
    </row>
    <row r="8" spans="1:12" x14ac:dyDescent="0.2">
      <c r="A8" s="37"/>
      <c r="B8" s="37"/>
      <c r="C8" s="37"/>
      <c r="D8" s="37"/>
      <c r="E8" s="37"/>
      <c r="F8" s="77" t="s">
        <v>110</v>
      </c>
      <c r="G8" s="79">
        <f t="shared" ref="G8:L8" si="0">G7-0.5*G6-1.5*G5</f>
        <v>-45.94</v>
      </c>
      <c r="H8" s="79">
        <f t="shared" si="0"/>
        <v>-16.401299999999999</v>
      </c>
      <c r="I8" s="79">
        <f t="shared" si="0"/>
        <v>-28.975000000000001</v>
      </c>
      <c r="J8" s="78">
        <f t="shared" si="0"/>
        <v>1.6704E-2</v>
      </c>
      <c r="K8" s="78">
        <f t="shared" si="0"/>
        <v>2.4385000000000001E-5</v>
      </c>
      <c r="L8" s="78">
        <f t="shared" si="0"/>
        <v>-1.7477499999999999E-8</v>
      </c>
    </row>
    <row r="9" spans="1:12" ht="15.75" x14ac:dyDescent="0.3">
      <c r="A9" s="62" t="s">
        <v>100</v>
      </c>
      <c r="B9" s="63"/>
      <c r="C9" s="63"/>
      <c r="D9" s="63">
        <f>EXP(D7)</f>
        <v>5.9868304114871268E-3</v>
      </c>
      <c r="E9" s="63"/>
      <c r="F9" s="63" t="s">
        <v>92</v>
      </c>
      <c r="G9" s="63"/>
      <c r="H9" s="63"/>
      <c r="I9" s="63">
        <f>SQRT(27)/4*D4*D9</f>
        <v>1.5554241673491289</v>
      </c>
      <c r="J9" s="64" t="s">
        <v>93</v>
      </c>
      <c r="K9" s="65">
        <f>1-SQRT(1-I9/(1+I9))</f>
        <v>0.37444067675126569</v>
      </c>
    </row>
    <row r="10" spans="1:12" x14ac:dyDescent="0.2">
      <c r="A10" s="37" t="s">
        <v>98</v>
      </c>
      <c r="B10" s="37"/>
      <c r="C10" s="37"/>
      <c r="D10" s="79">
        <f>G8+(-I8*298.15-J8/2*298.15^2-K8/3*298.15^3-L8/4*298.15^4)/1000</f>
        <v>-38.224444519564898</v>
      </c>
      <c r="E10" s="37" t="s">
        <v>113</v>
      </c>
      <c r="F10" s="37"/>
      <c r="G10" s="37"/>
      <c r="H10" s="37"/>
      <c r="I10" s="37"/>
    </row>
    <row r="11" spans="1:12" x14ac:dyDescent="0.2">
      <c r="A11" s="37" t="s">
        <v>111</v>
      </c>
      <c r="B11" s="37"/>
      <c r="C11" s="37"/>
      <c r="D11" s="79">
        <f>(H8/298.15-D10/298.15+(I8*LN(298.15)+J8/2*298.15+K8/6*298.15^2+L8/12*298.15^3)/1000)/0.00831434</f>
        <v>-10.714001872075498</v>
      </c>
      <c r="E11" s="37"/>
      <c r="F11" s="37"/>
      <c r="G11" s="37"/>
      <c r="H11" s="37"/>
      <c r="I11" s="37"/>
    </row>
    <row r="12" spans="1:12" x14ac:dyDescent="0.2">
      <c r="A12" s="37"/>
      <c r="B12" s="37"/>
      <c r="C12" s="37"/>
      <c r="D12" s="79"/>
      <c r="E12" s="37"/>
      <c r="F12" s="37"/>
      <c r="G12" s="37"/>
      <c r="H12" s="37"/>
      <c r="I12" s="37"/>
    </row>
    <row r="13" spans="1:12" x14ac:dyDescent="0.2">
      <c r="A13" s="37"/>
      <c r="B13" s="37"/>
      <c r="C13" s="37" t="s">
        <v>94</v>
      </c>
      <c r="D13" s="37"/>
      <c r="E13" s="37"/>
      <c r="F13" s="37" t="s">
        <v>95</v>
      </c>
      <c r="G13" s="37"/>
      <c r="H13" s="37"/>
      <c r="I13" s="37"/>
    </row>
    <row r="14" spans="1:12" x14ac:dyDescent="0.2">
      <c r="A14" s="37"/>
      <c r="B14" s="47" t="s">
        <v>32</v>
      </c>
      <c r="C14" s="48" t="s">
        <v>96</v>
      </c>
      <c r="D14" s="66" t="s">
        <v>97</v>
      </c>
      <c r="E14" s="47" t="s">
        <v>32</v>
      </c>
      <c r="F14" s="48" t="s">
        <v>96</v>
      </c>
      <c r="G14" s="66" t="s">
        <v>97</v>
      </c>
      <c r="H14" s="37"/>
      <c r="I14" s="37"/>
    </row>
    <row r="15" spans="1:12" x14ac:dyDescent="0.2">
      <c r="A15" s="47" t="s">
        <v>89</v>
      </c>
      <c r="B15" s="47">
        <v>1.5</v>
      </c>
      <c r="C15" s="84">
        <f>I5*($D$2-298)+J5/2*($D$2^2-298^2)+K5/3*($D$2^3-298^3)+L5/4*($D$2^4-298^4)</f>
        <v>2959.47884885742</v>
      </c>
      <c r="D15" s="66">
        <f>C15*B15</f>
        <v>4439.2182732861302</v>
      </c>
      <c r="E15" s="47">
        <f>B15-1.5*K9</f>
        <v>0.93833898487310141</v>
      </c>
      <c r="F15" s="84">
        <f>I5*($D$3-298)+J5/2*($D$3^2-298^2)+K5/3*($D$3^3-298^3)+L5/4*($D$3^4-298^4)</f>
        <v>12840.431266787922</v>
      </c>
      <c r="G15" s="66">
        <f>F15*E15</f>
        <v>12048.677240210611</v>
      </c>
      <c r="H15" s="37"/>
      <c r="I15" s="37"/>
    </row>
    <row r="16" spans="1:12" x14ac:dyDescent="0.2">
      <c r="A16" s="51" t="s">
        <v>90</v>
      </c>
      <c r="B16" s="51">
        <v>0.5</v>
      </c>
      <c r="C16" s="85">
        <f>I6*($D$2-298)+J6/2*($D$2^2-298^2)+K6/3*($D$2^3-298^3)+L6/4*($D$2^4-298^4)</f>
        <v>2977.8359440147196</v>
      </c>
      <c r="D16" s="67">
        <f>C16*B16</f>
        <v>1488.9179720073598</v>
      </c>
      <c r="E16" s="51">
        <f>B16-0.5*K9</f>
        <v>0.31277966162436716</v>
      </c>
      <c r="F16" s="85">
        <f>I6*($D$3-298)+J6/2*($D$3^2-298^2)+K6/3*($D$3^3-298^3)+L6/4*($D$3^4-298^4)</f>
        <v>13084.053907096102</v>
      </c>
      <c r="G16" s="67">
        <f>F16*E16</f>
        <v>4092.4259537364978</v>
      </c>
      <c r="H16" s="37"/>
      <c r="I16" s="37"/>
    </row>
    <row r="17" spans="1:10" x14ac:dyDescent="0.2">
      <c r="A17" s="51" t="s">
        <v>91</v>
      </c>
      <c r="B17" s="56">
        <v>0</v>
      </c>
      <c r="C17" s="86">
        <f>I7*($D$2-298)+J7/2*($D$2^2-298^2)+K7/3*($D$2^3-298^3)+L7/4*($D$2^4-298^4)</f>
        <v>3795.0252221274</v>
      </c>
      <c r="D17" s="68">
        <f>C17*B17</f>
        <v>0</v>
      </c>
      <c r="E17" s="56">
        <f>K9</f>
        <v>0.37444067675126569</v>
      </c>
      <c r="F17" s="86">
        <f>I7*($D$3-298)+J7/2*($D$3^2-298^2)+K7/3*($D$3^3-298^3)+L7/4*($D$3^4-298^4)</f>
        <v>18664.739637443279</v>
      </c>
      <c r="G17" s="68">
        <f>F17*E17</f>
        <v>6988.8377412304344</v>
      </c>
      <c r="H17" s="37"/>
      <c r="I17" s="37"/>
    </row>
    <row r="18" spans="1:10" x14ac:dyDescent="0.2">
      <c r="A18" s="51"/>
      <c r="B18" s="52"/>
      <c r="C18" s="52"/>
      <c r="D18" s="67"/>
      <c r="E18" s="52"/>
      <c r="F18" s="52"/>
      <c r="G18" s="67"/>
      <c r="H18" s="37"/>
      <c r="I18" s="37"/>
    </row>
    <row r="19" spans="1:10" x14ac:dyDescent="0.2">
      <c r="A19" s="56" t="s">
        <v>47</v>
      </c>
      <c r="B19" s="57"/>
      <c r="C19" s="57"/>
      <c r="D19" s="68">
        <f>SUM(D15:D18)</f>
        <v>5928.13624529349</v>
      </c>
      <c r="E19" s="57"/>
      <c r="F19" s="57"/>
      <c r="G19" s="68">
        <f>SUM(G15:G18)</f>
        <v>23129.940935177543</v>
      </c>
      <c r="H19" s="37"/>
      <c r="I19" s="37"/>
    </row>
    <row r="20" spans="1:10" ht="13.5" thickBot="1" x14ac:dyDescent="0.25">
      <c r="A20" s="37"/>
      <c r="B20" s="37"/>
      <c r="C20" s="37"/>
      <c r="D20" s="37"/>
      <c r="E20" s="37"/>
      <c r="F20" s="37"/>
      <c r="G20" s="37"/>
      <c r="H20" s="37"/>
      <c r="I20" s="37"/>
    </row>
    <row r="21" spans="1:10" ht="15" thickBot="1" x14ac:dyDescent="0.25">
      <c r="A21" s="37"/>
      <c r="B21" s="69" t="s">
        <v>101</v>
      </c>
      <c r="C21" s="70"/>
      <c r="D21" s="70"/>
      <c r="E21" s="71"/>
      <c r="F21" s="69">
        <f>D19-G19-D5*(E17-B17)</f>
        <v>6.9092493504285812E-8</v>
      </c>
      <c r="G21" s="71" t="s">
        <v>98</v>
      </c>
      <c r="H21" s="37"/>
      <c r="I21" s="37"/>
    </row>
    <row r="22" spans="1:10" x14ac:dyDescent="0.2">
      <c r="A22" s="72" t="s">
        <v>102</v>
      </c>
      <c r="B22" s="37"/>
      <c r="C22" s="37"/>
      <c r="D22" s="37"/>
      <c r="E22" s="37"/>
      <c r="F22" s="37"/>
      <c r="G22" s="37"/>
      <c r="H22" s="37"/>
      <c r="I22" s="37"/>
    </row>
    <row r="23" spans="1:10" x14ac:dyDescent="0.2">
      <c r="A23" s="33" t="s">
        <v>99</v>
      </c>
    </row>
    <row r="30" spans="1:10" ht="15" x14ac:dyDescent="0.2">
      <c r="D30"/>
      <c r="E30"/>
      <c r="F30"/>
      <c r="G30" s="75"/>
      <c r="H30" s="75"/>
      <c r="I30" s="75"/>
      <c r="J30" s="75"/>
    </row>
  </sheetData>
  <phoneticPr fontId="21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showGridLines="0" workbookViewId="0">
      <selection activeCell="L9" sqref="L9"/>
    </sheetView>
  </sheetViews>
  <sheetFormatPr defaultRowHeight="15" x14ac:dyDescent="0.2"/>
  <cols>
    <col min="2" max="2" width="4.33203125" customWidth="1"/>
    <col min="3" max="6" width="7.44140625" customWidth="1"/>
    <col min="7" max="8" width="8.44140625" customWidth="1"/>
  </cols>
  <sheetData>
    <row r="3" spans="2:8" x14ac:dyDescent="0.2">
      <c r="B3" t="s">
        <v>12</v>
      </c>
    </row>
    <row r="4" spans="2:8" ht="19.5" x14ac:dyDescent="0.35">
      <c r="D4" t="s">
        <v>13</v>
      </c>
    </row>
    <row r="5" spans="2:8" ht="19.5" x14ac:dyDescent="0.35">
      <c r="D5" t="s">
        <v>14</v>
      </c>
    </row>
    <row r="6" spans="2:8" x14ac:dyDescent="0.2">
      <c r="B6" t="s">
        <v>118</v>
      </c>
    </row>
    <row r="7" spans="2:8" ht="15.75" thickBot="1" x14ac:dyDescent="0.25"/>
    <row r="8" spans="2:8" x14ac:dyDescent="0.2">
      <c r="B8" s="9" t="s">
        <v>16</v>
      </c>
      <c r="C8" s="4">
        <v>473</v>
      </c>
      <c r="D8" s="4">
        <v>493</v>
      </c>
      <c r="E8" s="4">
        <v>513</v>
      </c>
      <c r="F8" s="4">
        <v>533</v>
      </c>
      <c r="G8" s="4">
        <v>553</v>
      </c>
      <c r="H8" s="4">
        <v>573</v>
      </c>
    </row>
    <row r="9" spans="2:8" ht="18.75" x14ac:dyDescent="0.35">
      <c r="B9" s="11" t="s">
        <v>17</v>
      </c>
      <c r="C9" s="10">
        <f t="shared" ref="C9:H9" si="0">EXP(3.8205-96865/8.314*(1/C8-1/473.15))</f>
        <v>45.272108253310016</v>
      </c>
      <c r="D9" s="10">
        <f t="shared" si="0"/>
        <v>122.97140026382124</v>
      </c>
      <c r="E9" s="10">
        <f t="shared" si="0"/>
        <v>308.98645055408639</v>
      </c>
      <c r="F9" s="10">
        <f t="shared" si="0"/>
        <v>724.5124216292985</v>
      </c>
      <c r="G9" s="10">
        <f t="shared" si="0"/>
        <v>1597.2813819825019</v>
      </c>
      <c r="H9" s="10">
        <f t="shared" si="0"/>
        <v>3332.3410460435198</v>
      </c>
    </row>
    <row r="10" spans="2:8" ht="18.75" x14ac:dyDescent="0.35">
      <c r="B10" s="11" t="s">
        <v>18</v>
      </c>
      <c r="C10" s="12">
        <f t="shared" ref="C10:H10" si="1">EXP(6.9156+24155/8.314*(1/C$8-1/298.15))</f>
        <v>27.47864817744102</v>
      </c>
      <c r="D10" s="12">
        <f t="shared" si="1"/>
        <v>21.417877259489991</v>
      </c>
      <c r="E10" s="12">
        <f t="shared" si="1"/>
        <v>17.0214130645609</v>
      </c>
      <c r="F10" s="12">
        <f t="shared" si="1"/>
        <v>13.762680816663265</v>
      </c>
      <c r="G10" s="12">
        <f t="shared" si="1"/>
        <v>11.300202822738461</v>
      </c>
      <c r="H10" s="12">
        <f t="shared" si="1"/>
        <v>9.4068924586045153</v>
      </c>
    </row>
    <row r="11" spans="2:8" ht="18.75" x14ac:dyDescent="0.35">
      <c r="B11" s="29" t="s">
        <v>19</v>
      </c>
      <c r="C11" s="15">
        <v>0.90479394689615322</v>
      </c>
      <c r="D11" s="15">
        <v>0.96507527625962486</v>
      </c>
      <c r="E11" s="15">
        <v>0.98697632243253952</v>
      </c>
      <c r="F11" s="15">
        <v>0.9950642802315095</v>
      </c>
      <c r="G11" s="15">
        <v>0.99793508759096061</v>
      </c>
      <c r="H11" s="15">
        <v>0.99908435469497436</v>
      </c>
    </row>
    <row r="12" spans="2:8" ht="18.75" x14ac:dyDescent="0.35">
      <c r="B12" s="30" t="s">
        <v>20</v>
      </c>
      <c r="C12" s="7">
        <v>4.3457657191935589E-2</v>
      </c>
      <c r="D12" s="7">
        <v>1.5759695333106997E-2</v>
      </c>
      <c r="E12" s="7">
        <v>5.8082115109200317E-3</v>
      </c>
      <c r="F12" s="7">
        <v>2.163660851504236E-3</v>
      </c>
      <c r="G12" s="7">
        <v>8.9380950518308262E-4</v>
      </c>
      <c r="H12" s="7">
        <v>3.9123787348514696E-4</v>
      </c>
    </row>
    <row r="13" spans="2:8" ht="18.75" x14ac:dyDescent="0.35">
      <c r="B13" s="11" t="s">
        <v>21</v>
      </c>
      <c r="C13" s="12">
        <f t="shared" ref="C13:H13" si="2">(1-C$11-2*C$12)/(1+2*C$11)</f>
        <v>2.9508735919220458E-3</v>
      </c>
      <c r="D13" s="12">
        <f t="shared" si="2"/>
        <v>1.162170002231916E-3</v>
      </c>
      <c r="E13" s="12">
        <f t="shared" si="2"/>
        <v>4.73193326749915E-4</v>
      </c>
      <c r="F13" s="12">
        <f t="shared" si="2"/>
        <v>2.0346886536136644E-4</v>
      </c>
      <c r="G13" s="12">
        <f t="shared" si="2"/>
        <v>9.2558549756377266E-5</v>
      </c>
      <c r="H13" s="12">
        <f t="shared" si="2"/>
        <v>4.4416966142788896E-5</v>
      </c>
    </row>
    <row r="14" spans="2:8" ht="18.75" x14ac:dyDescent="0.35">
      <c r="B14" s="11" t="s">
        <v>22</v>
      </c>
      <c r="C14" s="12">
        <f t="shared" ref="C14:H14" si="3">(C$11)/(1+2*C$11)</f>
        <v>0.32203795755785614</v>
      </c>
      <c r="D14" s="12">
        <f t="shared" si="3"/>
        <v>0.32936030383486065</v>
      </c>
      <c r="E14" s="12">
        <f t="shared" si="3"/>
        <v>0.33187358384360427</v>
      </c>
      <c r="F14" s="12">
        <f t="shared" si="3"/>
        <v>0.3327831095253726</v>
      </c>
      <c r="G14" s="12">
        <f t="shared" si="3"/>
        <v>0.33310358234410536</v>
      </c>
      <c r="H14" s="12">
        <f t="shared" si="3"/>
        <v>0.33323153282400264</v>
      </c>
    </row>
    <row r="15" spans="2:8" ht="18.75" x14ac:dyDescent="0.35">
      <c r="B15" s="11" t="s">
        <v>23</v>
      </c>
      <c r="C15" s="12">
        <f t="shared" ref="C15:H15" si="4">2*C$11/(1+2*C$11)</f>
        <v>0.64407591511571227</v>
      </c>
      <c r="D15" s="12">
        <f t="shared" si="4"/>
        <v>0.65872060766972129</v>
      </c>
      <c r="E15" s="12">
        <f t="shared" si="4"/>
        <v>0.66374716768720854</v>
      </c>
      <c r="F15" s="12">
        <f t="shared" si="4"/>
        <v>0.6655662190507452</v>
      </c>
      <c r="G15" s="12">
        <f t="shared" si="4"/>
        <v>0.66620716468821073</v>
      </c>
      <c r="H15" s="12">
        <f t="shared" si="4"/>
        <v>0.66646306564800528</v>
      </c>
    </row>
    <row r="16" spans="2:8" ht="18.75" x14ac:dyDescent="0.35">
      <c r="B16" s="11" t="s">
        <v>24</v>
      </c>
      <c r="C16" s="12">
        <f>(C$12)/(1+2*C$11)</f>
        <v>1.5467626867254759E-2</v>
      </c>
      <c r="D16" s="12">
        <f t="shared" ref="D16:H17" si="5">(D$12)/(1+2*D$11)</f>
        <v>5.3784592465930857E-3</v>
      </c>
      <c r="E16" s="12">
        <f t="shared" si="5"/>
        <v>1.9530275712186182E-3</v>
      </c>
      <c r="F16" s="12">
        <f t="shared" si="5"/>
        <v>7.2360127926044586E-4</v>
      </c>
      <c r="G16" s="12">
        <f t="shared" si="5"/>
        <v>2.9834720896368844E-4</v>
      </c>
      <c r="H16" s="12">
        <f t="shared" si="5"/>
        <v>1.3049228092462946E-4</v>
      </c>
    </row>
    <row r="17" spans="2:8" ht="19.5" thickBot="1" x14ac:dyDescent="0.4">
      <c r="B17" s="13" t="s">
        <v>25</v>
      </c>
      <c r="C17" s="14">
        <f>(C$12)/(1+2*C$11)</f>
        <v>1.5467626867254759E-2</v>
      </c>
      <c r="D17" s="14">
        <f t="shared" si="5"/>
        <v>5.3784592465930857E-3</v>
      </c>
      <c r="E17" s="14">
        <f t="shared" si="5"/>
        <v>1.9530275712186182E-3</v>
      </c>
      <c r="F17" s="14">
        <f t="shared" si="5"/>
        <v>7.2360127926044586E-4</v>
      </c>
      <c r="G17" s="14">
        <f t="shared" si="5"/>
        <v>2.9834720896368844E-4</v>
      </c>
      <c r="H17" s="14">
        <f t="shared" si="5"/>
        <v>1.3049228092462946E-4</v>
      </c>
    </row>
    <row r="18" spans="2:8" ht="15.75" x14ac:dyDescent="0.25">
      <c r="B18" s="16"/>
      <c r="C18" s="7"/>
      <c r="D18" s="7"/>
      <c r="E18" s="7"/>
      <c r="F18" s="7"/>
      <c r="G18" s="7"/>
      <c r="H18" s="7"/>
    </row>
    <row r="19" spans="2:8" x14ac:dyDescent="0.2">
      <c r="B19" t="s">
        <v>26</v>
      </c>
      <c r="C19" s="1"/>
      <c r="D19" s="1"/>
      <c r="E19" s="1"/>
      <c r="F19" s="1"/>
      <c r="G19" s="1"/>
      <c r="H19" s="1"/>
    </row>
    <row r="20" spans="2:8" x14ac:dyDescent="0.2">
      <c r="B20" t="s">
        <v>27</v>
      </c>
      <c r="C20" s="74">
        <f t="shared" ref="C20:H20" si="6">4*C11^3-C9*(1-C11-2*C12)*(1+2*C11)^2</f>
        <v>-9.7652754948995835E-7</v>
      </c>
      <c r="D20" s="1">
        <f t="shared" si="6"/>
        <v>-2.0222881458309416E-7</v>
      </c>
      <c r="E20" s="1">
        <f t="shared" si="6"/>
        <v>1.8147261471312959E-9</v>
      </c>
      <c r="F20" s="1">
        <f t="shared" si="6"/>
        <v>1.6986239081973054E-7</v>
      </c>
      <c r="G20" s="1">
        <f t="shared" si="6"/>
        <v>-6.3671673844467591E-7</v>
      </c>
      <c r="H20" s="1">
        <f t="shared" si="6"/>
        <v>-6.4232620111681626E-7</v>
      </c>
    </row>
    <row r="21" spans="2:8" x14ac:dyDescent="0.2">
      <c r="B21" t="s">
        <v>28</v>
      </c>
      <c r="C21" s="74">
        <f t="shared" ref="C21:H21" si="7">C12*C12-C10*(1-C11-2*C12)^2</f>
        <v>-2.13969451018153E-7</v>
      </c>
      <c r="D21" s="1">
        <f t="shared" si="7"/>
        <v>9.4432043022847634E-12</v>
      </c>
      <c r="E21" s="1">
        <f t="shared" si="7"/>
        <v>2.670420947966588E-8</v>
      </c>
      <c r="F21" s="1">
        <f t="shared" si="7"/>
        <v>-4.128033348387728E-7</v>
      </c>
      <c r="G21" s="1">
        <f t="shared" si="7"/>
        <v>-6.9995570924659059E-8</v>
      </c>
      <c r="H21" s="1">
        <f t="shared" si="7"/>
        <v>-1.3755991326911573E-8</v>
      </c>
    </row>
  </sheetData>
  <sheetProtection sheet="1" objects="1" scenarios="1"/>
  <phoneticPr fontId="21" type="noConversion"/>
  <printOptions gridLinesSet="0"/>
  <pageMargins left="0.75" right="0.75" top="1" bottom="1" header="0.5" footer="0.5"/>
  <pageSetup orientation="portrait" horizontalDpi="180" verticalDpi="18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topLeftCell="B1" workbookViewId="0">
      <selection activeCell="D4" sqref="D4"/>
    </sheetView>
  </sheetViews>
  <sheetFormatPr defaultRowHeight="15" x14ac:dyDescent="0.2"/>
  <cols>
    <col min="1" max="1" width="5.44140625" customWidth="1"/>
    <col min="2" max="2" width="10" customWidth="1"/>
    <col min="3" max="3" width="12.5546875" customWidth="1"/>
    <col min="4" max="4" width="6.109375" customWidth="1"/>
    <col min="5" max="5" width="12.5546875" customWidth="1"/>
    <col min="6" max="6" width="12" customWidth="1"/>
    <col min="7" max="7" width="5.44140625" customWidth="1"/>
    <col min="8" max="8" width="10.77734375" customWidth="1"/>
  </cols>
  <sheetData>
    <row r="1" spans="2:8" ht="20.25" x14ac:dyDescent="0.35">
      <c r="B1" s="32" t="s">
        <v>29</v>
      </c>
    </row>
    <row r="2" spans="2:8" x14ac:dyDescent="0.2">
      <c r="B2" t="s">
        <v>30</v>
      </c>
    </row>
    <row r="3" spans="2:8" ht="15.75" thickBot="1" x14ac:dyDescent="0.25"/>
    <row r="4" spans="2:8" ht="18.75" x14ac:dyDescent="0.35">
      <c r="B4" s="21"/>
      <c r="C4" s="21" t="s">
        <v>31</v>
      </c>
      <c r="D4" s="21" t="s">
        <v>119</v>
      </c>
      <c r="E4" s="21"/>
      <c r="F4" s="21"/>
      <c r="G4" s="21"/>
      <c r="H4" s="21"/>
    </row>
    <row r="5" spans="2:8" ht="18.75" x14ac:dyDescent="0.35">
      <c r="B5" s="20"/>
      <c r="C5" s="31" t="s">
        <v>33</v>
      </c>
      <c r="D5" s="20" t="s">
        <v>120</v>
      </c>
      <c r="E5" s="20" t="s">
        <v>34</v>
      </c>
      <c r="F5" s="20" t="s">
        <v>35</v>
      </c>
      <c r="G5" s="20" t="s">
        <v>36</v>
      </c>
      <c r="H5" s="20" t="s">
        <v>37</v>
      </c>
    </row>
    <row r="6" spans="2:8" ht="19.5" x14ac:dyDescent="0.35">
      <c r="B6" s="5" t="s">
        <v>38</v>
      </c>
      <c r="C6" s="6">
        <v>2.4558583579467661</v>
      </c>
      <c r="D6" s="5"/>
      <c r="E6" s="5">
        <v>-1.2071329291943456</v>
      </c>
      <c r="F6" s="5">
        <f t="shared" ref="F6:F14" si="0">10^E6</f>
        <v>6.2067902723119524E-2</v>
      </c>
      <c r="G6" s="6">
        <f>F6/F$15</f>
        <v>6.9928889731937002E-3</v>
      </c>
      <c r="H6" s="17">
        <f t="shared" ref="H6:H14" si="1">F6*(C6+LN(F6/F$15))</f>
        <v>-0.15560442759661508</v>
      </c>
    </row>
    <row r="7" spans="2:8" ht="19.5" x14ac:dyDescent="0.35">
      <c r="B7" s="5" t="s">
        <v>39</v>
      </c>
      <c r="C7" s="5">
        <v>14.27</v>
      </c>
      <c r="D7" s="5"/>
      <c r="E7" s="5">
        <v>-6.9885746947040506</v>
      </c>
      <c r="F7" s="5">
        <f t="shared" si="0"/>
        <v>1.0266568408360705E-7</v>
      </c>
      <c r="G7" s="6">
        <f t="shared" ref="G7:G14" si="2">F7/F$15</f>
        <v>1.1566843709159578E-8</v>
      </c>
      <c r="H7" s="17">
        <f t="shared" si="1"/>
        <v>-4.1118870623836723E-7</v>
      </c>
    </row>
    <row r="8" spans="2:8" ht="19.5" x14ac:dyDescent="0.35">
      <c r="B8" s="5" t="s">
        <v>40</v>
      </c>
      <c r="C8" s="5">
        <v>20.427</v>
      </c>
      <c r="D8" s="5"/>
      <c r="E8" s="5">
        <v>-9.4301008739808783</v>
      </c>
      <c r="F8" s="5">
        <f t="shared" si="0"/>
        <v>3.7144894228731893E-10</v>
      </c>
      <c r="G8" s="6">
        <f t="shared" si="2"/>
        <v>4.1849347225613901E-11</v>
      </c>
      <c r="H8" s="17">
        <f t="shared" si="1"/>
        <v>-1.2889073692405321E-9</v>
      </c>
    </row>
    <row r="9" spans="2:8" ht="19.5" x14ac:dyDescent="0.35">
      <c r="B9" s="5" t="s">
        <v>41</v>
      </c>
      <c r="C9" s="5">
        <v>-47.612000000000002</v>
      </c>
      <c r="D9" s="5"/>
      <c r="E9" s="5">
        <v>-0.25859837182497891</v>
      </c>
      <c r="F9" s="5">
        <f t="shared" si="0"/>
        <v>0.55131730963066572</v>
      </c>
      <c r="G9" s="6">
        <f t="shared" si="2"/>
        <v>6.2114242081697524E-2</v>
      </c>
      <c r="H9" s="17">
        <f t="shared" si="1"/>
        <v>-27.781309246144119</v>
      </c>
    </row>
    <row r="10" spans="2:8" x14ac:dyDescent="0.2">
      <c r="B10" s="5" t="s">
        <v>42</v>
      </c>
      <c r="C10" s="5">
        <v>-24.088999999999999</v>
      </c>
      <c r="D10" s="5"/>
      <c r="E10" s="5">
        <v>0.14195513649630051</v>
      </c>
      <c r="F10" s="5">
        <f t="shared" si="0"/>
        <v>1.3866125815719388</v>
      </c>
      <c r="G10" s="6">
        <f t="shared" si="2"/>
        <v>0.15622290115103665</v>
      </c>
      <c r="H10" s="17">
        <f t="shared" si="1"/>
        <v>-35.976317130801881</v>
      </c>
    </row>
    <row r="11" spans="2:8" ht="19.5" x14ac:dyDescent="0.35">
      <c r="B11" s="5" t="s">
        <v>43</v>
      </c>
      <c r="C11" s="5">
        <v>0</v>
      </c>
      <c r="D11" s="5"/>
      <c r="E11" s="5">
        <v>-20.112038766641589</v>
      </c>
      <c r="F11" s="5">
        <f t="shared" si="0"/>
        <v>7.7261161600747784E-21</v>
      </c>
      <c r="G11" s="6">
        <f t="shared" si="2"/>
        <v>8.7046396174227189E-22</v>
      </c>
      <c r="H11" s="17">
        <f t="shared" si="1"/>
        <v>-3.7466267358713079E-19</v>
      </c>
    </row>
    <row r="12" spans="2:8" ht="19.5" x14ac:dyDescent="0.35">
      <c r="B12" s="5" t="s">
        <v>44</v>
      </c>
      <c r="C12" s="5">
        <v>0</v>
      </c>
      <c r="D12" s="5"/>
      <c r="E12" s="5">
        <v>0.72957848412286685</v>
      </c>
      <c r="F12" s="5">
        <f t="shared" si="0"/>
        <v>5.3651081896842392</v>
      </c>
      <c r="G12" s="6">
        <f t="shared" si="2"/>
        <v>0.60446066732748305</v>
      </c>
      <c r="H12" s="17">
        <f t="shared" si="1"/>
        <v>-2.7008956694951514</v>
      </c>
    </row>
    <row r="13" spans="2:8" ht="19.5" x14ac:dyDescent="0.35">
      <c r="B13" s="5" t="s">
        <v>45</v>
      </c>
      <c r="C13" s="5">
        <v>-23.178000000000001</v>
      </c>
      <c r="D13" s="5">
        <v>4</v>
      </c>
      <c r="E13" s="5">
        <v>0.17919340759467817</v>
      </c>
      <c r="F13" s="5">
        <f t="shared" si="0"/>
        <v>1.5107527991666958</v>
      </c>
      <c r="G13" s="6">
        <f t="shared" si="2"/>
        <v>0.17020917619275619</v>
      </c>
      <c r="H13" s="17">
        <f t="shared" si="1"/>
        <v>-37.691359377690198</v>
      </c>
    </row>
    <row r="14" spans="2:8" ht="20.25" thickBot="1" x14ac:dyDescent="0.4">
      <c r="B14" s="8" t="s">
        <v>46</v>
      </c>
      <c r="C14" s="8">
        <v>13.33</v>
      </c>
      <c r="D14" s="8">
        <v>1</v>
      </c>
      <c r="E14" s="8">
        <v>-6.000000001577769</v>
      </c>
      <c r="F14" s="8">
        <f t="shared" si="0"/>
        <v>9.9999999636705066E-7</v>
      </c>
      <c r="G14" s="18">
        <f t="shared" si="2"/>
        <v>1.1266513996749118E-7</v>
      </c>
      <c r="H14" s="19">
        <f t="shared" si="1"/>
        <v>-2.6688457711119277E-6</v>
      </c>
    </row>
    <row r="15" spans="2:8" x14ac:dyDescent="0.2">
      <c r="B15" t="s">
        <v>47</v>
      </c>
      <c r="F15">
        <f>SUM(F6:F14)</f>
        <v>8.8758598858137869</v>
      </c>
      <c r="H15">
        <f>SUM(H6:H14)</f>
        <v>-104.30548893305134</v>
      </c>
    </row>
    <row r="17" spans="2:5" x14ac:dyDescent="0.2">
      <c r="B17" t="s">
        <v>48</v>
      </c>
      <c r="C17" t="s">
        <v>49</v>
      </c>
      <c r="D17">
        <f>2*F11+F13+F10+2*F9</f>
        <v>3.9999999999999662</v>
      </c>
      <c r="E17">
        <v>4</v>
      </c>
    </row>
    <row r="18" spans="2:5" x14ac:dyDescent="0.2">
      <c r="C18" t="s">
        <v>50</v>
      </c>
      <c r="D18">
        <f>2*F12+2*F13+4*F6+6*F14+4*F7+2*F8</f>
        <v>13.999999999999959</v>
      </c>
      <c r="E18">
        <v>14</v>
      </c>
    </row>
    <row r="19" spans="2:5" x14ac:dyDescent="0.2">
      <c r="C19" t="s">
        <v>51</v>
      </c>
      <c r="D19">
        <f>F10+F9+F6+2*F14+2*F7+2*F8</f>
        <v>1.9999999999999829</v>
      </c>
      <c r="E19">
        <v>2</v>
      </c>
    </row>
  </sheetData>
  <sheetProtection sheet="1" objects="1" scenarios="1"/>
  <phoneticPr fontId="21" type="noConversion"/>
  <printOptions gridLinesSet="0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showGridLines="0" zoomScale="75" workbookViewId="0">
      <selection activeCell="B3" sqref="B3"/>
    </sheetView>
  </sheetViews>
  <sheetFormatPr defaultRowHeight="15" x14ac:dyDescent="0.2"/>
  <cols>
    <col min="2" max="2" width="10.109375" customWidth="1"/>
    <col min="3" max="8" width="12.44140625" customWidth="1"/>
  </cols>
  <sheetData>
    <row r="2" spans="2:8" x14ac:dyDescent="0.2">
      <c r="B2" t="s">
        <v>52</v>
      </c>
    </row>
    <row r="3" spans="2:8" x14ac:dyDescent="0.2">
      <c r="B3" t="s">
        <v>53</v>
      </c>
    </row>
    <row r="4" spans="2:8" x14ac:dyDescent="0.2">
      <c r="B4" t="s">
        <v>54</v>
      </c>
    </row>
    <row r="5" spans="2:8" ht="19.5" x14ac:dyDescent="0.35">
      <c r="C5" t="s">
        <v>55</v>
      </c>
    </row>
    <row r="6" spans="2:8" ht="19.5" x14ac:dyDescent="0.35">
      <c r="C6" t="s">
        <v>56</v>
      </c>
    </row>
    <row r="8" spans="2:8" x14ac:dyDescent="0.2">
      <c r="B8" t="s">
        <v>57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2:8" ht="19.5" x14ac:dyDescent="0.35">
      <c r="B9" t="s">
        <v>58</v>
      </c>
      <c r="C9" s="2" t="s">
        <v>42</v>
      </c>
      <c r="D9" s="2" t="s">
        <v>44</v>
      </c>
      <c r="E9" s="2" t="s">
        <v>41</v>
      </c>
      <c r="F9" s="2" t="s">
        <v>59</v>
      </c>
      <c r="G9" s="2" t="s">
        <v>45</v>
      </c>
      <c r="H9" s="2" t="s">
        <v>60</v>
      </c>
    </row>
    <row r="10" spans="2:8" x14ac:dyDescent="0.2">
      <c r="B10" t="s">
        <v>61</v>
      </c>
      <c r="C10" s="2">
        <v>2</v>
      </c>
      <c r="D10" s="2">
        <v>7</v>
      </c>
      <c r="E10" s="2">
        <v>1</v>
      </c>
      <c r="F10" s="2">
        <v>0</v>
      </c>
      <c r="G10" s="2">
        <v>0</v>
      </c>
      <c r="H10" s="2">
        <f>SUM(C10:G10)</f>
        <v>10</v>
      </c>
    </row>
    <row r="11" spans="2:8" x14ac:dyDescent="0.2">
      <c r="B11" t="s">
        <v>15</v>
      </c>
    </row>
    <row r="13" spans="2:8" ht="15.75" thickBot="1" x14ac:dyDescent="0.25">
      <c r="B13" t="s">
        <v>62</v>
      </c>
      <c r="C13" s="2">
        <v>50</v>
      </c>
      <c r="D13" s="2"/>
      <c r="E13" s="2"/>
      <c r="F13" s="2"/>
      <c r="G13" s="2"/>
      <c r="H13" s="2"/>
    </row>
    <row r="14" spans="2:8" ht="15.75" x14ac:dyDescent="0.25">
      <c r="B14" s="27" t="s">
        <v>16</v>
      </c>
      <c r="C14" s="22">
        <f>240+273</f>
        <v>513</v>
      </c>
      <c r="D14" s="22">
        <f>260+273</f>
        <v>533</v>
      </c>
      <c r="E14" s="22">
        <f>280+273</f>
        <v>553</v>
      </c>
      <c r="F14" s="22">
        <f>300+273</f>
        <v>573</v>
      </c>
      <c r="G14" s="22">
        <f>320+273</f>
        <v>593</v>
      </c>
      <c r="H14" s="22">
        <f>340+273</f>
        <v>613</v>
      </c>
    </row>
    <row r="15" spans="2:8" ht="18.75" x14ac:dyDescent="0.35">
      <c r="B15" s="11" t="s">
        <v>63</v>
      </c>
      <c r="C15" s="23">
        <f t="shared" ref="C15:H15" si="0">EXP(-28.951+11746/C14)</f>
        <v>2.3477124741541006E-3</v>
      </c>
      <c r="D15" s="23">
        <f t="shared" si="0"/>
        <v>9.9429506643070823E-4</v>
      </c>
      <c r="E15" s="23">
        <f t="shared" si="0"/>
        <v>4.4810020849474984E-4</v>
      </c>
      <c r="F15" s="23">
        <f t="shared" si="0"/>
        <v>2.1350024017622424E-4</v>
      </c>
      <c r="G15" s="23">
        <f t="shared" si="0"/>
        <v>1.0693997811915982E-4</v>
      </c>
      <c r="H15" s="23">
        <f t="shared" si="0"/>
        <v>5.603695442959157E-5</v>
      </c>
    </row>
    <row r="16" spans="2:8" ht="18.75" x14ac:dyDescent="0.35">
      <c r="B16" s="11" t="s">
        <v>64</v>
      </c>
      <c r="C16" s="23">
        <f t="shared" ref="C16:H16" si="1">EXP(6940/C14-24.206)</f>
        <v>2.3052533235864212E-5</v>
      </c>
      <c r="D16" s="23">
        <f t="shared" si="1"/>
        <v>1.3875829708437874E-5</v>
      </c>
      <c r="E16" s="23">
        <f t="shared" si="1"/>
        <v>8.6645441208424757E-6</v>
      </c>
      <c r="F16" s="23">
        <f t="shared" si="1"/>
        <v>5.5912529458989637E-6</v>
      </c>
      <c r="G16" s="23">
        <f t="shared" si="1"/>
        <v>3.7162481784866113E-6</v>
      </c>
      <c r="H16" s="23">
        <f t="shared" si="1"/>
        <v>2.5367427290210014E-6</v>
      </c>
    </row>
    <row r="17" spans="2:8" ht="18.75" x14ac:dyDescent="0.35">
      <c r="B17" s="11" t="s">
        <v>65</v>
      </c>
      <c r="C17" s="24">
        <f t="shared" ref="C17:H17" si="2">9.9/$C$13*10^(2.49*(1-133/C$14))</f>
        <v>13.83915695040151</v>
      </c>
      <c r="D17" s="24">
        <f t="shared" si="2"/>
        <v>14.632991074970716</v>
      </c>
      <c r="E17" s="24">
        <f t="shared" si="2"/>
        <v>15.410063587128128</v>
      </c>
      <c r="F17" s="24">
        <f t="shared" si="2"/>
        <v>16.169890356172655</v>
      </c>
      <c r="G17" s="24">
        <f t="shared" si="2"/>
        <v>16.91218654090207</v>
      </c>
      <c r="H17" s="24">
        <f t="shared" si="2"/>
        <v>17.636828507855569</v>
      </c>
    </row>
    <row r="18" spans="2:8" ht="18.75" x14ac:dyDescent="0.35">
      <c r="B18" s="11" t="s">
        <v>66</v>
      </c>
      <c r="C18" s="24">
        <f t="shared" ref="C18:H18" si="3">970/$C$13</f>
        <v>19.399999999999999</v>
      </c>
      <c r="D18" s="24">
        <f t="shared" si="3"/>
        <v>19.399999999999999</v>
      </c>
      <c r="E18" s="24">
        <f t="shared" si="3"/>
        <v>19.399999999999999</v>
      </c>
      <c r="F18" s="24">
        <f t="shared" si="3"/>
        <v>19.399999999999999</v>
      </c>
      <c r="G18" s="24">
        <f t="shared" si="3"/>
        <v>19.399999999999999</v>
      </c>
      <c r="H18" s="24">
        <f t="shared" si="3"/>
        <v>19.399999999999999</v>
      </c>
    </row>
    <row r="19" spans="2:8" ht="18.75" x14ac:dyDescent="0.35">
      <c r="B19" s="11" t="s">
        <v>67</v>
      </c>
      <c r="C19" s="24">
        <f t="shared" ref="C19:H19" si="4">23/$C$13*10^(2.87*(1-304/C$14))</f>
        <v>6.7923036207840761</v>
      </c>
      <c r="D19" s="24">
        <f t="shared" si="4"/>
        <v>7.8674638263918233</v>
      </c>
      <c r="E19" s="24">
        <f t="shared" si="4"/>
        <v>9.0164652388677151</v>
      </c>
      <c r="F19" s="24">
        <f t="shared" si="4"/>
        <v>10.235407236234005</v>
      </c>
      <c r="G19" s="24">
        <f t="shared" si="4"/>
        <v>11.520182241535078</v>
      </c>
      <c r="H19" s="24">
        <f t="shared" si="4"/>
        <v>12.866563346152638</v>
      </c>
    </row>
    <row r="20" spans="2:8" ht="18.75" x14ac:dyDescent="0.35">
      <c r="B20" s="11" t="s">
        <v>68</v>
      </c>
      <c r="C20" s="24">
        <f t="shared" ref="C20:H20" si="5">61/$C$13*10^(3.64*(1-513/C$14))</f>
        <v>1.22</v>
      </c>
      <c r="D20" s="24">
        <f t="shared" si="5"/>
        <v>1.6708797532642354</v>
      </c>
      <c r="E20" s="24">
        <f t="shared" si="5"/>
        <v>2.2369226650474001</v>
      </c>
      <c r="F20" s="24">
        <f t="shared" si="5"/>
        <v>2.934348305883522</v>
      </c>
      <c r="G20" s="24">
        <f t="shared" si="5"/>
        <v>3.7793944874309928</v>
      </c>
      <c r="H20" s="24">
        <f t="shared" si="5"/>
        <v>4.78807351083874</v>
      </c>
    </row>
    <row r="21" spans="2:8" ht="18.75" x14ac:dyDescent="0.35">
      <c r="B21" s="11" t="s">
        <v>69</v>
      </c>
      <c r="C21" s="24">
        <f t="shared" ref="C21:H21" si="6">410/$C$13*10^(3.14*(1-647/C$14))</f>
        <v>1.2405632756343363</v>
      </c>
      <c r="D21" s="24">
        <f t="shared" si="6"/>
        <v>1.7467031589011015</v>
      </c>
      <c r="E21" s="24">
        <f t="shared" si="6"/>
        <v>2.3992230965066459</v>
      </c>
      <c r="F21" s="24">
        <f t="shared" si="6"/>
        <v>3.2232873084671678</v>
      </c>
      <c r="G21" s="24">
        <f t="shared" si="6"/>
        <v>4.2450023336376308</v>
      </c>
      <c r="H21" s="24">
        <f t="shared" si="6"/>
        <v>5.4910321042034678</v>
      </c>
    </row>
    <row r="22" spans="2:8" ht="18.75" x14ac:dyDescent="0.35">
      <c r="B22" s="16" t="s">
        <v>70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</row>
    <row r="23" spans="2:8" ht="18.75" x14ac:dyDescent="0.35">
      <c r="B23" s="28" t="s">
        <v>19</v>
      </c>
      <c r="C23" s="24">
        <v>1.8454491144048628</v>
      </c>
      <c r="D23" s="24">
        <v>1.6044679574831551</v>
      </c>
      <c r="E23" s="24">
        <v>1.1849844716974245</v>
      </c>
      <c r="F23" s="24">
        <v>0.69441705626166617</v>
      </c>
      <c r="G23" s="24">
        <v>0.30165743817544999</v>
      </c>
      <c r="H23" s="24">
        <v>5.7596120311664493E-2</v>
      </c>
    </row>
    <row r="24" spans="2:8" ht="18.75" x14ac:dyDescent="0.35">
      <c r="B24" s="28" t="s">
        <v>20</v>
      </c>
      <c r="C24" s="24">
        <v>0.36135780687642799</v>
      </c>
      <c r="D24" s="24">
        <v>0.25300392506644387</v>
      </c>
      <c r="E24" s="24">
        <v>0.19770210894559762</v>
      </c>
      <c r="F24" s="24">
        <v>0.17922161071443327</v>
      </c>
      <c r="G24" s="24">
        <v>0.18011775466024021</v>
      </c>
      <c r="H24" s="24">
        <v>0.19073694744619826</v>
      </c>
    </row>
    <row r="25" spans="2:8" ht="15.75" x14ac:dyDescent="0.25">
      <c r="B25" s="11" t="s">
        <v>71</v>
      </c>
      <c r="C25" s="24">
        <v>0.9</v>
      </c>
      <c r="D25" s="24">
        <v>0.9</v>
      </c>
      <c r="E25" s="24">
        <v>0.9</v>
      </c>
      <c r="F25" s="24">
        <v>0.9</v>
      </c>
      <c r="G25" s="24">
        <v>0.9</v>
      </c>
      <c r="H25" s="24">
        <v>0.9</v>
      </c>
    </row>
    <row r="26" spans="2:8" ht="15.75" x14ac:dyDescent="0.25">
      <c r="B26" s="11" t="s">
        <v>72</v>
      </c>
      <c r="C26" s="24">
        <v>16.368236130090029</v>
      </c>
      <c r="D26" s="24">
        <v>23.679797928406906</v>
      </c>
      <c r="E26" s="24">
        <v>32.670505552687388</v>
      </c>
      <c r="F26" s="24">
        <v>41.779875113877985</v>
      </c>
      <c r="G26" s="24">
        <v>48.657660958852425</v>
      </c>
      <c r="H26" s="24">
        <v>52.825963002843721</v>
      </c>
    </row>
    <row r="27" spans="2:8" ht="18.75" x14ac:dyDescent="0.35">
      <c r="B27" s="11" t="s">
        <v>21</v>
      </c>
      <c r="C27" s="24">
        <f>C35*C17/(C17+C$25*(1-C17))</f>
        <v>4.2655505582624133E-2</v>
      </c>
      <c r="D27" s="24">
        <f t="shared" ref="C27:H31" si="7">D35*D17/(D17+D$25*(1-D17))</f>
        <v>8.1730455693004286E-2</v>
      </c>
      <c r="E27" s="24">
        <f t="shared" si="7"/>
        <v>0.12893554115532768</v>
      </c>
      <c r="F27" s="24">
        <f t="shared" si="7"/>
        <v>0.1676398124788723</v>
      </c>
      <c r="G27" s="24">
        <f t="shared" si="7"/>
        <v>0.19212749029125084</v>
      </c>
      <c r="H27" s="24">
        <f t="shared" si="7"/>
        <v>0.20634088388682023</v>
      </c>
    </row>
    <row r="28" spans="2:8" ht="18.75" x14ac:dyDescent="0.35">
      <c r="B28" s="11" t="s">
        <v>22</v>
      </c>
      <c r="C28" s="24">
        <f t="shared" si="7"/>
        <v>0.69229782800177686</v>
      </c>
      <c r="D28" s="24">
        <f t="shared" si="7"/>
        <v>0.69120665532483549</v>
      </c>
      <c r="E28" s="24">
        <f t="shared" si="7"/>
        <v>0.69104334000142098</v>
      </c>
      <c r="F28" s="24">
        <f t="shared" si="7"/>
        <v>0.69268868275966422</v>
      </c>
      <c r="G28" s="24">
        <f t="shared" si="7"/>
        <v>0.69339001940422273</v>
      </c>
      <c r="H28" s="24">
        <f t="shared" si="7"/>
        <v>0.69182973012286342</v>
      </c>
    </row>
    <row r="29" spans="2:8" ht="18.75" x14ac:dyDescent="0.35">
      <c r="B29" s="11" t="s">
        <v>23</v>
      </c>
      <c r="C29" s="24">
        <f t="shared" si="7"/>
        <v>0.12511323214505829</v>
      </c>
      <c r="D29" s="24">
        <f t="shared" si="7"/>
        <v>0.11627627725488608</v>
      </c>
      <c r="E29" s="24">
        <f t="shared" si="7"/>
        <v>0.10061752243202959</v>
      </c>
      <c r="F29" s="24">
        <f t="shared" si="7"/>
        <v>8.7292433695211669E-2</v>
      </c>
      <c r="G29" s="24">
        <f t="shared" si="7"/>
        <v>7.9780753764524023E-2</v>
      </c>
      <c r="H29" s="24">
        <f t="shared" si="7"/>
        <v>7.6397564725941461E-2</v>
      </c>
    </row>
    <row r="30" spans="2:8" ht="18.75" x14ac:dyDescent="0.35">
      <c r="B30" s="11" t="s">
        <v>24</v>
      </c>
      <c r="C30" s="24">
        <f t="shared" si="7"/>
        <v>0.11999062140539483</v>
      </c>
      <c r="D30" s="24">
        <f t="shared" si="7"/>
        <v>9.7063299543440423E-2</v>
      </c>
      <c r="E30" s="24">
        <f t="shared" si="7"/>
        <v>6.8976089635259918E-2</v>
      </c>
      <c r="F30" s="24">
        <f t="shared" si="7"/>
        <v>4.2933050691457031E-2</v>
      </c>
      <c r="G30" s="24">
        <f t="shared" si="7"/>
        <v>2.4695902396321377E-2</v>
      </c>
      <c r="H30" s="24">
        <f t="shared" si="7"/>
        <v>1.3835649300833239E-2</v>
      </c>
    </row>
    <row r="31" spans="2:8" ht="18.75" x14ac:dyDescent="0.35">
      <c r="B31" s="11" t="s">
        <v>25</v>
      </c>
      <c r="C31" s="24">
        <f t="shared" si="7"/>
        <v>1.9939145715175126E-2</v>
      </c>
      <c r="D31" s="24">
        <f t="shared" si="7"/>
        <v>1.3723312184186823E-2</v>
      </c>
      <c r="E31" s="24">
        <f t="shared" si="7"/>
        <v>1.0427445442958809E-2</v>
      </c>
      <c r="F31" s="24">
        <f t="shared" si="7"/>
        <v>9.4460082714767652E-3</v>
      </c>
      <c r="G31" s="24">
        <f t="shared" si="7"/>
        <v>1.0005779685872736E-2</v>
      </c>
      <c r="H31" s="24">
        <f t="shared" si="7"/>
        <v>1.1595707839212566E-2</v>
      </c>
    </row>
    <row r="32" spans="2:8" ht="15.75" x14ac:dyDescent="0.25">
      <c r="B32" s="11" t="s">
        <v>27</v>
      </c>
      <c r="C32" s="24">
        <f t="shared" ref="C32:H32" si="8">$C$13^2*C$15*C$27*C$28^2-C$30</f>
        <v>-3.7416444743920696E-7</v>
      </c>
      <c r="D32" s="24">
        <f t="shared" si="8"/>
        <v>-3.2941430416766337E-9</v>
      </c>
      <c r="E32" s="24">
        <f t="shared" si="8"/>
        <v>-3.11774358968675E-8</v>
      </c>
      <c r="F32" s="24">
        <f t="shared" si="8"/>
        <v>-2.1743585404410126E-9</v>
      </c>
      <c r="G32" s="24">
        <f t="shared" si="8"/>
        <v>-6.733603116065856E-9</v>
      </c>
      <c r="H32" s="24">
        <f t="shared" si="8"/>
        <v>-4.0909512034892348E-8</v>
      </c>
    </row>
    <row r="33" spans="2:8" ht="15.75" x14ac:dyDescent="0.25">
      <c r="B33" s="11" t="s">
        <v>28</v>
      </c>
      <c r="C33" s="24">
        <f t="shared" ref="C33:H33" si="9">$C$13^2*C$16*C$29*C$28^3-C$30*C31</f>
        <v>-7.1798527251192013E-8</v>
      </c>
      <c r="D33" s="24">
        <f t="shared" si="9"/>
        <v>-5.2560990217338788E-10</v>
      </c>
      <c r="E33" s="24">
        <f t="shared" si="9"/>
        <v>-2.1420291861865698E-9</v>
      </c>
      <c r="F33" s="24">
        <f t="shared" si="9"/>
        <v>-4.1063199986580284E-11</v>
      </c>
      <c r="G33" s="24">
        <f t="shared" si="9"/>
        <v>-1.2767823706931122E-10</v>
      </c>
      <c r="H33" s="24">
        <f t="shared" si="9"/>
        <v>-1.1815390844806695E-9</v>
      </c>
    </row>
    <row r="34" spans="2:8" ht="18.75" x14ac:dyDescent="0.35">
      <c r="B34" s="28" t="s">
        <v>73</v>
      </c>
      <c r="C34" s="24">
        <f t="shared" ref="C34:H34" si="10">SUM(C27:C31)</f>
        <v>0.9999963328500292</v>
      </c>
      <c r="D34" s="24">
        <f t="shared" si="10"/>
        <v>1.0000000000003531</v>
      </c>
      <c r="E34" s="24">
        <f t="shared" si="10"/>
        <v>0.99999993866699699</v>
      </c>
      <c r="F34" s="24">
        <f t="shared" si="10"/>
        <v>0.99999998789668199</v>
      </c>
      <c r="G34" s="24">
        <f t="shared" si="10"/>
        <v>0.99999994554219163</v>
      </c>
      <c r="H34" s="24">
        <f t="shared" si="10"/>
        <v>0.99999953587567103</v>
      </c>
    </row>
    <row r="35" spans="2:8" ht="18.75" x14ac:dyDescent="0.35">
      <c r="B35" s="11" t="s">
        <v>74</v>
      </c>
      <c r="C35" s="24">
        <f t="shared" ref="C35:H35" si="11">($C$10-C$23)/($H$10+C$26-2*C$23-2*C$24)</f>
        <v>7.0395602152052731E-3</v>
      </c>
      <c r="D35" s="24">
        <f t="shared" si="11"/>
        <v>1.3199865427717592E-2</v>
      </c>
      <c r="E35" s="24">
        <f t="shared" si="11"/>
        <v>2.0423827198683672E-2</v>
      </c>
      <c r="F35" s="24">
        <f t="shared" si="11"/>
        <v>2.6094646324004454E-2</v>
      </c>
      <c r="G35" s="24">
        <f t="shared" si="11"/>
        <v>2.9437017833394249E-2</v>
      </c>
      <c r="H35" s="24">
        <f t="shared" si="11"/>
        <v>3.1163577600159198E-2</v>
      </c>
    </row>
    <row r="36" spans="2:8" ht="18.75" x14ac:dyDescent="0.35">
      <c r="B36" s="11" t="s">
        <v>75</v>
      </c>
      <c r="C36" s="24">
        <f t="shared" ref="C36:H36" si="12">($D$10-2*C$23-3*C$24)/($H$10+C$26-2*C$23-2*C$24)</f>
        <v>0.10134669234665188</v>
      </c>
      <c r="D36" s="24">
        <f t="shared" si="12"/>
        <v>0.10118695366610994</v>
      </c>
      <c r="E36" s="24">
        <f t="shared" si="12"/>
        <v>0.10116304564969256</v>
      </c>
      <c r="F36" s="24">
        <f t="shared" si="12"/>
        <v>0.10140391025966219</v>
      </c>
      <c r="G36" s="24">
        <f t="shared" si="12"/>
        <v>0.10150658016020581</v>
      </c>
      <c r="H36" s="24">
        <f t="shared" si="12"/>
        <v>0.10127816667778002</v>
      </c>
    </row>
    <row r="37" spans="2:8" ht="18.75" x14ac:dyDescent="0.35">
      <c r="B37" s="11" t="s">
        <v>76</v>
      </c>
      <c r="C37" s="24">
        <f t="shared" ref="C37:H37" si="13">($E$10-C$24)/($H$10+C$26-2*C$23-2*C$24)</f>
        <v>2.9089190638747105E-2</v>
      </c>
      <c r="D37" s="24">
        <f t="shared" si="13"/>
        <v>2.4929074270224918E-2</v>
      </c>
      <c r="E37" s="24">
        <f t="shared" si="13"/>
        <v>2.0105130417441733E-2</v>
      </c>
      <c r="F37" s="24">
        <f t="shared" si="13"/>
        <v>1.6404872537217757E-2</v>
      </c>
      <c r="G37" s="24">
        <f t="shared" si="13"/>
        <v>1.4210848164472441E-2</v>
      </c>
      <c r="H37" s="24">
        <f t="shared" si="13"/>
        <v>1.2983670492487205E-2</v>
      </c>
    </row>
    <row r="38" spans="2:8" ht="18.75" x14ac:dyDescent="0.35">
      <c r="B38" s="11" t="s">
        <v>77</v>
      </c>
      <c r="C38" s="24">
        <f t="shared" ref="C38:H38" si="14">($F$10+C$23+C$24)/($H$10+C$26-2*C$23-2*C$24)</f>
        <v>0.10051673366910945</v>
      </c>
      <c r="D38" s="24">
        <f t="shared" si="14"/>
        <v>6.1988350499769619E-2</v>
      </c>
      <c r="E38" s="24">
        <f t="shared" si="14"/>
        <v>3.464934202150298E-2</v>
      </c>
      <c r="F38" s="24">
        <f t="shared" si="14"/>
        <v>1.7461389289017151E-2</v>
      </c>
      <c r="G38" s="24">
        <f t="shared" si="14"/>
        <v>8.3505090562855846E-3</v>
      </c>
      <c r="H38" s="24">
        <f t="shared" si="14"/>
        <v>3.9842109608015635E-3</v>
      </c>
    </row>
    <row r="39" spans="2:8" ht="19.5" thickBot="1" x14ac:dyDescent="0.4">
      <c r="B39" s="13" t="s">
        <v>78</v>
      </c>
      <c r="C39" s="26">
        <f t="shared" ref="C39:H39" si="15">($G$10+C$24)/($H$10+C$26-2*C$23-2*C$24)</f>
        <v>1.6459304202273501E-2</v>
      </c>
      <c r="D39" s="26">
        <f t="shared" si="15"/>
        <v>8.4433557956791246E-3</v>
      </c>
      <c r="E39" s="26">
        <f t="shared" si="15"/>
        <v>4.954302795101063E-3</v>
      </c>
      <c r="F39" s="26">
        <f t="shared" si="15"/>
        <v>3.5820968461953628E-3</v>
      </c>
      <c r="G39" s="26">
        <f t="shared" si="15"/>
        <v>3.1219435202449845E-3</v>
      </c>
      <c r="H39" s="26">
        <f t="shared" si="15"/>
        <v>3.0601491919954493E-3</v>
      </c>
    </row>
  </sheetData>
  <sheetProtection sheet="1" objects="1" scenarios="1"/>
  <phoneticPr fontId="21" type="noConversion"/>
  <printOptions gridLinesSet="0"/>
  <pageMargins left="0.75" right="0.75" top="1" bottom="1" header="0.5" footer="0.5"/>
  <pageSetup orientation="portrait" horizontalDpi="300" verticalDpi="12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RXNADIA-shortcut</vt:lpstr>
      <vt:lpstr>RXNADIA</vt:lpstr>
      <vt:lpstr>DUALRXN</vt:lpstr>
      <vt:lpstr>GIBBSMIN</vt:lpstr>
      <vt:lpstr>SMPRXN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</dc:creator>
  <cp:lastModifiedBy>Carl Lira</cp:lastModifiedBy>
  <dcterms:created xsi:type="dcterms:W3CDTF">1998-07-06T12:33:43Z</dcterms:created>
  <dcterms:modified xsi:type="dcterms:W3CDTF">2012-04-10T23:55:20Z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1513950238</vt:i4>
  </property>
  <property fmtid="{D5CDD505-2E9C-101B-9397-08002B2CF9AE}" pid="3" name="_EmailSubject">
    <vt:lpwstr>Typo in thermo book</vt:lpwstr>
  </property>
  <property fmtid="{D5CDD505-2E9C-101B-9397-08002B2CF9AE}" pid="4" name="_AuthorEmail">
    <vt:lpwstr>elliot1@uakron.edu</vt:lpwstr>
  </property>
  <property fmtid="{D5CDD505-2E9C-101B-9397-08002B2CF9AE}" pid="5" name="_AuthorEmailDisplayName">
    <vt:lpwstr>Elliott Jr,J. Richard</vt:lpwstr>
  </property>
  <property fmtid="{D5CDD505-2E9C-101B-9397-08002B2CF9AE}" pid="6" name="_ReviewingToolsShownOnce">
    <vt:lpwstr/>
  </property>
</Properties>
</file>