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30" yWindow="-30" windowWidth="15240" windowHeight="8865" tabRatio="223"/>
  </bookViews>
  <sheets>
    <sheet name="Steam Calculations" sheetId="1" r:id="rId1"/>
    <sheet name="Notes" sheetId="2" r:id="rId2"/>
  </sheets>
  <definedNames>
    <definedName name="solver_adj" localSheetId="0" hidden="1">'Steam Calculations'!$B$7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'Steam Calculations'!$B$6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F4" i="1"/>
  <c r="F5"/>
  <c r="G5"/>
  <c r="B6"/>
  <c r="F6"/>
  <c r="G6"/>
  <c r="B7"/>
  <c r="F7"/>
  <c r="G7"/>
  <c r="B8"/>
  <c r="F8"/>
  <c r="G8"/>
  <c r="B9"/>
  <c r="F9"/>
  <c r="G9"/>
  <c r="B10"/>
  <c r="F10"/>
  <c r="G10"/>
  <c r="B11"/>
  <c r="F11"/>
  <c r="G11"/>
  <c r="B13"/>
  <c r="B14"/>
  <c r="F18"/>
  <c r="G18"/>
  <c r="H18"/>
  <c r="I18"/>
  <c r="J18"/>
  <c r="K18"/>
  <c r="A19"/>
  <c r="F19"/>
  <c r="G19"/>
  <c r="H19"/>
  <c r="I19"/>
  <c r="J19"/>
  <c r="K19"/>
  <c r="M19"/>
  <c r="A20"/>
  <c r="F20"/>
  <c r="G20"/>
  <c r="H20"/>
  <c r="I20"/>
  <c r="J20"/>
  <c r="K20"/>
  <c r="M20"/>
  <c r="A21"/>
  <c r="F21"/>
  <c r="G21"/>
  <c r="H21"/>
  <c r="I21"/>
  <c r="J21"/>
  <c r="K21"/>
  <c r="M21"/>
  <c r="P21"/>
  <c r="Q21"/>
  <c r="R21"/>
  <c r="A22"/>
  <c r="F22"/>
  <c r="G22"/>
  <c r="H22"/>
  <c r="I22"/>
  <c r="J22"/>
  <c r="K22"/>
  <c r="M22"/>
  <c r="P22"/>
  <c r="Q22"/>
  <c r="R22"/>
  <c r="A23"/>
  <c r="F23"/>
  <c r="G23"/>
  <c r="H23"/>
  <c r="I23"/>
  <c r="J23"/>
  <c r="K23"/>
  <c r="M23"/>
  <c r="P23"/>
  <c r="Q23"/>
  <c r="R23"/>
  <c r="A24"/>
  <c r="F24"/>
  <c r="G24"/>
  <c r="H24"/>
  <c r="I24"/>
  <c r="J24"/>
  <c r="K24"/>
  <c r="M24"/>
  <c r="P24"/>
  <c r="Q24"/>
  <c r="R24"/>
  <c r="M25"/>
  <c r="P25"/>
  <c r="Q25"/>
  <c r="R25"/>
  <c r="A26"/>
  <c r="F26"/>
  <c r="G26"/>
  <c r="H26"/>
  <c r="I26"/>
  <c r="J26"/>
  <c r="K26"/>
  <c r="P26"/>
  <c r="Q26"/>
  <c r="R26"/>
  <c r="A27"/>
  <c r="F27"/>
  <c r="G27"/>
  <c r="H27"/>
  <c r="I27"/>
  <c r="J27"/>
  <c r="K27"/>
  <c r="A28"/>
  <c r="F28"/>
  <c r="G28"/>
  <c r="H28"/>
  <c r="I28"/>
  <c r="J28"/>
  <c r="K28"/>
  <c r="A29"/>
  <c r="F29"/>
  <c r="G29"/>
  <c r="H29"/>
  <c r="I29"/>
  <c r="J29"/>
  <c r="K29"/>
  <c r="A30"/>
  <c r="F30"/>
  <c r="G30"/>
  <c r="H30"/>
  <c r="I30"/>
  <c r="J30"/>
  <c r="K30"/>
  <c r="A31"/>
  <c r="F31"/>
  <c r="G31"/>
  <c r="H31"/>
  <c r="I31"/>
  <c r="J31"/>
  <c r="K31"/>
  <c r="A32"/>
  <c r="F32"/>
  <c r="G32"/>
  <c r="H32"/>
  <c r="I32"/>
  <c r="J32"/>
  <c r="K32"/>
  <c r="A33"/>
  <c r="F33"/>
  <c r="G33"/>
  <c r="H33"/>
  <c r="I33"/>
  <c r="J33"/>
  <c r="K33"/>
  <c r="A34"/>
  <c r="F34"/>
  <c r="G34"/>
  <c r="H34"/>
  <c r="I34"/>
  <c r="J34"/>
  <c r="K34"/>
  <c r="A35"/>
  <c r="F35"/>
  <c r="G35"/>
  <c r="H35"/>
  <c r="I35"/>
  <c r="J35"/>
  <c r="K35"/>
  <c r="A36"/>
  <c r="F36"/>
  <c r="G36"/>
  <c r="H36"/>
  <c r="I36"/>
  <c r="J36"/>
  <c r="K36"/>
  <c r="A37"/>
  <c r="F37"/>
  <c r="G37"/>
  <c r="H37"/>
  <c r="I37"/>
  <c r="J37"/>
  <c r="K37"/>
  <c r="A38"/>
  <c r="F38"/>
  <c r="G38"/>
  <c r="H38"/>
  <c r="I38"/>
  <c r="J38"/>
  <c r="K38"/>
  <c r="A39"/>
  <c r="F39"/>
  <c r="G39"/>
  <c r="H39"/>
  <c r="I39"/>
  <c r="J39"/>
  <c r="K39"/>
  <c r="A40"/>
  <c r="F40"/>
  <c r="G40"/>
  <c r="H40"/>
  <c r="I40"/>
  <c r="J40"/>
  <c r="K40"/>
  <c r="A41"/>
  <c r="F41"/>
  <c r="G41"/>
  <c r="H41"/>
  <c r="I41"/>
  <c r="J41"/>
  <c r="K41"/>
  <c r="A42"/>
  <c r="F42"/>
  <c r="G42"/>
  <c r="H42"/>
  <c r="I42"/>
  <c r="J42"/>
  <c r="K42"/>
  <c r="A43"/>
  <c r="F43"/>
  <c r="G43"/>
  <c r="H43"/>
  <c r="I43"/>
  <c r="J43"/>
  <c r="K43"/>
  <c r="A44"/>
  <c r="F44"/>
  <c r="G44"/>
  <c r="H44"/>
  <c r="I44"/>
  <c r="J44"/>
  <c r="K44"/>
  <c r="A45"/>
  <c r="F45"/>
  <c r="G45"/>
  <c r="H45"/>
  <c r="I45"/>
  <c r="J45"/>
  <c r="K45"/>
  <c r="A46"/>
  <c r="F46"/>
  <c r="G46"/>
  <c r="H46"/>
  <c r="I46"/>
  <c r="J46"/>
  <c r="K46"/>
  <c r="A47"/>
  <c r="F47"/>
  <c r="G47"/>
  <c r="H47"/>
  <c r="I47"/>
  <c r="J47"/>
  <c r="K47"/>
  <c r="A48"/>
  <c r="F48"/>
  <c r="G48"/>
  <c r="H48"/>
  <c r="I48"/>
  <c r="J48"/>
  <c r="K48"/>
  <c r="A49"/>
  <c r="F49"/>
  <c r="G49"/>
  <c r="H49"/>
  <c r="I49"/>
  <c r="J49"/>
  <c r="K49"/>
  <c r="A50"/>
  <c r="F50"/>
  <c r="G50"/>
  <c r="H50"/>
  <c r="I50"/>
  <c r="J50"/>
  <c r="K50"/>
  <c r="A51"/>
  <c r="F51"/>
  <c r="G51"/>
  <c r="H51"/>
  <c r="I51"/>
  <c r="J51"/>
  <c r="K51"/>
  <c r="A52"/>
  <c r="F52"/>
  <c r="G52"/>
  <c r="H52"/>
  <c r="I52"/>
  <c r="J52"/>
  <c r="K52"/>
  <c r="A53"/>
  <c r="F53"/>
  <c r="G53"/>
  <c r="H53"/>
  <c r="I53"/>
  <c r="J53"/>
  <c r="K53"/>
  <c r="A54"/>
  <c r="F54"/>
  <c r="G54"/>
  <c r="H54"/>
  <c r="I54"/>
  <c r="J54"/>
  <c r="K54"/>
  <c r="A55"/>
  <c r="F55"/>
  <c r="G55"/>
  <c r="H55"/>
  <c r="I55"/>
  <c r="J55"/>
  <c r="K55"/>
  <c r="A56"/>
  <c r="F56"/>
  <c r="G56"/>
  <c r="H56"/>
  <c r="I56"/>
  <c r="J56"/>
  <c r="K56"/>
  <c r="A57"/>
  <c r="F57"/>
  <c r="G57"/>
  <c r="H57"/>
  <c r="I57"/>
  <c r="J57"/>
  <c r="K57"/>
  <c r="A58"/>
  <c r="F58"/>
  <c r="G58"/>
  <c r="H58"/>
  <c r="I58"/>
  <c r="J58"/>
  <c r="K58"/>
  <c r="A59"/>
  <c r="F59"/>
  <c r="G59"/>
  <c r="H59"/>
  <c r="I59"/>
  <c r="J59"/>
  <c r="K59"/>
  <c r="A60"/>
  <c r="F60"/>
  <c r="G60"/>
  <c r="H60"/>
  <c r="I60"/>
  <c r="J60"/>
  <c r="K60"/>
  <c r="A61"/>
  <c r="F61"/>
  <c r="G61"/>
  <c r="H61"/>
  <c r="I61"/>
  <c r="J61"/>
  <c r="K61"/>
  <c r="A62"/>
  <c r="F62"/>
  <c r="G62"/>
  <c r="H62"/>
  <c r="I62"/>
  <c r="J62"/>
  <c r="K62"/>
  <c r="A63"/>
  <c r="F63"/>
  <c r="G63"/>
  <c r="H63"/>
  <c r="I63"/>
  <c r="J63"/>
  <c r="K63"/>
  <c r="A64"/>
  <c r="F64"/>
  <c r="G64"/>
  <c r="H64"/>
  <c r="I64"/>
  <c r="J64"/>
  <c r="K64"/>
  <c r="A65"/>
  <c r="F65"/>
  <c r="G65"/>
  <c r="H65"/>
  <c r="I65"/>
  <c r="J65"/>
  <c r="K65"/>
  <c r="A66"/>
  <c r="F66"/>
  <c r="G66"/>
  <c r="H66"/>
  <c r="I66"/>
  <c r="J66"/>
  <c r="K66"/>
  <c r="A67"/>
  <c r="F67"/>
  <c r="G67"/>
  <c r="H67"/>
  <c r="I67"/>
  <c r="J67"/>
  <c r="K67"/>
  <c r="A68"/>
  <c r="F68"/>
  <c r="G68"/>
  <c r="H68"/>
  <c r="I68"/>
  <c r="J68"/>
  <c r="K68"/>
  <c r="A69"/>
  <c r="F69"/>
  <c r="G69"/>
  <c r="H69"/>
  <c r="I69"/>
  <c r="J69"/>
  <c r="K69"/>
  <c r="A71"/>
  <c r="M71"/>
  <c r="N71"/>
  <c r="O71"/>
  <c r="P71"/>
  <c r="Q71"/>
  <c r="R71"/>
  <c r="A72"/>
  <c r="M72"/>
  <c r="N72"/>
  <c r="O72"/>
  <c r="P72"/>
  <c r="Q72"/>
  <c r="R72"/>
  <c r="A73"/>
  <c r="M73"/>
  <c r="N73"/>
  <c r="O73"/>
  <c r="P73"/>
  <c r="Q73"/>
  <c r="R73"/>
  <c r="A75"/>
  <c r="M75"/>
  <c r="N75"/>
  <c r="O75"/>
  <c r="P75"/>
  <c r="Q75"/>
  <c r="R75"/>
  <c r="S75"/>
  <c r="T75"/>
  <c r="U75"/>
  <c r="V75"/>
  <c r="A76"/>
  <c r="M76"/>
  <c r="N76"/>
  <c r="O76"/>
  <c r="P76"/>
  <c r="Q76"/>
  <c r="R76"/>
  <c r="S76"/>
  <c r="T76"/>
  <c r="U76"/>
  <c r="V76"/>
  <c r="R79"/>
  <c r="S79"/>
  <c r="T79"/>
  <c r="U79"/>
  <c r="V79"/>
  <c r="B80"/>
  <c r="E80"/>
  <c r="R80"/>
  <c r="S80"/>
  <c r="T80"/>
  <c r="U80"/>
  <c r="V80"/>
  <c r="B81"/>
  <c r="E81"/>
  <c r="B82"/>
  <c r="E82"/>
  <c r="B83"/>
  <c r="E83"/>
  <c r="B84"/>
  <c r="E84"/>
  <c r="B85"/>
  <c r="M86"/>
  <c r="N86"/>
  <c r="O86"/>
  <c r="P86"/>
  <c r="Q86"/>
  <c r="R86"/>
  <c r="M87"/>
  <c r="N87"/>
  <c r="O87"/>
  <c r="P87"/>
  <c r="Q87"/>
  <c r="R87"/>
</calcChain>
</file>

<file path=xl/sharedStrings.xml><?xml version="1.0" encoding="utf-8"?>
<sst xmlns="http://schemas.openxmlformats.org/spreadsheetml/2006/main" count="144" uniqueCount="118">
  <si>
    <t>cf. IAPWS Formulation 1995 for the Thermodynamic Properties of Ordinary Water Substance for General and Scientific Use</t>
  </si>
  <si>
    <t>J.Phys.Chem.Ref.Data, 31(2):387-535, (2002)</t>
  </si>
  <si>
    <r>
      <t>8</t>
    </r>
    <r>
      <rPr>
        <b/>
        <i/>
        <u/>
        <sz val="16"/>
        <rFont val="Times New Roman"/>
        <family val="1"/>
      </rPr>
      <t xml:space="preserve">. </t>
    </r>
    <r>
      <rPr>
        <b/>
        <i/>
        <u/>
        <sz val="14"/>
        <rFont val="Times New Roman"/>
        <family val="1"/>
      </rPr>
      <t xml:space="preserve">Steam On a Disk. </t>
    </r>
    <r>
      <rPr>
        <b/>
        <i/>
        <u/>
        <sz val="18"/>
        <rFont val="Times New Roman"/>
        <family val="1"/>
      </rPr>
      <t xml:space="preserve"> </t>
    </r>
    <r>
      <rPr>
        <b/>
        <i/>
        <u/>
        <sz val="18"/>
        <rFont val="Wingdings"/>
        <charset val="2"/>
      </rPr>
      <t>=</t>
    </r>
  </si>
  <si>
    <t>the key equations</t>
  </si>
  <si>
    <t>PV</t>
  </si>
  <si>
    <t xml:space="preserve">T  </t>
  </si>
  <si>
    <t>K</t>
  </si>
  <si>
    <t>Gibb's energy</t>
  </si>
  <si>
    <t>P</t>
  </si>
  <si>
    <t>MPa</t>
  </si>
  <si>
    <t>Cv</t>
  </si>
  <si>
    <t xml:space="preserve">V  </t>
  </si>
  <si>
    <r>
      <t>m</t>
    </r>
    <r>
      <rPr>
        <b/>
        <vertAlign val="superscript"/>
        <sz val="10"/>
        <rFont val="Times New Roman"/>
        <family val="1"/>
      </rPr>
      <t>3</t>
    </r>
    <r>
      <rPr>
        <b/>
        <sz val="10"/>
        <rFont val="Times New Roman"/>
        <family val="1"/>
      </rPr>
      <t>/kg</t>
    </r>
  </si>
  <si>
    <r>
      <t>w</t>
    </r>
    <r>
      <rPr>
        <b/>
        <sz val="10"/>
        <rFont val="Times New Roman"/>
        <family val="1"/>
      </rPr>
      <t>, speed of sound</t>
    </r>
  </si>
  <si>
    <t>r</t>
  </si>
  <si>
    <r>
      <t>kg/m</t>
    </r>
    <r>
      <rPr>
        <b/>
        <vertAlign val="superscript"/>
        <sz val="10"/>
        <rFont val="Times New Roman"/>
        <family val="1"/>
      </rPr>
      <t>3</t>
    </r>
  </si>
  <si>
    <r>
      <t>m</t>
    </r>
    <r>
      <rPr>
        <b/>
        <sz val="10"/>
        <rFont val="Times New Roman"/>
        <family val="1"/>
      </rPr>
      <t>, J-T coefficient</t>
    </r>
  </si>
  <si>
    <t>H</t>
  </si>
  <si>
    <t>kJ/kg</t>
  </si>
  <si>
    <r>
      <t>d</t>
    </r>
    <r>
      <rPr>
        <b/>
        <vertAlign val="subscript"/>
        <sz val="10"/>
        <rFont val="Times New Roman"/>
        <family val="1"/>
      </rPr>
      <t>t</t>
    </r>
    <r>
      <rPr>
        <b/>
        <sz val="10"/>
        <rFont val="Times New Roman"/>
        <family val="1"/>
      </rPr>
      <t>, I-T coefficient</t>
    </r>
  </si>
  <si>
    <t>U</t>
  </si>
  <si>
    <r>
      <t>b</t>
    </r>
    <r>
      <rPr>
        <b/>
        <vertAlign val="subscript"/>
        <sz val="10"/>
        <rFont val="Times New Roman"/>
        <family val="1"/>
      </rPr>
      <t xml:space="preserve">s , </t>
    </r>
    <r>
      <rPr>
        <b/>
        <sz val="10"/>
        <rFont val="Times New Roman"/>
        <family val="1"/>
      </rPr>
      <t>Isen. T-P coef.</t>
    </r>
  </si>
  <si>
    <t>S</t>
  </si>
  <si>
    <r>
      <t>kJ/kg</t>
    </r>
    <r>
      <rPr>
        <b/>
        <sz val="10"/>
        <rFont val="Wingdings"/>
        <charset val="2"/>
      </rPr>
      <t>w</t>
    </r>
    <r>
      <rPr>
        <b/>
        <sz val="10"/>
        <rFont val="Times New Roman"/>
        <family val="1"/>
      </rPr>
      <t>K</t>
    </r>
  </si>
  <si>
    <t>Cp</t>
  </si>
  <si>
    <r>
      <t>t</t>
    </r>
    <r>
      <rPr>
        <sz val="10"/>
        <rFont val="Times New Roman"/>
        <family val="1"/>
      </rPr>
      <t xml:space="preserve">   (Tc/T)</t>
    </r>
  </si>
  <si>
    <t>Tc ( K )</t>
  </si>
  <si>
    <t>R (kj/kg K)</t>
  </si>
  <si>
    <r>
      <t>d</t>
    </r>
    <r>
      <rPr>
        <sz val="10"/>
        <rFont val="Times New Roman"/>
        <family val="1"/>
      </rPr>
      <t xml:space="preserve">  (</t>
    </r>
    <r>
      <rPr>
        <sz val="10"/>
        <rFont val="Symbol"/>
        <family val="1"/>
        <charset val="2"/>
      </rPr>
      <t>r/r</t>
    </r>
    <r>
      <rPr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</si>
  <si>
    <r>
      <t>r</t>
    </r>
    <r>
      <rPr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 kg/m</t>
    </r>
    <r>
      <rPr>
        <vertAlign val="superscript"/>
        <sz val="10"/>
        <rFont val="Times New Roman"/>
        <family val="1"/>
      </rPr>
      <t>3</t>
    </r>
  </si>
  <si>
    <t>Table of Residual Coefficients</t>
  </si>
  <si>
    <r>
      <t xml:space="preserve">          for </t>
    </r>
    <r>
      <rPr>
        <sz val="10"/>
        <rFont val="Symbol"/>
        <family val="1"/>
        <charset val="2"/>
      </rPr>
      <t>f</t>
    </r>
    <r>
      <rPr>
        <vertAlign val="superscript"/>
        <sz val="10"/>
        <rFont val="Times New Roman"/>
        <family val="1"/>
      </rPr>
      <t>r</t>
    </r>
  </si>
  <si>
    <r>
      <t xml:space="preserve">         for</t>
    </r>
    <r>
      <rPr>
        <sz val="10"/>
        <rFont val="Symbol"/>
        <family val="1"/>
        <charset val="2"/>
      </rPr>
      <t xml:space="preserve"> f</t>
    </r>
    <r>
      <rPr>
        <vertAlign val="superscript"/>
        <sz val="10"/>
        <rFont val="Times New Roman"/>
        <family val="1"/>
      </rPr>
      <t>r</t>
    </r>
    <r>
      <rPr>
        <vertAlign val="subscript"/>
        <sz val="10"/>
        <rFont val="Symbol"/>
        <family val="1"/>
        <charset val="2"/>
      </rPr>
      <t>d</t>
    </r>
  </si>
  <si>
    <r>
      <t>for</t>
    </r>
    <r>
      <rPr>
        <sz val="10"/>
        <rFont val="Symbol"/>
        <family val="1"/>
        <charset val="2"/>
      </rPr>
      <t xml:space="preserve"> f</t>
    </r>
    <r>
      <rPr>
        <vertAlign val="superscript"/>
        <sz val="10"/>
        <rFont val="Times New Roman"/>
        <family val="1"/>
      </rPr>
      <t>r</t>
    </r>
    <r>
      <rPr>
        <vertAlign val="subscript"/>
        <sz val="10"/>
        <rFont val="Symbol"/>
        <family val="1"/>
        <charset val="2"/>
      </rPr>
      <t>dd</t>
    </r>
  </si>
  <si>
    <r>
      <t>for</t>
    </r>
    <r>
      <rPr>
        <sz val="10"/>
        <rFont val="Symbol"/>
        <family val="1"/>
        <charset val="2"/>
      </rPr>
      <t xml:space="preserve"> f</t>
    </r>
    <r>
      <rPr>
        <vertAlign val="superscript"/>
        <sz val="10"/>
        <rFont val="Times New Roman"/>
        <family val="1"/>
      </rPr>
      <t>r</t>
    </r>
    <r>
      <rPr>
        <vertAlign val="subscript"/>
        <sz val="10"/>
        <rFont val="Symbol"/>
        <family val="1"/>
        <charset val="2"/>
      </rPr>
      <t>t</t>
    </r>
  </si>
  <si>
    <r>
      <t xml:space="preserve">for </t>
    </r>
    <r>
      <rPr>
        <sz val="10"/>
        <rFont val="Symbol"/>
        <family val="1"/>
        <charset val="2"/>
      </rPr>
      <t>f</t>
    </r>
    <r>
      <rPr>
        <vertAlign val="superscript"/>
        <sz val="10"/>
        <rFont val="Times New Roman"/>
        <family val="1"/>
      </rPr>
      <t>r</t>
    </r>
    <r>
      <rPr>
        <vertAlign val="subscript"/>
        <sz val="10"/>
        <rFont val="Symbol"/>
        <family val="1"/>
        <charset val="2"/>
      </rPr>
      <t>tt</t>
    </r>
  </si>
  <si>
    <r>
      <t>for</t>
    </r>
    <r>
      <rPr>
        <sz val="10"/>
        <rFont val="Symbol"/>
        <family val="1"/>
        <charset val="2"/>
      </rPr>
      <t xml:space="preserve"> f</t>
    </r>
    <r>
      <rPr>
        <vertAlign val="superscript"/>
        <sz val="10"/>
        <rFont val="Times New Roman"/>
        <family val="1"/>
      </rPr>
      <t>r</t>
    </r>
    <r>
      <rPr>
        <vertAlign val="subscript"/>
        <sz val="10"/>
        <rFont val="Symbol"/>
        <family val="1"/>
        <charset val="2"/>
      </rPr>
      <t>dt</t>
    </r>
  </si>
  <si>
    <t>Ideal-Gas Coefficients</t>
  </si>
  <si>
    <t>i</t>
  </si>
  <si>
    <t>ci</t>
  </si>
  <si>
    <t>di</t>
  </si>
  <si>
    <t>ti</t>
  </si>
  <si>
    <t>ni</t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</si>
  <si>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</si>
  <si>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d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vertAlign val="superscript"/>
        <sz val="10"/>
        <rFont val="Times New Roman"/>
        <family val="1"/>
      </rPr>
      <t>-1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</si>
  <si>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d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(d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-1)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vertAlign val="superscript"/>
        <sz val="10"/>
        <rFont val="Times New Roman"/>
        <family val="1"/>
      </rPr>
      <t>-2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</si>
  <si>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t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  <r>
      <rPr>
        <vertAlign val="superscript"/>
        <sz val="10"/>
        <rFont val="Times New Roman"/>
        <family val="1"/>
      </rPr>
      <t>-1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</si>
  <si>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t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(t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-1)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  <r>
      <rPr>
        <vertAlign val="superscript"/>
        <sz val="10"/>
        <rFont val="Times New Roman"/>
        <family val="1"/>
      </rPr>
      <t>-2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</si>
  <si>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d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t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vertAlign val="superscript"/>
        <sz val="10"/>
        <rFont val="Times New Roman"/>
        <family val="1"/>
      </rPr>
      <t>-1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  <r>
      <rPr>
        <vertAlign val="superscript"/>
        <sz val="10"/>
        <rFont val="Times New Roman"/>
        <family val="1"/>
      </rPr>
      <t>-1</t>
    </r>
  </si>
  <si>
    <r>
      <t>n</t>
    </r>
    <r>
      <rPr>
        <vertAlign val="subscript"/>
        <sz val="10"/>
        <rFont val="Times New Roman"/>
        <family val="1"/>
      </rPr>
      <t>i</t>
    </r>
  </si>
  <si>
    <r>
      <t>g</t>
    </r>
    <r>
      <rPr>
        <vertAlign val="subscript"/>
        <sz val="10"/>
        <rFont val="Times New Roman"/>
        <family val="1"/>
      </rPr>
      <t>i</t>
    </r>
  </si>
  <si>
    <r>
      <t xml:space="preserve"> for </t>
    </r>
    <r>
      <rPr>
        <sz val="10"/>
        <rFont val="Symbol"/>
        <family val="1"/>
        <charset val="2"/>
      </rPr>
      <t>f</t>
    </r>
    <r>
      <rPr>
        <vertAlign val="superscript"/>
        <sz val="10"/>
        <rFont val="Times New Roman"/>
        <family val="1"/>
      </rPr>
      <t>o</t>
    </r>
  </si>
  <si>
    <r>
      <t>for</t>
    </r>
    <r>
      <rPr>
        <sz val="10"/>
        <rFont val="Symbol"/>
        <family val="1"/>
        <charset val="2"/>
      </rPr>
      <t xml:space="preserve"> f</t>
    </r>
    <r>
      <rPr>
        <vertAlign val="superscript"/>
        <sz val="10"/>
        <rFont val="Times New Roman"/>
        <family val="1"/>
      </rPr>
      <t>o</t>
    </r>
    <r>
      <rPr>
        <vertAlign val="subscript"/>
        <sz val="10"/>
        <rFont val="Symbol"/>
        <family val="1"/>
        <charset val="2"/>
      </rPr>
      <t>t</t>
    </r>
  </si>
  <si>
    <r>
      <t xml:space="preserve">for </t>
    </r>
    <r>
      <rPr>
        <sz val="10"/>
        <rFont val="Symbol"/>
        <family val="1"/>
        <charset val="2"/>
      </rPr>
      <t>f</t>
    </r>
    <r>
      <rPr>
        <vertAlign val="superscript"/>
        <sz val="10"/>
        <rFont val="Times New Roman"/>
        <family val="1"/>
      </rPr>
      <t>o</t>
    </r>
    <r>
      <rPr>
        <vertAlign val="subscript"/>
        <sz val="10"/>
        <rFont val="Symbol"/>
        <family val="1"/>
        <charset val="2"/>
      </rPr>
      <t>tt</t>
    </r>
  </si>
  <si>
    <r>
      <t>n</t>
    </r>
    <r>
      <rPr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o</t>
    </r>
    <r>
      <rPr>
        <sz val="10"/>
        <rFont val="Times New Roman"/>
        <family val="1"/>
      </rPr>
      <t>ln(1-exp(-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o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))</t>
    </r>
  </si>
  <si>
    <r>
      <t>n</t>
    </r>
    <r>
      <rPr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o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o</t>
    </r>
    <r>
      <rPr>
        <sz val="10"/>
        <rFont val="Times New Roman"/>
        <family val="1"/>
      </rPr>
      <t>[(1-exp(-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o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))</t>
    </r>
    <r>
      <rPr>
        <vertAlign val="superscript"/>
        <sz val="10"/>
        <rFont val="Times New Roman"/>
        <family val="1"/>
      </rPr>
      <t>-1</t>
    </r>
    <r>
      <rPr>
        <sz val="10"/>
        <rFont val="Times New Roman"/>
        <family val="1"/>
      </rPr>
      <t>-1]</t>
    </r>
  </si>
  <si>
    <r>
      <t>n</t>
    </r>
    <r>
      <rPr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o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o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exp(-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o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)(1-exp(-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o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))</t>
    </r>
    <r>
      <rPr>
        <vertAlign val="superscript"/>
        <sz val="10"/>
        <rFont val="Times New Roman"/>
        <family val="1"/>
      </rPr>
      <t>-2</t>
    </r>
  </si>
  <si>
    <r>
      <t>c</t>
    </r>
    <r>
      <rPr>
        <vertAlign val="subscript"/>
        <sz val="10"/>
        <rFont val="Times New Roman"/>
        <family val="1"/>
      </rPr>
      <t>i</t>
    </r>
  </si>
  <si>
    <r>
      <t>d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</si>
  <si>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i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</si>
  <si>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*exp(-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c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</si>
  <si>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exp(-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c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)[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vertAlign val="superscript"/>
        <sz val="10"/>
        <rFont val="Times New Roman"/>
        <family val="1"/>
      </rPr>
      <t>-1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(d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-c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c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)]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</si>
  <si>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exp(-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c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)[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vertAlign val="superscript"/>
        <sz val="10"/>
        <rFont val="Times New Roman"/>
        <family val="1"/>
      </rPr>
      <t>-2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((d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-c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c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)(d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-1-c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c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)-c</t>
    </r>
    <r>
      <rPr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2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c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)]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</si>
  <si>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t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  <r>
      <rPr>
        <vertAlign val="superscript"/>
        <sz val="10"/>
        <rFont val="Times New Roman"/>
        <family val="1"/>
      </rPr>
      <t>-1</t>
    </r>
    <r>
      <rPr>
        <sz val="10"/>
        <rFont val="Times New Roman"/>
        <family val="1"/>
      </rPr>
      <t>exp(-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c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</si>
  <si>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t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(t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-1)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  <r>
      <rPr>
        <vertAlign val="superscript"/>
        <sz val="10"/>
        <rFont val="Times New Roman"/>
        <family val="1"/>
      </rPr>
      <t>-2</t>
    </r>
    <r>
      <rPr>
        <sz val="10"/>
        <rFont val="Times New Roman"/>
        <family val="1"/>
      </rPr>
      <t>exp(-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c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</si>
  <si>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t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vertAlign val="superscript"/>
        <sz val="10"/>
        <rFont val="Times New Roman"/>
        <family val="1"/>
      </rPr>
      <t>-1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  <r>
      <rPr>
        <vertAlign val="superscript"/>
        <sz val="10"/>
        <rFont val="Times New Roman"/>
        <family val="1"/>
      </rPr>
      <t>-1</t>
    </r>
    <r>
      <rPr>
        <sz val="10"/>
        <rFont val="Times New Roman"/>
        <family val="1"/>
      </rPr>
      <t>(d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-c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c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)exp(-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c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)</t>
    </r>
  </si>
  <si>
    <t xml:space="preserve">column sum= </t>
  </si>
  <si>
    <r>
      <t>a</t>
    </r>
    <r>
      <rPr>
        <vertAlign val="subscript"/>
        <sz val="10"/>
        <rFont val="Times New Roman"/>
        <family val="1"/>
      </rPr>
      <t>i</t>
    </r>
  </si>
  <si>
    <r>
      <t>b</t>
    </r>
    <r>
      <rPr>
        <vertAlign val="subscript"/>
        <sz val="10"/>
        <rFont val="Times New Roman"/>
        <family val="1"/>
      </rPr>
      <t>i</t>
    </r>
  </si>
  <si>
    <r>
      <t>e</t>
    </r>
    <r>
      <rPr>
        <vertAlign val="subscript"/>
        <sz val="10"/>
        <rFont val="Times New Roman"/>
        <family val="1"/>
      </rPr>
      <t>i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</si>
  <si>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*exp[-a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e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b</t>
    </r>
    <r>
      <rPr>
        <sz val="10"/>
        <rFont val="Times New Roman"/>
        <family val="1"/>
      </rPr>
      <t>*(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g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]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</si>
  <si>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exp{-</t>
    </r>
    <r>
      <rPr>
        <sz val="10"/>
        <rFont val="Symbol"/>
        <family val="1"/>
        <charset val="2"/>
      </rPr>
      <t>a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e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}[d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/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-2</t>
    </r>
    <r>
      <rPr>
        <sz val="10"/>
        <rFont val="Symbol"/>
        <family val="1"/>
        <charset val="2"/>
      </rPr>
      <t>a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e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)]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</si>
  <si>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exp(-</t>
    </r>
    <r>
      <rPr>
        <sz val="10"/>
        <rFont val="Symbol"/>
        <family val="1"/>
        <charset val="2"/>
      </rPr>
      <t>a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e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)[-2</t>
    </r>
    <r>
      <rPr>
        <sz val="10"/>
        <rFont val="Symbol"/>
        <family val="1"/>
        <charset val="2"/>
      </rPr>
      <t>a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+4</t>
    </r>
    <r>
      <rPr>
        <sz val="10"/>
        <rFont val="Symbol"/>
        <family val="1"/>
        <charset val="2"/>
      </rPr>
      <t>a</t>
    </r>
    <r>
      <rPr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2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e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-4d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a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vertAlign val="superscript"/>
        <sz val="10"/>
        <rFont val="Times New Roman"/>
        <family val="1"/>
      </rPr>
      <t>-1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e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)+d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(d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-1)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vertAlign val="superscript"/>
        <sz val="10"/>
        <rFont val="Times New Roman"/>
        <family val="1"/>
      </rPr>
      <t>-2</t>
    </r>
    <r>
      <rPr>
        <sz val="10"/>
        <rFont val="Times New Roman"/>
        <family val="1"/>
      </rPr>
      <t>]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</si>
  <si>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exp(-</t>
    </r>
    <r>
      <rPr>
        <sz val="10"/>
        <rFont val="Symbol"/>
        <family val="1"/>
        <charset val="2"/>
      </rPr>
      <t>a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e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 [t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/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-2</t>
    </r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)]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</si>
  <si>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exp(-</t>
    </r>
    <r>
      <rPr>
        <sz val="10"/>
        <rFont val="Symbol"/>
        <family val="1"/>
        <charset val="2"/>
      </rPr>
      <t>a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e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[(t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/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-2</t>
    </r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-t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/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-2</t>
    </r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]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</si>
  <si>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d</t>
    </r>
    <r>
      <rPr>
        <vertAlign val="superscript"/>
        <sz val="8"/>
        <rFont val="Times New Roman"/>
        <family val="1"/>
      </rPr>
      <t>i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t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exp(-</t>
    </r>
    <r>
      <rPr>
        <sz val="10"/>
        <rFont val="Symbol"/>
        <family val="1"/>
        <charset val="2"/>
      </rPr>
      <t>a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e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[d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/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-2</t>
    </r>
    <r>
      <rPr>
        <sz val="10"/>
        <rFont val="Symbol"/>
        <family val="1"/>
        <charset val="2"/>
      </rPr>
      <t>a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e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)][t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/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-2</t>
    </r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-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)]</t>
    </r>
  </si>
  <si>
    <r>
      <t>B</t>
    </r>
    <r>
      <rPr>
        <vertAlign val="subscript"/>
        <sz val="10"/>
        <rFont val="Times New Roman"/>
        <family val="1"/>
      </rPr>
      <t>i</t>
    </r>
  </si>
  <si>
    <t>Ci</t>
  </si>
  <si>
    <t>Di</t>
  </si>
  <si>
    <t>Ai</t>
  </si>
  <si>
    <t>D</t>
  </si>
  <si>
    <t>q</t>
  </si>
  <si>
    <t>y</t>
  </si>
  <si>
    <r>
      <t>d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</si>
  <si>
    <r>
      <t>d</t>
    </r>
    <r>
      <rPr>
        <vertAlign val="superscript"/>
        <sz val="10"/>
        <rFont val="Times New Roman"/>
        <family val="1"/>
      </rPr>
      <t>2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2</t>
    </r>
  </si>
  <si>
    <r>
      <t>d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</si>
  <si>
    <r>
      <t>d</t>
    </r>
    <r>
      <rPr>
        <vertAlign val="superscript"/>
        <sz val="10"/>
        <rFont val="Times New Roman"/>
        <family val="1"/>
      </rPr>
      <t>2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2</t>
    </r>
  </si>
  <si>
    <r>
      <t>d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bi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t</t>
    </r>
  </si>
  <si>
    <r>
      <t>d</t>
    </r>
    <r>
      <rPr>
        <vertAlign val="superscript"/>
        <sz val="10"/>
        <rFont val="Times New Roman"/>
        <family val="1"/>
      </rPr>
      <t>2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bi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2</t>
    </r>
  </si>
  <si>
    <r>
      <t>d</t>
    </r>
    <r>
      <rPr>
        <vertAlign val="superscript"/>
        <sz val="10"/>
        <rFont val="Times New Roman"/>
        <family val="1"/>
      </rPr>
      <t>2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d</t>
    </r>
    <r>
      <rPr>
        <sz val="10"/>
        <rFont val="Symbol"/>
        <family val="1"/>
        <charset val="2"/>
      </rPr>
      <t>t</t>
    </r>
  </si>
  <si>
    <r>
      <t>d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</si>
  <si>
    <r>
      <t>d</t>
    </r>
    <r>
      <rPr>
        <vertAlign val="superscript"/>
        <sz val="10"/>
        <rFont val="Times New Roman"/>
        <family val="1"/>
      </rPr>
      <t>2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2</t>
    </r>
  </si>
  <si>
    <r>
      <t>d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t</t>
    </r>
  </si>
  <si>
    <r>
      <t>d</t>
    </r>
    <r>
      <rPr>
        <vertAlign val="superscript"/>
        <sz val="10"/>
        <rFont val="Times New Roman"/>
        <family val="1"/>
      </rPr>
      <t>2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2</t>
    </r>
  </si>
  <si>
    <r>
      <t>d</t>
    </r>
    <r>
      <rPr>
        <vertAlign val="superscript"/>
        <sz val="10"/>
        <rFont val="Times New Roman"/>
        <family val="1"/>
      </rPr>
      <t>2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d</t>
    </r>
    <r>
      <rPr>
        <sz val="10"/>
        <rFont val="Symbol"/>
        <family val="1"/>
        <charset val="2"/>
      </rPr>
      <t>t</t>
    </r>
  </si>
  <si>
    <t xml:space="preserve">real-gas part and derivatives </t>
  </si>
  <si>
    <t>ideal-gas part and derivatives</t>
  </si>
  <si>
    <r>
      <t>f</t>
    </r>
    <r>
      <rPr>
        <vertAlign val="superscript"/>
        <sz val="10"/>
        <rFont val="Times New Roman"/>
        <family val="1"/>
      </rPr>
      <t>r</t>
    </r>
    <r>
      <rPr>
        <vertAlign val="subscript"/>
        <sz val="10"/>
        <rFont val="Times New Roman"/>
        <family val="1"/>
      </rPr>
      <t xml:space="preserve">    </t>
    </r>
    <r>
      <rPr>
        <sz val="10"/>
        <rFont val="Times New Roman"/>
        <family val="1"/>
      </rPr>
      <t xml:space="preserve">  = </t>
    </r>
    <r>
      <rPr>
        <vertAlign val="subscript"/>
        <sz val="10"/>
        <rFont val="Times New Roman"/>
        <family val="1"/>
      </rPr>
      <t xml:space="preserve"> </t>
    </r>
  </si>
  <si>
    <r>
      <t>f</t>
    </r>
    <r>
      <rPr>
        <vertAlign val="superscript"/>
        <sz val="10"/>
        <rFont val="Times New Roman"/>
        <family val="1"/>
      </rPr>
      <t xml:space="preserve">o     </t>
    </r>
    <r>
      <rPr>
        <sz val="10"/>
        <rFont val="Times New Roman"/>
        <family val="1"/>
      </rPr>
      <t xml:space="preserve"> =</t>
    </r>
  </si>
  <si>
    <r>
      <t>f</t>
    </r>
    <r>
      <rPr>
        <vertAlign val="superscript"/>
        <sz val="10"/>
        <rFont val="Times New Roman"/>
        <family val="1"/>
      </rPr>
      <t>r</t>
    </r>
    <r>
      <rPr>
        <vertAlign val="subscript"/>
        <sz val="10"/>
        <rFont val="Symbol"/>
        <family val="1"/>
        <charset val="2"/>
      </rPr>
      <t>d</t>
    </r>
    <r>
      <rPr>
        <sz val="10"/>
        <rFont val="Times New Roman"/>
        <family val="1"/>
      </rPr>
      <t xml:space="preserve">   =</t>
    </r>
  </si>
  <si>
    <r>
      <t>f</t>
    </r>
    <r>
      <rPr>
        <vertAlign val="superscript"/>
        <sz val="10"/>
        <rFont val="Times New Roman"/>
        <family val="1"/>
      </rPr>
      <t>o</t>
    </r>
    <r>
      <rPr>
        <vertAlign val="subscript"/>
        <sz val="10"/>
        <rFont val="Symbol"/>
        <family val="1"/>
        <charset val="2"/>
      </rPr>
      <t>d</t>
    </r>
    <r>
      <rPr>
        <sz val="10"/>
        <rFont val="Times New Roman"/>
        <family val="1"/>
      </rPr>
      <t xml:space="preserve">   =</t>
    </r>
  </si>
  <si>
    <r>
      <t>f</t>
    </r>
    <r>
      <rPr>
        <vertAlign val="superscript"/>
        <sz val="10"/>
        <rFont val="Times New Roman"/>
        <family val="1"/>
      </rPr>
      <t>r</t>
    </r>
    <r>
      <rPr>
        <vertAlign val="subscript"/>
        <sz val="10"/>
        <rFont val="Symbol"/>
        <family val="1"/>
        <charset val="2"/>
      </rPr>
      <t xml:space="preserve">dd   </t>
    </r>
    <r>
      <rPr>
        <sz val="10"/>
        <rFont val="Times New Roman"/>
        <family val="1"/>
      </rPr>
      <t>=</t>
    </r>
  </si>
  <si>
    <r>
      <t>f</t>
    </r>
    <r>
      <rPr>
        <vertAlign val="superscript"/>
        <sz val="10"/>
        <rFont val="Times New Roman"/>
        <family val="1"/>
      </rPr>
      <t>o</t>
    </r>
    <r>
      <rPr>
        <vertAlign val="subscript"/>
        <sz val="10"/>
        <rFont val="Symbol"/>
        <family val="1"/>
        <charset val="2"/>
      </rPr>
      <t>dd</t>
    </r>
    <r>
      <rPr>
        <sz val="10"/>
        <rFont val="Times New Roman"/>
        <family val="1"/>
      </rPr>
      <t xml:space="preserve">  =</t>
    </r>
  </si>
  <si>
    <r>
      <t>f</t>
    </r>
    <r>
      <rPr>
        <vertAlign val="superscript"/>
        <sz val="10"/>
        <rFont val="Times New Roman"/>
        <family val="1"/>
      </rPr>
      <t>r</t>
    </r>
    <r>
      <rPr>
        <vertAlign val="subscript"/>
        <sz val="10"/>
        <rFont val="Symbol"/>
        <family val="1"/>
        <charset val="2"/>
      </rPr>
      <t xml:space="preserve">t    </t>
    </r>
    <r>
      <rPr>
        <sz val="10"/>
        <rFont val="Times New Roman"/>
        <family val="1"/>
      </rPr>
      <t>=</t>
    </r>
  </si>
  <si>
    <r>
      <t>f</t>
    </r>
    <r>
      <rPr>
        <vertAlign val="superscript"/>
        <sz val="10"/>
        <rFont val="Times New Roman"/>
        <family val="1"/>
      </rPr>
      <t>o</t>
    </r>
    <r>
      <rPr>
        <vertAlign val="subscript"/>
        <sz val="10"/>
        <rFont val="Symbol"/>
        <family val="1"/>
        <charset val="2"/>
      </rPr>
      <t>t</t>
    </r>
    <r>
      <rPr>
        <sz val="10"/>
        <rFont val="Times New Roman"/>
        <family val="1"/>
      </rPr>
      <t xml:space="preserve">   =</t>
    </r>
  </si>
  <si>
    <r>
      <t>f</t>
    </r>
    <r>
      <rPr>
        <vertAlign val="superscript"/>
        <sz val="10"/>
        <rFont val="Times New Roman"/>
        <family val="1"/>
      </rPr>
      <t>r</t>
    </r>
    <r>
      <rPr>
        <vertAlign val="subscript"/>
        <sz val="10"/>
        <rFont val="Symbol"/>
        <family val="1"/>
        <charset val="2"/>
      </rPr>
      <t xml:space="preserve">tt  </t>
    </r>
    <r>
      <rPr>
        <sz val="10"/>
        <rFont val="Times New Roman"/>
        <family val="1"/>
      </rPr>
      <t>=</t>
    </r>
  </si>
  <si>
    <r>
      <t>f</t>
    </r>
    <r>
      <rPr>
        <vertAlign val="superscript"/>
        <sz val="10"/>
        <rFont val="Times New Roman"/>
        <family val="1"/>
      </rPr>
      <t>o</t>
    </r>
    <r>
      <rPr>
        <vertAlign val="subscript"/>
        <sz val="10"/>
        <rFont val="Symbol"/>
        <family val="1"/>
        <charset val="2"/>
      </rPr>
      <t>tt</t>
    </r>
    <r>
      <rPr>
        <sz val="10"/>
        <rFont val="Times New Roman"/>
        <family val="1"/>
      </rPr>
      <t xml:space="preserve"> =</t>
    </r>
  </si>
  <si>
    <r>
      <t xml:space="preserve">         for</t>
    </r>
    <r>
      <rPr>
        <sz val="10"/>
        <rFont val="Symbol"/>
        <family val="1"/>
        <charset val="2"/>
      </rPr>
      <t xml:space="preserve"> f</t>
    </r>
    <r>
      <rPr>
        <vertAlign val="superscript"/>
        <sz val="10"/>
        <rFont val="Times New Roman"/>
        <family val="1"/>
      </rPr>
      <t>r</t>
    </r>
    <r>
      <rPr>
        <vertAlign val="subscript"/>
        <sz val="10"/>
        <rFont val="Symbol"/>
        <family val="1"/>
        <charset val="2"/>
      </rPr>
      <t>dd</t>
    </r>
  </si>
  <si>
    <r>
      <t>f</t>
    </r>
    <r>
      <rPr>
        <vertAlign val="superscript"/>
        <sz val="10"/>
        <rFont val="Times New Roman"/>
        <family val="1"/>
      </rPr>
      <t>r</t>
    </r>
    <r>
      <rPr>
        <vertAlign val="subscript"/>
        <sz val="10"/>
        <rFont val="Symbol"/>
        <family val="1"/>
        <charset val="2"/>
      </rPr>
      <t xml:space="preserve">dt </t>
    </r>
    <r>
      <rPr>
        <sz val="10"/>
        <rFont val="Times New Roman"/>
        <family val="1"/>
      </rPr>
      <t xml:space="preserve"> = </t>
    </r>
  </si>
  <si>
    <r>
      <t>f</t>
    </r>
    <r>
      <rPr>
        <vertAlign val="superscript"/>
        <sz val="10"/>
        <rFont val="Times New Roman"/>
        <family val="1"/>
      </rPr>
      <t>o</t>
    </r>
    <r>
      <rPr>
        <vertAlign val="subscript"/>
        <sz val="10"/>
        <rFont val="Symbol"/>
        <family val="1"/>
        <charset val="2"/>
      </rPr>
      <t xml:space="preserve">dt  </t>
    </r>
    <r>
      <rPr>
        <sz val="10"/>
        <rFont val="Times New Roman"/>
        <family val="1"/>
      </rPr>
      <t>=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</si>
  <si>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>i</t>
    </r>
    <r>
      <rPr>
        <sz val="10"/>
        <rFont val="Symbol"/>
        <family val="1"/>
        <charset val="2"/>
      </rPr>
      <t>dy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</si>
  <si>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[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+</t>
    </r>
    <r>
      <rPr>
        <sz val="10"/>
        <rFont val="Symbol"/>
        <family val="1"/>
        <charset val="2"/>
      </rPr>
      <t xml:space="preserve">d </t>
    </r>
    <r>
      <rPr>
        <sz val="10"/>
        <rFont val="Times New Roman"/>
        <family val="1"/>
      </rPr>
      <t>d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/</t>
    </r>
    <r>
      <rPr>
        <vertAlign val="subscript"/>
        <sz val="12"/>
        <rFont val="Times New Roman"/>
        <family val="1"/>
      </rPr>
      <t>d</t>
    </r>
    <r>
      <rPr>
        <vertAlign val="subscript"/>
        <sz val="12"/>
        <rFont val="Symbol"/>
        <family val="1"/>
        <charset val="2"/>
      </rPr>
      <t>d</t>
    </r>
    <r>
      <rPr>
        <sz val="10"/>
        <rFont val="Times New Roman"/>
        <family val="1"/>
      </rPr>
      <t>)+d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/</t>
    </r>
    <r>
      <rPr>
        <vertAlign val="subscript"/>
        <sz val="12"/>
        <rFont val="Times New Roman"/>
        <family val="1"/>
      </rPr>
      <t>d</t>
    </r>
    <r>
      <rPr>
        <vertAlign val="subscript"/>
        <sz val="12"/>
        <rFont val="Symbol"/>
        <family val="1"/>
        <charset val="2"/>
      </rPr>
      <t xml:space="preserve">d </t>
    </r>
    <r>
      <rPr>
        <sz val="10"/>
        <rFont val="Symbol"/>
        <family val="1"/>
        <charset val="2"/>
      </rPr>
      <t>dy</t>
    </r>
    <r>
      <rPr>
        <sz val="10"/>
        <rFont val="Times New Roman"/>
        <family val="1"/>
      </rPr>
      <t>]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</si>
  <si>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[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(2d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+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d</t>
    </r>
    <r>
      <rPr>
        <vertAlign val="superscript"/>
        <sz val="10"/>
        <rFont val="Times New Roman"/>
        <family val="1"/>
      </rPr>
      <t>2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+2d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+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d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)+d</t>
    </r>
    <r>
      <rPr>
        <vertAlign val="superscript"/>
        <sz val="10"/>
        <rFont val="Times New Roman"/>
        <family val="1"/>
      </rPr>
      <t>2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bi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2</t>
    </r>
    <r>
      <rPr>
        <sz val="10"/>
        <rFont val="Symbol"/>
        <family val="1"/>
        <charset val="2"/>
      </rPr>
      <t>dy</t>
    </r>
    <r>
      <rPr>
        <sz val="10"/>
        <rFont val="Times New Roman"/>
        <family val="1"/>
      </rPr>
      <t>]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</si>
  <si>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[ d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 xml:space="preserve">t y </t>
    </r>
    <r>
      <rPr>
        <sz val="10"/>
        <rFont val="Times New Roman"/>
        <family val="1"/>
      </rPr>
      <t xml:space="preserve">+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 xml:space="preserve">i </t>
    </r>
    <r>
      <rPr>
        <sz val="10"/>
        <rFont val="Times New Roman"/>
        <family val="1"/>
      </rPr>
      <t>d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]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</si>
  <si>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(</t>
    </r>
    <r>
      <rPr>
        <sz val="10"/>
        <rFont val="Times New Roman"/>
        <family val="1"/>
      </rPr>
      <t>d</t>
    </r>
    <r>
      <rPr>
        <vertAlign val="superscript"/>
        <sz val="10"/>
        <rFont val="Times New Roman"/>
        <family val="1"/>
      </rPr>
      <t>2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 xml:space="preserve">2 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+2 d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 xml:space="preserve"> d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+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d</t>
    </r>
    <r>
      <rPr>
        <vertAlign val="superscript"/>
        <sz val="10"/>
        <rFont val="Times New Roman"/>
        <family val="1"/>
      </rPr>
      <t>2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t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</si>
  <si>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[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(d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 xml:space="preserve"> +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 xml:space="preserve"> d</t>
    </r>
    <r>
      <rPr>
        <vertAlign val="superscript"/>
        <sz val="10"/>
        <rFont val="Times New Roman"/>
        <family val="1"/>
      </rPr>
      <t>2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d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)+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 xml:space="preserve"> d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 xml:space="preserve"> d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+d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>(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+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 xml:space="preserve"> d</t>
    </r>
    <r>
      <rPr>
        <sz val="10"/>
        <rFont val="Symbol"/>
        <family val="1"/>
        <charset val="2"/>
      </rPr>
      <t>y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)+ d</t>
    </r>
    <r>
      <rPr>
        <vertAlign val="superscript"/>
        <sz val="10"/>
        <rFont val="Times New Roman"/>
        <family val="1"/>
      </rPr>
      <t>2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b</t>
    </r>
    <r>
      <rPr>
        <vertAlign val="superscript"/>
        <sz val="8"/>
        <rFont val="Times New Roman"/>
        <family val="1"/>
      </rPr>
      <t>i</t>
    </r>
    <r>
      <rPr>
        <sz val="10"/>
        <rFont val="Times New Roman"/>
        <family val="1"/>
      </rPr>
      <t>/d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d</t>
    </r>
    <r>
      <rPr>
        <sz val="10"/>
        <rFont val="Symbol"/>
        <family val="1"/>
        <charset val="2"/>
      </rPr>
      <t>t</t>
    </r>
    <r>
      <rPr>
        <sz val="10"/>
        <rFont val="Times New Roman"/>
        <family val="1"/>
      </rPr>
      <t xml:space="preserve"> </t>
    </r>
    <r>
      <rPr>
        <sz val="10"/>
        <rFont val="Symbol"/>
        <family val="1"/>
        <charset val="2"/>
      </rPr>
      <t>dy</t>
    </r>
    <r>
      <rPr>
        <sz val="10"/>
        <rFont val="Times New Roman"/>
        <family val="1"/>
      </rPr>
      <t>]</t>
    </r>
  </si>
  <si>
    <t>Revisions</t>
  </si>
  <si>
    <t>Thanks to user Edward D. Throm for  correcting calculation of Cp and speed of sound.</t>
  </si>
</sst>
</file>

<file path=xl/styles.xml><?xml version="1.0" encoding="utf-8"?>
<styleSheet xmlns="http://schemas.openxmlformats.org/spreadsheetml/2006/main">
  <numFmts count="4">
    <numFmt numFmtId="165" formatCode="0.0000E+00"/>
    <numFmt numFmtId="166" formatCode="0.0000000"/>
    <numFmt numFmtId="168" formatCode="0.00000000"/>
    <numFmt numFmtId="169" formatCode="0.000000000"/>
  </numFmts>
  <fonts count="26">
    <font>
      <sz val="10"/>
      <name val="Times New Roman"/>
      <family val="1"/>
    </font>
    <font>
      <b/>
      <u/>
      <sz val="10"/>
      <name val="Times New Roman"/>
      <family val="1"/>
    </font>
    <font>
      <sz val="10"/>
      <name val="Symbol"/>
      <family val="1"/>
      <charset val="2"/>
    </font>
    <font>
      <vertAlign val="subscript"/>
      <sz val="10"/>
      <name val="Times New Roman"/>
      <family val="1"/>
    </font>
    <font>
      <sz val="10"/>
      <name val="Courier New"/>
      <family val="3"/>
    </font>
    <font>
      <vertAlign val="superscript"/>
      <sz val="10"/>
      <name val="Times New Roman"/>
      <family val="1"/>
    </font>
    <font>
      <vertAlign val="superscript"/>
      <sz val="8"/>
      <name val="Times New Roman"/>
      <family val="1"/>
    </font>
    <font>
      <u/>
      <sz val="10"/>
      <name val="Times New Roman"/>
      <family val="1"/>
    </font>
    <font>
      <sz val="10"/>
      <name val="Arial"/>
      <family val="2"/>
    </font>
    <font>
      <sz val="10"/>
      <name val="Courier"/>
      <family val="3"/>
    </font>
    <font>
      <vertAlign val="subscript"/>
      <sz val="10"/>
      <name val="Symbol"/>
      <family val="1"/>
      <charset val="2"/>
    </font>
    <font>
      <vertAlign val="subscript"/>
      <sz val="12"/>
      <name val="Times New Roman"/>
      <family val="1"/>
    </font>
    <font>
      <vertAlign val="subscript"/>
      <sz val="12"/>
      <name val="Symbol"/>
      <family val="1"/>
      <charset val="2"/>
    </font>
    <font>
      <b/>
      <sz val="10"/>
      <name val="Times New Roman"/>
      <family val="1"/>
    </font>
    <font>
      <b/>
      <sz val="10"/>
      <name val="Courier"/>
      <family val="3"/>
    </font>
    <font>
      <b/>
      <vertAlign val="superscript"/>
      <sz val="10"/>
      <name val="Times New Roman"/>
      <family val="1"/>
    </font>
    <font>
      <b/>
      <sz val="10"/>
      <name val="Symbol"/>
      <family val="1"/>
      <charset val="2"/>
    </font>
    <font>
      <b/>
      <sz val="10"/>
      <name val="Wingdings"/>
      <charset val="2"/>
    </font>
    <font>
      <sz val="10"/>
      <name val="Times New Roman"/>
      <family val="1"/>
    </font>
    <font>
      <b/>
      <i/>
      <u/>
      <sz val="14"/>
      <name val="Times New Roman"/>
      <family val="1"/>
    </font>
    <font>
      <b/>
      <i/>
      <u/>
      <sz val="18"/>
      <name val="Times New Roman"/>
      <family val="1"/>
    </font>
    <font>
      <b/>
      <i/>
      <u/>
      <sz val="18"/>
      <name val="Wingdings"/>
      <charset val="2"/>
    </font>
    <font>
      <b/>
      <i/>
      <u/>
      <sz val="16"/>
      <name val="Times New Roman"/>
      <family val="1"/>
    </font>
    <font>
      <b/>
      <i/>
      <u/>
      <sz val="16"/>
      <name val="Wingdings"/>
      <charset val="2"/>
    </font>
    <font>
      <b/>
      <vertAlign val="subscript"/>
      <sz val="10"/>
      <name val="Times New Roman"/>
      <family val="1"/>
    </font>
    <font>
      <sz val="10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1" applyProtection="0">
      <alignment horizontal="left" vertical="center"/>
    </xf>
  </cellStyleXfs>
  <cellXfs count="27">
    <xf numFmtId="0" fontId="0" fillId="0" borderId="1" xfId="0">
      <alignment horizontal="left" vertical="center"/>
    </xf>
    <xf numFmtId="0" fontId="1" fillId="0" borderId="1" xfId="0" applyFont="1">
      <alignment horizontal="left" vertical="center"/>
    </xf>
    <xf numFmtId="0" fontId="2" fillId="0" borderId="1" xfId="0" applyFont="1">
      <alignment horizontal="left" vertical="center"/>
    </xf>
    <xf numFmtId="0" fontId="7" fillId="0" borderId="1" xfId="0" applyFont="1">
      <alignment horizontal="left" vertical="center"/>
    </xf>
    <xf numFmtId="0" fontId="8" fillId="0" borderId="1" xfId="0" applyFont="1">
      <alignment horizontal="left" vertical="center"/>
    </xf>
    <xf numFmtId="0" fontId="9" fillId="0" borderId="1" xfId="0" applyFont="1">
      <alignment horizontal="left" vertical="center"/>
    </xf>
    <xf numFmtId="0" fontId="0" fillId="0" borderId="1" xfId="0" applyFill="1" applyBorder="1" applyProtection="1">
      <alignment horizontal="left" vertical="center"/>
    </xf>
    <xf numFmtId="0" fontId="13" fillId="0" borderId="1" xfId="0" applyFont="1">
      <alignment horizontal="left" vertical="center"/>
    </xf>
    <xf numFmtId="165" fontId="4" fillId="0" borderId="1" xfId="0" applyNumberFormat="1" applyFont="1" applyFill="1" applyAlignment="1">
      <alignment horizontal="right" vertical="center"/>
    </xf>
    <xf numFmtId="0" fontId="16" fillId="0" borderId="1" xfId="0" applyFont="1">
      <alignment horizontal="left" vertical="center"/>
    </xf>
    <xf numFmtId="0" fontId="23" fillId="0" borderId="1" xfId="0" applyFont="1">
      <alignment horizontal="left" vertical="center"/>
    </xf>
    <xf numFmtId="0" fontId="14" fillId="2" borderId="1" xfId="0" applyFont="1" applyFill="1">
      <alignment horizontal="left" vertical="center"/>
    </xf>
    <xf numFmtId="165" fontId="14" fillId="2" borderId="1" xfId="0" applyNumberFormat="1" applyFont="1" applyFill="1">
      <alignment horizontal="left" vertical="center"/>
    </xf>
    <xf numFmtId="0" fontId="25" fillId="0" borderId="1" xfId="0" applyFont="1" applyProtection="1">
      <alignment horizontal="left" vertical="center"/>
      <protection locked="0"/>
    </xf>
    <xf numFmtId="166" fontId="25" fillId="0" borderId="1" xfId="0" applyNumberFormat="1" applyFont="1" applyFill="1" applyProtection="1">
      <alignment horizontal="left" vertical="center"/>
      <protection locked="0"/>
    </xf>
    <xf numFmtId="0" fontId="13" fillId="0" borderId="1" xfId="0" applyFont="1" applyFill="1">
      <alignment horizontal="left" vertical="center"/>
    </xf>
    <xf numFmtId="0" fontId="0" fillId="0" borderId="1" xfId="0" applyFill="1">
      <alignment horizontal="left" vertical="center"/>
    </xf>
    <xf numFmtId="0" fontId="16" fillId="0" borderId="1" xfId="0" applyFont="1" applyFill="1">
      <alignment horizontal="left" vertical="center"/>
    </xf>
    <xf numFmtId="165" fontId="0" fillId="0" borderId="1" xfId="0" applyNumberFormat="1" applyFill="1">
      <alignment horizontal="left" vertical="center"/>
    </xf>
    <xf numFmtId="0" fontId="2" fillId="0" borderId="1" xfId="0" applyFont="1" applyFill="1">
      <alignment horizontal="left" vertical="center"/>
    </xf>
    <xf numFmtId="14" fontId="0" fillId="0" borderId="1" xfId="0" applyNumberFormat="1" applyFill="1">
      <alignment horizontal="left" vertical="center"/>
    </xf>
    <xf numFmtId="0" fontId="0" fillId="0" borderId="1" xfId="0" applyFont="1">
      <alignment horizontal="left" vertical="center"/>
    </xf>
    <xf numFmtId="165" fontId="0" fillId="0" borderId="1" xfId="0" applyNumberFormat="1" applyFont="1" applyAlignment="1">
      <alignment horizontal="right" vertical="center"/>
    </xf>
    <xf numFmtId="165" fontId="0" fillId="0" borderId="1" xfId="0" applyNumberFormat="1" applyFont="1" applyFill="1" applyAlignment="1">
      <alignment horizontal="right" vertical="center"/>
    </xf>
    <xf numFmtId="0" fontId="0" fillId="0" borderId="1" xfId="0" applyFont="1" applyFill="1">
      <alignment horizontal="left" vertical="center"/>
    </xf>
    <xf numFmtId="168" fontId="0" fillId="0" borderId="1" xfId="0" applyNumberFormat="1" applyFont="1" applyAlignment="1">
      <alignment horizontal="right" vertical="center"/>
    </xf>
    <xf numFmtId="169" fontId="0" fillId="0" borderId="1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34"/>
  <sheetViews>
    <sheetView tabSelected="1" workbookViewId="0">
      <selection activeCell="H2" sqref="H2"/>
    </sheetView>
  </sheetViews>
  <sheetFormatPr defaultRowHeight="12.75"/>
  <cols>
    <col min="1" max="1" width="9.6640625" customWidth="1"/>
    <col min="2" max="2" width="21.1640625" customWidth="1"/>
    <col min="3" max="3" width="9.6640625" customWidth="1"/>
    <col min="4" max="4" width="10.1640625" customWidth="1"/>
    <col min="5" max="5" width="17" customWidth="1"/>
    <col min="6" max="6" width="17.1640625" customWidth="1"/>
    <col min="7" max="7" width="17.83203125" customWidth="1"/>
    <col min="8" max="8" width="16.83203125" customWidth="1"/>
    <col min="9" max="9" width="12.5" customWidth="1"/>
    <col min="10" max="10" width="17.33203125" customWidth="1"/>
    <col min="11" max="11" width="12.5" customWidth="1"/>
    <col min="12" max="12" width="15.83203125" customWidth="1"/>
    <col min="13" max="13" width="13" customWidth="1"/>
    <col min="14" max="14" width="16.33203125" customWidth="1"/>
    <col min="15" max="15" width="21.5" customWidth="1"/>
    <col min="16" max="16" width="15.83203125" customWidth="1"/>
    <col min="17" max="17" width="17.1640625" customWidth="1"/>
    <col min="18" max="18" width="15.83203125" customWidth="1"/>
    <col min="19" max="19" width="16" customWidth="1"/>
    <col min="20" max="20" width="17.33203125" customWidth="1"/>
    <col min="21" max="21" width="16.1640625" customWidth="1"/>
    <col min="22" max="22" width="17.83203125" customWidth="1"/>
  </cols>
  <sheetData>
    <row r="1" spans="1:13">
      <c r="A1" t="s">
        <v>0</v>
      </c>
    </row>
    <row r="2" spans="1:13">
      <c r="A2" t="s">
        <v>1</v>
      </c>
    </row>
    <row r="3" spans="1:13" ht="23.25">
      <c r="A3" s="10" t="s">
        <v>2</v>
      </c>
      <c r="G3" t="s">
        <v>3</v>
      </c>
    </row>
    <row r="4" spans="1:13">
      <c r="B4" s="5"/>
      <c r="E4" t="s">
        <v>4</v>
      </c>
      <c r="F4">
        <f>B6*B7</f>
        <v>6.1559987627520102E-2</v>
      </c>
    </row>
    <row r="5" spans="1:13">
      <c r="A5" s="7" t="s">
        <v>5</v>
      </c>
      <c r="B5" s="13">
        <v>647</v>
      </c>
      <c r="C5" s="7" t="s">
        <v>6</v>
      </c>
      <c r="E5" s="7" t="s">
        <v>7</v>
      </c>
      <c r="F5">
        <f>(1+$B$14*B81+E80+B80)*F13*G5</f>
        <v>-767.12753050427023</v>
      </c>
      <c r="G5" s="11">
        <f>B5</f>
        <v>647</v>
      </c>
    </row>
    <row r="6" spans="1:13">
      <c r="A6" s="7" t="s">
        <v>8</v>
      </c>
      <c r="B6">
        <f>G6</f>
        <v>22.038475570652196</v>
      </c>
      <c r="C6" s="7" t="s">
        <v>9</v>
      </c>
      <c r="E6" s="15" t="s">
        <v>10</v>
      </c>
      <c r="F6" s="16">
        <f>((-1)*B13^2*(E84+B84))*F13</f>
        <v>6.1831572766681546</v>
      </c>
      <c r="G6" s="12">
        <f>(1+$B$14*B81)*G8*F13*G5*0.001</f>
        <v>22.038475570652196</v>
      </c>
    </row>
    <row r="7" spans="1:13" ht="15.75">
      <c r="A7" s="7" t="s">
        <v>11</v>
      </c>
      <c r="B7" s="14">
        <f>1/358</f>
        <v>2.7932960893854749E-3</v>
      </c>
      <c r="C7" s="7" t="s">
        <v>12</v>
      </c>
      <c r="E7" s="17" t="s">
        <v>13</v>
      </c>
      <c r="F7" s="16">
        <f>((1+2*$B$14*B81+$B$14^2*B82-((1+$B$14*B81-$B$14*B13*B85)^2/($B$13^2*(E84+B84))))*(F13*G5))^(1/2)*(1000)^(1/2)</f>
        <v>252.14507827001142</v>
      </c>
      <c r="G7" s="11">
        <f>B7</f>
        <v>2.7932960893854749E-3</v>
      </c>
    </row>
    <row r="8" spans="1:13" ht="15.75">
      <c r="A8" s="9" t="s">
        <v>14</v>
      </c>
      <c r="B8">
        <f>G8</f>
        <v>358</v>
      </c>
      <c r="C8" s="7" t="s">
        <v>15</v>
      </c>
      <c r="E8" s="17" t="s">
        <v>16</v>
      </c>
      <c r="F8" s="16">
        <f>((-1)*($B$14*B81+$B$14^2*B82+$B$14*$B$13*B85)/((1+$B$14*B81-$B$14*$B$13*B85)^2-$B$13^2*(E84+B84)*(1+2*$B$14*B81+$B$14^2*B82)))*F13*G8</f>
        <v>97.719326949941291</v>
      </c>
      <c r="G8" s="11">
        <f>1/G7</f>
        <v>358</v>
      </c>
    </row>
    <row r="9" spans="1:13" ht="14.25">
      <c r="A9" s="7" t="s">
        <v>17</v>
      </c>
      <c r="B9">
        <f>G9</f>
        <v>2028.5096931667417</v>
      </c>
      <c r="C9" s="7" t="s">
        <v>18</v>
      </c>
      <c r="E9" s="17" t="s">
        <v>19</v>
      </c>
      <c r="F9" s="16">
        <f>(1-(1+$B$14*B81-$B$14*$B$13*B85)/(1+2*$B$14*B81+$B$14^2*B82))/G8</f>
        <v>-12.642499360614627</v>
      </c>
      <c r="G9" s="12">
        <f>(1+$B$13*(E83+B83)+$B$14*B81)*F13*G5</f>
        <v>2028.5096931667417</v>
      </c>
    </row>
    <row r="10" spans="1:13" ht="14.25">
      <c r="A10" s="7" t="s">
        <v>20</v>
      </c>
      <c r="B10">
        <f>G10</f>
        <v>1966.9497055392212</v>
      </c>
      <c r="C10" s="7" t="s">
        <v>18</v>
      </c>
      <c r="E10" s="17" t="s">
        <v>21</v>
      </c>
      <c r="F10" s="16">
        <f>((1+$B$14*B81-$B$14*$B$13*B85)/((1+$B$14*B81-$B$14*$B$13*B85)^2-$B$13^2*(E84+B84)*(1+2*$B$14*B81+$B$14^2*B82)))/(F13*G8)</f>
        <v>3.5804117721594483E-3</v>
      </c>
      <c r="G10" s="11">
        <f>($B$13*(E83+B83))*F13*G5</f>
        <v>1966.9497055392212</v>
      </c>
    </row>
    <row r="11" spans="1:13">
      <c r="A11" s="7" t="s">
        <v>22</v>
      </c>
      <c r="B11">
        <f>G11</f>
        <v>4.3209230659521047</v>
      </c>
      <c r="C11" s="7" t="s">
        <v>23</v>
      </c>
      <c r="E11" s="15" t="s">
        <v>24</v>
      </c>
      <c r="F11" s="18">
        <f>+F6+F13*((1+B14*B81-B13*B14*B85)^2)/(1+2*B14*B81+B14*B14*B82)</f>
        <v>3531.7984247038921</v>
      </c>
      <c r="G11" s="11">
        <f>($B$13*(E83+B83)-E80-B80)*F13</f>
        <v>4.3209230659521047</v>
      </c>
    </row>
    <row r="12" spans="1:13">
      <c r="B12" s="5"/>
    </row>
    <row r="13" spans="1:13">
      <c r="A13" s="2" t="s">
        <v>25</v>
      </c>
      <c r="B13" s="21">
        <f xml:space="preserve"> $D$13/$G$5</f>
        <v>1.0001483771251931</v>
      </c>
      <c r="C13" t="s">
        <v>26</v>
      </c>
      <c r="D13" s="21">
        <v>647.096</v>
      </c>
      <c r="E13" t="s">
        <v>27</v>
      </c>
      <c r="F13" s="21">
        <v>0.46151805000000001</v>
      </c>
    </row>
    <row r="14" spans="1:13" ht="15.75">
      <c r="A14" s="2" t="s">
        <v>28</v>
      </c>
      <c r="B14" s="21">
        <f xml:space="preserve"> 1/$D$14/$G$7</f>
        <v>1.1118012422360248</v>
      </c>
      <c r="C14" s="2" t="s">
        <v>29</v>
      </c>
      <c r="D14" s="21">
        <v>322</v>
      </c>
      <c r="H14" s="6"/>
    </row>
    <row r="15" spans="1:13">
      <c r="H15" s="6"/>
    </row>
    <row r="16" spans="1:13" ht="15.75">
      <c r="A16" s="1" t="s">
        <v>30</v>
      </c>
      <c r="B16" s="3"/>
      <c r="C16" s="3"/>
      <c r="F16" t="s">
        <v>31</v>
      </c>
      <c r="G16" t="s">
        <v>32</v>
      </c>
      <c r="H16" s="6" t="s">
        <v>33</v>
      </c>
      <c r="I16" t="s">
        <v>34</v>
      </c>
      <c r="J16" t="s">
        <v>35</v>
      </c>
      <c r="K16" t="s">
        <v>36</v>
      </c>
      <c r="M16" s="1" t="s">
        <v>37</v>
      </c>
    </row>
    <row r="17" spans="1:18" ht="15.75">
      <c r="A17" t="s">
        <v>38</v>
      </c>
      <c r="B17" t="s">
        <v>39</v>
      </c>
      <c r="C17" t="s">
        <v>40</v>
      </c>
      <c r="D17" t="s">
        <v>41</v>
      </c>
      <c r="E17" t="s">
        <v>42</v>
      </c>
      <c r="F17" t="s">
        <v>43</v>
      </c>
      <c r="G17" t="s">
        <v>44</v>
      </c>
      <c r="H17" s="6" t="s">
        <v>45</v>
      </c>
      <c r="I17" t="s">
        <v>46</v>
      </c>
      <c r="J17" t="s">
        <v>47</v>
      </c>
      <c r="K17" t="s">
        <v>48</v>
      </c>
      <c r="M17" t="s">
        <v>38</v>
      </c>
      <c r="N17" t="s">
        <v>49</v>
      </c>
      <c r="O17" s="2" t="s">
        <v>50</v>
      </c>
    </row>
    <row r="18" spans="1:18">
      <c r="A18" s="21">
        <v>1</v>
      </c>
      <c r="B18" s="21">
        <v>0</v>
      </c>
      <c r="C18" s="21">
        <v>1</v>
      </c>
      <c r="D18" s="21">
        <v>-0.5</v>
      </c>
      <c r="E18" s="21">
        <v>1.2533547935523E-2</v>
      </c>
      <c r="F18" s="21">
        <f>E18*($B$14^(C18))*($B$13^(D18))</f>
        <v>1.3933780475536742E-2</v>
      </c>
      <c r="G18" s="21">
        <f>E18*C18*($B$14^(C18-1))*($B$13^(D18))</f>
        <v>1.2532618193080533E-2</v>
      </c>
      <c r="H18" s="21">
        <f>E18*C18*(C18-1)*$B$14^(C18-2)*$B$13^D18</f>
        <v>0</v>
      </c>
      <c r="I18">
        <f>E18*D18*$B$14^C18*$B$13^(D18-1)</f>
        <v>-6.9658566639820623E-3</v>
      </c>
      <c r="J18">
        <f>E18*D18*(D18-1)*$B$14^C18*$B$13^(D18-2)</f>
        <v>1.0447234865297561E-2</v>
      </c>
      <c r="K18">
        <f>E18*C18*D18*$B$14^(C18-1)*$B$13^(D18-1)</f>
        <v>-6.2653794575481111E-3</v>
      </c>
      <c r="M18" s="21">
        <v>1</v>
      </c>
      <c r="N18" s="21">
        <v>-8.3204464820100004</v>
      </c>
      <c r="O18" s="21">
        <v>0</v>
      </c>
    </row>
    <row r="19" spans="1:18" ht="15.75">
      <c r="A19" s="21">
        <f t="shared" ref="A19:A24" si="0" xml:space="preserve"> A18+1</f>
        <v>2</v>
      </c>
      <c r="B19" s="21">
        <v>0</v>
      </c>
      <c r="C19" s="21">
        <v>1</v>
      </c>
      <c r="D19" s="21">
        <v>0.875</v>
      </c>
      <c r="E19" s="21">
        <v>7.8957634722828001</v>
      </c>
      <c r="F19" s="21">
        <f t="shared" ref="F19:F24" si="1">E19*($B$14^(C19))*($B$13^(D19))</f>
        <v>8.7796593413859831</v>
      </c>
      <c r="G19" s="21">
        <f t="shared" ref="G19:G24" si="2">E19*C19*($B$14^(C19-1))*($B$13^(D19))</f>
        <v>7.8967885696264979</v>
      </c>
      <c r="H19" s="21">
        <f t="shared" ref="H19:H24" si="3">E19*C19*(C19-1)*$B$14^(C19-2)*$B$13^D19</f>
        <v>0</v>
      </c>
      <c r="I19">
        <f t="shared" ref="I19:I24" si="4">E19*D19*$B$14^C19*$B$13^(D19-1)</f>
        <v>7.6810622297806503</v>
      </c>
      <c r="J19">
        <f t="shared" ref="J19:J24" si="5">E19*D19*(D19-1)*$B$14^C19*$B$13^(D19-2)</f>
        <v>-0.95999033811599854</v>
      </c>
      <c r="K19">
        <f t="shared" ref="K19:K24" si="6">E19*C19*D19*$B$14^(C19-1)*$B$13^(D19-1)</f>
        <v>6.9086649105848315</v>
      </c>
      <c r="M19" s="21">
        <f t="shared" ref="M19:M25" si="7" xml:space="preserve"> M18+1</f>
        <v>2</v>
      </c>
      <c r="N19" s="21">
        <v>6.6832105267999999</v>
      </c>
      <c r="O19" s="21">
        <v>0</v>
      </c>
      <c r="P19" t="s">
        <v>51</v>
      </c>
      <c r="Q19" t="s">
        <v>52</v>
      </c>
      <c r="R19" t="s">
        <v>53</v>
      </c>
    </row>
    <row r="20" spans="1:18" ht="15.75">
      <c r="A20" s="21">
        <f t="shared" si="0"/>
        <v>3</v>
      </c>
      <c r="B20" s="21">
        <v>0</v>
      </c>
      <c r="C20" s="21">
        <v>1</v>
      </c>
      <c r="D20" s="21">
        <v>1</v>
      </c>
      <c r="E20" s="21">
        <v>-8.7803203303560995</v>
      </c>
      <c r="F20" s="21">
        <f t="shared" si="1"/>
        <v>-9.7634195037208293</v>
      </c>
      <c r="G20" s="21">
        <f t="shared" si="2"/>
        <v>-8.7816231290449931</v>
      </c>
      <c r="H20" s="21">
        <f t="shared" si="3"/>
        <v>0</v>
      </c>
      <c r="I20">
        <f t="shared" si="4"/>
        <v>-9.7619710505201347</v>
      </c>
      <c r="J20">
        <f t="shared" si="5"/>
        <v>0</v>
      </c>
      <c r="K20">
        <f t="shared" si="6"/>
        <v>-8.7803203303560995</v>
      </c>
      <c r="M20" s="21">
        <f t="shared" si="7"/>
        <v>3</v>
      </c>
      <c r="N20" s="21">
        <v>3.0063200000000001</v>
      </c>
      <c r="O20" s="21">
        <v>0</v>
      </c>
      <c r="P20" t="s">
        <v>54</v>
      </c>
      <c r="Q20" t="s">
        <v>55</v>
      </c>
      <c r="R20" t="s">
        <v>56</v>
      </c>
    </row>
    <row r="21" spans="1:18">
      <c r="A21" s="21">
        <f t="shared" si="0"/>
        <v>4</v>
      </c>
      <c r="B21" s="21">
        <v>0</v>
      </c>
      <c r="C21" s="21">
        <v>2</v>
      </c>
      <c r="D21" s="21">
        <v>0.5</v>
      </c>
      <c r="E21" s="21">
        <v>0.31802509345418001</v>
      </c>
      <c r="F21" s="21">
        <f t="shared" si="1"/>
        <v>0.39314061807252076</v>
      </c>
      <c r="G21" s="21">
        <f t="shared" si="2"/>
        <v>0.70721384927012121</v>
      </c>
      <c r="H21" s="21">
        <f t="shared" si="3"/>
        <v>0.63609737280720391</v>
      </c>
      <c r="I21">
        <f t="shared" si="4"/>
        <v>0.1965411468259122</v>
      </c>
      <c r="J21">
        <f t="shared" si="5"/>
        <v>-9.8255994470963504E-2</v>
      </c>
      <c r="K21">
        <f t="shared" si="6"/>
        <v>0.35355446523990913</v>
      </c>
      <c r="M21" s="21">
        <f t="shared" si="7"/>
        <v>4</v>
      </c>
      <c r="N21" s="21">
        <v>1.2435999999999999E-2</v>
      </c>
      <c r="O21" s="21">
        <v>1.2872896700000001</v>
      </c>
      <c r="P21" s="21">
        <f>N21*LN(1-EXP(-O21*$B$13))</f>
        <v>-4.0157803679544916E-3</v>
      </c>
      <c r="Q21" s="21">
        <f>N21*O21*((1-EXP(-O21*$B$13))^(-1)-1)</f>
        <v>6.1017130100600465E-3</v>
      </c>
      <c r="R21" s="21">
        <f>N21*O21^2*EXP(-O21*$B$13)*(1-EXP(-O21*$B$13))^(-2)</f>
        <v>1.0848472517725503E-2</v>
      </c>
    </row>
    <row r="22" spans="1:18">
      <c r="A22" s="21">
        <f t="shared" si="0"/>
        <v>5</v>
      </c>
      <c r="B22" s="21">
        <v>0</v>
      </c>
      <c r="C22" s="21">
        <v>2</v>
      </c>
      <c r="D22" s="21">
        <v>0.75</v>
      </c>
      <c r="E22" s="21">
        <v>-0.26145533859358</v>
      </c>
      <c r="F22" s="21">
        <f t="shared" si="1"/>
        <v>-0.32322143186215124</v>
      </c>
      <c r="G22" s="21">
        <f t="shared" si="2"/>
        <v>-0.58143743608722176</v>
      </c>
      <c r="H22" s="21">
        <f t="shared" si="3"/>
        <v>-0.52296886709521062</v>
      </c>
      <c r="I22">
        <f t="shared" si="4"/>
        <v>-0.2423801102326531</v>
      </c>
      <c r="J22">
        <f t="shared" si="5"/>
        <v>6.0586037976021551E-2</v>
      </c>
      <c r="K22">
        <f t="shared" si="6"/>
        <v>-0.43601338265315248</v>
      </c>
      <c r="M22" s="21">
        <f t="shared" si="7"/>
        <v>5</v>
      </c>
      <c r="N22" s="21">
        <v>0.97314999999999996</v>
      </c>
      <c r="O22" s="21">
        <v>3.5373422200000002</v>
      </c>
      <c r="P22" s="21">
        <f>N22*LN(1-EXP(-O22*$B$13))</f>
        <v>-2.8714092936886124E-2</v>
      </c>
      <c r="Q22" s="21">
        <f>N22*O22*((1-EXP(-O22*$B$13))^(-1)-1)</f>
        <v>0.10308492365181562</v>
      </c>
      <c r="R22" s="21">
        <f>N22*O22^2*EXP(-O22*$B$13)*(1-EXP(-O22*$B$13))^(-2)</f>
        <v>0.37556634798223426</v>
      </c>
    </row>
    <row r="23" spans="1:18">
      <c r="A23" s="21">
        <f t="shared" si="0"/>
        <v>6</v>
      </c>
      <c r="B23" s="21">
        <v>0</v>
      </c>
      <c r="C23" s="21">
        <v>3</v>
      </c>
      <c r="D23" s="21">
        <v>0.375</v>
      </c>
      <c r="E23" s="21">
        <v>-7.8199751687981003E-3</v>
      </c>
      <c r="F23" s="21">
        <f t="shared" si="1"/>
        <v>-1.0747587804012108E-2</v>
      </c>
      <c r="G23" s="21">
        <f t="shared" si="2"/>
        <v>-2.9000474353842735E-2</v>
      </c>
      <c r="H23" s="21">
        <f t="shared" si="3"/>
        <v>-5.2168451072275759E-2</v>
      </c>
      <c r="I23">
        <f t="shared" si="4"/>
        <v>-4.029747504154621E-3</v>
      </c>
      <c r="J23">
        <f t="shared" si="5"/>
        <v>2.5182185440684613E-3</v>
      </c>
      <c r="K23">
        <f t="shared" si="6"/>
        <v>-1.0873564494450736E-2</v>
      </c>
      <c r="M23" s="21">
        <f t="shared" si="7"/>
        <v>6</v>
      </c>
      <c r="N23" s="21">
        <v>1.2795000000000001</v>
      </c>
      <c r="O23" s="21">
        <v>7.7407370799999997</v>
      </c>
      <c r="P23" s="21">
        <f>N23*LN(1-EXP(-O23*$B$13))</f>
        <v>-5.5574606458255011E-4</v>
      </c>
      <c r="Q23" s="21">
        <f>N23*O23*((1-EXP(-O23*$B$13))^(-1)-1)</f>
        <v>4.3028185581471456E-3</v>
      </c>
      <c r="R23" s="21">
        <f>N23*O23^2*EXP(-O23*$B$13)*(1-EXP(-O23*$B$13))^(-2)</f>
        <v>3.3321457069767781E-2</v>
      </c>
    </row>
    <row r="24" spans="1:18">
      <c r="A24" s="21">
        <f t="shared" si="0"/>
        <v>7</v>
      </c>
      <c r="B24" s="21">
        <v>1</v>
      </c>
      <c r="C24" s="21">
        <v>4</v>
      </c>
      <c r="D24" s="21">
        <v>1</v>
      </c>
      <c r="E24" s="21">
        <v>8.8089493102134001E-3</v>
      </c>
      <c r="F24" s="21">
        <f t="shared" si="1"/>
        <v>1.3461614988916277E-2</v>
      </c>
      <c r="G24" s="21">
        <f t="shared" si="2"/>
        <v>4.8431732138894311E-2</v>
      </c>
      <c r="H24" s="21">
        <f t="shared" si="3"/>
        <v>0.13068450627422321</v>
      </c>
      <c r="I24">
        <f t="shared" si="4"/>
        <v>1.3459617889507634E-2</v>
      </c>
      <c r="J24">
        <f t="shared" si="5"/>
        <v>0</v>
      </c>
      <c r="K24">
        <f t="shared" si="6"/>
        <v>4.8424547043815172E-2</v>
      </c>
      <c r="M24" s="21">
        <f t="shared" si="7"/>
        <v>7</v>
      </c>
      <c r="N24" s="21">
        <v>0.96955999999999998</v>
      </c>
      <c r="O24" s="21">
        <v>9.2443779599999996</v>
      </c>
      <c r="P24" s="21">
        <f>N24*LN(1-EXP(-O24*$B$13))</f>
        <v>-9.3587449462397582E-5</v>
      </c>
      <c r="Q24" s="21">
        <f>N24*O24*((1-EXP(-O24*$B$13))^(-1)-1)</f>
        <v>8.6519951146147819E-4</v>
      </c>
      <c r="R24" s="21">
        <f>N24*O24^2*EXP(-O24*$B$13)*(1-EXP(-O24*$B$13))^(-2)</f>
        <v>7.9990033668231441E-3</v>
      </c>
    </row>
    <row r="25" spans="1:18" ht="15.75">
      <c r="A25" s="4" t="s">
        <v>38</v>
      </c>
      <c r="B25" t="s">
        <v>57</v>
      </c>
      <c r="C25" t="s">
        <v>58</v>
      </c>
      <c r="D25" t="s">
        <v>59</v>
      </c>
      <c r="E25" t="s">
        <v>49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K25" t="s">
        <v>65</v>
      </c>
      <c r="M25" s="21">
        <f t="shared" si="7"/>
        <v>8</v>
      </c>
      <c r="N25" s="21">
        <v>0.24873000000000001</v>
      </c>
      <c r="O25" s="21">
        <v>27.507510499999999</v>
      </c>
      <c r="P25" s="21">
        <f>N25*LN(1-EXP(-O25*$B$13))</f>
        <v>-2.8028795950889834E-13</v>
      </c>
      <c r="Q25" s="21">
        <f>N25*O25*((1-EXP(-O25*$B$13))^(-1)-1)</f>
        <v>7.7100239892102522E-12</v>
      </c>
      <c r="R25" s="21">
        <f>N25*O25^2*EXP(-O25*$B$13)*(1-EXP(-O25*$B$13))^(-2)</f>
        <v>2.1207923935243569E-10</v>
      </c>
    </row>
    <row r="26" spans="1:18">
      <c r="A26" s="21">
        <f xml:space="preserve"> A24+1</f>
        <v>8</v>
      </c>
      <c r="B26" s="21">
        <v>1</v>
      </c>
      <c r="C26" s="21">
        <v>1</v>
      </c>
      <c r="D26" s="21">
        <v>4</v>
      </c>
      <c r="E26" s="21">
        <v>-0.66856572307965001</v>
      </c>
      <c r="F26" s="22">
        <f>E26*EXP(C26*LN($B$14)+D26*LN($B$13)-($B$14^B26))</f>
        <v>-0.24466951193932585</v>
      </c>
      <c r="G26" s="23">
        <f>E26*EXP((-1)*$B$14^B26)*$B$14^(C26-1)*$B$13^D26*(C26-B26*$B$14^B26)</f>
        <v>2.4603638072110967E-2</v>
      </c>
      <c r="H26" s="21">
        <f>E26*EXP((-1)*$B$14^B26)*($B$14^(C26-2)*$B$13^D26*((C26-B26*$B$14^B26)*(C26-1-B26*$B$14^B26)-B26^2*$B$14^B26))</f>
        <v>0.19546223579510386</v>
      </c>
      <c r="I26">
        <f>E26*D26*$B$14^C26*$B$13^(D26-1)*EXP((-1)*$B$14^B26)</f>
        <v>-0.97853285586524286</v>
      </c>
      <c r="J26">
        <f>E26*D26*(D26-1)*$B$14^C26*$B$13^(D26-2)*EXP((-1)*$B$14^B26)</f>
        <v>-2.9351630565394262</v>
      </c>
      <c r="K26">
        <f>E26*D26*$B$14^(C26-1)*$B$13^(D26-1)*(C26-B26*$B$14^B26)*EXP((-1)*$B$14^B26)</f>
        <v>9.8399951986448991E-2</v>
      </c>
      <c r="O26" t="s">
        <v>66</v>
      </c>
      <c r="P26" s="21">
        <f>SUM(P21:P25)</f>
        <v>-3.3379206819165855E-2</v>
      </c>
      <c r="Q26" s="21">
        <f>SUM(Q21:Q25)</f>
        <v>0.11435465473919432</v>
      </c>
      <c r="R26" s="21">
        <f>SUM(R21:R25)</f>
        <v>0.42773528114862996</v>
      </c>
    </row>
    <row r="27" spans="1:18">
      <c r="A27" s="21">
        <f t="shared" ref="A27:A36" si="8" xml:space="preserve"> A26+1</f>
        <v>9</v>
      </c>
      <c r="B27" s="21">
        <v>1</v>
      </c>
      <c r="C27" s="21">
        <v>1</v>
      </c>
      <c r="D27" s="21">
        <v>6</v>
      </c>
      <c r="E27" s="21">
        <v>0.20433810950965001</v>
      </c>
      <c r="F27" s="22">
        <f>E27*EXP(C27*LN($B$14)+D27*LN($B$13)-($B$14^B27))</f>
        <v>7.480213420763647E-2</v>
      </c>
      <c r="G27" s="23">
        <f t="shared" ref="G27:G69" si="9">E27*EXP((-1)*$B$14^B27)*$B$14^(C27-1)*$B$13^D27*(C27-B27*$B$14^B27)</f>
        <v>-7.5220023225556192E-3</v>
      </c>
      <c r="H27" s="21">
        <f>E27*EXP((-1)*$B$14^B27)*($B$14^(C27-2)*$B$13^D27*((C27-B27*$B$14^B27)*(C27-1-B27*$B$14^B27)-B27^2*$B$14^B27))</f>
        <v>-5.97581295625252E-2</v>
      </c>
      <c r="I27">
        <f t="shared" ref="I27:I69" si="10">E27*D27*$B$14^C27*$B$13^(D27-1)*EXP((-1)*$B$14^B27)</f>
        <v>0.44874622157152061</v>
      </c>
      <c r="J27">
        <f t="shared" ref="J27:J69" si="11">E27*D27*(D27-1)*$B$14^C27*$B$13^(D27-2)*EXP((-1)*$B$14^B27)</f>
        <v>2.2433982388762552</v>
      </c>
      <c r="K27">
        <f t="shared" ref="K27:K69" si="12">E27*D27*$B$14^(C27-1)*$B$13^(D27-1)*(C27-B27*$B$14^B27)*EXP((-1)*$B$14^B27)</f>
        <v>-4.5125318370320501E-2</v>
      </c>
    </row>
    <row r="28" spans="1:18">
      <c r="A28" s="21">
        <f t="shared" si="8"/>
        <v>10</v>
      </c>
      <c r="B28" s="21">
        <v>1</v>
      </c>
      <c r="C28" s="21">
        <v>1</v>
      </c>
      <c r="D28" s="21">
        <v>12</v>
      </c>
      <c r="E28" s="21">
        <v>-6.6212605039686994E-5</v>
      </c>
      <c r="F28" s="22">
        <f>E28*EXP(C28*LN($B$14)+D28*LN($B$13)-($B$14^B28))</f>
        <v>-2.4260061664077902E-5</v>
      </c>
      <c r="G28" s="23">
        <f t="shared" si="9"/>
        <v>2.4395592734826922E-6</v>
      </c>
      <c r="H28" s="21">
        <f>E28*EXP((-1)*$B$14^B28)*($B$14^(C28-2)*$B$13^D28*((C28-B28*$B$14^B28)*(C28-1-B28*$B$14^B28)-B28^2*$B$14^B28))</f>
        <v>1.9380943117112504E-5</v>
      </c>
      <c r="I28">
        <f t="shared" si="10"/>
        <v>-2.9107755071875081E-4</v>
      </c>
      <c r="J28">
        <f t="shared" si="11"/>
        <v>-3.2013780466350426E-3</v>
      </c>
      <c r="K28">
        <f t="shared" si="12"/>
        <v>2.9270368228701189E-5</v>
      </c>
    </row>
    <row r="29" spans="1:18">
      <c r="A29" s="21">
        <f t="shared" si="8"/>
        <v>11</v>
      </c>
      <c r="B29" s="21">
        <v>1</v>
      </c>
      <c r="C29" s="21">
        <v>2</v>
      </c>
      <c r="D29" s="21">
        <v>1</v>
      </c>
      <c r="E29" s="21">
        <v>-0.19232721156002</v>
      </c>
      <c r="F29" s="22">
        <f t="shared" ref="F29:F69" si="13">E29*EXP(C29*LN($B$14)+D29*LN($B$13)-($B$14^B29))</f>
        <v>-7.821865342485354E-2</v>
      </c>
      <c r="G29" s="23">
        <f t="shared" si="9"/>
        <v>-6.2487527596391361E-2</v>
      </c>
      <c r="H29" s="21">
        <f>E29*EXP((-1)*$B$14^B29)*($B$14^(C29-2)*$B$13^D29*((C29-B29*$B$14^B29)*(C29-1-B29*$B$14^B29)-B29^2*$B$14^B29))</f>
        <v>7.6636752503555644E-2</v>
      </c>
      <c r="I29">
        <f t="shared" si="10"/>
        <v>-7.820704928771037E-2</v>
      </c>
      <c r="J29">
        <f t="shared" si="11"/>
        <v>0</v>
      </c>
      <c r="K29">
        <f t="shared" si="12"/>
        <v>-6.2478257252193206E-2</v>
      </c>
    </row>
    <row r="30" spans="1:18">
      <c r="A30" s="21">
        <f t="shared" si="8"/>
        <v>12</v>
      </c>
      <c r="B30" s="21">
        <v>1</v>
      </c>
      <c r="C30" s="21">
        <v>2</v>
      </c>
      <c r="D30" s="21">
        <v>5</v>
      </c>
      <c r="E30" s="21">
        <v>-0.25709043003437998</v>
      </c>
      <c r="F30" s="22">
        <f t="shared" si="13"/>
        <v>-0.10461964669554843</v>
      </c>
      <c r="G30" s="23">
        <f t="shared" si="9"/>
        <v>-8.3578823896443707E-2</v>
      </c>
      <c r="H30" s="21">
        <f t="shared" ref="H30:H69" si="14">E30*EXP((-1)*$B$14^B30)*($B$14^(C30-2)*$B$13^D30*((C30-B30*$B$14^B30)*(C30-1-B30*$B$14^B30)-B30^2*$B$14^B30))</f>
        <v>0.10250380976602951</v>
      </c>
      <c r="I30">
        <f t="shared" si="10"/>
        <v>-0.52302062918036762</v>
      </c>
      <c r="J30">
        <f t="shared" si="11"/>
        <v>-2.09177214558395</v>
      </c>
      <c r="K30">
        <f t="shared" si="12"/>
        <v>-0.41783212275303105</v>
      </c>
    </row>
    <row r="31" spans="1:18">
      <c r="A31" s="21">
        <f t="shared" si="8"/>
        <v>13</v>
      </c>
      <c r="B31" s="21">
        <v>1</v>
      </c>
      <c r="C31" s="21">
        <v>3</v>
      </c>
      <c r="D31" s="21">
        <v>4</v>
      </c>
      <c r="E31" s="21">
        <v>0.16074868486251001</v>
      </c>
      <c r="F31" s="22">
        <f t="shared" si="13"/>
        <v>7.2717256817860509E-2</v>
      </c>
      <c r="G31" s="23">
        <f t="shared" si="9"/>
        <v>0.12349746409290273</v>
      </c>
      <c r="H31" s="21">
        <f t="shared" si="14"/>
        <v>3.3255078310667895E-2</v>
      </c>
      <c r="I31">
        <f t="shared" si="10"/>
        <v>0.29082587536412363</v>
      </c>
      <c r="J31">
        <f t="shared" si="11"/>
        <v>0.87234818957583438</v>
      </c>
      <c r="K31">
        <f t="shared" si="12"/>
        <v>0.49391657045080223</v>
      </c>
    </row>
    <row r="32" spans="1:18">
      <c r="A32" s="21">
        <f t="shared" si="8"/>
        <v>14</v>
      </c>
      <c r="B32" s="21">
        <v>1</v>
      </c>
      <c r="C32" s="21">
        <v>4</v>
      </c>
      <c r="D32" s="21">
        <v>2</v>
      </c>
      <c r="E32" s="21">
        <v>-4.0092828925806998E-2</v>
      </c>
      <c r="F32" s="22">
        <f t="shared" si="13"/>
        <v>-2.0158352970344479E-2</v>
      </c>
      <c r="G32" s="23">
        <f t="shared" si="9"/>
        <v>-5.2366671124079216E-2</v>
      </c>
      <c r="H32" s="21">
        <f t="shared" si="14"/>
        <v>-7.0804319516729747E-2</v>
      </c>
      <c r="I32">
        <f t="shared" si="10"/>
        <v>-4.0310724751235913E-2</v>
      </c>
      <c r="J32">
        <f t="shared" si="11"/>
        <v>-4.0304744449122909E-2</v>
      </c>
      <c r="K32">
        <f t="shared" si="12"/>
        <v>-0.10471780452136703</v>
      </c>
    </row>
    <row r="33" spans="1:11">
      <c r="A33" s="21">
        <f t="shared" si="8"/>
        <v>15</v>
      </c>
      <c r="B33" s="21">
        <v>1</v>
      </c>
      <c r="C33" s="21">
        <v>4</v>
      </c>
      <c r="D33" s="21">
        <v>13</v>
      </c>
      <c r="E33" s="21">
        <v>3.9343422603254002E-7</v>
      </c>
      <c r="F33" s="22">
        <f t="shared" si="13"/>
        <v>1.9813867879601496E-7</v>
      </c>
      <c r="G33" s="23">
        <f t="shared" si="9"/>
        <v>5.1471779687232894E-7</v>
      </c>
      <c r="H33" s="21">
        <f t="shared" si="14"/>
        <v>6.9594348024038916E-7</v>
      </c>
      <c r="I33">
        <f t="shared" si="10"/>
        <v>2.5754206908299248E-6</v>
      </c>
      <c r="J33">
        <f t="shared" si="11"/>
        <v>3.090046336803742E-5</v>
      </c>
      <c r="K33">
        <f t="shared" si="12"/>
        <v>6.6903386661224297E-6</v>
      </c>
    </row>
    <row r="34" spans="1:11">
      <c r="A34" s="21">
        <f t="shared" si="8"/>
        <v>16</v>
      </c>
      <c r="B34" s="21">
        <v>1</v>
      </c>
      <c r="C34" s="21">
        <v>5</v>
      </c>
      <c r="D34" s="21">
        <v>9</v>
      </c>
      <c r="E34" s="21">
        <v>-7.5941377088144E-6</v>
      </c>
      <c r="F34" s="22">
        <f t="shared" si="13"/>
        <v>-4.2495702180293727E-6</v>
      </c>
      <c r="G34" s="23">
        <f t="shared" si="9"/>
        <v>-1.4861625455231205E-5</v>
      </c>
      <c r="H34" s="21">
        <f t="shared" si="14"/>
        <v>-3.4784776712736206E-5</v>
      </c>
      <c r="I34">
        <f t="shared" si="10"/>
        <v>-3.8240457953047201E-5</v>
      </c>
      <c r="J34">
        <f t="shared" si="11"/>
        <v>-3.058782782847867E-4</v>
      </c>
      <c r="K34">
        <f t="shared" si="12"/>
        <v>-1.3373478591400867E-4</v>
      </c>
    </row>
    <row r="35" spans="1:11">
      <c r="A35" s="21">
        <f t="shared" si="8"/>
        <v>17</v>
      </c>
      <c r="B35" s="21">
        <v>1</v>
      </c>
      <c r="C35" s="21">
        <v>7</v>
      </c>
      <c r="D35" s="21">
        <v>3</v>
      </c>
      <c r="E35" s="21">
        <v>5.6250979351888004E-4</v>
      </c>
      <c r="F35" s="22">
        <f t="shared" si="13"/>
        <v>3.8874456657524441E-4</v>
      </c>
      <c r="G35" s="23">
        <f t="shared" si="9"/>
        <v>2.0588259727001772E-3</v>
      </c>
      <c r="H35" s="21">
        <f t="shared" si="14"/>
        <v>8.7022802530526532E-3</v>
      </c>
      <c r="I35">
        <f t="shared" si="10"/>
        <v>1.1660606829937896E-3</v>
      </c>
      <c r="J35">
        <f t="shared" si="11"/>
        <v>2.3317753838595261E-3</v>
      </c>
      <c r="K35">
        <f t="shared" si="12"/>
        <v>6.1755616060229753E-3</v>
      </c>
    </row>
    <row r="36" spans="1:11">
      <c r="A36" s="21">
        <f t="shared" si="8"/>
        <v>18</v>
      </c>
      <c r="B36" s="21">
        <v>1</v>
      </c>
      <c r="C36" s="21">
        <v>9</v>
      </c>
      <c r="D36" s="21">
        <v>4</v>
      </c>
      <c r="E36" s="21">
        <v>-1.5608652257134999E-5</v>
      </c>
      <c r="F36" s="22">
        <f t="shared" si="13"/>
        <v>-1.3335779115893024E-5</v>
      </c>
      <c r="G36" s="23">
        <f t="shared" si="9"/>
        <v>-9.4616980319464443E-5</v>
      </c>
      <c r="H36" s="21">
        <f t="shared" si="14"/>
        <v>-5.7420765774652107E-4</v>
      </c>
      <c r="I36">
        <f t="shared" si="10"/>
        <v>-5.3335202739518001E-5</v>
      </c>
      <c r="J36">
        <f t="shared" si="11"/>
        <v>-1.5998187056851602E-4</v>
      </c>
      <c r="K36">
        <f t="shared" si="12"/>
        <v>-3.7841177362674783E-4</v>
      </c>
    </row>
    <row r="37" spans="1:11">
      <c r="A37" s="21">
        <f t="shared" ref="A37:A52" si="15" xml:space="preserve"> A36+1</f>
        <v>19</v>
      </c>
      <c r="B37" s="21">
        <v>1</v>
      </c>
      <c r="C37" s="21">
        <v>10</v>
      </c>
      <c r="D37" s="21">
        <v>11</v>
      </c>
      <c r="E37" s="21">
        <v>1.1537996422951E-9</v>
      </c>
      <c r="F37" s="22">
        <f t="shared" si="13"/>
        <v>1.0971388288172063E-9</v>
      </c>
      <c r="G37" s="23">
        <f t="shared" si="9"/>
        <v>8.7709813633375523E-9</v>
      </c>
      <c r="H37" s="21">
        <f t="shared" si="14"/>
        <v>6.1243055754185023E-8</v>
      </c>
      <c r="I37">
        <f t="shared" si="10"/>
        <v>1.2066736689288847E-8</v>
      </c>
      <c r="J37">
        <f t="shared" si="11"/>
        <v>1.206494652720753E-7</v>
      </c>
      <c r="K37">
        <f t="shared" si="12"/>
        <v>9.6466481577499105E-8</v>
      </c>
    </row>
    <row r="38" spans="1:11">
      <c r="A38" s="21">
        <f t="shared" si="15"/>
        <v>20</v>
      </c>
      <c r="B38" s="21">
        <v>1</v>
      </c>
      <c r="C38" s="21">
        <v>11</v>
      </c>
      <c r="D38" s="21">
        <v>4</v>
      </c>
      <c r="E38" s="21">
        <v>3.6582165144204001E-7</v>
      </c>
      <c r="F38" s="22">
        <f t="shared" si="13"/>
        <v>3.8634625272130612E-7</v>
      </c>
      <c r="G38" s="23">
        <f t="shared" si="9"/>
        <v>3.4361074543704975E-6</v>
      </c>
      <c r="H38" s="21">
        <f t="shared" si="14"/>
        <v>2.7122167712380173E-5</v>
      </c>
      <c r="I38">
        <f t="shared" si="10"/>
        <v>1.5451557451177875E-6</v>
      </c>
      <c r="J38">
        <f t="shared" si="11"/>
        <v>4.6347795400893001E-6</v>
      </c>
      <c r="K38">
        <f t="shared" si="12"/>
        <v>1.3742390761047584E-5</v>
      </c>
    </row>
    <row r="39" spans="1:11">
      <c r="A39" s="21">
        <f t="shared" si="15"/>
        <v>21</v>
      </c>
      <c r="B39" s="21">
        <v>1</v>
      </c>
      <c r="C39" s="21">
        <v>13</v>
      </c>
      <c r="D39" s="21">
        <v>13</v>
      </c>
      <c r="E39" s="21">
        <v>-1.3251180074668E-12</v>
      </c>
      <c r="F39" s="22">
        <f t="shared" si="13"/>
        <v>-1.7321921864645807E-12</v>
      </c>
      <c r="G39" s="23">
        <f t="shared" si="9"/>
        <v>-1.8521876228453664E-11</v>
      </c>
      <c r="H39" s="21">
        <f t="shared" si="14"/>
        <v>-1.7983221277351099E-10</v>
      </c>
      <c r="I39">
        <f t="shared" si="10"/>
        <v>-2.2515157689668275E-11</v>
      </c>
      <c r="J39">
        <f t="shared" si="11"/>
        <v>-2.7014180941094443E-10</v>
      </c>
      <c r="K39">
        <f t="shared" si="12"/>
        <v>-2.4074866937444176E-10</v>
      </c>
    </row>
    <row r="40" spans="1:11">
      <c r="A40" s="21">
        <f t="shared" si="15"/>
        <v>22</v>
      </c>
      <c r="B40" s="21">
        <v>1</v>
      </c>
      <c r="C40" s="21">
        <v>15</v>
      </c>
      <c r="D40" s="21">
        <v>1</v>
      </c>
      <c r="E40" s="21">
        <v>-6.2639586912453999E-10</v>
      </c>
      <c r="F40" s="22">
        <f t="shared" si="13"/>
        <v>-1.0103491940373847E-9</v>
      </c>
      <c r="G40" s="23">
        <f t="shared" si="9"/>
        <v>-1.2620898312109451E-8</v>
      </c>
      <c r="H40" s="21">
        <f t="shared" si="14"/>
        <v>-1.4539495965020721E-7</v>
      </c>
      <c r="I40">
        <f t="shared" si="10"/>
        <v>-1.0101993035688487E-9</v>
      </c>
      <c r="J40">
        <f t="shared" si="11"/>
        <v>0</v>
      </c>
      <c r="K40">
        <f t="shared" si="12"/>
        <v>-1.2619025937318135E-8</v>
      </c>
    </row>
    <row r="41" spans="1:11">
      <c r="A41" s="21">
        <f t="shared" si="15"/>
        <v>23</v>
      </c>
      <c r="B41" s="21">
        <v>2</v>
      </c>
      <c r="C41" s="21">
        <v>1</v>
      </c>
      <c r="D41" s="21">
        <v>7</v>
      </c>
      <c r="E41" s="21">
        <v>-0.10793600908932</v>
      </c>
      <c r="F41" s="22">
        <f t="shared" si="13"/>
        <v>-3.489894308097332E-2</v>
      </c>
      <c r="G41" s="23">
        <f t="shared" si="9"/>
        <v>4.6211824383671274E-2</v>
      </c>
      <c r="H41" s="21">
        <f t="shared" si="14"/>
        <v>3.6839044812375751E-2</v>
      </c>
      <c r="I41">
        <f t="shared" si="10"/>
        <v>-0.24425635951037891</v>
      </c>
      <c r="J41">
        <f t="shared" si="11"/>
        <v>-1.4653207369838341</v>
      </c>
      <c r="K41">
        <f t="shared" si="12"/>
        <v>0.32343478036280116</v>
      </c>
    </row>
    <row r="42" spans="1:11">
      <c r="A42" s="21">
        <f t="shared" si="15"/>
        <v>24</v>
      </c>
      <c r="B42" s="21">
        <v>2</v>
      </c>
      <c r="C42" s="21">
        <v>2</v>
      </c>
      <c r="D42" s="21">
        <v>1</v>
      </c>
      <c r="E42" s="21">
        <v>1.7611491008751999E-2</v>
      </c>
      <c r="F42" s="22">
        <f t="shared" si="13"/>
        <v>6.3253213067958232E-3</v>
      </c>
      <c r="G42" s="23">
        <f t="shared" si="9"/>
        <v>-2.686489218750854E-3</v>
      </c>
      <c r="H42" s="21">
        <f t="shared" si="14"/>
        <v>-2.1743940590771504E-2</v>
      </c>
      <c r="I42">
        <f t="shared" si="10"/>
        <v>6.3243829130405667E-3</v>
      </c>
      <c r="J42">
        <f t="shared" si="11"/>
        <v>0</v>
      </c>
      <c r="K42">
        <f t="shared" si="12"/>
        <v>-2.6860906643400712E-3</v>
      </c>
    </row>
    <row r="43" spans="1:11">
      <c r="A43" s="21">
        <f t="shared" si="15"/>
        <v>25</v>
      </c>
      <c r="B43" s="21">
        <v>2</v>
      </c>
      <c r="C43" s="21">
        <v>2</v>
      </c>
      <c r="D43" s="21">
        <v>9</v>
      </c>
      <c r="E43" s="21">
        <v>0.22132295167546001</v>
      </c>
      <c r="F43" s="22">
        <f t="shared" si="13"/>
        <v>7.9584482403624993E-2</v>
      </c>
      <c r="G43" s="23">
        <f t="shared" si="9"/>
        <v>-3.3801105680987174E-2</v>
      </c>
      <c r="H43" s="21">
        <f t="shared" si="14"/>
        <v>-0.27357981885797977</v>
      </c>
      <c r="I43">
        <f t="shared" si="10"/>
        <v>0.71615408074892772</v>
      </c>
      <c r="J43">
        <f t="shared" si="11"/>
        <v>5.7283826850366104</v>
      </c>
      <c r="K43">
        <f t="shared" si="12"/>
        <v>-0.30416482002730405</v>
      </c>
    </row>
    <row r="44" spans="1:11">
      <c r="A44" s="21">
        <f t="shared" si="15"/>
        <v>26</v>
      </c>
      <c r="B44" s="21">
        <v>2</v>
      </c>
      <c r="C44" s="21">
        <v>2</v>
      </c>
      <c r="D44" s="21">
        <v>10</v>
      </c>
      <c r="E44" s="21">
        <v>-0.40247669763527999</v>
      </c>
      <c r="F44" s="22">
        <f t="shared" si="13"/>
        <v>-0.144746182314652</v>
      </c>
      <c r="G44" s="23">
        <f t="shared" si="9"/>
        <v>6.1476570024336027E-2</v>
      </c>
      <c r="H44" s="21">
        <f t="shared" si="14"/>
        <v>0.49757984398504934</v>
      </c>
      <c r="I44">
        <f t="shared" si="10"/>
        <v>-1.4472470847846355</v>
      </c>
      <c r="J44">
        <f t="shared" si="11"/>
        <v>-13.023291404522567</v>
      </c>
      <c r="K44">
        <f t="shared" si="12"/>
        <v>0.61467449660862405</v>
      </c>
    </row>
    <row r="45" spans="1:11">
      <c r="A45" s="21">
        <f t="shared" si="15"/>
        <v>27</v>
      </c>
      <c r="B45" s="21">
        <v>2</v>
      </c>
      <c r="C45" s="21">
        <v>3</v>
      </c>
      <c r="D45" s="21">
        <v>10</v>
      </c>
      <c r="E45" s="21">
        <v>0.58083399985758999</v>
      </c>
      <c r="F45" s="22">
        <f t="shared" si="13"/>
        <v>0.23224456664871601</v>
      </c>
      <c r="G45" s="23">
        <f t="shared" si="9"/>
        <v>0.11025149784243322</v>
      </c>
      <c r="H45" s="21">
        <f t="shared" si="14"/>
        <v>-0.97580426102879214</v>
      </c>
      <c r="I45">
        <f t="shared" si="10"/>
        <v>2.3221011197985959</v>
      </c>
      <c r="J45">
        <f t="shared" si="11"/>
        <v>20.895809618027656</v>
      </c>
      <c r="K45">
        <f t="shared" si="12"/>
        <v>1.1023514146904678</v>
      </c>
    </row>
    <row r="46" spans="1:11">
      <c r="A46" s="21">
        <f t="shared" si="15"/>
        <v>28</v>
      </c>
      <c r="B46" s="21">
        <v>2</v>
      </c>
      <c r="C46" s="21">
        <v>4</v>
      </c>
      <c r="D46" s="21">
        <v>3</v>
      </c>
      <c r="E46" s="21">
        <v>4.9969146990805997E-3</v>
      </c>
      <c r="F46" s="22">
        <f t="shared" si="13"/>
        <v>2.2190729561112031E-3</v>
      </c>
      <c r="G46" s="23">
        <f t="shared" si="9"/>
        <v>3.0493676813184304E-3</v>
      </c>
      <c r="H46" s="21">
        <f t="shared" si="14"/>
        <v>-7.4286913092250773E-3</v>
      </c>
      <c r="I46">
        <f t="shared" si="10"/>
        <v>6.6562312358782079E-3</v>
      </c>
      <c r="J46">
        <f t="shared" si="11"/>
        <v>1.3310487499886265E-2</v>
      </c>
      <c r="K46">
        <f t="shared" si="12"/>
        <v>9.1467458760973244E-3</v>
      </c>
    </row>
    <row r="47" spans="1:11">
      <c r="A47" s="21">
        <f t="shared" si="15"/>
        <v>29</v>
      </c>
      <c r="B47" s="21">
        <v>2</v>
      </c>
      <c r="C47" s="21">
        <v>4</v>
      </c>
      <c r="D47" s="21">
        <v>7</v>
      </c>
      <c r="E47" s="21">
        <v>-3.1358700712549002E-2</v>
      </c>
      <c r="F47" s="22">
        <f t="shared" si="13"/>
        <v>-1.3934309208258675E-2</v>
      </c>
      <c r="G47" s="23">
        <f t="shared" si="9"/>
        <v>-1.9148010453709702E-2</v>
      </c>
      <c r="H47" s="21">
        <f t="shared" si="14"/>
        <v>4.6647263863216076E-2</v>
      </c>
      <c r="I47">
        <f t="shared" si="10"/>
        <v>-9.7525693875720965E-2</v>
      </c>
      <c r="J47">
        <f t="shared" si="11"/>
        <v>-0.58506735264249643</v>
      </c>
      <c r="K47">
        <f t="shared" si="12"/>
        <v>-0.13401618823922765</v>
      </c>
    </row>
    <row r="48" spans="1:11">
      <c r="A48" s="21">
        <f t="shared" si="15"/>
        <v>30</v>
      </c>
      <c r="B48" s="21">
        <v>2</v>
      </c>
      <c r="C48" s="21">
        <v>4</v>
      </c>
      <c r="D48" s="21">
        <v>10</v>
      </c>
      <c r="E48" s="21">
        <v>-0.74315929710341</v>
      </c>
      <c r="F48" s="22">
        <f t="shared" si="13"/>
        <v>-0.33037152062884295</v>
      </c>
      <c r="G48" s="23">
        <f t="shared" si="9"/>
        <v>-0.45398427981343681</v>
      </c>
      <c r="H48" s="21">
        <f t="shared" si="14"/>
        <v>1.1059699670315712</v>
      </c>
      <c r="I48">
        <f t="shared" si="10"/>
        <v>-3.3032250832467103</v>
      </c>
      <c r="J48">
        <f t="shared" si="11"/>
        <v>-29.724615296255262</v>
      </c>
      <c r="K48">
        <f t="shared" si="12"/>
        <v>-4.5391692892444642</v>
      </c>
    </row>
    <row r="49" spans="1:11">
      <c r="A49" s="21">
        <f t="shared" si="15"/>
        <v>31</v>
      </c>
      <c r="B49" s="21">
        <v>2</v>
      </c>
      <c r="C49" s="21">
        <v>5</v>
      </c>
      <c r="D49" s="21">
        <v>10</v>
      </c>
      <c r="E49" s="21">
        <v>0.47807329915480001</v>
      </c>
      <c r="F49" s="22">
        <f t="shared" si="13"/>
        <v>0.23628836139685228</v>
      </c>
      <c r="G49" s="23">
        <f t="shared" si="9"/>
        <v>0.53722621547610772</v>
      </c>
      <c r="H49" s="21">
        <f t="shared" si="14"/>
        <v>-0.20691712283905464</v>
      </c>
      <c r="I49">
        <f t="shared" si="10"/>
        <v>2.3625330681037031</v>
      </c>
      <c r="J49">
        <f t="shared" si="11"/>
        <v>21.2596431681974</v>
      </c>
      <c r="K49">
        <f t="shared" si="12"/>
        <v>5.3714651522037178</v>
      </c>
    </row>
    <row r="50" spans="1:11">
      <c r="A50" s="21">
        <f t="shared" si="15"/>
        <v>32</v>
      </c>
      <c r="B50" s="21">
        <v>2</v>
      </c>
      <c r="C50" s="21">
        <v>6</v>
      </c>
      <c r="D50" s="21">
        <v>6</v>
      </c>
      <c r="E50" s="21">
        <v>2.0527940895948001E-2</v>
      </c>
      <c r="F50" s="22">
        <f t="shared" si="13"/>
        <v>1.1273600666528879E-2</v>
      </c>
      <c r="G50" s="23">
        <f t="shared" si="9"/>
        <v>3.5771648542630444E-2</v>
      </c>
      <c r="H50" s="21">
        <f t="shared" si="14"/>
        <v>3.6236168396682464E-2</v>
      </c>
      <c r="I50">
        <f t="shared" si="10"/>
        <v>6.7631569021389573E-2</v>
      </c>
      <c r="J50">
        <f t="shared" si="11"/>
        <v>0.33810767766173067</v>
      </c>
      <c r="K50">
        <f t="shared" si="12"/>
        <v>0.21459804981407918</v>
      </c>
    </row>
    <row r="51" spans="1:11">
      <c r="A51" s="21">
        <f t="shared" si="15"/>
        <v>33</v>
      </c>
      <c r="B51" s="21">
        <v>2</v>
      </c>
      <c r="C51" s="21">
        <v>6</v>
      </c>
      <c r="D51" s="21">
        <v>10</v>
      </c>
      <c r="E51" s="21">
        <v>-0.13636435110343001</v>
      </c>
      <c r="F51" s="22">
        <f t="shared" si="13"/>
        <v>-7.4933470494134888E-2</v>
      </c>
      <c r="G51" s="23">
        <f t="shared" si="9"/>
        <v>-0.23776731586334263</v>
      </c>
      <c r="H51" s="21">
        <f t="shared" si="14"/>
        <v>-0.24085489061493828</v>
      </c>
      <c r="I51">
        <f t="shared" si="10"/>
        <v>-0.74922353730675617</v>
      </c>
      <c r="J51">
        <f t="shared" si="11"/>
        <v>-6.742011475480056</v>
      </c>
      <c r="K51">
        <f t="shared" si="12"/>
        <v>-2.3773204186640418</v>
      </c>
    </row>
    <row r="52" spans="1:11">
      <c r="A52" s="21">
        <f t="shared" si="15"/>
        <v>34</v>
      </c>
      <c r="B52" s="21">
        <v>2</v>
      </c>
      <c r="C52" s="21">
        <v>7</v>
      </c>
      <c r="D52" s="21">
        <v>10</v>
      </c>
      <c r="E52" s="21">
        <v>1.4180634400617001E-2</v>
      </c>
      <c r="F52" s="22">
        <f t="shared" si="13"/>
        <v>8.6635884217567544E-3</v>
      </c>
      <c r="G52" s="23">
        <f t="shared" si="9"/>
        <v>3.528235036328399E-2</v>
      </c>
      <c r="H52" s="21">
        <f t="shared" si="14"/>
        <v>7.7298151487342037E-2</v>
      </c>
      <c r="I52">
        <f t="shared" si="10"/>
        <v>8.6623031341201612E-2</v>
      </c>
      <c r="J52">
        <f t="shared" si="11"/>
        <v>0.77949162334463062</v>
      </c>
      <c r="K52">
        <f t="shared" si="12"/>
        <v>0.35277116046219947</v>
      </c>
    </row>
    <row r="53" spans="1:11">
      <c r="A53" s="21">
        <f t="shared" ref="A53:A68" si="16" xml:space="preserve"> A52+1</f>
        <v>35</v>
      </c>
      <c r="B53" s="21">
        <v>2</v>
      </c>
      <c r="C53" s="21">
        <v>9</v>
      </c>
      <c r="D53" s="21">
        <v>1</v>
      </c>
      <c r="E53" s="21">
        <v>8.3326504880713009E-3</v>
      </c>
      <c r="F53" s="22">
        <f t="shared" si="13"/>
        <v>6.2843406184031137E-3</v>
      </c>
      <c r="G53" s="23">
        <f t="shared" si="9"/>
        <v>3.689768635338269E-2</v>
      </c>
      <c r="H53" s="21">
        <f t="shared" si="14"/>
        <v>0.15831528636329342</v>
      </c>
      <c r="I53">
        <f t="shared" si="10"/>
        <v>6.2834083043425007E-3</v>
      </c>
      <c r="J53">
        <f t="shared" si="11"/>
        <v>0</v>
      </c>
      <c r="K53">
        <f t="shared" si="12"/>
        <v>3.6892212392965799E-2</v>
      </c>
    </row>
    <row r="54" spans="1:11">
      <c r="A54" s="21">
        <f t="shared" si="16"/>
        <v>36</v>
      </c>
      <c r="B54" s="21">
        <v>2</v>
      </c>
      <c r="C54" s="21">
        <v>9</v>
      </c>
      <c r="D54" s="21">
        <v>2</v>
      </c>
      <c r="E54" s="21">
        <v>-2.9052336009585001E-2</v>
      </c>
      <c r="F54" s="22">
        <f t="shared" si="13"/>
        <v>-2.191401948590305E-2</v>
      </c>
      <c r="G54" s="23">
        <f t="shared" si="9"/>
        <v>-0.12866530744131288</v>
      </c>
      <c r="H54" s="21">
        <f t="shared" si="14"/>
        <v>-0.55205859786179234</v>
      </c>
      <c r="I54">
        <f t="shared" si="10"/>
        <v>-4.3821536858145542E-2</v>
      </c>
      <c r="J54">
        <f t="shared" si="11"/>
        <v>-4.3815035709106789E-2</v>
      </c>
      <c r="K54">
        <f t="shared" si="12"/>
        <v>-0.25729243857025685</v>
      </c>
    </row>
    <row r="55" spans="1:11">
      <c r="A55" s="21">
        <f t="shared" si="16"/>
        <v>37</v>
      </c>
      <c r="B55" s="21">
        <v>2</v>
      </c>
      <c r="C55" s="21">
        <v>9</v>
      </c>
      <c r="D55" s="21">
        <v>3</v>
      </c>
      <c r="E55" s="21">
        <v>3.8615085574206003E-2</v>
      </c>
      <c r="F55" s="22">
        <f t="shared" si="13"/>
        <v>2.9131471421392306E-2</v>
      </c>
      <c r="G55" s="23">
        <f t="shared" si="9"/>
        <v>0.17104163519898424</v>
      </c>
      <c r="H55" s="21">
        <f t="shared" si="14"/>
        <v>0.73388085088133626</v>
      </c>
      <c r="I55">
        <f t="shared" si="10"/>
        <v>8.7381448856000452E-2</v>
      </c>
      <c r="J55">
        <f t="shared" si="11"/>
        <v>0.17473697074261715</v>
      </c>
      <c r="K55">
        <f t="shared" si="12"/>
        <v>0.51304878089375994</v>
      </c>
    </row>
    <row r="56" spans="1:11">
      <c r="A56" s="21">
        <f t="shared" si="16"/>
        <v>38</v>
      </c>
      <c r="B56" s="21">
        <v>2</v>
      </c>
      <c r="C56" s="21">
        <v>9</v>
      </c>
      <c r="D56" s="21">
        <v>4</v>
      </c>
      <c r="E56" s="21">
        <v>-2.0393486513703998E-2</v>
      </c>
      <c r="F56" s="22">
        <f t="shared" si="13"/>
        <v>-1.5387261491826724E-2</v>
      </c>
      <c r="G56" s="23">
        <f t="shared" si="9"/>
        <v>-9.0344299082116789E-2</v>
      </c>
      <c r="H56" s="21">
        <f t="shared" si="14"/>
        <v>-0.38763632612333415</v>
      </c>
      <c r="I56">
        <f t="shared" si="10"/>
        <v>-6.1539914851656573E-2</v>
      </c>
      <c r="J56">
        <f t="shared" si="11"/>
        <v>-0.18459235527196186</v>
      </c>
      <c r="K56">
        <f t="shared" si="12"/>
        <v>-0.36132358417378307</v>
      </c>
    </row>
    <row r="57" spans="1:11">
      <c r="A57" s="21">
        <f t="shared" si="16"/>
        <v>39</v>
      </c>
      <c r="B57" s="21">
        <v>2</v>
      </c>
      <c r="C57" s="21">
        <v>9</v>
      </c>
      <c r="D57" s="21">
        <v>8</v>
      </c>
      <c r="E57" s="21">
        <v>-1.6554050063734001E-3</v>
      </c>
      <c r="F57" s="22">
        <f t="shared" si="13"/>
        <v>-1.2497750687834211E-3</v>
      </c>
      <c r="G57" s="23">
        <f t="shared" si="9"/>
        <v>-7.3378913239056263E-3</v>
      </c>
      <c r="H57" s="21">
        <f t="shared" si="14"/>
        <v>-3.1484368833341332E-2</v>
      </c>
      <c r="I57">
        <f t="shared" si="10"/>
        <v>-9.9967172660980538E-3</v>
      </c>
      <c r="J57">
        <f t="shared" si="11"/>
        <v>-6.9966639413870713E-2</v>
      </c>
      <c r="K57">
        <f t="shared" si="12"/>
        <v>-5.8694421681691013E-2</v>
      </c>
    </row>
    <row r="58" spans="1:11">
      <c r="A58" s="21">
        <f t="shared" si="16"/>
        <v>40</v>
      </c>
      <c r="B58" s="21">
        <v>2</v>
      </c>
      <c r="C58" s="21">
        <v>10</v>
      </c>
      <c r="D58" s="21">
        <v>6</v>
      </c>
      <c r="E58" s="21">
        <v>1.9955571979541E-3</v>
      </c>
      <c r="F58" s="22">
        <f t="shared" si="13"/>
        <v>1.6745189191928248E-3</v>
      </c>
      <c r="G58" s="23">
        <f t="shared" si="9"/>
        <v>1.1337850989425635E-2</v>
      </c>
      <c r="H58" s="21">
        <f t="shared" si="14"/>
        <v>5.9870637754220198E-2</v>
      </c>
      <c r="I58">
        <f t="shared" si="10"/>
        <v>1.0045622974499216E-2</v>
      </c>
      <c r="J58">
        <f t="shared" si="11"/>
        <v>5.0220663274854069E-2</v>
      </c>
      <c r="K58">
        <f t="shared" si="12"/>
        <v>6.8017013767586773E-2</v>
      </c>
    </row>
    <row r="59" spans="1:11">
      <c r="A59" s="21">
        <f t="shared" si="16"/>
        <v>41</v>
      </c>
      <c r="B59" s="21">
        <v>2</v>
      </c>
      <c r="C59" s="21">
        <v>10</v>
      </c>
      <c r="D59" s="21">
        <v>9</v>
      </c>
      <c r="E59" s="21">
        <v>1.5870308324157E-4</v>
      </c>
      <c r="F59" s="22">
        <f t="shared" si="13"/>
        <v>1.3323077258644558E-4</v>
      </c>
      <c r="G59" s="23">
        <f t="shared" si="9"/>
        <v>9.0208037035455571E-4</v>
      </c>
      <c r="H59" s="21">
        <f t="shared" si="14"/>
        <v>4.7635241571847824E-3</v>
      </c>
      <c r="I59">
        <f t="shared" si="10"/>
        <v>1.1988990640814845E-3</v>
      </c>
      <c r="J59">
        <f t="shared" si="11"/>
        <v>9.5897696102058491E-3</v>
      </c>
      <c r="K59">
        <f t="shared" si="12"/>
        <v>8.1175188790760227E-3</v>
      </c>
    </row>
    <row r="60" spans="1:11">
      <c r="A60" s="21">
        <f t="shared" si="16"/>
        <v>42</v>
      </c>
      <c r="B60" s="21">
        <v>2</v>
      </c>
      <c r="C60" s="21">
        <v>12</v>
      </c>
      <c r="D60" s="21">
        <v>8</v>
      </c>
      <c r="E60" s="21">
        <v>-1.638856834253E-5</v>
      </c>
      <c r="F60" s="22">
        <f t="shared" si="13"/>
        <v>-1.7003959972292064E-5</v>
      </c>
      <c r="G60" s="23">
        <f t="shared" si="9"/>
        <v>-1.4571872703275513E-4</v>
      </c>
      <c r="H60" s="21">
        <f t="shared" si="14"/>
        <v>-1.0496835560601528E-3</v>
      </c>
      <c r="I60">
        <f t="shared" si="10"/>
        <v>-1.3601149878315387E-4</v>
      </c>
      <c r="J60">
        <f t="shared" si="11"/>
        <v>-9.5193924547347505E-4</v>
      </c>
      <c r="K60">
        <f t="shared" si="12"/>
        <v>-1.1655768713166835E-3</v>
      </c>
    </row>
    <row r="61" spans="1:11">
      <c r="A61" s="21">
        <f t="shared" si="16"/>
        <v>43</v>
      </c>
      <c r="B61" s="21">
        <v>3</v>
      </c>
      <c r="C61" s="21">
        <v>3</v>
      </c>
      <c r="D61" s="21">
        <v>16</v>
      </c>
      <c r="E61" s="21">
        <v>4.3613615723810999E-2</v>
      </c>
      <c r="F61" s="22">
        <f t="shared" si="13"/>
        <v>1.52014045424517E-2</v>
      </c>
      <c r="G61" s="23">
        <f t="shared" si="9"/>
        <v>-1.5353144724940775E-2</v>
      </c>
      <c r="H61" s="21">
        <f t="shared" si="14"/>
        <v>-0.12279281143408936</v>
      </c>
      <c r="I61">
        <f t="shared" si="10"/>
        <v>0.24318638938188444</v>
      </c>
      <c r="J61">
        <f t="shared" si="11"/>
        <v>3.6472546715652534</v>
      </c>
      <c r="K61">
        <f t="shared" si="12"/>
        <v>-0.24561387211879979</v>
      </c>
    </row>
    <row r="62" spans="1:11">
      <c r="A62" s="21">
        <f t="shared" si="16"/>
        <v>44</v>
      </c>
      <c r="B62" s="21">
        <v>3</v>
      </c>
      <c r="C62" s="21">
        <v>4</v>
      </c>
      <c r="D62" s="21">
        <v>22</v>
      </c>
      <c r="E62" s="21">
        <v>3.4994005463765E-2</v>
      </c>
      <c r="F62" s="22">
        <f t="shared" si="13"/>
        <v>1.3572787251036122E-2</v>
      </c>
      <c r="G62" s="23">
        <f t="shared" si="9"/>
        <v>-1.500344637961115E-3</v>
      </c>
      <c r="H62" s="21">
        <f t="shared" si="14"/>
        <v>-0.1342968544820837</v>
      </c>
      <c r="I62">
        <f t="shared" si="10"/>
        <v>0.29855702049038785</v>
      </c>
      <c r="J62">
        <f t="shared" si="11"/>
        <v>6.2687672886293546</v>
      </c>
      <c r="K62">
        <f t="shared" si="12"/>
        <v>-3.3002685191592156E-2</v>
      </c>
    </row>
    <row r="63" spans="1:11">
      <c r="A63" s="21">
        <f t="shared" si="16"/>
        <v>45</v>
      </c>
      <c r="B63" s="21">
        <v>3</v>
      </c>
      <c r="C63" s="21">
        <v>4</v>
      </c>
      <c r="D63" s="21">
        <v>23</v>
      </c>
      <c r="E63" s="21">
        <v>-7.6788197844621001E-2</v>
      </c>
      <c r="F63" s="22">
        <f t="shared" si="13"/>
        <v>-2.978751651871258E-2</v>
      </c>
      <c r="G63" s="23">
        <f t="shared" si="9"/>
        <v>3.2927312467538228E-3</v>
      </c>
      <c r="H63" s="21">
        <f t="shared" si="14"/>
        <v>0.2947345815790951</v>
      </c>
      <c r="I63">
        <f t="shared" si="10"/>
        <v>-0.68501123993188262</v>
      </c>
      <c r="J63">
        <f t="shared" si="11"/>
        <v>-15.068011530268183</v>
      </c>
      <c r="K63">
        <f t="shared" si="12"/>
        <v>7.5721583324489167E-2</v>
      </c>
    </row>
    <row r="64" spans="1:11">
      <c r="A64" s="21">
        <f t="shared" si="16"/>
        <v>46</v>
      </c>
      <c r="B64" s="21">
        <v>3</v>
      </c>
      <c r="C64" s="21">
        <v>5</v>
      </c>
      <c r="D64" s="21">
        <v>23</v>
      </c>
      <c r="E64" s="21">
        <v>2.2446277332006E-2</v>
      </c>
      <c r="F64" s="22">
        <f t="shared" si="13"/>
        <v>9.6808011706277612E-3</v>
      </c>
      <c r="G64" s="23">
        <f t="shared" si="9"/>
        <v>7.6371907929425921E-3</v>
      </c>
      <c r="H64" s="21">
        <f t="shared" si="14"/>
        <v>-9.7712360891522382E-2</v>
      </c>
      <c r="I64">
        <f t="shared" si="10"/>
        <v>0.22262539440842102</v>
      </c>
      <c r="J64">
        <f t="shared" si="11"/>
        <v>4.8970320694448208</v>
      </c>
      <c r="K64">
        <f t="shared" si="12"/>
        <v>0.17562932886276331</v>
      </c>
    </row>
    <row r="65" spans="1:22">
      <c r="A65" s="21">
        <f t="shared" si="16"/>
        <v>47</v>
      </c>
      <c r="B65" s="21">
        <v>4</v>
      </c>
      <c r="C65" s="21">
        <v>14</v>
      </c>
      <c r="D65" s="21">
        <v>10</v>
      </c>
      <c r="E65" s="21">
        <v>-6.2689710414685001E-5</v>
      </c>
      <c r="F65" s="22">
        <f t="shared" si="13"/>
        <v>-6.0067744433500866E-5</v>
      </c>
      <c r="G65" s="23">
        <f t="shared" si="9"/>
        <v>-4.261794336561777E-4</v>
      </c>
      <c r="H65" s="21">
        <f t="shared" si="14"/>
        <v>-1.4524133270262542E-3</v>
      </c>
      <c r="I65">
        <f t="shared" si="10"/>
        <v>-6.0058833076506496E-4</v>
      </c>
      <c r="J65">
        <f t="shared" si="11"/>
        <v>-5.4044930737401778E-3</v>
      </c>
      <c r="K65">
        <f t="shared" si="12"/>
        <v>-4.261162077582723E-3</v>
      </c>
    </row>
    <row r="66" spans="1:22">
      <c r="A66" s="21">
        <f t="shared" si="16"/>
        <v>48</v>
      </c>
      <c r="B66" s="21">
        <v>6</v>
      </c>
      <c r="C66" s="21">
        <v>3</v>
      </c>
      <c r="D66" s="21">
        <v>50</v>
      </c>
      <c r="E66" s="21">
        <v>-5.5711118565644997E-10</v>
      </c>
      <c r="F66" s="22">
        <f t="shared" si="13"/>
        <v>-1.1667912943817583E-10</v>
      </c>
      <c r="G66" s="23">
        <f t="shared" si="9"/>
        <v>8.7443119437542818E-10</v>
      </c>
      <c r="H66" s="21">
        <f t="shared" si="14"/>
        <v>-9.2170240913123703E-10</v>
      </c>
      <c r="I66">
        <f t="shared" si="10"/>
        <v>-5.8330909746389742E-9</v>
      </c>
      <c r="J66">
        <f t="shared" si="11"/>
        <v>-2.8577905468273557E-7</v>
      </c>
      <c r="K66">
        <f t="shared" si="12"/>
        <v>4.3715073401852439E-8</v>
      </c>
    </row>
    <row r="67" spans="1:22">
      <c r="A67" s="21">
        <f t="shared" si="16"/>
        <v>49</v>
      </c>
      <c r="B67" s="21">
        <v>6</v>
      </c>
      <c r="C67" s="21">
        <v>6</v>
      </c>
      <c r="D67" s="21">
        <v>44</v>
      </c>
      <c r="E67" s="21">
        <v>-0.19905718354408</v>
      </c>
      <c r="F67" s="22">
        <f t="shared" si="13"/>
        <v>-5.7243214561939204E-2</v>
      </c>
      <c r="G67" s="23">
        <f t="shared" si="9"/>
        <v>0.27453845297708057</v>
      </c>
      <c r="H67" s="21">
        <f t="shared" si="14"/>
        <v>1.5851102816751668</v>
      </c>
      <c r="I67">
        <f t="shared" si="10"/>
        <v>-2.5183277784892555</v>
      </c>
      <c r="J67">
        <f t="shared" si="11"/>
        <v>-108.27202938257938</v>
      </c>
      <c r="K67">
        <f t="shared" si="12"/>
        <v>12.077899846933889</v>
      </c>
    </row>
    <row r="68" spans="1:22">
      <c r="A68" s="21">
        <f t="shared" si="16"/>
        <v>50</v>
      </c>
      <c r="B68" s="21">
        <v>6</v>
      </c>
      <c r="C68" s="21">
        <v>6</v>
      </c>
      <c r="D68" s="21">
        <v>46</v>
      </c>
      <c r="E68" s="21">
        <v>0.31777497330738003</v>
      </c>
      <c r="F68" s="22">
        <f t="shared" si="13"/>
        <v>9.1410212646300504E-2</v>
      </c>
      <c r="G68" s="23">
        <f t="shared" si="9"/>
        <v>-0.43840337336518642</v>
      </c>
      <c r="H68" s="21">
        <f t="shared" si="14"/>
        <v>-2.5312217181476142</v>
      </c>
      <c r="I68">
        <f t="shared" si="10"/>
        <v>4.204245967799511</v>
      </c>
      <c r="J68">
        <f t="shared" si="11"/>
        <v>189.16300108868356</v>
      </c>
      <c r="K68">
        <f t="shared" si="12"/>
        <v>-20.163563363233088</v>
      </c>
      <c r="N68" s="16"/>
      <c r="O68" s="16"/>
      <c r="P68" s="16"/>
    </row>
    <row r="69" spans="1:22" ht="15.75">
      <c r="A69" s="21">
        <f xml:space="preserve"> A68+1</f>
        <v>51</v>
      </c>
      <c r="B69" s="21">
        <v>6</v>
      </c>
      <c r="C69" s="21">
        <v>6</v>
      </c>
      <c r="D69" s="21">
        <v>50</v>
      </c>
      <c r="E69" s="21">
        <v>-0.11841182425981001</v>
      </c>
      <c r="F69" s="22">
        <f t="shared" si="13"/>
        <v>-3.4082217105871684E-2</v>
      </c>
      <c r="G69" s="23">
        <f t="shared" si="9"/>
        <v>0.16345831082128567</v>
      </c>
      <c r="H69" s="21">
        <f t="shared" si="14"/>
        <v>0.94376378353711199</v>
      </c>
      <c r="I69">
        <f t="shared" si="10"/>
        <v>-1.7038580417356117</v>
      </c>
      <c r="J69">
        <f t="shared" si="11"/>
        <v>-83.476658018507464</v>
      </c>
      <c r="K69">
        <f t="shared" si="12"/>
        <v>8.1717030472581982</v>
      </c>
      <c r="M69" t="s">
        <v>31</v>
      </c>
      <c r="N69" s="16" t="s">
        <v>32</v>
      </c>
      <c r="O69" s="6" t="s">
        <v>33</v>
      </c>
      <c r="P69" s="16" t="s">
        <v>34</v>
      </c>
      <c r="Q69" t="s">
        <v>35</v>
      </c>
      <c r="R69" t="s">
        <v>36</v>
      </c>
    </row>
    <row r="70" spans="1:22" ht="15.75">
      <c r="A70" t="s">
        <v>38</v>
      </c>
      <c r="B70" t="s">
        <v>57</v>
      </c>
      <c r="C70" t="s">
        <v>58</v>
      </c>
      <c r="D70" t="s">
        <v>59</v>
      </c>
      <c r="E70" t="s">
        <v>49</v>
      </c>
      <c r="F70" s="2" t="s">
        <v>67</v>
      </c>
      <c r="G70" s="2" t="s">
        <v>68</v>
      </c>
      <c r="H70" s="2" t="s">
        <v>50</v>
      </c>
      <c r="I70" s="2" t="s">
        <v>69</v>
      </c>
      <c r="M70" t="s">
        <v>70</v>
      </c>
      <c r="N70" s="16" t="s">
        <v>71</v>
      </c>
      <c r="O70" s="16" t="s">
        <v>72</v>
      </c>
      <c r="P70" s="16" t="s">
        <v>73</v>
      </c>
      <c r="Q70" t="s">
        <v>74</v>
      </c>
      <c r="R70" t="s">
        <v>75</v>
      </c>
    </row>
    <row r="71" spans="1:22">
      <c r="A71" s="21">
        <f xml:space="preserve"> A69+1</f>
        <v>52</v>
      </c>
      <c r="B71" s="21">
        <v>0</v>
      </c>
      <c r="C71" s="21">
        <v>3</v>
      </c>
      <c r="D71" s="21">
        <v>0</v>
      </c>
      <c r="E71" s="21">
        <v>-31.306260323435001</v>
      </c>
      <c r="F71" s="21">
        <v>20</v>
      </c>
      <c r="G71" s="21">
        <v>150</v>
      </c>
      <c r="H71" s="21">
        <v>1.21</v>
      </c>
      <c r="I71" s="21">
        <v>1</v>
      </c>
      <c r="M71" s="21">
        <f>E71*($B$14^C71)*($B$13^D71)*EXP(-F71*($B$14-I71)^2-G71*($B$13-H71)^2)</f>
        <v>-4.5325590769959088E-2</v>
      </c>
      <c r="N71" s="24">
        <f>E71*$B$14^C71*$B$13^D71*EXP(-F71*($B$14-I71)^2-G71*($B$13-H71)^2)*(C71/$B$14-2*F71*($B$14-I71))</f>
        <v>8.0395163724903643E-2</v>
      </c>
      <c r="O71" s="24">
        <f>E71*$B$13^D71*EXP(-F71*($B$14-I71)^2-G71*($B$13-H71)^2)*(-2*F71*$B$14^C71+4*F71^2*$B$14^C71*($B$14-I71)^2-4*C71*F71*$B$14^(C71-1)*($B$14-I71)+C71*(C71-1)*$B$14^(C71-2))</f>
        <v>1.7804291569795125</v>
      </c>
      <c r="P71" s="16">
        <f>E71*$B$14^C71*$B$13^D71*EXP((-1)*F71*($B$14-I71)^2-G71*($B$13-H71)^2)*(D71/$B$13-2*G71*($B$13-H71))</f>
        <v>-2.8534946342505845</v>
      </c>
      <c r="Q71">
        <f>E71*$B$14^C71*$B$13^D71*EXP((-1)*F71*($B$14-I71)^2-G71*($B$13-H71)^2)*((D71/$B$13-2*G71*($B$13-H71))^2-D71/$B$13^2-2*G71)</f>
        <v>-166.04546672762385</v>
      </c>
      <c r="R71">
        <f>E71*$B$14^C71*$B$13^D71*EXP((-1)*F71*($B$14-I71)^2-G71*($B$13-H71)^2)*((C71/$B$14-2*F71*($B$14-I71))*(D71/$B$13-2*G71*($B$13-H71)))</f>
        <v>5.0613166736870498</v>
      </c>
    </row>
    <row r="72" spans="1:22">
      <c r="A72" s="21">
        <f xml:space="preserve"> A71+1</f>
        <v>53</v>
      </c>
      <c r="B72" s="21">
        <v>0</v>
      </c>
      <c r="C72" s="21">
        <v>3</v>
      </c>
      <c r="D72" s="21">
        <v>1</v>
      </c>
      <c r="E72" s="21">
        <v>31.546140237781</v>
      </c>
      <c r="F72" s="21">
        <v>20</v>
      </c>
      <c r="G72" s="21">
        <v>150</v>
      </c>
      <c r="H72" s="21">
        <v>1.21</v>
      </c>
      <c r="I72" s="21">
        <v>1</v>
      </c>
      <c r="M72" s="21">
        <f>E72*($B$14^C72)*($B$13^D72)*EXP(-F72*($B$14-I72)^2-G72*($B$13-H72)^2)</f>
        <v>4.5679668688243934E-2</v>
      </c>
      <c r="N72" s="24">
        <f>E72*$B$14^C72*$B$13^D72*EXP(-F72*($B$14-I72)^2-G72*($B$13-H72)^2)*(C72/$B$14-2*F72*($B$14-I72))</f>
        <v>-8.1023200816716906E-2</v>
      </c>
      <c r="O72" s="24">
        <f>E72*$B$13^D72*EXP(-F72*($B$14-I72)^2-G72*($B$13-H72)^2)*(-2*F72*$B$14^C72+4*F72^2*$B$14^C72*($B$14-I72)^2-4*C72*F72*$B$14^(C72-1)*($B$14-I72)+C72*(C72-1)*$B$14^(C72-2))</f>
        <v>-1.7943376497062038</v>
      </c>
      <c r="P72" s="16">
        <f>E72*$B$14^C72*$B$13^D72*EXP((-1)*F72*($B$14-I72)^2-G72*($B$13-H72)^2)*(D72/$B$13-2*G72*($B$13-H72))</f>
        <v>2.9214586738592949</v>
      </c>
      <c r="Q72">
        <f>E72*$B$14^C72*$B$13^D72*EXP((-1)*F72*($B$14-I72)^2-G72*($B$13-H72)^2)*((D72/$B$13-2*G72*($B$13-H72))^2-D72/$B$13^2-2*G72)</f>
        <v>173.09331169930277</v>
      </c>
      <c r="R72">
        <f>E72*$B$14^C72*$B$13^D72*EXP((-1)*F72*($B$14-I72)^2-G72*($B$13-H72)^2)*((C72/$B$14-2*F72*($B$14-I72))*(D72/$B$13-2*G72*($B$13-H72)))</f>
        <v>-5.1818662351804559</v>
      </c>
    </row>
    <row r="73" spans="1:22">
      <c r="A73" s="21">
        <f xml:space="preserve"> A72+1</f>
        <v>54</v>
      </c>
      <c r="B73" s="21">
        <v>0</v>
      </c>
      <c r="C73" s="21">
        <v>3</v>
      </c>
      <c r="D73" s="21">
        <v>4</v>
      </c>
      <c r="E73" s="21">
        <v>-2521.3154341694999</v>
      </c>
      <c r="F73" s="21">
        <v>20</v>
      </c>
      <c r="G73" s="21">
        <v>250</v>
      </c>
      <c r="H73" s="21">
        <v>1.25</v>
      </c>
      <c r="I73" s="21">
        <v>1</v>
      </c>
      <c r="M73" s="21">
        <f>E73*($B$14^C73)*($B$13^D73)*EXP(-F73*($B$14-I73)^2-G73*($B$13-H73)^2)</f>
        <v>-4.5039981604568137E-4</v>
      </c>
      <c r="N73" s="24">
        <f>E73*$B$14^C73*$B$13^D73*EXP(-F73*($B$14-I73)^2-G73*($B$13-H73)^2)*(C73/$B$14-2*F73*($B$14-I73))</f>
        <v>7.9888571417492237E-4</v>
      </c>
      <c r="O73" s="24">
        <f>E73*$B$13^D73*EXP(-F73*($B$14-I73)^2-G73*($B$13-H73)^2)*(-2*F73*$B$14^C73+4*F73^2*$B$14^C73*($B$14-I73)^2-4*C73*F73*$B$14^(C73-1)*($B$14-I73)+C73*(C73-1)*$B$14^(C73-2))</f>
        <v>1.7692101772172085E-2</v>
      </c>
      <c r="P73" s="16">
        <f>E73*$B$14^C73*$B$13^D73*EXP((-1)*F73*($B$14-I73)^2-G73*($B$13-H73)^2)*(D73/$B$13-2*G73*($B$13-H73))</f>
        <v>-5.8067894478484858E-2</v>
      </c>
      <c r="Q73">
        <f>E73*$B$14^C73*$B$13^D73*EXP((-1)*F73*($B$14-I73)^2-G73*($B$13-H73)^2)*((D73/$B$13-2*G73*($B$13-H73))^2-D73/$B$13^2-2*G73)</f>
        <v>-7.2594149826503118</v>
      </c>
      <c r="R73">
        <f>E73*$B$14^C73*$B$13^D73*EXP((-1)*F73*($B$14-I73)^2-G73*($B$13-H73)^2)*((C73/$B$14-2*F73*($B$14-I73))*(D73/$B$13-2*G73*($B$13-H73)))</f>
        <v>0.10299651487063083</v>
      </c>
    </row>
    <row r="74" spans="1:22" ht="15.75">
      <c r="A74" t="s">
        <v>38</v>
      </c>
      <c r="B74" t="s">
        <v>67</v>
      </c>
      <c r="C74" t="s">
        <v>68</v>
      </c>
      <c r="D74" t="s">
        <v>76</v>
      </c>
      <c r="E74" t="s">
        <v>49</v>
      </c>
      <c r="F74" t="s">
        <v>77</v>
      </c>
      <c r="G74" t="s">
        <v>78</v>
      </c>
      <c r="H74" t="s">
        <v>79</v>
      </c>
      <c r="I74" s="2" t="s">
        <v>68</v>
      </c>
      <c r="M74" s="2" t="s">
        <v>80</v>
      </c>
      <c r="N74" s="19" t="s">
        <v>81</v>
      </c>
      <c r="O74" s="19" t="s">
        <v>82</v>
      </c>
      <c r="P74" s="16" t="s">
        <v>83</v>
      </c>
      <c r="Q74" t="s">
        <v>84</v>
      </c>
      <c r="R74" t="s">
        <v>85</v>
      </c>
      <c r="S74" t="s">
        <v>86</v>
      </c>
      <c r="T74" t="s">
        <v>87</v>
      </c>
      <c r="U74" t="s">
        <v>88</v>
      </c>
      <c r="V74" t="s">
        <v>89</v>
      </c>
    </row>
    <row r="75" spans="1:22">
      <c r="A75" s="21">
        <f xml:space="preserve"> A73+1</f>
        <v>55</v>
      </c>
      <c r="B75" s="21">
        <v>3.5</v>
      </c>
      <c r="C75" s="21">
        <v>0.85</v>
      </c>
      <c r="D75" s="21">
        <v>0.2</v>
      </c>
      <c r="E75" s="21">
        <v>-0.14874640856724</v>
      </c>
      <c r="F75" s="21">
        <v>28</v>
      </c>
      <c r="G75" s="21">
        <v>700</v>
      </c>
      <c r="H75" s="21">
        <v>0.32</v>
      </c>
      <c r="I75" s="21">
        <v>0.3</v>
      </c>
      <c r="M75" s="21">
        <f>N75^2+D75*(($B$14-1)^2)^B75</f>
        <v>4.8163342572604313E-8</v>
      </c>
      <c r="N75" s="24">
        <f>(1-$B$13)+H75*(($B$14-1)^2)^(1/(2*I75))</f>
        <v>6.7052491418935039E-5</v>
      </c>
      <c r="O75" s="24">
        <f>EXP(-F75*($B$14-1)^2-G75*($B$13-1)^2)</f>
        <v>0.70468674484081129</v>
      </c>
      <c r="P75" s="24">
        <f>($B$14-1)*(H75*N75*2/I75*(($B$14-1)^2)^(1/(2*I75)-1)+2*D75*B75*(($B$14-1)^2)^(B75-1))</f>
        <v>3.5954140627195311E-6</v>
      </c>
      <c r="Q75" s="21">
        <f>P75/($B$14-1)+($B$14-1)^2*(4*D75*B75*(B75-1)*(($B$14-1)^2)^(B75-2)+2*H75^2*(1/I75)^2*((($B$14-1)^2)^(1/(2*I75)-1))^2+H75*N75*4/I75*(1/(2*I75)-1)*(($B$14-1)^2)^(1/(2*I75)-2))</f>
        <v>2.4721432434163758E-4</v>
      </c>
      <c r="R75" s="21">
        <f>C75*M75^(C75-1)*P75</f>
        <v>3.8261354938301567E-5</v>
      </c>
      <c r="S75" s="21">
        <f>C75*(M75^(C75-1)*Q75+(C75-1)*M75^(C75-2)*(P75)^2)</f>
        <v>2.2023492573077239E-3</v>
      </c>
      <c r="T75" s="21">
        <f>2*(-1)*N75*C75*M75^(C75-1)</f>
        <v>-1.4271063799181803E-3</v>
      </c>
      <c r="U75" s="21">
        <f>2*C75*M75^(C75-1)+4*N75^2*C75*(C75-1)*M75^(C75-2)</f>
        <v>20.68737996070513</v>
      </c>
      <c r="V75" s="21">
        <f>H75*(-1)*C75*2/I75*M75^(C75-1)*($B$14-1)*(($B$14-1)^2)^(1/(2*I75)-1)-2*N75*C75*(C75-1)*M75^(C75-2)*P75</f>
        <v>-0.12072317075791796</v>
      </c>
    </row>
    <row r="76" spans="1:22">
      <c r="A76" s="21">
        <f xml:space="preserve"> A75+1</f>
        <v>56</v>
      </c>
      <c r="B76" s="21">
        <v>3.5</v>
      </c>
      <c r="C76" s="21">
        <v>0.95</v>
      </c>
      <c r="D76" s="21">
        <v>0.2</v>
      </c>
      <c r="E76" s="21">
        <v>0.31806110878443999</v>
      </c>
      <c r="F76" s="21">
        <v>32</v>
      </c>
      <c r="G76" s="21">
        <v>800</v>
      </c>
      <c r="H76" s="21">
        <v>0.32</v>
      </c>
      <c r="I76" s="21">
        <v>0.3</v>
      </c>
      <c r="M76" s="21">
        <f>N76^2+D76*(($B$14-1)^2)^B76</f>
        <v>4.8163342572604313E-8</v>
      </c>
      <c r="N76" s="24">
        <f>(1-$B$13)+H76*(($B$14-1)^2)^(1/(2*I76))</f>
        <v>6.7052491418935039E-5</v>
      </c>
      <c r="O76" s="24">
        <f>EXP(-F76*($B$14-1)^2-G76*($B$13-1)^2)</f>
        <v>0.67031858399305821</v>
      </c>
      <c r="P76" s="24">
        <f>($B$14-1)*(H76*N76*2/I76*(($B$14-1)^2)^(1/(2*I76)-1)+2*D76*B76*(($B$14-1)^2)^(B76-1))</f>
        <v>3.5954140627195311E-6</v>
      </c>
      <c r="Q76" s="21">
        <f>P76/($B$14-1)+($B$14-1)^2*(4*D76*B76*(B76-1)*(($B$14-1)^2)^(B76-2)+2*H76^2*(1/I76)^2*((($B$14-1)^2)^(1/(2*I76)-1))^2+H76*N76*4/I76*(1/(2*I76)-1)*(($B$14-1)^2)^(1/(2*I76)-2))</f>
        <v>2.4721432434163758E-4</v>
      </c>
      <c r="R76" s="21">
        <f>C76*M76^(C76-1)*P76</f>
        <v>7.9311595581086578E-6</v>
      </c>
      <c r="S76" s="21">
        <f>C76*(M76^(C76-1)*Q76+(C76-1)*M76^(C76-2)*(P76)^2)</f>
        <v>5.157293089972381E-4</v>
      </c>
      <c r="T76" s="21">
        <f>2*(-1)*N76*C76*M76^(C76-1)</f>
        <v>-2.9582351236065137E-4</v>
      </c>
      <c r="U76" s="21">
        <f>2*C76*M76^(C76-1)+4*N76^2*C76*(C76-1)*M76^(C76-2)</f>
        <v>4.3706356123036381</v>
      </c>
      <c r="V76" s="21">
        <f>H76*(-1)*C76*2/I76*M76^(C76-1)*($B$14-1)*(($B$14-1)^2)^(1/(2*I76)-1)-2*N76*C76*(C76-1)*M76^(C76-2)*P76</f>
        <v>-2.7232925382835595E-2</v>
      </c>
    </row>
    <row r="77" spans="1:22">
      <c r="N77" s="16"/>
      <c r="O77" s="16"/>
      <c r="P77" s="16"/>
    </row>
    <row r="78" spans="1:22" ht="15.75">
      <c r="N78" s="16"/>
      <c r="O78" s="16"/>
      <c r="P78" s="16"/>
      <c r="R78" t="s">
        <v>90</v>
      </c>
      <c r="S78" t="s">
        <v>91</v>
      </c>
      <c r="T78" t="s">
        <v>92</v>
      </c>
      <c r="U78" t="s">
        <v>93</v>
      </c>
      <c r="V78" t="s">
        <v>94</v>
      </c>
    </row>
    <row r="79" spans="1:22">
      <c r="A79" s="1" t="s">
        <v>95</v>
      </c>
      <c r="D79" s="1" t="s">
        <v>96</v>
      </c>
      <c r="N79" s="16"/>
      <c r="O79" s="16"/>
      <c r="P79" s="16"/>
      <c r="R79" s="21">
        <f>2*(-1)*F75*($B$14-1)*O75</f>
        <v>-4.4119517937859483</v>
      </c>
      <c r="S79" s="21">
        <f>2*F75*O75*(2*F75*($B$14-1)^2-1)</f>
        <v>-11.839803002164714</v>
      </c>
      <c r="T79" s="21">
        <f>2*(-1)*G75*($B$13-1)*O75</f>
        <v>-0.14638315070563926</v>
      </c>
      <c r="U79" s="21">
        <f>2*G75*O75*(2*G75*($B$13-1)^2-1)</f>
        <v>-986.53103490162607</v>
      </c>
      <c r="V79" s="21">
        <f>4*F75*G75*($B$14-1)*($B$13-1)*O75</f>
        <v>0.91648581311356747</v>
      </c>
    </row>
    <row r="80" spans="1:22" ht="15.75">
      <c r="A80" s="2" t="s">
        <v>97</v>
      </c>
      <c r="B80" s="25">
        <f>SUM(F18:F24)+SUM(F26:F69)+SUM(M71:M73)+SUM(M86:M87)</f>
        <v>-1.2120265650414634</v>
      </c>
      <c r="D80" s="2" t="s">
        <v>98</v>
      </c>
      <c r="E80" s="25">
        <f>LN($B$14)+$N$18+$N$19*$B$13+$N$20*LN($B$13)+P26</f>
        <v>-1.5631960495787902</v>
      </c>
      <c r="N80" s="16"/>
      <c r="O80" s="16"/>
      <c r="P80" s="16"/>
      <c r="R80" s="21">
        <f>2*(-1)*F76*($B$14-1)*O76</f>
        <v>-4.7963168245962917</v>
      </c>
      <c r="S80" s="21">
        <f>2*F76*O76*(2*F76*($B$14-1)^2-1)</f>
        <v>-8.581401910121393</v>
      </c>
      <c r="T80" s="21">
        <f>2*(-1)*G76*($B$13-1)*O76</f>
        <v>-0.159135911130251</v>
      </c>
      <c r="U80" s="21">
        <f>2*G76*O76*(2*G76*($B$13-1)^2-1)</f>
        <v>-1072.4719549824795</v>
      </c>
      <c r="V80" s="21">
        <f>4*F76*G76*($B$14-1)*($B$13-1)*O76</f>
        <v>1.1386619231183175</v>
      </c>
    </row>
    <row r="81" spans="1:18" ht="15.75">
      <c r="A81" s="2" t="s">
        <v>99</v>
      </c>
      <c r="B81" s="26">
        <f>SUM(N86:N87)+SUM(N71:N73)+SUM(G26:G69)+SUM(G18:G24)</f>
        <v>-0.71401202437128508</v>
      </c>
      <c r="D81" s="2" t="s">
        <v>100</v>
      </c>
      <c r="E81" s="26">
        <f>1/$B$14</f>
        <v>0.8994413407821229</v>
      </c>
      <c r="N81" s="16"/>
      <c r="O81" s="16"/>
      <c r="P81" s="16"/>
    </row>
    <row r="82" spans="1:18" ht="15.75">
      <c r="A82" s="2" t="s">
        <v>101</v>
      </c>
      <c r="B82" s="25">
        <f>SUM(H18:H24)+SUM(H26:H69)+SUM(O71:O73)+SUM(O86:O87)</f>
        <v>0.47573069564568871</v>
      </c>
      <c r="D82" s="2" t="s">
        <v>102</v>
      </c>
      <c r="E82" s="26">
        <f>1/$B$14^2*(-1)</f>
        <v>-0.80899472550794294</v>
      </c>
      <c r="N82" s="16"/>
      <c r="O82" s="16"/>
      <c r="P82" s="16"/>
    </row>
    <row r="83" spans="1:18" ht="15.75">
      <c r="A83" s="2" t="s">
        <v>103</v>
      </c>
      <c r="B83" s="25">
        <f>SUM(I18:I24)+SUM(I26:I69)+SUM(P71:P73)+SUM(P86:P87)</f>
        <v>-3.2172250077516558</v>
      </c>
      <c r="D83" s="2" t="s">
        <v>104</v>
      </c>
      <c r="E83" s="25">
        <f>$N$19+$N$20/$B$13+Q26</f>
        <v>9.8034391785968182</v>
      </c>
      <c r="N83" s="16"/>
      <c r="O83" s="16"/>
      <c r="P83" s="16"/>
    </row>
    <row r="84" spans="1:18" ht="15.75">
      <c r="A84" s="2" t="s">
        <v>105</v>
      </c>
      <c r="B84" s="25">
        <f>SUM(J18:J24)+SUM(J26:J69)+SUM(Q71:Q73)+SUM(Q86:Q87)</f>
        <v>-9.9602950655929288</v>
      </c>
      <c r="D84" s="2" t="s">
        <v>106</v>
      </c>
      <c r="E84" s="25">
        <f>$N$20*(-1)/$B$13^2-R26</f>
        <v>-3.4331633414306948</v>
      </c>
      <c r="M84" t="s">
        <v>31</v>
      </c>
      <c r="N84" s="16" t="s">
        <v>32</v>
      </c>
      <c r="O84" s="6" t="s">
        <v>107</v>
      </c>
      <c r="P84" s="16" t="s">
        <v>34</v>
      </c>
      <c r="Q84" t="s">
        <v>35</v>
      </c>
      <c r="R84" t="s">
        <v>36</v>
      </c>
    </row>
    <row r="85" spans="1:18" ht="18.75">
      <c r="A85" s="2" t="s">
        <v>108</v>
      </c>
      <c r="B85" s="25">
        <f>SUM(K18:K24)+SUM(K26:K69)+SUM(R71:R73)+SUM(R86:R87)</f>
        <v>-1.3321472043614346</v>
      </c>
      <c r="D85" s="2" t="s">
        <v>109</v>
      </c>
      <c r="E85" s="25">
        <v>0</v>
      </c>
      <c r="M85" t="s">
        <v>110</v>
      </c>
      <c r="N85" s="16" t="s">
        <v>111</v>
      </c>
      <c r="O85" s="16" t="s">
        <v>112</v>
      </c>
      <c r="P85" s="16" t="s">
        <v>113</v>
      </c>
      <c r="Q85" t="s">
        <v>114</v>
      </c>
      <c r="R85" t="s">
        <v>115</v>
      </c>
    </row>
    <row r="86" spans="1:18">
      <c r="M86" s="21">
        <f>E75*(M75^C75)*$B$14*O75</f>
        <v>-7.0271443173006427E-8</v>
      </c>
      <c r="N86" s="24">
        <f>E75*(M75^C75*(O75+$B$14*R79)+R75*$B$14*O75)</f>
        <v>-4.082168921821405E-6</v>
      </c>
      <c r="O86" s="16">
        <f>E75*(M75^C75*(2*R79+$B$14*S79)+2*R75*(O75+$B$14*R79)+S75*$B$14*O75)</f>
        <v>-2.0687416145573679E-4</v>
      </c>
      <c r="P86" s="16">
        <f>E75*$B$14*(T75*O75+M75^C75*T79)</f>
        <v>1.6632755759081946E-4</v>
      </c>
      <c r="Q86">
        <f>E75*$B$14*(U75*O75+2*T75*T79+M75^C75*U79)</f>
        <v>-2.4108487369385285</v>
      </c>
      <c r="R86">
        <f>E75*(M75^C75*(T79+$B$14*V79)+$B$14*R75*T79+T75*(O75+$B$14*R79)+V75*$B$14*O75)</f>
        <v>1.3178080654839655E-2</v>
      </c>
    </row>
    <row r="87" spans="1:18">
      <c r="M87" s="21">
        <f>E76*(M76^C76)*$B$14*O76</f>
        <v>2.6509392306978132E-8</v>
      </c>
      <c r="N87" s="24">
        <f>E76*(M76^C76*(O76+$B$14*R80)+R76*$B$14*O76)</f>
        <v>1.7141521007780948E-6</v>
      </c>
      <c r="O87" s="16">
        <f>E76*(M76^C76*(2*R80+$B$14*S80)+2*R76*(O76+$B$14*R80)+S76*$B$14*O76)</f>
        <v>9.8045306136174015E-5</v>
      </c>
      <c r="P87" s="16">
        <f>E76*$B$14*(T76*O76+M76^C76*T80)</f>
        <v>-7.0127870120246282E-5</v>
      </c>
      <c r="Q87">
        <f>E76*$B$14*(U76*O76+2*T76*T80+M76^C76*U80)</f>
        <v>1.036000012842234</v>
      </c>
      <c r="R87">
        <f>E76*(M76^C76*(T80+$B$14*V80)+$B$14*R76*T80+T76*(O76+$B$14*R80)+V76*$B$14*O76)</f>
        <v>-6.0169908802880454E-3</v>
      </c>
    </row>
    <row r="88" spans="1:18">
      <c r="N88" s="16"/>
      <c r="O88" s="16"/>
      <c r="P88" s="16"/>
    </row>
    <row r="91" spans="1:18" ht="13.5">
      <c r="B91" s="8"/>
    </row>
    <row r="92" spans="1:18" ht="13.5">
      <c r="B92" s="8"/>
    </row>
    <row r="93" spans="1:18" ht="13.5">
      <c r="B93" s="8"/>
    </row>
    <row r="94" spans="1:18" ht="13.5">
      <c r="B94" s="8"/>
    </row>
    <row r="95" spans="1:18" ht="13.5">
      <c r="B95" s="8"/>
    </row>
    <row r="96" spans="1:18" ht="13.5">
      <c r="B96" s="8"/>
    </row>
    <row r="97" spans="2:2" ht="13.5">
      <c r="B97" s="8"/>
    </row>
    <row r="98" spans="2:2" ht="13.5">
      <c r="B98" s="8"/>
    </row>
    <row r="99" spans="2:2" ht="13.5">
      <c r="B99" s="8"/>
    </row>
    <row r="100" spans="2:2" ht="13.5">
      <c r="B100" s="8"/>
    </row>
    <row r="101" spans="2:2" ht="13.5">
      <c r="B101" s="8"/>
    </row>
    <row r="102" spans="2:2" ht="13.5">
      <c r="B102" s="8"/>
    </row>
    <row r="103" spans="2:2" ht="13.5">
      <c r="B103" s="8"/>
    </row>
    <row r="104" spans="2:2" ht="13.5">
      <c r="B104" s="8"/>
    </row>
    <row r="105" spans="2:2" ht="13.5">
      <c r="B105" s="8"/>
    </row>
    <row r="106" spans="2:2" ht="13.5">
      <c r="B106" s="8"/>
    </row>
    <row r="107" spans="2:2" ht="13.5">
      <c r="B107" s="8"/>
    </row>
    <row r="108" spans="2:2" ht="13.5">
      <c r="B108" s="8"/>
    </row>
    <row r="109" spans="2:2" ht="13.5">
      <c r="B109" s="8"/>
    </row>
    <row r="110" spans="2:2" ht="13.5">
      <c r="B110" s="8"/>
    </row>
    <row r="111" spans="2:2" ht="13.5">
      <c r="B111" s="8"/>
    </row>
    <row r="112" spans="2:2" ht="13.5">
      <c r="B112" s="8"/>
    </row>
    <row r="113" spans="2:2" ht="13.5">
      <c r="B113" s="8"/>
    </row>
    <row r="114" spans="2:2" ht="13.5">
      <c r="B114" s="8"/>
    </row>
    <row r="115" spans="2:2" ht="13.5">
      <c r="B115" s="8"/>
    </row>
    <row r="116" spans="2:2" ht="13.5">
      <c r="B116" s="8"/>
    </row>
    <row r="117" spans="2:2" ht="13.5">
      <c r="B117" s="8"/>
    </row>
    <row r="118" spans="2:2" ht="13.5">
      <c r="B118" s="8"/>
    </row>
    <row r="119" spans="2:2" ht="13.5">
      <c r="B119" s="8"/>
    </row>
    <row r="120" spans="2:2" ht="13.5">
      <c r="B120" s="8"/>
    </row>
    <row r="121" spans="2:2" ht="13.5">
      <c r="B121" s="8"/>
    </row>
    <row r="122" spans="2:2" ht="13.5">
      <c r="B122" s="8"/>
    </row>
    <row r="123" spans="2:2" ht="13.5">
      <c r="B123" s="8"/>
    </row>
    <row r="124" spans="2:2" ht="13.5">
      <c r="B124" s="8"/>
    </row>
    <row r="125" spans="2:2" ht="13.5">
      <c r="B125" s="8"/>
    </row>
    <row r="126" spans="2:2" ht="13.5">
      <c r="B126" s="8"/>
    </row>
    <row r="127" spans="2:2" ht="13.5">
      <c r="B127" s="8"/>
    </row>
    <row r="128" spans="2:2" ht="13.5">
      <c r="B128" s="8"/>
    </row>
    <row r="129" spans="2:2" ht="13.5">
      <c r="B129" s="8"/>
    </row>
    <row r="130" spans="2:2" ht="13.5">
      <c r="B130" s="8"/>
    </row>
    <row r="131" spans="2:2" ht="13.5">
      <c r="B131" s="8"/>
    </row>
    <row r="132" spans="2:2" ht="13.5">
      <c r="B132" s="8"/>
    </row>
    <row r="133" spans="2:2" ht="13.5">
      <c r="B133" s="8"/>
    </row>
    <row r="134" spans="2:2" ht="13.5">
      <c r="B134" s="8"/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2:C3"/>
  <sheetViews>
    <sheetView workbookViewId="0">
      <selection activeCell="C3" sqref="C3"/>
    </sheetView>
  </sheetViews>
  <sheetFormatPr defaultRowHeight="12.75"/>
  <cols>
    <col min="2" max="2" width="14.5" customWidth="1"/>
  </cols>
  <sheetData>
    <row r="2" spans="2:3">
      <c r="B2" t="s">
        <v>116</v>
      </c>
    </row>
    <row r="3" spans="2:3">
      <c r="B3" s="20">
        <v>38575</v>
      </c>
      <c r="C3" t="s">
        <v>117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Steam Calculations</vt:lpstr>
      <vt:lpstr>Notes</vt:lpstr>
    </vt:vector>
  </TitlesOfParts>
  <Company>University of Akron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Gail</cp:lastModifiedBy>
  <dcterms:created xsi:type="dcterms:W3CDTF">1997-03-21T18:07:33Z</dcterms:created>
  <dcterms:modified xsi:type="dcterms:W3CDTF">2011-01-25T02:54:02Z</dcterms:modified>
</cp:coreProperties>
</file>