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pietr\OneDrive\Desktop\Università\2-Magistrale ingegneria meccanica per la sostenibilità\Sustainable energy\Project\progetto_cf\"/>
    </mc:Choice>
  </mc:AlternateContent>
  <xr:revisionPtr revIDLastSave="0" documentId="13_ncr:1_{F85F6983-95DA-40C3-BFC0-F674C841090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les" sheetId="1" r:id="rId1"/>
    <sheet name="Graph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D9" i="1"/>
  <c r="D8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B49" i="1" s="1"/>
  <c r="D29" i="1"/>
  <c r="B29" i="1"/>
  <c r="F28" i="1"/>
  <c r="D28" i="1"/>
  <c r="B28" i="1"/>
  <c r="F27" i="1"/>
  <c r="D27" i="1"/>
  <c r="B27" i="1"/>
  <c r="F26" i="1"/>
  <c r="D26" i="1"/>
  <c r="B26" i="1"/>
  <c r="F17" i="1"/>
  <c r="F16" i="1"/>
  <c r="F15" i="1"/>
  <c r="F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D7" i="1"/>
  <c r="B7" i="1"/>
  <c r="F6" i="1"/>
  <c r="D6" i="1"/>
  <c r="B6" i="1"/>
  <c r="F5" i="1"/>
  <c r="D5" i="1"/>
  <c r="B5" i="1"/>
  <c r="F4" i="1"/>
  <c r="B19" i="1" s="1"/>
  <c r="D19" i="1" s="1"/>
  <c r="D4" i="1"/>
  <c r="B20" i="1" s="1"/>
  <c r="B4" i="1"/>
  <c r="B46" i="1" l="1"/>
  <c r="D46" i="1" s="1"/>
  <c r="B32" i="1"/>
  <c r="D32" i="1" s="1"/>
  <c r="B48" i="1"/>
  <c r="D48" i="1" s="1"/>
  <c r="B31" i="1"/>
  <c r="D31" i="1" s="1"/>
  <c r="B33" i="1"/>
  <c r="D33" i="1" s="1"/>
  <c r="D49" i="1"/>
  <c r="D20" i="1"/>
  <c r="B21" i="1"/>
  <c r="D21" i="1" s="1"/>
  <c r="B47" i="1"/>
  <c r="D47" i="1" s="1"/>
  <c r="E51" i="1" l="1"/>
  <c r="G51" i="1" s="1"/>
</calcChain>
</file>

<file path=xl/sharedStrings.xml><?xml version="1.0" encoding="utf-8"?>
<sst xmlns="http://schemas.openxmlformats.org/spreadsheetml/2006/main" count="116" uniqueCount="74">
  <si>
    <t>DIET</t>
  </si>
  <si>
    <t>PROTEINS</t>
  </si>
  <si>
    <t>CARBOHYDRATES</t>
  </si>
  <si>
    <t>VEGETABLES &amp; OTHERS</t>
  </si>
  <si>
    <t>FOOD</t>
  </si>
  <si>
    <t>VALUE</t>
  </si>
  <si>
    <t>Results are expressed in kgCO2/day</t>
  </si>
  <si>
    <t>Beef (beef herd)</t>
  </si>
  <si>
    <t>Wheat &amp; Rye</t>
  </si>
  <si>
    <t>Apples</t>
  </si>
  <si>
    <t>Lumb &amp; Mutton</t>
  </si>
  <si>
    <t>Maize (corn)</t>
  </si>
  <si>
    <t>Chocolate</t>
  </si>
  <si>
    <t>Chees</t>
  </si>
  <si>
    <t>Rice</t>
  </si>
  <si>
    <t>Coffe</t>
  </si>
  <si>
    <t>Beef (dairy herd)</t>
  </si>
  <si>
    <t>Cane sugar</t>
  </si>
  <si>
    <t>Tomatoes</t>
  </si>
  <si>
    <t>Poultry meat</t>
  </si>
  <si>
    <t>Pig meat</t>
  </si>
  <si>
    <t>Peas</t>
  </si>
  <si>
    <t>Prawns (farmed)</t>
  </si>
  <si>
    <t>Soy milk</t>
  </si>
  <si>
    <t>Fish (farmed)</t>
  </si>
  <si>
    <t>Olive oil</t>
  </si>
  <si>
    <t>Fish (wild catch)</t>
  </si>
  <si>
    <t>Milk</t>
  </si>
  <si>
    <t>Eggs</t>
  </si>
  <si>
    <t>Groundnuts</t>
  </si>
  <si>
    <t>Bananas</t>
  </si>
  <si>
    <t>Root vegetables</t>
  </si>
  <si>
    <t>Citrus fruit</t>
  </si>
  <si>
    <t>Nuts</t>
  </si>
  <si>
    <t>kgCO2/day</t>
  </si>
  <si>
    <t>tCO2/year</t>
  </si>
  <si>
    <t>CARBOHYDARATES</t>
  </si>
  <si>
    <t>TRANSPORT</t>
  </si>
  <si>
    <t>PUBLIC TRANSPORT</t>
  </si>
  <si>
    <t>MIT</t>
  </si>
  <si>
    <t>AIR</t>
  </si>
  <si>
    <t>Bus</t>
  </si>
  <si>
    <t>Medium car petrol</t>
  </si>
  <si>
    <t>Domestic flight</t>
  </si>
  <si>
    <t>National rail</t>
  </si>
  <si>
    <t>Medium car diesel</t>
  </si>
  <si>
    <t>Short-haul flight</t>
  </si>
  <si>
    <t>Ferry (foot passenger)</t>
  </si>
  <si>
    <t>Motorcycle</t>
  </si>
  <si>
    <t>Long-haul flight</t>
  </si>
  <si>
    <t>Eurostar (international rail)</t>
  </si>
  <si>
    <t>Medium electric vehicle</t>
  </si>
  <si>
    <t>HOME</t>
  </si>
  <si>
    <t>TEXTILES</t>
  </si>
  <si>
    <t>APPLIANCE</t>
  </si>
  <si>
    <t>CLOTH</t>
  </si>
  <si>
    <t>Refrigerator</t>
  </si>
  <si>
    <t>Cotton shirt</t>
  </si>
  <si>
    <t>Food cooking</t>
  </si>
  <si>
    <t>Cotton sweat jacket</t>
  </si>
  <si>
    <t>Oven</t>
  </si>
  <si>
    <t>Acrylic jacket</t>
  </si>
  <si>
    <t>Washing machine</t>
  </si>
  <si>
    <t>Woolen sweater</t>
  </si>
  <si>
    <t>Shower</t>
  </si>
  <si>
    <t>Polyester shirt</t>
  </si>
  <si>
    <t>Laptop</t>
  </si>
  <si>
    <t>Jeans</t>
  </si>
  <si>
    <t>Smartphone</t>
  </si>
  <si>
    <t>Heating</t>
  </si>
  <si>
    <t>TOTAL</t>
  </si>
  <si>
    <t>Pasta</t>
  </si>
  <si>
    <t>Bread</t>
  </si>
  <si>
    <t>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</si>
</sst>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0" borderId="0" xfId="0" applyAlignment="1">
      <alignment vertical="center"/>
    </xf>
    <xf numFmtId="0" fontId="1" fillId="5" borderId="0" xfId="0" applyFont="1" applyFill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center" vertical="center"/>
    </xf>
    <xf numFmtId="0" fontId="0" fillId="0" borderId="3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CARBOHYDRATES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6A26-4024-9134-06E78655A0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6A26-4024-9134-06E78655A0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6A26-4024-9134-06E78655A0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7-6A26-4024-9134-06E78655A01B}"/>
              </c:ext>
            </c:extLst>
          </c:dPt>
          <c:cat>
            <c:strRef>
              <c:f>Tables!$C$4:$C$9</c:f>
              <c:strCache>
                <c:ptCount val="6"/>
                <c:pt idx="0">
                  <c:v>Wheat &amp; Rye</c:v>
                </c:pt>
                <c:pt idx="1">
                  <c:v>Maize (corn)</c:v>
                </c:pt>
                <c:pt idx="2">
                  <c:v>Rice</c:v>
                </c:pt>
                <c:pt idx="3">
                  <c:v>Cane sugar</c:v>
                </c:pt>
                <c:pt idx="4">
                  <c:v>Pasta</c:v>
                </c:pt>
                <c:pt idx="5">
                  <c:v>Bread</c:v>
                </c:pt>
              </c:strCache>
            </c:strRef>
          </c:cat>
          <c:val>
            <c:numRef>
              <c:f>Tables!$D$4:$D$9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26-4024-9134-06E78655A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TEXTILES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3498-4AE3-B212-76E422BAB1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3498-4AE3-B212-76E422BAB1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3498-4AE3-B212-76E422BAB1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7-3498-4AE3-B212-76E422BAB1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9-3498-4AE3-B212-76E422BAB1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B-3498-4AE3-B212-76E422BAB129}"/>
              </c:ext>
            </c:extLst>
          </c:dPt>
          <c:cat>
            <c:strRef>
              <c:f>Tables!$D$37:$D$42</c:f>
              <c:strCache>
                <c:ptCount val="6"/>
                <c:pt idx="0">
                  <c:v>Cotton shirt</c:v>
                </c:pt>
                <c:pt idx="1">
                  <c:v>Cotton sweat jacket</c:v>
                </c:pt>
                <c:pt idx="2">
                  <c:v>Acrylic jacket</c:v>
                </c:pt>
                <c:pt idx="3">
                  <c:v>Woolen sweater</c:v>
                </c:pt>
                <c:pt idx="4">
                  <c:v>Polyester shirt</c:v>
                </c:pt>
                <c:pt idx="5">
                  <c:v>Jeans</c:v>
                </c:pt>
              </c:strCache>
            </c:strRef>
          </c:cat>
          <c:val>
            <c:numRef>
              <c:f>Tables!$E$37:$E$42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98-4AE3-B212-76E422BA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19CB-495C-97F8-65BC91352C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19CB-495C-97F8-65BC91352C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19CB-495C-97F8-65BC91352C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7-19CB-495C-97F8-65BC91352CCC}"/>
              </c:ext>
            </c:extLst>
          </c:dPt>
          <c:cat>
            <c:strRef>
              <c:f>Tables!$A$46:$A$49</c:f>
              <c:strCache>
                <c:ptCount val="4"/>
                <c:pt idx="0">
                  <c:v>DIET</c:v>
                </c:pt>
                <c:pt idx="1">
                  <c:v>TRANSPORT</c:v>
                </c:pt>
                <c:pt idx="2">
                  <c:v>TEXTILES</c:v>
                </c:pt>
                <c:pt idx="3">
                  <c:v>HOME</c:v>
                </c:pt>
              </c:strCache>
            </c:strRef>
          </c:cat>
          <c:val>
            <c:numRef>
              <c:f>Tables!$B$46:$B$49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95C-97F8-65BC9135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PROTEINS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F13D-4B52-95A9-7333C3B22A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F13D-4B52-95A9-7333C3B22A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F13D-4B52-95A9-7333C3B22A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7-F13D-4B52-95A9-7333C3B22A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9-F13D-4B52-95A9-7333C3B22A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B-F13D-4B52-95A9-7333C3B22A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D-F13D-4B52-95A9-7333C3B22A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F-F13D-4B52-95A9-7333C3B22A4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11-F13D-4B52-95A9-7333C3B22A4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13-F13D-4B52-95A9-7333C3B22A4B}"/>
              </c:ext>
            </c:extLst>
          </c:dPt>
          <c:cat>
            <c:strRef>
              <c:f>Tables!$A$4:$A$13</c:f>
              <c:strCache>
                <c:ptCount val="10"/>
                <c:pt idx="0">
                  <c:v>Beef (beef herd)</c:v>
                </c:pt>
                <c:pt idx="1">
                  <c:v>Lumb &amp; Mutton</c:v>
                </c:pt>
                <c:pt idx="2">
                  <c:v>Chees</c:v>
                </c:pt>
                <c:pt idx="3">
                  <c:v>Beef (dairy herd)</c:v>
                </c:pt>
                <c:pt idx="4">
                  <c:v>Poultry meat</c:v>
                </c:pt>
                <c:pt idx="5">
                  <c:v>Pig meat</c:v>
                </c:pt>
                <c:pt idx="6">
                  <c:v>Prawns (farmed)</c:v>
                </c:pt>
                <c:pt idx="7">
                  <c:v>Fish (farmed)</c:v>
                </c:pt>
                <c:pt idx="8">
                  <c:v>Fish (wild catch)</c:v>
                </c:pt>
                <c:pt idx="9">
                  <c:v>Eggs</c:v>
                </c:pt>
              </c:strCache>
            </c:strRef>
          </c:cat>
          <c:val>
            <c:numRef>
              <c:f>Tables!$B$4:$B$13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13D-4B52-95A9-7333C3B2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VEGETABLES &amp; OTHERS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7026-4CF5-961F-2D743EC1F5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7026-4CF5-961F-2D743EC1F5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7026-4CF5-961F-2D743EC1F5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7-7026-4CF5-961F-2D743EC1F5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9-7026-4CF5-961F-2D743EC1F5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B-7026-4CF5-961F-2D743EC1F5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D-7026-4CF5-961F-2D743EC1F5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F-7026-4CF5-961F-2D743EC1F52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11-7026-4CF5-961F-2D743EC1F52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13-7026-4CF5-961F-2D743EC1F52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15-7026-4CF5-961F-2D743EC1F52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17-7026-4CF5-961F-2D743EC1F52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19-7026-4CF5-961F-2D743EC1F52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1B-7026-4CF5-961F-2D743EC1F528}"/>
              </c:ext>
            </c:extLst>
          </c:dPt>
          <c:cat>
            <c:strRef>
              <c:f>Tables!$E$4:$E$17</c:f>
              <c:strCache>
                <c:ptCount val="14"/>
                <c:pt idx="0">
                  <c:v>Apples</c:v>
                </c:pt>
                <c:pt idx="1">
                  <c:v>Chocolate</c:v>
                </c:pt>
                <c:pt idx="2">
                  <c:v>Coffe</c:v>
                </c:pt>
                <c:pt idx="3">
                  <c:v>Tomatoes</c:v>
                </c:pt>
                <c:pt idx="4">
                  <c:v>Maize (corn)</c:v>
                </c:pt>
                <c:pt idx="5">
                  <c:v>Peas</c:v>
                </c:pt>
                <c:pt idx="6">
                  <c:v>Soy milk</c:v>
                </c:pt>
                <c:pt idx="7">
                  <c:v>Olive oil</c:v>
                </c:pt>
                <c:pt idx="8">
                  <c:v>Milk</c:v>
                </c:pt>
                <c:pt idx="9">
                  <c:v>Groundnuts</c:v>
                </c:pt>
                <c:pt idx="10">
                  <c:v>Bananas</c:v>
                </c:pt>
                <c:pt idx="11">
                  <c:v>Root vegetables</c:v>
                </c:pt>
                <c:pt idx="12">
                  <c:v>Citrus fruit</c:v>
                </c:pt>
                <c:pt idx="13">
                  <c:v>Nuts</c:v>
                </c:pt>
              </c:strCache>
            </c:strRef>
          </c:cat>
          <c:val>
            <c:numRef>
              <c:f>Tables!$F$4:$F$17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026-4CF5-961F-2D743EC1F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DIET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3E30-40F9-9466-2BE7C56BCA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3E30-40F9-9466-2BE7C56BCA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3E30-40F9-9466-2BE7C56BCA91}"/>
              </c:ext>
            </c:extLst>
          </c:dPt>
          <c:cat>
            <c:strRef>
              <c:f>Tables!$A$19:$A$21</c:f>
              <c:strCache>
                <c:ptCount val="3"/>
                <c:pt idx="0">
                  <c:v>VEGETABLES &amp; OTHERS</c:v>
                </c:pt>
                <c:pt idx="1">
                  <c:v>CARBOHYDARATES</c:v>
                </c:pt>
                <c:pt idx="2">
                  <c:v>PROTEINS</c:v>
                </c:pt>
              </c:strCache>
            </c:strRef>
          </c:cat>
          <c:val>
            <c:numRef>
              <c:f>Tables!$B$19:$B$21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30-40F9-9466-2BE7C56B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TRANSPORT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D148-4929-B0DD-266A33FE3B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D148-4929-B0DD-266A33FE3B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D148-4929-B0DD-266A33FE3B02}"/>
              </c:ext>
            </c:extLst>
          </c:dPt>
          <c:cat>
            <c:strRef>
              <c:f>Tables!$A$31:$A$33</c:f>
              <c:strCache>
                <c:ptCount val="3"/>
                <c:pt idx="0">
                  <c:v>AIR</c:v>
                </c:pt>
                <c:pt idx="1">
                  <c:v>MIT</c:v>
                </c:pt>
                <c:pt idx="2">
                  <c:v>PUBLIC TRANSPORT</c:v>
                </c:pt>
              </c:strCache>
            </c:strRef>
          </c:cat>
          <c:val>
            <c:numRef>
              <c:f>Tables!$B$31:$B$33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48-4929-B0DD-266A33FE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PUBLIC</a:t>
            </a:r>
            <a:r>
              <a:rPr lang="it-IT" baseline="0"/>
              <a:t> TRANSPORT</a:t>
            </a:r>
            <a:endParaRPr lang="it-IT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4445-4D03-93FE-2E44746211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4445-4D03-93FE-2E44746211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4445-4D03-93FE-2E44746211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7-4445-4D03-93FE-2E447462116C}"/>
              </c:ext>
            </c:extLst>
          </c:dPt>
          <c:cat>
            <c:strRef>
              <c:f>Tables!$A$26:$A$29</c:f>
              <c:strCache>
                <c:ptCount val="4"/>
                <c:pt idx="0">
                  <c:v>Bus</c:v>
                </c:pt>
                <c:pt idx="1">
                  <c:v>National rail</c:v>
                </c:pt>
                <c:pt idx="2">
                  <c:v>Ferry (foot passenger)</c:v>
                </c:pt>
                <c:pt idx="3">
                  <c:v>Eurostar (international rail)</c:v>
                </c:pt>
              </c:strCache>
            </c:strRef>
          </c:cat>
          <c:val>
            <c:numRef>
              <c:f>Tables!$B$26:$B$29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45-4D03-93FE-2E4474621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8A04-41D7-9411-2B4BC32780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8A04-41D7-9411-2B4BC32780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8A04-41D7-9411-2B4BC32780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7-8A04-41D7-9411-2B4BC3278020}"/>
              </c:ext>
            </c:extLst>
          </c:dPt>
          <c:cat>
            <c:strRef>
              <c:f>Tables!$C$26:$C$29</c:f>
              <c:strCache>
                <c:ptCount val="4"/>
                <c:pt idx="0">
                  <c:v>Medium car petrol</c:v>
                </c:pt>
                <c:pt idx="1">
                  <c:v>Medium car diesel</c:v>
                </c:pt>
                <c:pt idx="2">
                  <c:v>Motorcycle</c:v>
                </c:pt>
                <c:pt idx="3">
                  <c:v>Medium electric vehicle</c:v>
                </c:pt>
              </c:strCache>
            </c:strRef>
          </c:cat>
          <c:val>
            <c:numRef>
              <c:f>Tables!$D$26:$D$29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04-41D7-9411-2B4BC327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AIR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64B6-4EC0-B3DF-37AFE10705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64B6-4EC0-B3DF-37AFE10705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64B6-4EC0-B3DF-37AFE1070512}"/>
              </c:ext>
            </c:extLst>
          </c:dPt>
          <c:cat>
            <c:strRef>
              <c:f>Tables!$E$26:$E$28</c:f>
              <c:strCache>
                <c:ptCount val="3"/>
                <c:pt idx="0">
                  <c:v>Domestic flight</c:v>
                </c:pt>
                <c:pt idx="1">
                  <c:v>Short-haul flight</c:v>
                </c:pt>
                <c:pt idx="2">
                  <c:v>Long-haul flight</c:v>
                </c:pt>
              </c:strCache>
            </c:strRef>
          </c:cat>
          <c:val>
            <c:numRef>
              <c:f>Tables!$F$26:$F$28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B6-4EC0-B3DF-37AFE1070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E2C5-465E-BA94-A447ECC8B1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E2C5-465E-BA94-A447ECC8B1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E2C5-465E-BA94-A447ECC8B1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7-E2C5-465E-BA94-A447ECC8B1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9-E2C5-465E-BA94-A447ECC8B1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B-E2C5-465E-BA94-A447ECC8B1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D-E2C5-465E-BA94-A447ECC8B1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F-E2C5-465E-BA94-A447ECC8B1E9}"/>
              </c:ext>
            </c:extLst>
          </c:dPt>
          <c:cat>
            <c:strRef>
              <c:f>Tables!$A$37:$A$45</c:f>
              <c:strCache>
                <c:ptCount val="9"/>
                <c:pt idx="0">
                  <c:v>Refrigerator</c:v>
                </c:pt>
                <c:pt idx="1">
                  <c:v>Food cooking</c:v>
                </c:pt>
                <c:pt idx="2">
                  <c:v>Oven</c:v>
                </c:pt>
                <c:pt idx="3">
                  <c:v>Washing machine</c:v>
                </c:pt>
                <c:pt idx="4">
                  <c:v>Shower</c:v>
                </c:pt>
                <c:pt idx="5">
                  <c:v>Laptop</c:v>
                </c:pt>
                <c:pt idx="6">
                  <c:v>Smartphone</c:v>
                </c:pt>
                <c:pt idx="7">
                  <c:v>Heating</c:v>
                </c:pt>
                <c:pt idx="8">
                  <c:v>Cooling</c:v>
                </c:pt>
              </c:strCache>
            </c:strRef>
          </c:cat>
          <c:val>
            <c:numRef>
              <c:f>Tables!$B$37:$B$45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C5-465E-BA94-A447ECC8B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21</xdr:row>
      <xdr:rowOff>72390</xdr:rowOff>
    </xdr:from>
    <xdr:to>
      <xdr:col>15</xdr:col>
      <xdr:colOff>449580</xdr:colOff>
      <xdr:row>36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21</xdr:row>
      <xdr:rowOff>87630</xdr:rowOff>
    </xdr:from>
    <xdr:to>
      <xdr:col>7</xdr:col>
      <xdr:colOff>548640</xdr:colOff>
      <xdr:row>36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91440</xdr:colOff>
      <xdr:row>21</xdr:row>
      <xdr:rowOff>57150</xdr:rowOff>
    </xdr:from>
    <xdr:to>
      <xdr:col>23</xdr:col>
      <xdr:colOff>396240</xdr:colOff>
      <xdr:row>36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434340</xdr:colOff>
      <xdr:row>5</xdr:row>
      <xdr:rowOff>125730</xdr:rowOff>
    </xdr:from>
    <xdr:to>
      <xdr:col>16</xdr:col>
      <xdr:colOff>129540</xdr:colOff>
      <xdr:row>20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266700</xdr:colOff>
      <xdr:row>37</xdr:row>
      <xdr:rowOff>57150</xdr:rowOff>
    </xdr:from>
    <xdr:to>
      <xdr:col>15</xdr:col>
      <xdr:colOff>571500</xdr:colOff>
      <xdr:row>52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53</xdr:row>
      <xdr:rowOff>26670</xdr:rowOff>
    </xdr:from>
    <xdr:to>
      <xdr:col>8</xdr:col>
      <xdr:colOff>457200</xdr:colOff>
      <xdr:row>68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60960</xdr:colOff>
      <xdr:row>53</xdr:row>
      <xdr:rowOff>34290</xdr:rowOff>
    </xdr:from>
    <xdr:to>
      <xdr:col>16</xdr:col>
      <xdr:colOff>365760</xdr:colOff>
      <xdr:row>68</xdr:row>
      <xdr:rowOff>34290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38100</xdr:colOff>
      <xdr:row>53</xdr:row>
      <xdr:rowOff>26670</xdr:rowOff>
    </xdr:from>
    <xdr:to>
      <xdr:col>24</xdr:col>
      <xdr:colOff>342900</xdr:colOff>
      <xdr:row>68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335280</xdr:colOff>
      <xdr:row>71</xdr:row>
      <xdr:rowOff>140970</xdr:rowOff>
    </xdr:from>
    <xdr:to>
      <xdr:col>12</xdr:col>
      <xdr:colOff>30480</xdr:colOff>
      <xdr:row>86</xdr:row>
      <xdr:rowOff>140970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205740</xdr:colOff>
      <xdr:row>71</xdr:row>
      <xdr:rowOff>72390</xdr:rowOff>
    </xdr:from>
    <xdr:to>
      <xdr:col>20</xdr:col>
      <xdr:colOff>510540</xdr:colOff>
      <xdr:row>86</xdr:row>
      <xdr:rowOff>72390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556260</xdr:colOff>
      <xdr:row>88</xdr:row>
      <xdr:rowOff>133350</xdr:rowOff>
    </xdr:from>
    <xdr:to>
      <xdr:col>16</xdr:col>
      <xdr:colOff>251460</xdr:colOff>
      <xdr:row>103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B50" sqref="B50"/>
    </sheetView>
  </sheetViews>
  <sheetFormatPr defaultRowHeight="14.4" x14ac:dyDescent="0.3"/>
  <cols>
    <col min="1" max="1" width="31.88671875" bestFit="1" customWidth="1"/>
    <col min="2" max="2" width="15.77734375" customWidth="1"/>
    <col min="3" max="3" width="28.109375" bestFit="1" customWidth="1"/>
    <col min="4" max="4" width="25.77734375" customWidth="1"/>
    <col min="5" max="5" width="31.88671875" bestFit="1" customWidth="1"/>
    <col min="6" max="6" width="15.77734375" customWidth="1"/>
    <col min="7" max="7" width="13.109375" customWidth="1"/>
    <col min="8" max="8" width="30.21875" bestFit="1" customWidth="1"/>
  </cols>
  <sheetData>
    <row r="1" spans="1:8" x14ac:dyDescent="0.3">
      <c r="A1" s="10" t="s">
        <v>0</v>
      </c>
      <c r="B1" s="11"/>
      <c r="C1" s="11"/>
      <c r="D1" s="11"/>
      <c r="E1" s="11"/>
      <c r="F1" s="9"/>
    </row>
    <row r="2" spans="1:8" x14ac:dyDescent="0.3">
      <c r="A2" s="8" t="s">
        <v>1</v>
      </c>
      <c r="B2" s="9"/>
      <c r="C2" s="8" t="s">
        <v>2</v>
      </c>
      <c r="D2" s="9"/>
      <c r="E2" s="8" t="s">
        <v>3</v>
      </c>
      <c r="F2" s="9"/>
    </row>
    <row r="3" spans="1:8" x14ac:dyDescent="0.3">
      <c r="A3" s="1" t="s">
        <v>4</v>
      </c>
      <c r="B3" s="3" t="s">
        <v>5</v>
      </c>
      <c r="C3" s="1" t="s">
        <v>4</v>
      </c>
      <c r="D3" s="3" t="s">
        <v>5</v>
      </c>
      <c r="E3" s="1" t="s">
        <v>4</v>
      </c>
      <c r="F3" s="3" t="s">
        <v>5</v>
      </c>
      <c r="H3" t="s">
        <v>6</v>
      </c>
    </row>
    <row r="4" spans="1:8" x14ac:dyDescent="0.3">
      <c r="A4" s="2" t="s">
        <v>7</v>
      </c>
      <c r="B4" s="4" t="e">
        <f>_xlfn.XLOOKUP("beef_herd",Sheet3!A:A,Sheet3!B:B)</f>
        <v>#N/A</v>
      </c>
      <c r="C4" s="2" t="s">
        <v>8</v>
      </c>
      <c r="D4" s="4" t="e">
        <f>_xlfn.XLOOKUP("wheat_rye",Sheet3!A:A,Sheet3!B:B)</f>
        <v>#N/A</v>
      </c>
      <c r="E4" s="2" t="s">
        <v>9</v>
      </c>
      <c r="F4" s="4" t="e">
        <f>_xlfn.XLOOKUP("apples",Sheet3!A:A,Sheet3!B:B)</f>
        <v>#N/A</v>
      </c>
    </row>
    <row r="5" spans="1:8" x14ac:dyDescent="0.3">
      <c r="A5" s="2" t="s">
        <v>10</v>
      </c>
      <c r="B5" s="4" t="e">
        <f>_xlfn.XLOOKUP("lumb_mutton",Sheet3!A:A,Sheet3!B:B)</f>
        <v>#N/A</v>
      </c>
      <c r="C5" s="2" t="s">
        <v>11</v>
      </c>
      <c r="D5" s="4" t="e">
        <f>_xlfn.XLOOKUP("maize",Sheet3!A:A,Sheet3!B:B)</f>
        <v>#N/A</v>
      </c>
      <c r="E5" s="2" t="s">
        <v>12</v>
      </c>
      <c r="F5" s="4" t="e">
        <f>_xlfn.XLOOKUP("chocolate",Sheet3!A:A,Sheet3!B:B)</f>
        <v>#N/A</v>
      </c>
    </row>
    <row r="6" spans="1:8" x14ac:dyDescent="0.3">
      <c r="A6" s="2" t="s">
        <v>13</v>
      </c>
      <c r="B6" s="4" t="e">
        <f>_xlfn.XLOOKUP("cheese",Sheet3!A:A,Sheet3!B:B)</f>
        <v>#N/A</v>
      </c>
      <c r="C6" s="2" t="s">
        <v>14</v>
      </c>
      <c r="D6" s="4" t="e">
        <f>_xlfn.XLOOKUP("rice",Sheet3!A:A,Sheet3!B:B)</f>
        <v>#N/A</v>
      </c>
      <c r="E6" s="2" t="s">
        <v>15</v>
      </c>
      <c r="F6" s="4" t="e">
        <f>_xlfn.XLOOKUP("coffee",Sheet3!A:A,Sheet3!B:B)</f>
        <v>#N/A</v>
      </c>
    </row>
    <row r="7" spans="1:8" x14ac:dyDescent="0.3">
      <c r="A7" s="2" t="s">
        <v>16</v>
      </c>
      <c r="B7" s="4" t="e">
        <f>_xlfn.XLOOKUP("beef_dairy",Sheet3!A:A,Sheet3!B:B)</f>
        <v>#N/A</v>
      </c>
      <c r="C7" s="2" t="s">
        <v>17</v>
      </c>
      <c r="D7" s="4" t="e">
        <f>_xlfn.XLOOKUP("cane_sugar",Sheet3!A:A,Sheet3!B:B)</f>
        <v>#N/A</v>
      </c>
      <c r="E7" s="2" t="s">
        <v>18</v>
      </c>
      <c r="F7" s="4" t="e">
        <f>_xlfn.XLOOKUP("tomatoes",Sheet3!A:A,Sheet3!B:B)</f>
        <v>#N/A</v>
      </c>
    </row>
    <row r="8" spans="1:8" x14ac:dyDescent="0.3">
      <c r="A8" s="2" t="s">
        <v>19</v>
      </c>
      <c r="B8" s="4" t="e">
        <f>_xlfn.XLOOKUP("poultry_meat",Sheet3!A:A,Sheet3!B:B)</f>
        <v>#N/A</v>
      </c>
      <c r="C8" s="2" t="s">
        <v>71</v>
      </c>
      <c r="D8" s="4" t="e">
        <f>_xlfn.XLOOKUP("pasta",Sheet3!A:A,Sheet3!B:B)</f>
        <v>#N/A</v>
      </c>
      <c r="E8" s="2" t="s">
        <v>11</v>
      </c>
      <c r="F8" s="4" t="e">
        <f>_xlfn.XLOOKUP("maize",Sheet3!A:A,Sheet3!B:B)</f>
        <v>#N/A</v>
      </c>
    </row>
    <row r="9" spans="1:8" x14ac:dyDescent="0.3">
      <c r="A9" s="2" t="s">
        <v>20</v>
      </c>
      <c r="B9" s="4" t="e">
        <f>_xlfn.XLOOKUP("pig_meat",Sheet3!A:A,Sheet3!B:B)</f>
        <v>#N/A</v>
      </c>
      <c r="C9" s="2" t="s">
        <v>72</v>
      </c>
      <c r="D9" s="4" t="e">
        <f>_xlfn.XLOOKUP("bread",Sheet3!A:A,Sheet3!B:B)</f>
        <v>#N/A</v>
      </c>
      <c r="E9" s="2" t="s">
        <v>21</v>
      </c>
      <c r="F9" s="4" t="e">
        <f>_xlfn.XLOOKUP("peas",Sheet3!A:A,Sheet3!B:B)</f>
        <v>#N/A</v>
      </c>
    </row>
    <row r="10" spans="1:8" x14ac:dyDescent="0.3">
      <c r="A10" s="2" t="s">
        <v>22</v>
      </c>
      <c r="B10" s="4" t="e">
        <f>_xlfn.XLOOKUP("prawns_farmed",Sheet3!A:A,Sheet3!B:B)</f>
        <v>#N/A</v>
      </c>
      <c r="C10" s="2"/>
      <c r="D10" s="4"/>
      <c r="E10" s="2" t="s">
        <v>23</v>
      </c>
      <c r="F10" s="4" t="e">
        <f>_xlfn.XLOOKUP("soy_milk",Sheet3!A:A,Sheet3!B:B)</f>
        <v>#N/A</v>
      </c>
    </row>
    <row r="11" spans="1:8" x14ac:dyDescent="0.3">
      <c r="A11" s="2" t="s">
        <v>24</v>
      </c>
      <c r="B11" s="4" t="e">
        <f>_xlfn.XLOOKUP("fish_farmed",Sheet3!A:A,Sheet3!B:B)</f>
        <v>#N/A</v>
      </c>
      <c r="C11" s="2"/>
      <c r="D11" s="4"/>
      <c r="E11" s="2" t="s">
        <v>25</v>
      </c>
      <c r="F11" s="4" t="e">
        <f>_xlfn.XLOOKUP("olive_oil",Sheet3!A:A,Sheet3!B:B)</f>
        <v>#N/A</v>
      </c>
    </row>
    <row r="12" spans="1:8" x14ac:dyDescent="0.3">
      <c r="A12" s="2" t="s">
        <v>26</v>
      </c>
      <c r="B12" s="4" t="e">
        <f>_xlfn.XLOOKUP("fish_wildcatch",Sheet3!A:A,Sheet3!B:B)</f>
        <v>#N/A</v>
      </c>
      <c r="C12" s="2"/>
      <c r="D12" s="4"/>
      <c r="E12" s="2" t="s">
        <v>27</v>
      </c>
      <c r="F12" s="4" t="e">
        <f>_xlfn.XLOOKUP("milk",Sheet3!A:A,Sheet3!B:B)</f>
        <v>#N/A</v>
      </c>
    </row>
    <row r="13" spans="1:8" x14ac:dyDescent="0.3">
      <c r="A13" s="2" t="s">
        <v>28</v>
      </c>
      <c r="B13" s="4" t="e">
        <f>_xlfn.XLOOKUP("eggs",Sheet3!A:A,Sheet3!B:B)</f>
        <v>#N/A</v>
      </c>
      <c r="C13" s="2"/>
      <c r="D13" s="4"/>
      <c r="E13" s="2" t="s">
        <v>29</v>
      </c>
      <c r="F13" s="4" t="e">
        <f>_xlfn.XLOOKUP("groundnuts",Sheet3!A:A,Sheet3!B:B)</f>
        <v>#N/A</v>
      </c>
    </row>
    <row r="14" spans="1:8" x14ac:dyDescent="0.3">
      <c r="A14" s="2"/>
      <c r="B14" s="4"/>
      <c r="C14" s="2"/>
      <c r="D14" s="4"/>
      <c r="E14" s="2" t="s">
        <v>30</v>
      </c>
      <c r="F14" s="4" t="e">
        <f>_xlfn.XLOOKUP("bananas",Sheet3!A:A,Sheet3!B:B)</f>
        <v>#N/A</v>
      </c>
    </row>
    <row r="15" spans="1:8" x14ac:dyDescent="0.3">
      <c r="A15" s="2"/>
      <c r="B15" s="4"/>
      <c r="C15" s="2"/>
      <c r="D15" s="4"/>
      <c r="E15" s="2" t="s">
        <v>31</v>
      </c>
      <c r="F15" s="4" t="e">
        <f>_xlfn.XLOOKUP("root_vegetables",Sheet3!A:A,Sheet3!B:B)</f>
        <v>#N/A</v>
      </c>
    </row>
    <row r="16" spans="1:8" x14ac:dyDescent="0.3">
      <c r="A16" s="2"/>
      <c r="B16" s="4"/>
      <c r="C16" s="2"/>
      <c r="D16" s="4"/>
      <c r="E16" s="2" t="s">
        <v>32</v>
      </c>
      <c r="F16" s="4" t="e">
        <f>_xlfn.XLOOKUP("citrus_fruit",Sheet3!A:A,Sheet3!B:B)</f>
        <v>#N/A</v>
      </c>
    </row>
    <row r="17" spans="1:6" x14ac:dyDescent="0.3">
      <c r="A17" s="2"/>
      <c r="B17" s="4"/>
      <c r="C17" s="2"/>
      <c r="D17" s="4"/>
      <c r="E17" s="2" t="s">
        <v>33</v>
      </c>
      <c r="F17" s="4" t="e">
        <f>_xlfn.XLOOKUP("nuts",Sheet3!A:A,Sheet3!B:B)</f>
        <v>#N/A</v>
      </c>
    </row>
    <row r="19" spans="1:6" x14ac:dyDescent="0.3">
      <c r="A19" t="s">
        <v>3</v>
      </c>
      <c r="B19" t="e">
        <f>SUM(F4:F17)</f>
        <v>#N/A</v>
      </c>
      <c r="C19" t="s">
        <v>34</v>
      </c>
      <c r="D19" t="e">
        <f>B19*0.365</f>
        <v>#N/A</v>
      </c>
      <c r="E19" t="s">
        <v>35</v>
      </c>
    </row>
    <row r="20" spans="1:6" x14ac:dyDescent="0.3">
      <c r="A20" t="s">
        <v>36</v>
      </c>
      <c r="B20" t="e">
        <f>SUM(D4:D9)</f>
        <v>#N/A</v>
      </c>
      <c r="C20" t="s">
        <v>34</v>
      </c>
      <c r="D20" t="e">
        <f>B20*0.365</f>
        <v>#N/A</v>
      </c>
      <c r="E20" t="s">
        <v>35</v>
      </c>
    </row>
    <row r="21" spans="1:6" x14ac:dyDescent="0.3">
      <c r="A21" t="s">
        <v>1</v>
      </c>
      <c r="B21" t="e">
        <f>SUM(B4:B13)</f>
        <v>#N/A</v>
      </c>
      <c r="C21" t="s">
        <v>34</v>
      </c>
      <c r="D21" t="e">
        <f>B21*0.365</f>
        <v>#N/A</v>
      </c>
      <c r="E21" t="s">
        <v>35</v>
      </c>
    </row>
    <row r="23" spans="1:6" x14ac:dyDescent="0.3">
      <c r="A23" s="10" t="s">
        <v>37</v>
      </c>
      <c r="B23" s="11"/>
      <c r="C23" s="11"/>
      <c r="D23" s="11"/>
      <c r="E23" s="11"/>
      <c r="F23" s="9"/>
    </row>
    <row r="24" spans="1:6" x14ac:dyDescent="0.3">
      <c r="A24" s="8" t="s">
        <v>38</v>
      </c>
      <c r="B24" s="9"/>
      <c r="C24" s="8" t="s">
        <v>39</v>
      </c>
      <c r="D24" s="9"/>
      <c r="E24" s="8" t="s">
        <v>40</v>
      </c>
      <c r="F24" s="9"/>
    </row>
    <row r="25" spans="1:6" x14ac:dyDescent="0.3">
      <c r="A25" s="1" t="s">
        <v>37</v>
      </c>
      <c r="B25" s="3" t="s">
        <v>5</v>
      </c>
      <c r="C25" s="1" t="s">
        <v>37</v>
      </c>
      <c r="D25" s="3" t="s">
        <v>5</v>
      </c>
      <c r="E25" s="1" t="s">
        <v>37</v>
      </c>
      <c r="F25" s="3" t="s">
        <v>5</v>
      </c>
    </row>
    <row r="26" spans="1:6" x14ac:dyDescent="0.3">
      <c r="A26" s="2" t="s">
        <v>41</v>
      </c>
      <c r="B26" s="4" t="e">
        <f>_xlfn.XLOOKUP("bus",Sheet3!A:A,Sheet3!B:B)</f>
        <v>#N/A</v>
      </c>
      <c r="C26" s="2" t="s">
        <v>42</v>
      </c>
      <c r="D26" s="4" t="e">
        <f>_xlfn.XLOOKUP("mediumcar_petrol",Sheet3!A:A,Sheet3!B:B)</f>
        <v>#N/A</v>
      </c>
      <c r="E26" s="2" t="s">
        <v>43</v>
      </c>
      <c r="F26" s="4" t="e">
        <f>_xlfn.XLOOKUP("domestic_flight",Sheet3!A:A,Sheet3!B:B)</f>
        <v>#N/A</v>
      </c>
    </row>
    <row r="27" spans="1:6" x14ac:dyDescent="0.3">
      <c r="A27" s="2" t="s">
        <v>44</v>
      </c>
      <c r="B27" s="4" t="e">
        <f>_xlfn.XLOOKUP("national_rail",Sheet3!A:A,Sheet3!B:B)</f>
        <v>#N/A</v>
      </c>
      <c r="C27" s="2" t="s">
        <v>45</v>
      </c>
      <c r="D27" s="4" t="e">
        <f>_xlfn.XLOOKUP("mediumcar_diesel",Sheet3!A:A,Sheet3!B:B)</f>
        <v>#N/A</v>
      </c>
      <c r="E27" s="2" t="s">
        <v>46</v>
      </c>
      <c r="F27" s="4" t="e">
        <f>_xlfn.XLOOKUP("short_flight",Sheet3!A:A,Sheet3!B:B)</f>
        <v>#N/A</v>
      </c>
    </row>
    <row r="28" spans="1:6" x14ac:dyDescent="0.3">
      <c r="A28" s="2" t="s">
        <v>47</v>
      </c>
      <c r="B28" s="4" t="e">
        <f>_xlfn.XLOOKUP("ferry",Sheet3!A:A,Sheet3!B:B)</f>
        <v>#N/A</v>
      </c>
      <c r="C28" s="2" t="s">
        <v>48</v>
      </c>
      <c r="D28" s="4" t="e">
        <f>_xlfn.XLOOKUP("motorcycle",Sheet3!A:A,Sheet3!B:B)</f>
        <v>#N/A</v>
      </c>
      <c r="E28" s="2" t="s">
        <v>49</v>
      </c>
      <c r="F28" s="4" t="e">
        <f>_xlfn.XLOOKUP("long_flight",Sheet3!A:A,Sheet3!B:B)</f>
        <v>#N/A</v>
      </c>
    </row>
    <row r="29" spans="1:6" x14ac:dyDescent="0.3">
      <c r="A29" s="2" t="s">
        <v>50</v>
      </c>
      <c r="B29" s="4" t="e">
        <f>_xlfn.XLOOKUP("eurostar",Sheet3!A:A,Sheet3!B:B)</f>
        <v>#N/A</v>
      </c>
      <c r="C29" s="2" t="s">
        <v>51</v>
      </c>
      <c r="D29" s="4" t="e">
        <f>_xlfn.XLOOKUP("electric_vehicle",Sheet3!A:A,Sheet3!B:B)</f>
        <v>#N/A</v>
      </c>
      <c r="E29" s="2"/>
      <c r="F29" s="4"/>
    </row>
    <row r="31" spans="1:6" x14ac:dyDescent="0.3">
      <c r="A31" t="s">
        <v>40</v>
      </c>
      <c r="B31" t="e">
        <f>SUM(F26:F28)</f>
        <v>#N/A</v>
      </c>
      <c r="C31" t="s">
        <v>34</v>
      </c>
      <c r="D31" t="e">
        <f>B31*0.365</f>
        <v>#N/A</v>
      </c>
      <c r="E31" t="s">
        <v>35</v>
      </c>
    </row>
    <row r="32" spans="1:6" x14ac:dyDescent="0.3">
      <c r="A32" t="s">
        <v>39</v>
      </c>
      <c r="B32" t="e">
        <f>SUM(D26:D29)</f>
        <v>#N/A</v>
      </c>
      <c r="C32" t="s">
        <v>34</v>
      </c>
      <c r="D32" t="e">
        <f>B32*0.365</f>
        <v>#N/A</v>
      </c>
      <c r="E32" t="s">
        <v>35</v>
      </c>
    </row>
    <row r="33" spans="1:6" x14ac:dyDescent="0.3">
      <c r="A33" t="s">
        <v>38</v>
      </c>
      <c r="B33" t="e">
        <f>SUM(B26:B29)</f>
        <v>#N/A</v>
      </c>
      <c r="C33" t="s">
        <v>34</v>
      </c>
      <c r="D33" t="e">
        <f>B33*0.365</f>
        <v>#N/A</v>
      </c>
      <c r="E33" t="s">
        <v>35</v>
      </c>
    </row>
    <row r="35" spans="1:6" x14ac:dyDescent="0.3">
      <c r="A35" s="10" t="s">
        <v>52</v>
      </c>
      <c r="B35" s="9"/>
      <c r="C35" s="5"/>
      <c r="D35" s="10" t="s">
        <v>53</v>
      </c>
      <c r="E35" s="9"/>
      <c r="F35" s="5"/>
    </row>
    <row r="36" spans="1:6" x14ac:dyDescent="0.3">
      <c r="A36" s="1" t="s">
        <v>54</v>
      </c>
      <c r="B36" s="3" t="s">
        <v>5</v>
      </c>
      <c r="D36" s="1" t="s">
        <v>55</v>
      </c>
      <c r="E36" s="3" t="s">
        <v>5</v>
      </c>
    </row>
    <row r="37" spans="1:6" x14ac:dyDescent="0.3">
      <c r="A37" s="2" t="s">
        <v>56</v>
      </c>
      <c r="B37" s="4" t="e">
        <f>_xlfn.XLOOKUP("refrigerator",Sheet3!A:A,Sheet3!B:B)</f>
        <v>#N/A</v>
      </c>
      <c r="D37" s="2" t="s">
        <v>57</v>
      </c>
      <c r="E37" s="4" t="e">
        <f>_xlfn.XLOOKUP("cotton_shirt",Sheet3!A:A,Sheet3!B:B)</f>
        <v>#N/A</v>
      </c>
    </row>
    <row r="38" spans="1:6" x14ac:dyDescent="0.3">
      <c r="A38" s="2" t="s">
        <v>58</v>
      </c>
      <c r="B38" s="4" t="e">
        <f>_xlfn.XLOOKUP("food_cooking",Sheet3!A:A,Sheet3!B:B)</f>
        <v>#N/A</v>
      </c>
      <c r="D38" s="2" t="s">
        <v>59</v>
      </c>
      <c r="E38" s="4" t="e">
        <f>_xlfn.XLOOKUP("cotton_sweatjacket",Sheet3!A:A,Sheet3!B:B)</f>
        <v>#N/A</v>
      </c>
    </row>
    <row r="39" spans="1:6" x14ac:dyDescent="0.3">
      <c r="A39" s="2" t="s">
        <v>60</v>
      </c>
      <c r="B39" s="4" t="e">
        <f>_xlfn.XLOOKUP("oven",Sheet3!A:A,Sheet3!B:B)</f>
        <v>#N/A</v>
      </c>
      <c r="D39" s="2" t="s">
        <v>61</v>
      </c>
      <c r="E39" s="4" t="e">
        <f>_xlfn.XLOOKUP("acrylic_jacket",Sheet3!A:A,Sheet3!B:B)</f>
        <v>#N/A</v>
      </c>
    </row>
    <row r="40" spans="1:6" x14ac:dyDescent="0.3">
      <c r="A40" s="2" t="s">
        <v>62</v>
      </c>
      <c r="B40" s="4" t="e">
        <f>_xlfn.XLOOKUP("washing_machine",Sheet3!A:A,Sheet3!B:B)</f>
        <v>#N/A</v>
      </c>
      <c r="D40" s="2" t="s">
        <v>63</v>
      </c>
      <c r="E40" s="4" t="e">
        <f>_xlfn.XLOOKUP("woolen_sweater",Sheet3!A:A,Sheet3!B:B)</f>
        <v>#N/A</v>
      </c>
    </row>
    <row r="41" spans="1:6" x14ac:dyDescent="0.3">
      <c r="A41" s="2" t="s">
        <v>64</v>
      </c>
      <c r="B41" s="4" t="e">
        <f>_xlfn.XLOOKUP("shower",Sheet3!A:A,Sheet3!B:B)</f>
        <v>#N/A</v>
      </c>
      <c r="D41" s="2" t="s">
        <v>65</v>
      </c>
      <c r="E41" s="4" t="e">
        <f>_xlfn.XLOOKUP("polyester_shirt",Sheet3!A:A,Sheet3!B:B)</f>
        <v>#N/A</v>
      </c>
    </row>
    <row r="42" spans="1:6" x14ac:dyDescent="0.3">
      <c r="A42" s="2" t="s">
        <v>66</v>
      </c>
      <c r="B42" s="4" t="e">
        <f>_xlfn.XLOOKUP("laptop",Sheet3!A:A,Sheet3!B:B)</f>
        <v>#N/A</v>
      </c>
      <c r="D42" s="2" t="s">
        <v>67</v>
      </c>
      <c r="E42" s="4" t="e">
        <f>_xlfn.XLOOKUP("jeans",Sheet3!A:A,Sheet3!B:B)</f>
        <v>#N/A</v>
      </c>
    </row>
    <row r="43" spans="1:6" x14ac:dyDescent="0.3">
      <c r="A43" s="2" t="s">
        <v>68</v>
      </c>
      <c r="B43" s="4" t="e">
        <f>_xlfn.XLOOKUP("smartphone",Sheet3!A:A,Sheet3!B:B)</f>
        <v>#N/A</v>
      </c>
    </row>
    <row r="44" spans="1:6" x14ac:dyDescent="0.3">
      <c r="A44" s="2" t="s">
        <v>69</v>
      </c>
      <c r="B44" s="4" t="e">
        <f>_xlfn.XLOOKUP("heating",Sheet3!A:A,Sheet3!B:B)</f>
        <v>#N/A</v>
      </c>
    </row>
    <row r="45" spans="1:6" x14ac:dyDescent="0.3">
      <c r="A45" s="2" t="s">
        <v>73</v>
      </c>
      <c r="B45" s="4" t="e">
        <f>_xlfn.XLOOKUP("cooling",Sheet3!A:A,Sheet3!B:B)</f>
        <v>#N/A</v>
      </c>
    </row>
    <row r="46" spans="1:6" x14ac:dyDescent="0.3">
      <c r="A46" s="7" t="s">
        <v>0</v>
      </c>
      <c r="B46" t="e">
        <f>SUM(B4:B13,D4:D9,F4:F17)</f>
        <v>#N/A</v>
      </c>
      <c r="C46" t="s">
        <v>34</v>
      </c>
      <c r="D46" t="e">
        <f>B46*0.365</f>
        <v>#N/A</v>
      </c>
      <c r="E46" t="s">
        <v>35</v>
      </c>
    </row>
    <row r="47" spans="1:6" x14ac:dyDescent="0.3">
      <c r="A47" s="7" t="s">
        <v>37</v>
      </c>
      <c r="B47" t="e">
        <f>SUM(B26:B29,D26:D29,F26:F28)</f>
        <v>#N/A</v>
      </c>
      <c r="C47" t="s">
        <v>34</v>
      </c>
      <c r="D47" t="e">
        <f>B47*0.365</f>
        <v>#N/A</v>
      </c>
      <c r="E47" t="s">
        <v>35</v>
      </c>
    </row>
    <row r="48" spans="1:6" x14ac:dyDescent="0.3">
      <c r="A48" s="7" t="s">
        <v>53</v>
      </c>
      <c r="B48" t="e">
        <f>SUM(E37:E42)</f>
        <v>#N/A</v>
      </c>
      <c r="C48" t="s">
        <v>34</v>
      </c>
      <c r="D48" t="e">
        <f>B48*0.365</f>
        <v>#N/A</v>
      </c>
      <c r="E48" t="s">
        <v>35</v>
      </c>
    </row>
    <row r="49" spans="1:8" x14ac:dyDescent="0.3">
      <c r="A49" s="7" t="s">
        <v>52</v>
      </c>
      <c r="B49" t="e">
        <f>SUM(B37:B45)</f>
        <v>#N/A</v>
      </c>
      <c r="C49" t="s">
        <v>34</v>
      </c>
      <c r="D49" t="e">
        <f>B49*0.365</f>
        <v>#N/A</v>
      </c>
      <c r="E49" t="s">
        <v>35</v>
      </c>
    </row>
    <row r="51" spans="1:8" x14ac:dyDescent="0.3">
      <c r="D51" s="6" t="s">
        <v>70</v>
      </c>
      <c r="E51" t="e">
        <f>SUM(B48,B49,B47,B46)</f>
        <v>#N/A</v>
      </c>
      <c r="F51" t="s">
        <v>34</v>
      </c>
      <c r="G51" t="e">
        <f>E51*0.365</f>
        <v>#N/A</v>
      </c>
      <c r="H51" t="s">
        <v>35</v>
      </c>
    </row>
  </sheetData>
  <mergeCells count="10">
    <mergeCell ref="A1:F1"/>
    <mergeCell ref="A2:B2"/>
    <mergeCell ref="C2:D2"/>
    <mergeCell ref="E2:F2"/>
    <mergeCell ref="A23:F23"/>
    <mergeCell ref="A24:B24"/>
    <mergeCell ref="C24:D24"/>
    <mergeCell ref="E24:F24"/>
    <mergeCell ref="A35:B35"/>
    <mergeCell ref="D35:E35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B1" workbookViewId="0">
      <selection activeCell="V6" sqref="V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12" sqref="G12"/>
    </sheetView>
  </sheetViews>
  <sheetFormatPr defaultRowHeight="14.4" x14ac:dyDescent="0.3"/>
  <cols>
    <col min="1" max="1" width="12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Tables</vt:lpstr>
      <vt:lpstr>Graphs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valerio.nardomarino</dc:creator>
  <cp:lastModifiedBy>Pietro Gradi</cp:lastModifiedBy>
  <dcterms:created xsi:type="dcterms:W3CDTF">2015-06-05T18:17:20Z</dcterms:created>
  <dcterms:modified xsi:type="dcterms:W3CDTF">2023-07-09T09:48:12Z</dcterms:modified>
</cp:coreProperties>
</file>