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/>
  <mc:AlternateContent xmlns:mc="http://schemas.openxmlformats.org/markup-compatibility/2006">
    <mc:Choice Requires="x15">
      <x15ac:absPath xmlns:x15ac="http://schemas.microsoft.com/office/spreadsheetml/2010/11/ac" url="C:\Users\Utente\PycharmProjects\CarbonFootprintWebApp\CarbonFootprint_site\"/>
    </mc:Choice>
  </mc:AlternateContent>
  <xr:revisionPtr revIDLastSave="0" documentId="13_ncr:1_{0A6D4FEE-B17B-4F2A-AA47-81BA6234B35B}" xr6:coauthVersionLast="36" xr6:coauthVersionMax="36" xr10:uidLastSave="{00000000-0000-0000-0000-000000000000}"/>
  <bookViews>
    <workbookView xWindow="-105" yWindow="-105" windowWidth="23250" windowHeight="12450" xr2:uid="{00000000-000D-0000-FFFF-FFFF00000000}"/>
  </bookViews>
  <sheets>
    <sheet name="Tables" sheetId="1" r:id="rId1"/>
    <sheet name="Graphs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F17" i="1" l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D6" i="1"/>
  <c r="D5" i="1"/>
  <c r="D4" i="1"/>
  <c r="D7" i="1"/>
  <c r="B13" i="1"/>
  <c r="B12" i="1"/>
  <c r="B11" i="1"/>
  <c r="B10" i="1"/>
  <c r="B9" i="1"/>
  <c r="B8" i="1"/>
  <c r="B7" i="1"/>
  <c r="B6" i="1"/>
  <c r="B5" i="1"/>
  <c r="B4" i="1"/>
  <c r="E42" i="1"/>
  <c r="E41" i="1"/>
  <c r="E40" i="1"/>
  <c r="E39" i="1"/>
  <c r="E38" i="1"/>
  <c r="E37" i="1"/>
  <c r="B44" i="1"/>
  <c r="B43" i="1"/>
  <c r="B42" i="1"/>
  <c r="B41" i="1"/>
  <c r="B40" i="1"/>
  <c r="B39" i="1"/>
  <c r="B38" i="1"/>
  <c r="B37" i="1"/>
  <c r="B29" i="1"/>
  <c r="B28" i="1"/>
  <c r="B27" i="1"/>
  <c r="B26" i="1"/>
  <c r="F28" i="1"/>
  <c r="F27" i="1"/>
  <c r="F26" i="1"/>
  <c r="D26" i="1"/>
  <c r="B32" i="1" s="1"/>
  <c r="D32" i="1" s="1"/>
  <c r="D27" i="1"/>
  <c r="D28" i="1"/>
  <c r="D29" i="1"/>
  <c r="B19" i="1" l="1"/>
  <c r="D19" i="1" s="1"/>
  <c r="B20" i="1"/>
  <c r="D20" i="1" s="1"/>
  <c r="B46" i="1"/>
  <c r="D46" i="1" s="1"/>
  <c r="B48" i="1"/>
  <c r="B49" i="1"/>
  <c r="D49" i="1" s="1"/>
  <c r="B33" i="1"/>
  <c r="D33" i="1" s="1"/>
  <c r="B31" i="1"/>
  <c r="D31" i="1" s="1"/>
  <c r="B47" i="1"/>
  <c r="D47" i="1" s="1"/>
  <c r="B21" i="1"/>
  <c r="D21" i="1" s="1"/>
  <c r="E51" i="1" l="1"/>
  <c r="G51" i="1" s="1"/>
  <c r="D48" i="1"/>
</calcChain>
</file>

<file path=xl/sharedStrings.xml><?xml version="1.0" encoding="utf-8"?>
<sst xmlns="http://schemas.openxmlformats.org/spreadsheetml/2006/main" count="167" uniqueCount="125">
  <si>
    <t>DIET</t>
  </si>
  <si>
    <t>PROTEINS</t>
  </si>
  <si>
    <t>CARBOHYDRATES</t>
  </si>
  <si>
    <t>VEGETABLES &amp; OTHERS</t>
  </si>
  <si>
    <t>FOOD</t>
  </si>
  <si>
    <t>VALUE</t>
  </si>
  <si>
    <t>Results are expressed in kgCO2/day</t>
  </si>
  <si>
    <t>Beef (beef herd)</t>
  </si>
  <si>
    <t>Wheat &amp; Rye</t>
  </si>
  <si>
    <t>Apples</t>
  </si>
  <si>
    <t>Lumb &amp; Mutton</t>
  </si>
  <si>
    <t>Maize (corn)</t>
  </si>
  <si>
    <t>Chocolate</t>
  </si>
  <si>
    <t>Chees</t>
  </si>
  <si>
    <t>Rice</t>
  </si>
  <si>
    <t>Coffe</t>
  </si>
  <si>
    <t>Beef (dairy herd)</t>
  </si>
  <si>
    <t>Cane sugar</t>
  </si>
  <si>
    <t>Tomatoes</t>
  </si>
  <si>
    <t>Poultry meat</t>
  </si>
  <si>
    <t>Pig meat</t>
  </si>
  <si>
    <t>Peas</t>
  </si>
  <si>
    <t>Prawns (farmed)</t>
  </si>
  <si>
    <t>Soy milk</t>
  </si>
  <si>
    <t>Fish (farmed)</t>
  </si>
  <si>
    <t>Olive oil</t>
  </si>
  <si>
    <t>Fish (wild catch)</t>
  </si>
  <si>
    <t>Milk</t>
  </si>
  <si>
    <t>Eggs</t>
  </si>
  <si>
    <t>Groundnuts</t>
  </si>
  <si>
    <t>Bananas</t>
  </si>
  <si>
    <t>Root vegetables</t>
  </si>
  <si>
    <t>Citrus fruit</t>
  </si>
  <si>
    <t>Nuts</t>
  </si>
  <si>
    <t>kgCO2/day</t>
  </si>
  <si>
    <t>tCO2/year</t>
  </si>
  <si>
    <t>CARBOHYDARATES</t>
  </si>
  <si>
    <t>TRANSPORT</t>
  </si>
  <si>
    <t>PUBLIC TRANSPORT</t>
  </si>
  <si>
    <t>MIT</t>
  </si>
  <si>
    <t>AIR</t>
  </si>
  <si>
    <t>Bus</t>
  </si>
  <si>
    <t>Medium car petrol</t>
  </si>
  <si>
    <t>Domestic flight</t>
  </si>
  <si>
    <t>National rail</t>
  </si>
  <si>
    <t>Medium car diesel</t>
  </si>
  <si>
    <t>Short-haul flight</t>
  </si>
  <si>
    <t>Ferry (foot passenger)</t>
  </si>
  <si>
    <t>Motorcycle</t>
  </si>
  <si>
    <t>Long-haul flight</t>
  </si>
  <si>
    <t>Eurostar (international rail)</t>
  </si>
  <si>
    <t>Medium electric vehicle</t>
  </si>
  <si>
    <t>HOME</t>
  </si>
  <si>
    <t>TEXTILES</t>
  </si>
  <si>
    <t>APPLIANCE</t>
  </si>
  <si>
    <t>CLOTH</t>
  </si>
  <si>
    <t>Refrigerator</t>
  </si>
  <si>
    <t>Cotton shirt</t>
  </si>
  <si>
    <t>Food cooking</t>
  </si>
  <si>
    <t>Cotton sweat jacket</t>
  </si>
  <si>
    <t>Oven</t>
  </si>
  <si>
    <t>Acrylic jacket</t>
  </si>
  <si>
    <t>Washing machine</t>
  </si>
  <si>
    <t>Woolen sweater</t>
  </si>
  <si>
    <t>Shower</t>
  </si>
  <si>
    <t>Polyester shirt</t>
  </si>
  <si>
    <t>Laptop</t>
  </si>
  <si>
    <t>Jeans</t>
  </si>
  <si>
    <t>Smartphone</t>
  </si>
  <si>
    <t>Heating</t>
  </si>
  <si>
    <t>TOTAL</t>
  </si>
  <si>
    <t>beef_herd</t>
  </si>
  <si>
    <t>lumb_mutton</t>
  </si>
  <si>
    <t>cheese</t>
  </si>
  <si>
    <t>beef_dairy</t>
  </si>
  <si>
    <t>chocolate</t>
  </si>
  <si>
    <t>coffee</t>
  </si>
  <si>
    <t>prawns_farmed</t>
  </si>
  <si>
    <t>pig_meat</t>
  </si>
  <si>
    <t>wheat_rye</t>
  </si>
  <si>
    <t>tomatoes</t>
  </si>
  <si>
    <t>maize</t>
  </si>
  <si>
    <t>peas</t>
  </si>
  <si>
    <t>soy_milk</t>
  </si>
  <si>
    <t>poultry_meat</t>
  </si>
  <si>
    <t>olive_oil</t>
  </si>
  <si>
    <t>fish_farmed</t>
  </si>
  <si>
    <t>pasta</t>
  </si>
  <si>
    <t>bread</t>
  </si>
  <si>
    <t>eggs</t>
  </si>
  <si>
    <t>rice</t>
  </si>
  <si>
    <t>fish_wildcatch</t>
  </si>
  <si>
    <t>milk</t>
  </si>
  <si>
    <t>cane_sugar</t>
  </si>
  <si>
    <t>groundnuts</t>
  </si>
  <si>
    <t>bananas</t>
  </si>
  <si>
    <t>root_vegetables</t>
  </si>
  <si>
    <t>apples</t>
  </si>
  <si>
    <t>citrus_fruit</t>
  </si>
  <si>
    <t>nuts</t>
  </si>
  <si>
    <t>domestic_flight</t>
  </si>
  <si>
    <t>mediumcar_petrol</t>
  </si>
  <si>
    <t>mediumcar_diesel</t>
  </si>
  <si>
    <t>short_flight</t>
  </si>
  <si>
    <t>long_flight</t>
  </si>
  <si>
    <t>bus</t>
  </si>
  <si>
    <t>motorcycle</t>
  </si>
  <si>
    <t>electric_vehicle</t>
  </si>
  <si>
    <t>national_rail</t>
  </si>
  <si>
    <t>ferry</t>
  </si>
  <si>
    <t>eurostar</t>
  </si>
  <si>
    <t>refrigerator</t>
  </si>
  <si>
    <t>food_cooking</t>
  </si>
  <si>
    <t>oven</t>
  </si>
  <si>
    <t>washing_machine</t>
  </si>
  <si>
    <t>personal_cleaning</t>
  </si>
  <si>
    <t>laptop</t>
  </si>
  <si>
    <t>smartphone</t>
  </si>
  <si>
    <t>heating</t>
  </si>
  <si>
    <t>cotton_shirt</t>
  </si>
  <si>
    <t>cotton_sweatjacket</t>
  </si>
  <si>
    <t>acrylic_jacket</t>
  </si>
  <si>
    <t>woolen_sweater</t>
  </si>
  <si>
    <t>polyester_shirt</t>
  </si>
  <si>
    <t>jeans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</si>
</sst>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0" borderId="0" xfId="0" applyAlignment="1">
      <alignment vertical="center"/>
    </xf>
    <xf numFmtId="0" fontId="1" fillId="5" borderId="0" xfId="0" applyFont="1" applyFill="1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0" borderId="2" xfId="0" applyBorder="1"/>
    <xf numFmtId="0" fontId="0" fillId="2" borderId="1" xfId="0" applyFill="1" applyBorder="1" applyAlignment="1">
      <alignment horizontal="center" vertical="center"/>
    </xf>
    <xf numFmtId="0" fontId="0" fillId="0" borderId="3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CARBOHYDRATES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6B28-45C3-A91D-3A83063A2D7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6B28-45C3-A91D-3A83063A2D7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6B28-45C3-A91D-3A83063A2D7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6B28-45C3-A91D-3A83063A2D76}"/>
              </c:ext>
            </c:extLst>
          </c:dPt>
          <c:cat>
            <c:strRef>
              <c:f>Tables!$C$4:$C$7</c:f>
              <c:strCache>
                <c:ptCount val="4"/>
                <c:pt idx="0">
                  <c:v>Wheat &amp; Rye</c:v>
                </c:pt>
                <c:pt idx="1">
                  <c:v>Maize (corn)</c:v>
                </c:pt>
                <c:pt idx="2">
                  <c:v>Rice</c:v>
                </c:pt>
                <c:pt idx="3">
                  <c:v>Cane sugar</c:v>
                </c:pt>
              </c:strCache>
            </c:strRef>
          </c:cat>
          <c:val>
            <c:numRef>
              <c:f>Tables!$D$4:$D$7</c:f>
              <c:numCache>
                <c:formatCode>General</c:formatCode>
                <c:ptCount val="4"/>
                <c:pt idx="0">
                  <c:v>0</c:v>
                </c:pt>
                <c:pt idx="1">
                  <c:v>5.7142857142857136E-4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B28-45C3-A91D-3A83063A2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TEXTILES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533E-4871-B022-0CDE31D1FA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533E-4871-B022-0CDE31D1FA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533E-4871-B022-0CDE31D1FA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533E-4871-B022-0CDE31D1FA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9-533E-4871-B022-0CDE31D1FA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B-533E-4871-B022-0CDE31D1FAEA}"/>
              </c:ext>
            </c:extLst>
          </c:dPt>
          <c:cat>
            <c:strRef>
              <c:f>Tables!$D$37:$D$42</c:f>
              <c:strCache>
                <c:ptCount val="6"/>
                <c:pt idx="0">
                  <c:v>Cotton shirt</c:v>
                </c:pt>
                <c:pt idx="1">
                  <c:v>Cotton sweat jacket</c:v>
                </c:pt>
                <c:pt idx="2">
                  <c:v>Acrylic jacket</c:v>
                </c:pt>
                <c:pt idx="3">
                  <c:v>Woolen sweater</c:v>
                </c:pt>
                <c:pt idx="4">
                  <c:v>Polyester shirt</c:v>
                </c:pt>
                <c:pt idx="5">
                  <c:v>Jeans</c:v>
                </c:pt>
              </c:strCache>
            </c:strRef>
          </c:cat>
          <c:val>
            <c:numRef>
              <c:f>Tables!$E$37:$E$42</c:f>
              <c:numCache>
                <c:formatCode>General</c:formatCode>
                <c:ptCount val="6"/>
                <c:pt idx="0">
                  <c:v>0</c:v>
                </c:pt>
                <c:pt idx="1">
                  <c:v>0.18383561643835619</c:v>
                </c:pt>
                <c:pt idx="2">
                  <c:v>0</c:v>
                </c:pt>
                <c:pt idx="3">
                  <c:v>0</c:v>
                </c:pt>
                <c:pt idx="4">
                  <c:v>1.1180821917808219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3E-4871-B022-0CDE31D1F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1B03-4C16-885C-18CC25BD34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1B03-4C16-885C-18CC25BD34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1B03-4C16-885C-18CC25BD34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1B03-4C16-885C-18CC25BD348E}"/>
              </c:ext>
            </c:extLst>
          </c:dPt>
          <c:cat>
            <c:strRef>
              <c:f>Tables!$A$46:$A$49</c:f>
              <c:strCache>
                <c:ptCount val="4"/>
                <c:pt idx="0">
                  <c:v>DIET</c:v>
                </c:pt>
                <c:pt idx="1">
                  <c:v>TRANSPORT</c:v>
                </c:pt>
                <c:pt idx="2">
                  <c:v>TEXTILES</c:v>
                </c:pt>
                <c:pt idx="3">
                  <c:v>HOME</c:v>
                </c:pt>
              </c:strCache>
            </c:strRef>
          </c:cat>
          <c:val>
            <c:numRef>
              <c:f>Tables!$B$46:$B$49</c:f>
              <c:numCache>
                <c:formatCode>General</c:formatCode>
                <c:ptCount val="4"/>
                <c:pt idx="0">
                  <c:v>4.8285714285714279E-2</c:v>
                </c:pt>
                <c:pt idx="1">
                  <c:v>0.1228512720156556</c:v>
                </c:pt>
                <c:pt idx="2">
                  <c:v>1.301917808219178</c:v>
                </c:pt>
                <c:pt idx="3">
                  <c:v>1.41778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03-4C16-885C-18CC25BD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PROTEINS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7103-434A-BF87-E9558BEC5CD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7103-434A-BF87-E9558BEC5CD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7103-434A-BF87-E9558BEC5CD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7103-434A-BF87-E9558BEC5CD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9-7103-434A-BF87-E9558BEC5CD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B-7103-434A-BF87-E9558BEC5CD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D-7103-434A-BF87-E9558BEC5CD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F-7103-434A-BF87-E9558BEC5CD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1-7103-434A-BF87-E9558BEC5CD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3-7103-434A-BF87-E9558BEC5CDE}"/>
              </c:ext>
            </c:extLst>
          </c:dPt>
          <c:cat>
            <c:strRef>
              <c:f>Tables!$A$4:$A$13</c:f>
              <c:strCache>
                <c:ptCount val="10"/>
                <c:pt idx="0">
                  <c:v>Beef (beef herd)</c:v>
                </c:pt>
                <c:pt idx="1">
                  <c:v>Lumb &amp; Mutton</c:v>
                </c:pt>
                <c:pt idx="2">
                  <c:v>Chees</c:v>
                </c:pt>
                <c:pt idx="3">
                  <c:v>Beef (dairy herd)</c:v>
                </c:pt>
                <c:pt idx="4">
                  <c:v>Poultry meat</c:v>
                </c:pt>
                <c:pt idx="5">
                  <c:v>Pig meat</c:v>
                </c:pt>
                <c:pt idx="6">
                  <c:v>Prawns (farmed)</c:v>
                </c:pt>
                <c:pt idx="7">
                  <c:v>Fish (farmed)</c:v>
                </c:pt>
                <c:pt idx="8">
                  <c:v>Fish (wild catch)</c:v>
                </c:pt>
                <c:pt idx="9">
                  <c:v>Eggs</c:v>
                </c:pt>
              </c:strCache>
            </c:strRef>
          </c:cat>
          <c:val>
            <c:numRef>
              <c:f>Tables!$B$4:$B$13</c:f>
              <c:numCache>
                <c:formatCode>General</c:formatCode>
                <c:ptCount val="10"/>
                <c:pt idx="0">
                  <c:v>4.2857142857142858E-2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103-434A-BF87-E9558BEC5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VEGETABLES &amp; OTHERS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1552-4AC3-8A9B-171803D19D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1552-4AC3-8A9B-171803D19D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1552-4AC3-8A9B-171803D19D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1552-4AC3-8A9B-171803D19D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9-1552-4AC3-8A9B-171803D19D6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B-1552-4AC3-8A9B-171803D19D6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D-1552-4AC3-8A9B-171803D19D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F-1552-4AC3-8A9B-171803D19D6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1-1552-4AC3-8A9B-171803D19D6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3-1552-4AC3-8A9B-171803D19D6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5-1552-4AC3-8A9B-171803D19D6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7-1552-4AC3-8A9B-171803D19D6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9-1552-4AC3-8A9B-171803D19D6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1B-1552-4AC3-8A9B-171803D19D6C}"/>
              </c:ext>
            </c:extLst>
          </c:dPt>
          <c:cat>
            <c:strRef>
              <c:f>Tables!$E$4:$E$17</c:f>
              <c:strCache>
                <c:ptCount val="14"/>
                <c:pt idx="0">
                  <c:v>Apples</c:v>
                </c:pt>
                <c:pt idx="1">
                  <c:v>Chocolate</c:v>
                </c:pt>
                <c:pt idx="2">
                  <c:v>Coffe</c:v>
                </c:pt>
                <c:pt idx="3">
                  <c:v>Tomatoes</c:v>
                </c:pt>
                <c:pt idx="4">
                  <c:v>Maize (corn)</c:v>
                </c:pt>
                <c:pt idx="5">
                  <c:v>Peas</c:v>
                </c:pt>
                <c:pt idx="6">
                  <c:v>Soy milk</c:v>
                </c:pt>
                <c:pt idx="7">
                  <c:v>Olive oil</c:v>
                </c:pt>
                <c:pt idx="8">
                  <c:v>Milk</c:v>
                </c:pt>
                <c:pt idx="9">
                  <c:v>Groundnuts</c:v>
                </c:pt>
                <c:pt idx="10">
                  <c:v>Bananas</c:v>
                </c:pt>
                <c:pt idx="11">
                  <c:v>Root vegetables</c:v>
                </c:pt>
                <c:pt idx="12">
                  <c:v>Citrus fruit</c:v>
                </c:pt>
                <c:pt idx="13">
                  <c:v>Nuts</c:v>
                </c:pt>
              </c:strCache>
            </c:strRef>
          </c:cat>
          <c:val>
            <c:numRef>
              <c:f>Tables!$F$4:$F$17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5.7142857142857136E-4</c:v>
                </c:pt>
                <c:pt idx="5">
                  <c:v>0</c:v>
                </c:pt>
                <c:pt idx="6">
                  <c:v>0</c:v>
                </c:pt>
                <c:pt idx="7">
                  <c:v>4.2857142857142851E-3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552-4AC3-8A9B-171803D19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DIET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993F-4AF2-A47D-E84E020CAA2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993F-4AF2-A47D-E84E020CAA2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993F-4AF2-A47D-E84E020CAA29}"/>
              </c:ext>
            </c:extLst>
          </c:dPt>
          <c:cat>
            <c:strRef>
              <c:f>Tables!$A$19:$A$21</c:f>
              <c:strCache>
                <c:ptCount val="3"/>
                <c:pt idx="0">
                  <c:v>VEGETABLES &amp; OTHERS</c:v>
                </c:pt>
                <c:pt idx="1">
                  <c:v>CARBOHYDARATES</c:v>
                </c:pt>
                <c:pt idx="2">
                  <c:v>PROTEINS</c:v>
                </c:pt>
              </c:strCache>
            </c:strRef>
          </c:cat>
          <c:val>
            <c:numRef>
              <c:f>Tables!$B$19:$B$21</c:f>
              <c:numCache>
                <c:formatCode>General</c:formatCode>
                <c:ptCount val="3"/>
                <c:pt idx="0">
                  <c:v>4.8571428571428567E-3</c:v>
                </c:pt>
                <c:pt idx="1">
                  <c:v>5.7142857142857136E-4</c:v>
                </c:pt>
                <c:pt idx="2">
                  <c:v>4.2857142857142858E-2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3F-4AF2-A47D-E84E020CA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TRANSPORT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33E3-4C41-8FB5-775CD94954B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33E3-4C41-8FB5-775CD94954B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33E3-4C41-8FB5-775CD94954B4}"/>
              </c:ext>
            </c:extLst>
          </c:dPt>
          <c:cat>
            <c:strRef>
              <c:f>Tables!$A$31:$A$33</c:f>
              <c:strCache>
                <c:ptCount val="3"/>
                <c:pt idx="0">
                  <c:v>AIR</c:v>
                </c:pt>
                <c:pt idx="1">
                  <c:v>MIT</c:v>
                </c:pt>
                <c:pt idx="2">
                  <c:v>PUBLIC TRANSPORT</c:v>
                </c:pt>
              </c:strCache>
            </c:strRef>
          </c:cat>
          <c:val>
            <c:numRef>
              <c:f>Tables!$B$31:$B$33</c:f>
              <c:numCache>
                <c:formatCode>General</c:formatCode>
                <c:ptCount val="3"/>
                <c:pt idx="0">
                  <c:v>2.1369863013698631E-3</c:v>
                </c:pt>
                <c:pt idx="1">
                  <c:v>9.1428571428571442E-2</c:v>
                </c:pt>
                <c:pt idx="2">
                  <c:v>2.928571428571429E-2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C41-8FB5-775CD9495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PUBLIC</a:t>
            </a:r>
            <a:r>
              <a:rPr lang="it-IT" baseline="0"/>
              <a:t> TRANSPORT</a:t>
            </a:r>
            <a:endParaRPr lang="it-IT"/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7FDB-41F9-9837-A32894C244B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7FDB-41F9-9837-A32894C244B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7FDB-41F9-9837-A32894C244B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7FDB-41F9-9837-A32894C244BC}"/>
              </c:ext>
            </c:extLst>
          </c:dPt>
          <c:cat>
            <c:strRef>
              <c:f>Tables!$A$26:$A$29</c:f>
              <c:strCache>
                <c:ptCount val="4"/>
                <c:pt idx="0">
                  <c:v>Bus</c:v>
                </c:pt>
                <c:pt idx="1">
                  <c:v>National rail</c:v>
                </c:pt>
                <c:pt idx="2">
                  <c:v>Ferry (foot passenger)</c:v>
                </c:pt>
                <c:pt idx="3">
                  <c:v>Eurostar (international rail)</c:v>
                </c:pt>
              </c:strCache>
            </c:strRef>
          </c:cat>
          <c:val>
            <c:numRef>
              <c:f>Tables!$B$26:$B$29</c:f>
              <c:numCache>
                <c:formatCode>General</c:formatCode>
                <c:ptCount val="4"/>
                <c:pt idx="0">
                  <c:v>0</c:v>
                </c:pt>
                <c:pt idx="1">
                  <c:v>2.928571428571429E-2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FDB-41F9-9837-A32894C24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9071-45C5-9346-1C0F13082E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9071-45C5-9346-1C0F13082E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9071-45C5-9346-1C0F13082E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9071-45C5-9346-1C0F13082E48}"/>
              </c:ext>
            </c:extLst>
          </c:dPt>
          <c:cat>
            <c:strRef>
              <c:f>Tables!$C$26:$C$29</c:f>
              <c:strCache>
                <c:ptCount val="4"/>
                <c:pt idx="0">
                  <c:v>Medium car petrol</c:v>
                </c:pt>
                <c:pt idx="1">
                  <c:v>Medium car diesel</c:v>
                </c:pt>
                <c:pt idx="2">
                  <c:v>Motorcycle</c:v>
                </c:pt>
                <c:pt idx="3">
                  <c:v>Medium electric vehicle</c:v>
                </c:pt>
              </c:strCache>
            </c:strRef>
          </c:cat>
          <c:val>
            <c:numRef>
              <c:f>Tables!$D$26:$D$29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9.1428571428571442E-2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71-45C5-9346-1C0F13082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AIR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3D65-491F-BB4B-D2490E11E0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3D65-491F-BB4B-D2490E11E0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3D65-491F-BB4B-D2490E11E05E}"/>
              </c:ext>
            </c:extLst>
          </c:dPt>
          <c:cat>
            <c:strRef>
              <c:f>Tables!$E$26:$E$28</c:f>
              <c:strCache>
                <c:ptCount val="3"/>
                <c:pt idx="0">
                  <c:v>Domestic flight</c:v>
                </c:pt>
                <c:pt idx="1">
                  <c:v>Short-haul flight</c:v>
                </c:pt>
                <c:pt idx="2">
                  <c:v>Long-haul flight</c:v>
                </c:pt>
              </c:strCache>
            </c:strRef>
          </c:cat>
          <c:val>
            <c:numRef>
              <c:f>Tables!$F$26:$F$28</c:f>
              <c:numCache>
                <c:formatCode>General</c:formatCode>
                <c:ptCount val="3"/>
                <c:pt idx="0">
                  <c:v>0</c:v>
                </c:pt>
                <c:pt idx="1">
                  <c:v>2.1369863013698631E-3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65-491F-BB4B-D2490E11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HOME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view3D>
      <c:rotX val="15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1-1447-4846-A666-E3EBDB9B46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3-1447-4846-A666-E3EBDB9B46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5-1447-4846-A666-E3EBDB9B46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7-1447-4846-A666-E3EBDB9B46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9-1447-4846-A666-E3EBDB9B46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B-1447-4846-A666-E3EBDB9B466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D-1447-4846-A666-E3EBDB9B466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  <a:prstDash val="solid"/>
              </a:ln>
              <a:sp3d contourW="25400"/>
            </c:spPr>
            <c:extLst>
              <c:ext xmlns:c16="http://schemas.microsoft.com/office/drawing/2014/chart" uri="{C3380CC4-5D6E-409C-BE32-E72D297353CC}">
                <c16:uniqueId val="{0000000F-1447-4846-A666-E3EBDB9B4662}"/>
              </c:ext>
            </c:extLst>
          </c:dPt>
          <c:cat>
            <c:strRef>
              <c:f>Tables!$A$37:$A$44</c:f>
              <c:strCache>
                <c:ptCount val="8"/>
                <c:pt idx="0">
                  <c:v>Refrigerator</c:v>
                </c:pt>
                <c:pt idx="1">
                  <c:v>Food cooking</c:v>
                </c:pt>
                <c:pt idx="2">
                  <c:v>Oven</c:v>
                </c:pt>
                <c:pt idx="3">
                  <c:v>Washing machine</c:v>
                </c:pt>
                <c:pt idx="4">
                  <c:v>Shower</c:v>
                </c:pt>
                <c:pt idx="5">
                  <c:v>Laptop</c:v>
                </c:pt>
                <c:pt idx="6">
                  <c:v>Smartphone</c:v>
                </c:pt>
                <c:pt idx="7">
                  <c:v>Heating</c:v>
                </c:pt>
              </c:strCache>
            </c:strRef>
          </c:cat>
          <c:val>
            <c:numRef>
              <c:f>Tables!$B$37:$B$44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5.0479999999999997E-2</c:v>
                </c:pt>
                <c:pt idx="2">
                  <c:v>0</c:v>
                </c:pt>
                <c:pt idx="3">
                  <c:v>0.62829999999999997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0.59900000000000009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447-4846-A666-E3EBDB9B4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144780</xdr:colOff>
      <xdr:row>21</xdr:row>
      <xdr:rowOff>72390</xdr:rowOff>
    </xdr:from>
    <xdr:to>
      <xdr:col>15</xdr:col>
      <xdr:colOff>449580</xdr:colOff>
      <xdr:row>36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243840</xdr:colOff>
      <xdr:row>21</xdr:row>
      <xdr:rowOff>87630</xdr:rowOff>
    </xdr:from>
    <xdr:to>
      <xdr:col>7</xdr:col>
      <xdr:colOff>548640</xdr:colOff>
      <xdr:row>36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91440</xdr:colOff>
      <xdr:row>21</xdr:row>
      <xdr:rowOff>57150</xdr:rowOff>
    </xdr:from>
    <xdr:to>
      <xdr:col>23</xdr:col>
      <xdr:colOff>396240</xdr:colOff>
      <xdr:row>36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434340</xdr:colOff>
      <xdr:row>5</xdr:row>
      <xdr:rowOff>125730</xdr:rowOff>
    </xdr:from>
    <xdr:to>
      <xdr:col>16</xdr:col>
      <xdr:colOff>129540</xdr:colOff>
      <xdr:row>20</xdr:row>
      <xdr:rowOff>125730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266700</xdr:colOff>
      <xdr:row>37</xdr:row>
      <xdr:rowOff>57150</xdr:rowOff>
    </xdr:from>
    <xdr:to>
      <xdr:col>15</xdr:col>
      <xdr:colOff>571500</xdr:colOff>
      <xdr:row>52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152400</xdr:colOff>
      <xdr:row>53</xdr:row>
      <xdr:rowOff>26670</xdr:rowOff>
    </xdr:from>
    <xdr:to>
      <xdr:col>8</xdr:col>
      <xdr:colOff>457200</xdr:colOff>
      <xdr:row>68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60960</xdr:colOff>
      <xdr:row>53</xdr:row>
      <xdr:rowOff>34290</xdr:rowOff>
    </xdr:from>
    <xdr:to>
      <xdr:col>16</xdr:col>
      <xdr:colOff>365760</xdr:colOff>
      <xdr:row>68</xdr:row>
      <xdr:rowOff>34290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38100</xdr:colOff>
      <xdr:row>53</xdr:row>
      <xdr:rowOff>26670</xdr:rowOff>
    </xdr:from>
    <xdr:to>
      <xdr:col>24</xdr:col>
      <xdr:colOff>342900</xdr:colOff>
      <xdr:row>68</xdr:row>
      <xdr:rowOff>26670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335280</xdr:colOff>
      <xdr:row>71</xdr:row>
      <xdr:rowOff>140970</xdr:rowOff>
    </xdr:from>
    <xdr:to>
      <xdr:col>12</xdr:col>
      <xdr:colOff>30480</xdr:colOff>
      <xdr:row>86</xdr:row>
      <xdr:rowOff>140970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205740</xdr:colOff>
      <xdr:row>71</xdr:row>
      <xdr:rowOff>72390</xdr:rowOff>
    </xdr:from>
    <xdr:to>
      <xdr:col>20</xdr:col>
      <xdr:colOff>510540</xdr:colOff>
      <xdr:row>86</xdr:row>
      <xdr:rowOff>72390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556260</xdr:colOff>
      <xdr:row>88</xdr:row>
      <xdr:rowOff>133350</xdr:rowOff>
    </xdr:from>
    <xdr:to>
      <xdr:col>16</xdr:col>
      <xdr:colOff>251460</xdr:colOff>
      <xdr:row>103</xdr:row>
      <xdr:rowOff>133350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E17" sqref="E17"/>
    </sheetView>
  </sheetViews>
  <sheetFormatPr defaultRowHeight="15" x14ac:dyDescent="0.25"/>
  <cols>
    <col min="1" max="1" width="31.85546875" bestFit="1" customWidth="1"/>
    <col min="2" max="2" width="15.7109375" customWidth="1"/>
    <col min="3" max="3" width="28.140625" bestFit="1" customWidth="1"/>
    <col min="4" max="4" width="25.7109375" customWidth="1"/>
    <col min="5" max="5" width="31.85546875" bestFit="1" customWidth="1"/>
    <col min="6" max="6" width="15.7109375" customWidth="1"/>
    <col min="7" max="7" width="13.140625" customWidth="1"/>
    <col min="8" max="8" width="30.28515625" bestFit="1" customWidth="1"/>
  </cols>
  <sheetData>
    <row r="1" spans="1:8" x14ac:dyDescent="0.25">
      <c r="A1" s="10" t="s">
        <v>0</v>
      </c>
      <c r="B1" s="11"/>
      <c r="C1" s="11"/>
      <c r="D1" s="11"/>
      <c r="E1" s="11"/>
      <c r="F1" s="9"/>
    </row>
    <row r="2" spans="1:8" x14ac:dyDescent="0.25">
      <c r="A2" s="8" t="s">
        <v>1</v>
      </c>
      <c r="B2" s="9"/>
      <c r="C2" s="8" t="s">
        <v>2</v>
      </c>
      <c r="D2" s="9"/>
      <c r="E2" s="8" t="s">
        <v>3</v>
      </c>
      <c r="F2" s="9"/>
    </row>
    <row r="3" spans="1:8" x14ac:dyDescent="0.25">
      <c r="A3" s="1" t="s">
        <v>4</v>
      </c>
      <c r="B3" s="3" t="s">
        <v>5</v>
      </c>
      <c r="C3" s="1" t="s">
        <v>4</v>
      </c>
      <c r="D3" s="3" t="s">
        <v>5</v>
      </c>
      <c r="E3" s="1" t="s">
        <v>4</v>
      </c>
      <c r="F3" s="3" t="s">
        <v>5</v>
      </c>
      <c r="H3" t="s">
        <v>6</v>
      </c>
    </row>
    <row r="4" spans="1:8" x14ac:dyDescent="0.25">
      <c r="A4" s="2" t="s">
        <v>7</v>
      </c>
      <c r="B4" s="4">
        <f>SUMIF(Sheet3!A:A, "beef_herd", Sheet3!B:B)</f>
        <v>4.2857142857142858E-2</v>
      </c>
      <c r="C4" s="2" t="s">
        <v>8</v>
      </c>
      <c r="D4" s="4">
        <f>SUMIF(Sheet3!A:A, "wheat_rye", Sheet3!B:B)</f>
        <v>0</v>
      </c>
      <c r="E4" s="2" t="s">
        <v>9</v>
      </c>
      <c r="F4" s="4">
        <f>SUMIF(Sheet3!A:A, "apples", Sheet3!B:B)</f>
        <v>0</v>
      </c>
    </row>
    <row r="5" spans="1:8" x14ac:dyDescent="0.25">
      <c r="A5" s="2" t="s">
        <v>10</v>
      </c>
      <c r="B5" s="4">
        <f>SUMIF(Sheet3!A:A, "lumb_mutton", Sheet3!B:B)</f>
        <v>0</v>
      </c>
      <c r="C5" s="2" t="s">
        <v>11</v>
      </c>
      <c r="D5" s="4">
        <f>SUMIF(Sheet3!A:A, "maize",  Sheet3!B:B)</f>
        <v>5.7142857142857136E-4</v>
      </c>
      <c r="E5" s="2" t="s">
        <v>12</v>
      </c>
      <c r="F5" s="4">
        <f>SUMIF(Sheet3!A:A, "chocolate", Sheet3!B:B)</f>
        <v>0</v>
      </c>
    </row>
    <row r="6" spans="1:8" x14ac:dyDescent="0.25">
      <c r="A6" s="2" t="s">
        <v>13</v>
      </c>
      <c r="B6" s="4">
        <f>SUMIF(Sheet3!A:A, "cheese", Sheet3!B:B)</f>
        <v>0</v>
      </c>
      <c r="C6" s="2" t="s">
        <v>14</v>
      </c>
      <c r="D6" s="4">
        <f>SUMIF(Sheet3!A:A, "rice", Sheet3!B:B)</f>
        <v>0</v>
      </c>
      <c r="E6" s="2" t="s">
        <v>15</v>
      </c>
      <c r="F6" s="4">
        <f>SUMIF(Sheet3!A:A, "coffee", Sheet3!B:B)</f>
        <v>0</v>
      </c>
    </row>
    <row r="7" spans="1:8" x14ac:dyDescent="0.25">
      <c r="A7" s="2" t="s">
        <v>16</v>
      </c>
      <c r="B7" s="4">
        <f>SUMIF(Sheet3!A:A, "beef_dairy", Sheet3!B:B)</f>
        <v>0</v>
      </c>
      <c r="C7" s="2" t="s">
        <v>17</v>
      </c>
      <c r="D7" s="4">
        <f>SUMIF(Sheet3!A:A, "cane_sugar", Sheet3!B:B)</f>
        <v>0</v>
      </c>
      <c r="E7" s="2" t="s">
        <v>18</v>
      </c>
      <c r="F7" s="4">
        <f>SUMIF(Sheet3!A:A, "tomatoes", Sheet3!B:B)</f>
        <v>0</v>
      </c>
    </row>
    <row r="8" spans="1:8" x14ac:dyDescent="0.25">
      <c r="A8" s="2" t="s">
        <v>19</v>
      </c>
      <c r="B8" s="4">
        <f>SUMIF(Sheet3!A:A, "poultry_meat", Sheet3!B:B)</f>
        <v>0</v>
      </c>
      <c r="C8" s="2"/>
      <c r="D8" s="4"/>
      <c r="E8" s="2" t="s">
        <v>11</v>
      </c>
      <c r="F8" s="4">
        <f>SUMIF(Sheet3!A:A, "maize", Sheet3!B:B)</f>
        <v>5.7142857142857136E-4</v>
      </c>
    </row>
    <row r="9" spans="1:8" x14ac:dyDescent="0.25">
      <c r="A9" s="2" t="s">
        <v>20</v>
      </c>
      <c r="B9" s="4">
        <f>SUMIF(Sheet3!A:A, "pig_meat", Sheet3!B:B)</f>
        <v>0</v>
      </c>
      <c r="C9" s="2"/>
      <c r="D9" s="4"/>
      <c r="E9" s="2" t="s">
        <v>21</v>
      </c>
      <c r="F9" s="4">
        <f>SUMIF(Sheet3!A:A, "peas", Sheet3!B:B)</f>
        <v>0</v>
      </c>
    </row>
    <row r="10" spans="1:8" x14ac:dyDescent="0.25">
      <c r="A10" s="2" t="s">
        <v>22</v>
      </c>
      <c r="B10" s="4">
        <f>SUMIF(Sheet3!A:A, "prawns_farmed", Sheet3!B:B)</f>
        <v>0</v>
      </c>
      <c r="C10" s="2"/>
      <c r="D10" s="4"/>
      <c r="E10" s="2" t="s">
        <v>23</v>
      </c>
      <c r="F10" s="4">
        <f>SUMIF(Sheet3!A:A, "soy_milk", Sheet3!B:B)</f>
        <v>0</v>
      </c>
    </row>
    <row r="11" spans="1:8" x14ac:dyDescent="0.25">
      <c r="A11" s="2" t="s">
        <v>24</v>
      </c>
      <c r="B11" s="4">
        <f>SUMIF(Sheet3!A:A, "fish_farmed", Sheet3!B:B)</f>
        <v>0</v>
      </c>
      <c r="C11" s="2"/>
      <c r="D11" s="4"/>
      <c r="E11" s="2" t="s">
        <v>25</v>
      </c>
      <c r="F11" s="4">
        <f>SUMIF(Sheet3!A:A, "olive_oil", Sheet3!B:B)</f>
        <v>4.2857142857142851E-3</v>
      </c>
    </row>
    <row r="12" spans="1:8" x14ac:dyDescent="0.25">
      <c r="A12" s="2" t="s">
        <v>26</v>
      </c>
      <c r="B12" s="4">
        <f>SUMIF(Sheet3!A:A, "fish_wildcatch", Sheet3!B:B)</f>
        <v>0</v>
      </c>
      <c r="C12" s="2"/>
      <c r="D12" s="4"/>
      <c r="E12" s="2" t="s">
        <v>27</v>
      </c>
      <c r="F12" s="4">
        <f>SUMIF(Sheet3!A:A, "milk", Sheet3!B:B)</f>
        <v>0</v>
      </c>
    </row>
    <row r="13" spans="1:8" x14ac:dyDescent="0.25">
      <c r="A13" s="2" t="s">
        <v>28</v>
      </c>
      <c r="B13" s="4">
        <f>SUMIF(Sheet3!A:A, "eggs", Sheet3!B:B)</f>
        <v>0</v>
      </c>
      <c r="C13" s="2"/>
      <c r="D13" s="4"/>
      <c r="E13" s="2" t="s">
        <v>29</v>
      </c>
      <c r="F13" s="4">
        <f>SUMIF(Sheet3!A:A, "groundnuts", Sheet3!B:B)</f>
        <v>0</v>
      </c>
    </row>
    <row r="14" spans="1:8" x14ac:dyDescent="0.25">
      <c r="A14" s="2"/>
      <c r="B14" s="4"/>
      <c r="C14" s="2"/>
      <c r="D14" s="4"/>
      <c r="E14" s="2" t="s">
        <v>30</v>
      </c>
      <c r="F14" s="4">
        <f>SUMIF(Sheet3!A:A, "bananas", Sheet3!B:B)</f>
        <v>0</v>
      </c>
    </row>
    <row r="15" spans="1:8" x14ac:dyDescent="0.25">
      <c r="A15" s="2"/>
      <c r="B15" s="4"/>
      <c r="C15" s="2"/>
      <c r="D15" s="4"/>
      <c r="E15" s="2" t="s">
        <v>31</v>
      </c>
      <c r="F15" s="4">
        <f>SUMIF(Sheet3!A:A, "root_vegetables", Sheet3!B:B)</f>
        <v>0</v>
      </c>
    </row>
    <row r="16" spans="1:8" x14ac:dyDescent="0.25">
      <c r="A16" s="2"/>
      <c r="B16" s="4"/>
      <c r="C16" s="2"/>
      <c r="D16" s="4"/>
      <c r="E16" s="2" t="s">
        <v>32</v>
      </c>
      <c r="F16" s="4">
        <f>SUMIF(Sheet3!A:A, "citrus_fruit", Sheet3!B:B)</f>
        <v>0</v>
      </c>
    </row>
    <row r="17" spans="1:6" x14ac:dyDescent="0.25">
      <c r="A17" s="2"/>
      <c r="B17" s="4"/>
      <c r="C17" s="2"/>
      <c r="D17" s="4"/>
      <c r="E17" s="2" t="s">
        <v>33</v>
      </c>
      <c r="F17" s="4">
        <f>SUMIF(Sheet3!A:A, "nuts", Sheet3!B:B)</f>
        <v>0</v>
      </c>
    </row>
    <row r="19" spans="1:6" x14ac:dyDescent="0.25">
      <c r="A19" t="s">
        <v>3</v>
      </c>
      <c r="B19">
        <f>SUM(F4:F17)</f>
        <v>4.8571428571428567E-3</v>
      </c>
      <c r="C19" t="s">
        <v>34</v>
      </c>
      <c r="D19">
        <f>B19*0.365</f>
        <v>1.7728571428571426E-3</v>
      </c>
      <c r="E19" t="s">
        <v>35</v>
      </c>
    </row>
    <row r="20" spans="1:6" x14ac:dyDescent="0.25">
      <c r="A20" t="s">
        <v>36</v>
      </c>
      <c r="B20">
        <f>SUM(D4:D7)</f>
        <v>5.7142857142857136E-4</v>
      </c>
      <c r="C20" t="s">
        <v>34</v>
      </c>
      <c r="D20">
        <f>B20*0.365</f>
        <v>2.0857142857142854E-4</v>
      </c>
      <c r="E20" t="s">
        <v>35</v>
      </c>
    </row>
    <row r="21" spans="1:6" x14ac:dyDescent="0.25">
      <c r="A21" t="s">
        <v>1</v>
      </c>
      <c r="B21">
        <f>SUM(B4:B13)</f>
        <v>4.2857142857142858E-2</v>
      </c>
      <c r="C21" t="s">
        <v>34</v>
      </c>
      <c r="D21">
        <f>B21*0.365</f>
        <v>1.5642857142857142E-2</v>
      </c>
      <c r="E21" t="s">
        <v>35</v>
      </c>
    </row>
    <row r="23" spans="1:6" x14ac:dyDescent="0.25">
      <c r="A23" s="10" t="s">
        <v>37</v>
      </c>
      <c r="B23" s="11"/>
      <c r="C23" s="11"/>
      <c r="D23" s="11"/>
      <c r="E23" s="11"/>
      <c r="F23" s="9"/>
    </row>
    <row r="24" spans="1:6" x14ac:dyDescent="0.25">
      <c r="A24" s="8" t="s">
        <v>38</v>
      </c>
      <c r="B24" s="9"/>
      <c r="C24" s="8" t="s">
        <v>39</v>
      </c>
      <c r="D24" s="9"/>
      <c r="E24" s="8" t="s">
        <v>40</v>
      </c>
      <c r="F24" s="9"/>
    </row>
    <row r="25" spans="1:6" x14ac:dyDescent="0.25">
      <c r="A25" s="1" t="s">
        <v>37</v>
      </c>
      <c r="B25" s="3" t="s">
        <v>5</v>
      </c>
      <c r="C25" s="1" t="s">
        <v>37</v>
      </c>
      <c r="D25" s="3" t="s">
        <v>5</v>
      </c>
      <c r="E25" s="1" t="s">
        <v>37</v>
      </c>
      <c r="F25" s="3" t="s">
        <v>5</v>
      </c>
    </row>
    <row r="26" spans="1:6" x14ac:dyDescent="0.25">
      <c r="A26" s="2" t="s">
        <v>41</v>
      </c>
      <c r="B26" s="4">
        <f>SUMIF(Sheet3!A:A, "bus", Sheet3!B:B)</f>
        <v>0</v>
      </c>
      <c r="C26" s="2" t="s">
        <v>42</v>
      </c>
      <c r="D26" s="4">
        <f>SUMIF(Sheet3!A:A,"mediumcar_petrol",Sheet3!B:B)</f>
        <v>0</v>
      </c>
      <c r="E26" s="2" t="s">
        <v>43</v>
      </c>
      <c r="F26" s="4">
        <f>SUMIF(Sheet3!A:A,"domestic_flight",Sheet3!B:B)</f>
        <v>0</v>
      </c>
    </row>
    <row r="27" spans="1:6" x14ac:dyDescent="0.25">
      <c r="A27" s="2" t="s">
        <v>44</v>
      </c>
      <c r="B27" s="4">
        <f>SUMIF(Sheet3!A:A, "national_rail", Sheet3!B:B)</f>
        <v>2.928571428571429E-2</v>
      </c>
      <c r="C27" s="2" t="s">
        <v>45</v>
      </c>
      <c r="D27" s="4">
        <f>SUMIF(Sheet3!A:A,"mediumcar_diesel", Sheet3!B:B)</f>
        <v>0</v>
      </c>
      <c r="E27" s="2" t="s">
        <v>46</v>
      </c>
      <c r="F27" s="4">
        <f>SUMIF(Sheet3!A:A,"short_flight", Sheet3!B:B)</f>
        <v>2.1369863013698631E-3</v>
      </c>
    </row>
    <row r="28" spans="1:6" x14ac:dyDescent="0.25">
      <c r="A28" s="2" t="s">
        <v>47</v>
      </c>
      <c r="B28" s="4">
        <f>SUMIF(Sheet3!A:A, "ferry", Sheet3!B:B)</f>
        <v>0</v>
      </c>
      <c r="C28" s="2" t="s">
        <v>48</v>
      </c>
      <c r="D28" s="4">
        <f>SUMIF(Sheet3!A:A,"motorcycle", Sheet3!B:B)</f>
        <v>0</v>
      </c>
      <c r="E28" s="2" t="s">
        <v>49</v>
      </c>
      <c r="F28" s="4">
        <f>SUMIF(Sheet3!A:A, "long_flight", Sheet3!B:B)</f>
        <v>0</v>
      </c>
    </row>
    <row r="29" spans="1:6" x14ac:dyDescent="0.25">
      <c r="A29" s="2" t="s">
        <v>50</v>
      </c>
      <c r="B29" s="4">
        <f>SUMIF(Sheet3!A:A, "eurostar", Sheet3!B:B)</f>
        <v>0</v>
      </c>
      <c r="C29" s="2" t="s">
        <v>51</v>
      </c>
      <c r="D29" s="4">
        <f>SUMIF(Sheet3!A:A, "electric_vehicle", Sheet3!B:B)</f>
        <v>9.1428571428571442E-2</v>
      </c>
      <c r="E29" s="2"/>
      <c r="F29" s="4"/>
    </row>
    <row r="31" spans="1:6" x14ac:dyDescent="0.25">
      <c r="A31" t="s">
        <v>40</v>
      </c>
      <c r="B31">
        <f>SUM(F26:F28)</f>
        <v>2.1369863013698631E-3</v>
      </c>
      <c r="C31" t="s">
        <v>34</v>
      </c>
      <c r="D31">
        <f>B31*0.365</f>
        <v>7.7999999999999999E-4</v>
      </c>
      <c r="E31" t="s">
        <v>35</v>
      </c>
    </row>
    <row r="32" spans="1:6" x14ac:dyDescent="0.25">
      <c r="A32" t="s">
        <v>39</v>
      </c>
      <c r="B32">
        <f>SUM(D26:D29)</f>
        <v>9.1428571428571442E-2</v>
      </c>
      <c r="C32" t="s">
        <v>34</v>
      </c>
      <c r="D32">
        <f>B32*0.365</f>
        <v>3.3371428571428573E-2</v>
      </c>
      <c r="E32" t="s">
        <v>35</v>
      </c>
    </row>
    <row r="33" spans="1:6" x14ac:dyDescent="0.25">
      <c r="A33" t="s">
        <v>38</v>
      </c>
      <c r="B33">
        <f>SUM(B26:B29)</f>
        <v>2.928571428571429E-2</v>
      </c>
      <c r="C33" t="s">
        <v>34</v>
      </c>
      <c r="D33">
        <f>B33*0.365</f>
        <v>1.0689285714285715E-2</v>
      </c>
      <c r="E33" t="s">
        <v>35</v>
      </c>
    </row>
    <row r="35" spans="1:6" x14ac:dyDescent="0.25">
      <c r="A35" s="10" t="s">
        <v>52</v>
      </c>
      <c r="B35" s="9"/>
      <c r="C35" s="5"/>
      <c r="D35" s="10" t="s">
        <v>53</v>
      </c>
      <c r="E35" s="9"/>
      <c r="F35" s="5"/>
    </row>
    <row r="36" spans="1:6" x14ac:dyDescent="0.25">
      <c r="A36" s="1" t="s">
        <v>54</v>
      </c>
      <c r="B36" s="3" t="s">
        <v>5</v>
      </c>
      <c r="D36" s="1" t="s">
        <v>55</v>
      </c>
      <c r="E36" s="3" t="s">
        <v>5</v>
      </c>
    </row>
    <row r="37" spans="1:6" x14ac:dyDescent="0.25">
      <c r="A37" s="2" t="s">
        <v>56</v>
      </c>
      <c r="B37" s="4">
        <f>SUMIF(Sheet3!A:A, "refrigerator", Sheet3!B:B)</f>
        <v>0.14000000000000001</v>
      </c>
      <c r="D37" s="2" t="s">
        <v>57</v>
      </c>
      <c r="E37" s="4">
        <f>SUMIF(Sheet3!A:A, "cotton_shirt", Sheet3!B:B)</f>
        <v>0</v>
      </c>
    </row>
    <row r="38" spans="1:6" x14ac:dyDescent="0.25">
      <c r="A38" s="2" t="s">
        <v>58</v>
      </c>
      <c r="B38" s="4">
        <f>SUMIF(Sheet3!A:A, "food_cooking", Sheet3!B:B)</f>
        <v>5.0479999999999997E-2</v>
      </c>
      <c r="D38" s="2" t="s">
        <v>59</v>
      </c>
      <c r="E38" s="4">
        <f>SUMIF(Sheet3!A:A, "cotton_sweatjacket", Sheet3!B:B)</f>
        <v>0.18383561643835619</v>
      </c>
    </row>
    <row r="39" spans="1:6" x14ac:dyDescent="0.25">
      <c r="A39" s="2" t="s">
        <v>60</v>
      </c>
      <c r="B39" s="4">
        <f>SUMIF(Sheet3!A:A, "oven", Sheet3!B:B)</f>
        <v>0</v>
      </c>
      <c r="D39" s="2" t="s">
        <v>61</v>
      </c>
      <c r="E39" s="4">
        <f>SUMIF(Sheet3!A:A, "acrylic_jacket", Sheet3!B:B)</f>
        <v>0</v>
      </c>
    </row>
    <row r="40" spans="1:6" x14ac:dyDescent="0.25">
      <c r="A40" s="2" t="s">
        <v>62</v>
      </c>
      <c r="B40" s="4">
        <f>SUMIF(Sheet3!A:A, "washing_machine", Sheet3!B:B)</f>
        <v>0.62829999999999997</v>
      </c>
      <c r="D40" s="2" t="s">
        <v>63</v>
      </c>
      <c r="E40" s="4">
        <f>SUMIF(Sheet3!A:A, "woolen_sweater", Sheet3!B:B)</f>
        <v>0</v>
      </c>
    </row>
    <row r="41" spans="1:6" x14ac:dyDescent="0.25">
      <c r="A41" s="2" t="s">
        <v>64</v>
      </c>
      <c r="B41" s="4">
        <f>SUMIF(Sheet3!A:A, "personal_cleaning", Sheet3!B:B)</f>
        <v>0</v>
      </c>
      <c r="D41" s="2" t="s">
        <v>65</v>
      </c>
      <c r="E41" s="4">
        <f>SUMIF(Sheet3!A:A, "polyester_shirt", Sheet3!B:B)</f>
        <v>1.1180821917808219</v>
      </c>
    </row>
    <row r="42" spans="1:6" x14ac:dyDescent="0.25">
      <c r="A42" s="2" t="s">
        <v>66</v>
      </c>
      <c r="B42" s="4">
        <f>SUMIF(Sheet3!A:A, "laptop", Sheet3!B:B)</f>
        <v>0</v>
      </c>
      <c r="D42" s="2" t="s">
        <v>67</v>
      </c>
      <c r="E42" s="4">
        <f>SUMIF(Sheet3!A:A, "jeans", Sheet3!B:B)</f>
        <v>0</v>
      </c>
    </row>
    <row r="43" spans="1:6" x14ac:dyDescent="0.25">
      <c r="A43" s="2" t="s">
        <v>68</v>
      </c>
      <c r="B43" s="4">
        <f>SUMIF(Sheet3!A:A, "smartphone", Sheet3!B:B)</f>
        <v>0</v>
      </c>
    </row>
    <row r="44" spans="1:6" x14ac:dyDescent="0.25">
      <c r="A44" s="2" t="s">
        <v>69</v>
      </c>
      <c r="B44" s="4">
        <f>SUMIF(Sheet3!A:A, "heating", Sheet3!B:B)</f>
        <v>0.59900000000000009</v>
      </c>
    </row>
    <row r="46" spans="1:6" x14ac:dyDescent="0.25">
      <c r="A46" s="7" t="s">
        <v>0</v>
      </c>
      <c r="B46">
        <f>SUM(B4:B13,D4:D7,F4:F17)</f>
        <v>4.8285714285714279E-2</v>
      </c>
      <c r="C46" t="s">
        <v>34</v>
      </c>
      <c r="D46">
        <f>B46*0.365</f>
        <v>1.762428571428571E-2</v>
      </c>
      <c r="E46" t="s">
        <v>35</v>
      </c>
    </row>
    <row r="47" spans="1:6" x14ac:dyDescent="0.25">
      <c r="A47" s="7" t="s">
        <v>37</v>
      </c>
      <c r="B47">
        <f>SUM(B26:B29,D26:D29,F26:F28)</f>
        <v>0.1228512720156556</v>
      </c>
      <c r="C47" t="s">
        <v>34</v>
      </c>
      <c r="D47">
        <f>B47*0.365</f>
        <v>4.4840714285714289E-2</v>
      </c>
      <c r="E47" t="s">
        <v>35</v>
      </c>
    </row>
    <row r="48" spans="1:6" x14ac:dyDescent="0.25">
      <c r="A48" s="7" t="s">
        <v>53</v>
      </c>
      <c r="B48">
        <f>SUM(E37:E42)</f>
        <v>1.301917808219178</v>
      </c>
      <c r="C48" t="s">
        <v>34</v>
      </c>
      <c r="D48">
        <f>B48*0.365</f>
        <v>0.47519999999999996</v>
      </c>
      <c r="E48" t="s">
        <v>35</v>
      </c>
    </row>
    <row r="49" spans="1:8" x14ac:dyDescent="0.25">
      <c r="A49" s="7" t="s">
        <v>52</v>
      </c>
      <c r="B49">
        <f>SUM(B37:B44)</f>
        <v>1.41778</v>
      </c>
      <c r="C49" t="s">
        <v>34</v>
      </c>
      <c r="D49">
        <f>B49*0.365</f>
        <v>0.51748970000000005</v>
      </c>
      <c r="E49" t="s">
        <v>35</v>
      </c>
    </row>
    <row r="51" spans="1:8" x14ac:dyDescent="0.25">
      <c r="D51" s="6" t="s">
        <v>70</v>
      </c>
      <c r="E51">
        <f>SUM(B48,B49,B47,B46)</f>
        <v>2.8908347945205479</v>
      </c>
      <c r="F51" t="s">
        <v>34</v>
      </c>
      <c r="G51">
        <f>E51*0.365</f>
        <v>1.0551546999999999</v>
      </c>
      <c r="H51" t="s">
        <v>35</v>
      </c>
    </row>
  </sheetData>
  <mergeCells count="10">
    <mergeCell ref="A1:F1"/>
    <mergeCell ref="A23:F23"/>
    <mergeCell ref="D35:E35"/>
    <mergeCell ref="A35:B35"/>
    <mergeCell ref="A24:B24"/>
    <mergeCell ref="A2:B2"/>
    <mergeCell ref="C24:D24"/>
    <mergeCell ref="C2:D2"/>
    <mergeCell ref="E24:F24"/>
    <mergeCell ref="E2:F2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D67" workbookViewId="0">
      <selection activeCell="D81" sqref="D8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4"/>
  <sheetViews>
    <sheetView topLeftCell="A32" workbookViewId="0">
      <selection activeCell="B37" sqref="B37"/>
    </sheetView>
  </sheetViews>
  <sheetFormatPr defaultRowHeight="15" x14ac:dyDescent="0.25"/>
  <cols>
    <col min="1" max="1" width="18.5703125" bestFit="1" customWidth="1"/>
  </cols>
  <sheetData>
    <row r="1" spans="1:2" x14ac:dyDescent="0.25">
      <c r="A1" t="s">
        <v>71</v>
      </c>
      <c r="B1">
        <v>4.2857142857142858E-2</v>
      </c>
    </row>
    <row r="2" spans="1:2" x14ac:dyDescent="0.25">
      <c r="A2" t="s">
        <v>72</v>
      </c>
      <c r="B2">
        <v>0</v>
      </c>
    </row>
    <row r="3" spans="1:2" x14ac:dyDescent="0.25">
      <c r="A3" t="s">
        <v>73</v>
      </c>
      <c r="B3">
        <v>0</v>
      </c>
    </row>
    <row r="4" spans="1:2" x14ac:dyDescent="0.25">
      <c r="A4" t="s">
        <v>74</v>
      </c>
      <c r="B4">
        <v>0</v>
      </c>
    </row>
    <row r="5" spans="1:2" x14ac:dyDescent="0.25">
      <c r="A5" t="s">
        <v>75</v>
      </c>
      <c r="B5">
        <v>0</v>
      </c>
    </row>
    <row r="6" spans="1:2" x14ac:dyDescent="0.25">
      <c r="A6" t="s">
        <v>76</v>
      </c>
      <c r="B6">
        <v>0</v>
      </c>
    </row>
    <row r="7" spans="1:2" x14ac:dyDescent="0.25">
      <c r="A7" t="s">
        <v>77</v>
      </c>
      <c r="B7">
        <v>0</v>
      </c>
    </row>
    <row r="8" spans="1:2" x14ac:dyDescent="0.25">
      <c r="A8" t="s">
        <v>78</v>
      </c>
      <c r="B8">
        <v>0</v>
      </c>
    </row>
    <row r="9" spans="1:2" x14ac:dyDescent="0.25">
      <c r="A9" t="s">
        <v>79</v>
      </c>
      <c r="B9">
        <v>0</v>
      </c>
    </row>
    <row r="10" spans="1:2" x14ac:dyDescent="0.25">
      <c r="A10" t="s">
        <v>80</v>
      </c>
      <c r="B10">
        <v>0</v>
      </c>
    </row>
    <row r="11" spans="1:2" x14ac:dyDescent="0.25">
      <c r="A11" t="s">
        <v>81</v>
      </c>
      <c r="B11">
        <v>5.7142857142857136E-4</v>
      </c>
    </row>
    <row r="12" spans="1:2" x14ac:dyDescent="0.25">
      <c r="A12" t="s">
        <v>82</v>
      </c>
      <c r="B12">
        <v>0</v>
      </c>
    </row>
    <row r="13" spans="1:2" x14ac:dyDescent="0.25">
      <c r="A13" t="s">
        <v>83</v>
      </c>
      <c r="B13">
        <v>0</v>
      </c>
    </row>
    <row r="14" spans="1:2" x14ac:dyDescent="0.25">
      <c r="A14" t="s">
        <v>84</v>
      </c>
      <c r="B14">
        <v>0</v>
      </c>
    </row>
    <row r="15" spans="1:2" x14ac:dyDescent="0.25">
      <c r="A15" t="s">
        <v>85</v>
      </c>
      <c r="B15">
        <v>4.2857142857142851E-3</v>
      </c>
    </row>
    <row r="16" spans="1:2" x14ac:dyDescent="0.25">
      <c r="A16" t="s">
        <v>86</v>
      </c>
      <c r="B16">
        <v>0</v>
      </c>
    </row>
    <row r="17" spans="1:2" x14ac:dyDescent="0.25">
      <c r="A17" t="s">
        <v>87</v>
      </c>
      <c r="B17">
        <v>0</v>
      </c>
    </row>
    <row r="18" spans="1:2" x14ac:dyDescent="0.25">
      <c r="A18" t="s">
        <v>88</v>
      </c>
      <c r="B18">
        <v>0</v>
      </c>
    </row>
    <row r="19" spans="1:2" x14ac:dyDescent="0.25">
      <c r="A19" t="s">
        <v>89</v>
      </c>
      <c r="B19">
        <v>0</v>
      </c>
    </row>
    <row r="20" spans="1:2" x14ac:dyDescent="0.25">
      <c r="A20" t="s">
        <v>90</v>
      </c>
      <c r="B20">
        <v>0</v>
      </c>
    </row>
    <row r="21" spans="1:2" x14ac:dyDescent="0.25">
      <c r="A21" t="s">
        <v>91</v>
      </c>
      <c r="B21">
        <v>0</v>
      </c>
    </row>
    <row r="22" spans="1:2" x14ac:dyDescent="0.25">
      <c r="A22" t="s">
        <v>92</v>
      </c>
      <c r="B22">
        <v>0</v>
      </c>
    </row>
    <row r="23" spans="1:2" x14ac:dyDescent="0.25">
      <c r="A23" t="s">
        <v>93</v>
      </c>
      <c r="B23">
        <v>0</v>
      </c>
    </row>
    <row r="24" spans="1:2" x14ac:dyDescent="0.25">
      <c r="A24" t="s">
        <v>94</v>
      </c>
      <c r="B24">
        <v>0</v>
      </c>
    </row>
    <row r="25" spans="1:2" x14ac:dyDescent="0.25">
      <c r="A25" t="s">
        <v>95</v>
      </c>
      <c r="B25">
        <v>0</v>
      </c>
    </row>
    <row r="26" spans="1:2" x14ac:dyDescent="0.25">
      <c r="A26" t="s">
        <v>96</v>
      </c>
      <c r="B26">
        <v>0</v>
      </c>
    </row>
    <row r="27" spans="1:2" x14ac:dyDescent="0.25">
      <c r="A27" t="s">
        <v>97</v>
      </c>
      <c r="B27">
        <v>0</v>
      </c>
    </row>
    <row r="28" spans="1:2" x14ac:dyDescent="0.25">
      <c r="A28" t="s">
        <v>98</v>
      </c>
      <c r="B28">
        <v>0</v>
      </c>
    </row>
    <row r="29" spans="1:2" x14ac:dyDescent="0.25">
      <c r="A29" t="s">
        <v>99</v>
      </c>
      <c r="B29">
        <v>0</v>
      </c>
    </row>
    <row r="30" spans="1:2" x14ac:dyDescent="0.25">
      <c r="A30" t="s">
        <v>100</v>
      </c>
      <c r="B30">
        <v>0</v>
      </c>
    </row>
    <row r="31" spans="1:2" x14ac:dyDescent="0.25">
      <c r="A31" t="s">
        <v>101</v>
      </c>
      <c r="B31">
        <v>0</v>
      </c>
    </row>
    <row r="32" spans="1:2" x14ac:dyDescent="0.25">
      <c r="A32" t="s">
        <v>102</v>
      </c>
      <c r="B32">
        <v>0</v>
      </c>
    </row>
    <row r="33" spans="1:2" x14ac:dyDescent="0.25">
      <c r="A33" t="s">
        <v>103</v>
      </c>
      <c r="B33">
        <v>2.1369863013698631E-3</v>
      </c>
    </row>
    <row r="34" spans="1:2" x14ac:dyDescent="0.25">
      <c r="A34" t="s">
        <v>104</v>
      </c>
      <c r="B34">
        <v>0</v>
      </c>
    </row>
    <row r="35" spans="1:2" x14ac:dyDescent="0.25">
      <c r="A35" t="s">
        <v>105</v>
      </c>
      <c r="B35">
        <v>0</v>
      </c>
    </row>
    <row r="36" spans="1:2" x14ac:dyDescent="0.25">
      <c r="A36" t="s">
        <v>106</v>
      </c>
      <c r="B36">
        <v>0</v>
      </c>
    </row>
    <row r="37" spans="1:2" x14ac:dyDescent="0.25">
      <c r="A37" t="s">
        <v>107</v>
      </c>
      <c r="B37">
        <v>9.1428571428571442E-2</v>
      </c>
    </row>
    <row r="38" spans="1:2" x14ac:dyDescent="0.25">
      <c r="A38" t="s">
        <v>108</v>
      </c>
      <c r="B38">
        <v>2.928571428571429E-2</v>
      </c>
    </row>
    <row r="39" spans="1:2" x14ac:dyDescent="0.25">
      <c r="A39" t="s">
        <v>109</v>
      </c>
      <c r="B39">
        <v>0</v>
      </c>
    </row>
    <row r="40" spans="1:2" x14ac:dyDescent="0.25">
      <c r="A40" t="s">
        <v>110</v>
      </c>
      <c r="B40">
        <v>0</v>
      </c>
    </row>
    <row r="41" spans="1:2" x14ac:dyDescent="0.25">
      <c r="A41" t="s">
        <v>111</v>
      </c>
      <c r="B41">
        <v>0.14000000000000001</v>
      </c>
    </row>
    <row r="42" spans="1:2" x14ac:dyDescent="0.25">
      <c r="A42" t="s">
        <v>112</v>
      </c>
      <c r="B42">
        <v>5.0479999999999997E-2</v>
      </c>
    </row>
    <row r="43" spans="1:2" x14ac:dyDescent="0.25">
      <c r="A43" t="s">
        <v>113</v>
      </c>
      <c r="B43">
        <v>0</v>
      </c>
    </row>
    <row r="44" spans="1:2" x14ac:dyDescent="0.25">
      <c r="A44" t="s">
        <v>114</v>
      </c>
      <c r="B44">
        <v>0.62829999999999997</v>
      </c>
    </row>
    <row r="45" spans="1:2" x14ac:dyDescent="0.25">
      <c r="A45" t="s">
        <v>115</v>
      </c>
      <c r="B45">
        <v>0</v>
      </c>
    </row>
    <row r="46" spans="1:2" x14ac:dyDescent="0.25">
      <c r="A46" t="s">
        <v>116</v>
      </c>
      <c r="B46">
        <v>0</v>
      </c>
    </row>
    <row r="47" spans="1:2" x14ac:dyDescent="0.25">
      <c r="A47" t="s">
        <v>117</v>
      </c>
      <c r="B47">
        <v>0</v>
      </c>
    </row>
    <row r="48" spans="1:2" x14ac:dyDescent="0.25">
      <c r="A48" t="s">
        <v>118</v>
      </c>
      <c r="B48">
        <v>0.59900000000000009</v>
      </c>
    </row>
    <row r="49" spans="1:2" x14ac:dyDescent="0.25">
      <c r="A49" t="s">
        <v>119</v>
      </c>
      <c r="B49">
        <v>0</v>
      </c>
    </row>
    <row r="50" spans="1:2" x14ac:dyDescent="0.25">
      <c r="A50" t="s">
        <v>120</v>
      </c>
      <c r="B50">
        <v>0.18383561643835619</v>
      </c>
    </row>
    <row r="51" spans="1:2" x14ac:dyDescent="0.25">
      <c r="A51" t="s">
        <v>121</v>
      </c>
      <c r="B51">
        <v>0</v>
      </c>
    </row>
    <row r="52" spans="1:2" x14ac:dyDescent="0.25">
      <c r="A52" t="s">
        <v>122</v>
      </c>
      <c r="B52">
        <v>0</v>
      </c>
    </row>
    <row r="53" spans="1:2" x14ac:dyDescent="0.25">
      <c r="A53" t="s">
        <v>123</v>
      </c>
      <c r="B53">
        <v>1.1180821917808219</v>
      </c>
    </row>
    <row r="54" spans="1:2" x14ac:dyDescent="0.25">
      <c r="A54" t="s">
        <v>124</v>
      </c>
      <c r="B5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Tables</vt:lpstr>
      <vt:lpstr>Graphs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valerio.nardomarino</dc:creator>
  <cp:lastModifiedBy>Utente</cp:lastModifiedBy>
  <dcterms:created xsi:type="dcterms:W3CDTF">2015-06-05T18:17:20Z</dcterms:created>
  <dcterms:modified xsi:type="dcterms:W3CDTF">2023-06-22T09:59:51Z</dcterms:modified>
</cp:coreProperties>
</file>