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CO2pricing\"/>
    </mc:Choice>
  </mc:AlternateContent>
  <xr:revisionPtr revIDLastSave="0" documentId="13_ncr:1_{389F9151-218F-4DE3-AB27-4553B62D1EA4}" xr6:coauthVersionLast="47" xr6:coauthVersionMax="47" xr10:uidLastSave="{00000000-0000-0000-0000-000000000000}"/>
  <bookViews>
    <workbookView xWindow="28680" yWindow="-75" windowWidth="29040" windowHeight="15720" firstSheet="4" activeTab="4" xr2:uid="{CC0AC2A0-B204-4476-8C45-1F12E52A229D}"/>
  </bookViews>
  <sheets>
    <sheet name="Foglio1" sheetId="1" state="hidden" r:id="rId1"/>
    <sheet name="Foglio1 (2)" sheetId="2" state="hidden" r:id="rId2"/>
    <sheet name="c_tax_production" sheetId="3" state="hidden" r:id="rId3"/>
    <sheet name="c_tax_production (2)_deprecated" sheetId="7" state="hidden" r:id="rId4"/>
    <sheet name="c_tax_production_final" sheetId="8" r:id="rId5"/>
    <sheet name="c_tax_production (4)" sheetId="6" state="hidden" r:id="rId6"/>
    <sheet name="c_tax_production (3)" sheetId="5" state="hidden" r:id="rId7"/>
  </sheets>
  <definedNames>
    <definedName name="OpenSolver_ChosenSolver" localSheetId="2" hidden="1">CBC</definedName>
    <definedName name="OpenSolver_ChosenSolver" localSheetId="3" hidden="1">CBC</definedName>
    <definedName name="OpenSolver_ChosenSolver" localSheetId="6" hidden="1">CBC</definedName>
    <definedName name="OpenSolver_ChosenSolver" localSheetId="5" hidden="1">CBC</definedName>
    <definedName name="OpenSolver_ChosenSolver" localSheetId="4" hidden="1">CBC</definedName>
    <definedName name="OpenSolver_ChosenSolver" localSheetId="0" hidden="1">CBC</definedName>
    <definedName name="OpenSolver_ChosenSolver" localSheetId="1" hidden="1">CBC</definedName>
    <definedName name="OpenSolver_DualsNewSheet" localSheetId="2" hidden="1">0</definedName>
    <definedName name="OpenSolver_DualsNewSheet" localSheetId="3" hidden="1">0</definedName>
    <definedName name="OpenSolver_DualsNewSheet" localSheetId="6" hidden="1">0</definedName>
    <definedName name="OpenSolver_DualsNewSheet" localSheetId="5" hidden="1">0</definedName>
    <definedName name="OpenSolver_DualsNewSheet" localSheetId="4" hidden="1">0</definedName>
    <definedName name="OpenSolver_DualsNewSheet" localSheetId="0" hidden="1">0</definedName>
    <definedName name="OpenSolver_DualsNewSheet" localSheetId="1" hidden="1">0</definedName>
    <definedName name="OpenSolver_LinearityCheck" localSheetId="2" hidden="1">1</definedName>
    <definedName name="OpenSolver_LinearityCheck" localSheetId="3" hidden="1">1</definedName>
    <definedName name="OpenSolver_LinearityCheck" localSheetId="6" hidden="1">1</definedName>
    <definedName name="OpenSolver_LinearityCheck" localSheetId="5" hidden="1">1</definedName>
    <definedName name="OpenSolver_LinearityCheck" localSheetId="4" hidden="1">1</definedName>
    <definedName name="OpenSolver_LinearityCheck" localSheetId="0" hidden="1">1</definedName>
    <definedName name="OpenSolver_LinearityCheck" localSheetId="1" hidden="1">1</definedName>
    <definedName name="OpenSolver_UpdateSensitivity" localSheetId="2" hidden="1">1</definedName>
    <definedName name="OpenSolver_UpdateSensitivity" localSheetId="3" hidden="1">1</definedName>
    <definedName name="OpenSolver_UpdateSensitivity" localSheetId="6" hidden="1">1</definedName>
    <definedName name="OpenSolver_UpdateSensitivity" localSheetId="5" hidden="1">1</definedName>
    <definedName name="OpenSolver_UpdateSensitivity" localSheetId="4" hidden="1">1</definedName>
    <definedName name="OpenSolver_UpdateSensitivity" localSheetId="0" hidden="1">1</definedName>
    <definedName name="OpenSolver_UpdateSensitivity" localSheetId="1" hidden="1">1</definedName>
    <definedName name="solver_adj" localSheetId="2" hidden="1">c_tax_production!$AT$44:$AY$44</definedName>
    <definedName name="solver_adj" localSheetId="3" hidden="1">'c_tax_production (2)_deprecated'!$AU$44:$AY$44</definedName>
    <definedName name="solver_adj" localSheetId="6" hidden="1">'c_tax_production (3)'!$E$41:$J$41</definedName>
    <definedName name="solver_adj" localSheetId="5" hidden="1">'c_tax_production (4)'!$E$47:$J$47</definedName>
    <definedName name="solver_adj" localSheetId="4" hidden="1">c_tax_production_final!$AU$44:$AY$44</definedName>
    <definedName name="solver_adj" localSheetId="0" hidden="1">Foglio1!$D$35:$G$35</definedName>
    <definedName name="solver_adj" localSheetId="1" hidden="1">'Foglio1 (2)'!$D$35:$G$35</definedName>
    <definedName name="solver_cvg" localSheetId="2" hidden="1">0.0001</definedName>
    <definedName name="solver_cvg" localSheetId="3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3" hidden="1">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drv" localSheetId="0" hidden="1">1</definedName>
    <definedName name="solver_drv" localSheetId="1" hidden="1">1</definedName>
    <definedName name="solver_est" localSheetId="2" hidden="1">1</definedName>
    <definedName name="solver_est" localSheetId="3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3" hidden="1">2147483647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itr" localSheetId="0" hidden="1">2147483647</definedName>
    <definedName name="solver_itr" localSheetId="1" hidden="1">2147483647</definedName>
    <definedName name="solver_lhs1" localSheetId="2" hidden="1">c_tax_production!$E$68:$J$68</definedName>
    <definedName name="solver_lhs1" localSheetId="3" hidden="1">'c_tax_production (2)_deprecated'!$E$68:$J$68</definedName>
    <definedName name="solver_lhs1" localSheetId="6" hidden="1">'c_tax_production (3)'!$E$46:$J$46</definedName>
    <definedName name="solver_lhs1" localSheetId="5" hidden="1">'c_tax_production (4)'!#REF!</definedName>
    <definedName name="solver_lhs1" localSheetId="4" hidden="1">c_tax_production_final!$E$69:$J$69</definedName>
    <definedName name="solver_lhs1" localSheetId="0" hidden="1">Foglio1!$D$41:$G$41</definedName>
    <definedName name="solver_lhs1" localSheetId="1" hidden="1">'Foglio1 (2)'!$D$39:$G$39</definedName>
    <definedName name="solver_lhs2" localSheetId="2" hidden="1">c_tax_production!$AT$44:$AY$44</definedName>
    <definedName name="solver_lhs2" localSheetId="3" hidden="1">'c_tax_production (2)_deprecated'!$AU$44:$AY$44</definedName>
    <definedName name="solver_lhs2" localSheetId="6" hidden="1">'c_tax_production (3)'!$E$41:$J$41</definedName>
    <definedName name="solver_lhs2" localSheetId="5" hidden="1">'c_tax_production (4)'!$E$47:$J$47</definedName>
    <definedName name="solver_lhs2" localSheetId="4" hidden="1">c_tax_production_final!$AU$44:$AY$44</definedName>
    <definedName name="solver_lhs2" localSheetId="0" hidden="1">Foglio1!$D$35:$G$35</definedName>
    <definedName name="solver_lhs2" localSheetId="1" hidden="1">'Foglio1 (2)'!$D$35:$G$35</definedName>
    <definedName name="solver_neg" localSheetId="2" hidden="1">1</definedName>
    <definedName name="solver_neg" localSheetId="3" hidden="1">1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eg" localSheetId="0" hidden="1">1</definedName>
    <definedName name="solver_neg" localSheetId="1" hidden="1">1</definedName>
    <definedName name="solver_num" localSheetId="2" hidden="1">2</definedName>
    <definedName name="solver_num" localSheetId="3" hidden="1">2</definedName>
    <definedName name="solver_num" localSheetId="6" hidden="1">2</definedName>
    <definedName name="solver_num" localSheetId="5" hidden="1">2</definedName>
    <definedName name="solver_num" localSheetId="4" hidden="1">2</definedName>
    <definedName name="solver_num" localSheetId="0" hidden="1">2</definedName>
    <definedName name="solver_num" localSheetId="1" hidden="1">2</definedName>
    <definedName name="solver_nwt" localSheetId="2" hidden="1">1</definedName>
    <definedName name="solver_nwt" localSheetId="3" hidden="1">1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nwt" localSheetId="0" hidden="1">1</definedName>
    <definedName name="solver_nwt" localSheetId="1" hidden="1">1</definedName>
    <definedName name="solver_opt" localSheetId="2" hidden="1">c_tax_production!$E$1</definedName>
    <definedName name="solver_opt" localSheetId="3" hidden="1">'c_tax_production (2)_deprecated'!$E$1</definedName>
    <definedName name="solver_opt" localSheetId="6" hidden="1">'c_tax_production (3)'!$E$1</definedName>
    <definedName name="solver_opt" localSheetId="5" hidden="1">'c_tax_production (4)'!$E$1</definedName>
    <definedName name="solver_opt" localSheetId="4" hidden="1">c_tax_production_final!$E$1</definedName>
    <definedName name="solver_opt" localSheetId="0" hidden="1">Foglio1!$D$1</definedName>
    <definedName name="solver_opt" localSheetId="1" hidden="1">'Foglio1 (2)'!$D$1</definedName>
    <definedName name="solver_rel1" localSheetId="2" hidden="1">2</definedName>
    <definedName name="solver_rel1" localSheetId="3" hidden="1">2</definedName>
    <definedName name="solver_rel1" localSheetId="6" hidden="1">2</definedName>
    <definedName name="solver_rel1" localSheetId="5" hidden="1">2</definedName>
    <definedName name="solver_rel1" localSheetId="4" hidden="1">2</definedName>
    <definedName name="solver_rel1" localSheetId="0" hidden="1">2</definedName>
    <definedName name="solver_rel1" localSheetId="1" hidden="1">2</definedName>
    <definedName name="solver_rel2" localSheetId="2" hidden="1">3</definedName>
    <definedName name="solver_rel2" localSheetId="3" hidden="1">3</definedName>
    <definedName name="solver_rel2" localSheetId="6" hidden="1">3</definedName>
    <definedName name="solver_rel2" localSheetId="5" hidden="1">3</definedName>
    <definedName name="solver_rel2" localSheetId="4" hidden="1">3</definedName>
    <definedName name="solver_rel2" localSheetId="0" hidden="1">3</definedName>
    <definedName name="solver_rel2" localSheetId="1" hidden="1">3</definedName>
    <definedName name="solver_rhs1" localSheetId="2" hidden="1">0</definedName>
    <definedName name="solver_rhs1" localSheetId="3" hidden="1">0</definedName>
    <definedName name="solver_rhs1" localSheetId="6" hidden="1">0</definedName>
    <definedName name="solver_rhs1" localSheetId="5" hidden="1">0</definedName>
    <definedName name="solver_rhs1" localSheetId="4" hidden="1">0</definedName>
    <definedName name="solver_rhs1" localSheetId="0" hidden="1">0</definedName>
    <definedName name="solver_rhs1" localSheetId="1" hidden="1">0</definedName>
    <definedName name="solver_rhs2" localSheetId="2" hidden="1">0</definedName>
    <definedName name="solver_rhs2" localSheetId="3" hidden="1">0</definedName>
    <definedName name="solver_rhs2" localSheetId="6" hidden="1">0</definedName>
    <definedName name="solver_rhs2" localSheetId="5" hidden="1">0</definedName>
    <definedName name="solver_rhs2" localSheetId="4" hidden="1">0</definedName>
    <definedName name="solver_rhs2" localSheetId="0" hidden="1">0</definedName>
    <definedName name="solver_rhs2" localSheetId="1" hidden="1">0</definedName>
    <definedName name="solver_rlx" localSheetId="2" hidden="1">2</definedName>
    <definedName name="solver_rlx" localSheetId="3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lx" localSheetId="0" hidden="1">2</definedName>
    <definedName name="solver_rlx" localSheetId="1" hidden="1">2</definedName>
    <definedName name="solver_scl" localSheetId="2" hidden="1">2</definedName>
    <definedName name="solver_scl" localSheetId="3" hidden="1">2</definedName>
    <definedName name="solver_scl" localSheetId="6" hidden="1">2</definedName>
    <definedName name="solver_scl" localSheetId="5" hidden="1">2</definedName>
    <definedName name="solver_scl" localSheetId="4" hidden="1">2</definedName>
    <definedName name="solver_scl" localSheetId="0" hidden="1">2</definedName>
    <definedName name="solver_scl" localSheetId="1" hidden="1">2</definedName>
    <definedName name="solver_sho" localSheetId="2" hidden="1">0</definedName>
    <definedName name="solver_sho" localSheetId="3" hidden="1">0</definedName>
    <definedName name="solver_sho" localSheetId="6" hidden="1">0</definedName>
    <definedName name="solver_sho" localSheetId="5" hidden="1">0</definedName>
    <definedName name="solver_sho" localSheetId="4" hidden="1">0</definedName>
    <definedName name="solver_sho" localSheetId="0" hidden="1">0</definedName>
    <definedName name="solver_sho" localSheetId="1" hidden="1">0</definedName>
    <definedName name="solver_tim" localSheetId="2" hidden="1">2147483647</definedName>
    <definedName name="solver_tim" localSheetId="3" hidden="1">2147483647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0.05</definedName>
    <definedName name="solver_tol" localSheetId="3" hidden="1">0.05</definedName>
    <definedName name="solver_tol" localSheetId="6" hidden="1">0.05</definedName>
    <definedName name="solver_tol" localSheetId="5" hidden="1">0.05</definedName>
    <definedName name="solver_tol" localSheetId="4" hidden="1">0.05</definedName>
    <definedName name="solver_tol" localSheetId="0" hidden="1">0.05</definedName>
    <definedName name="solver_tol" localSheetId="1" hidden="1">0.05</definedName>
    <definedName name="solver_typ" localSheetId="2" hidden="1">2</definedName>
    <definedName name="solver_typ" localSheetId="3" hidden="1">2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3" i="8" l="1" a="1"/>
  <c r="E83" i="8" a="1"/>
  <c r="E82" i="8" a="1"/>
  <c r="I82" i="8" a="1"/>
  <c r="I81" i="8" a="1"/>
  <c r="G81" i="8" a="1"/>
  <c r="I66" i="8" a="1"/>
  <c r="I66" i="8"/>
  <c r="AM100" i="8" s="1"/>
  <c r="AN100" i="8" s="1"/>
  <c r="J66" i="8"/>
  <c r="AM101" i="8" s="1"/>
  <c r="I65" i="8" a="1"/>
  <c r="I65" i="8" s="1"/>
  <c r="AM98" i="8" s="1"/>
  <c r="J65" i="8"/>
  <c r="AM99" i="8" s="1"/>
  <c r="G67" i="8" a="1"/>
  <c r="G67" i="8"/>
  <c r="AK102" i="8" s="1"/>
  <c r="AQ102" i="8" s="1"/>
  <c r="H67" i="8"/>
  <c r="AK103" i="8" s="1"/>
  <c r="G65" i="8" a="1"/>
  <c r="G65" i="8" s="1"/>
  <c r="AK98" i="8" s="1"/>
  <c r="E67" i="8" a="1"/>
  <c r="E67" i="8" s="1"/>
  <c r="AI102" i="8" s="1"/>
  <c r="E66" i="8" a="1"/>
  <c r="E66" i="8" s="1"/>
  <c r="AI100" i="8" s="1"/>
  <c r="AJ100" i="8" s="1"/>
  <c r="F66" i="8"/>
  <c r="AI101" i="8" s="1"/>
  <c r="AI91" i="8" a="1"/>
  <c r="O91" i="8" a="1"/>
  <c r="AP91" i="8" a="1"/>
  <c r="V91" i="8" a="1"/>
  <c r="I93" i="8" a="1"/>
  <c r="G93" i="8" a="1"/>
  <c r="E93" i="8" a="1"/>
  <c r="I92" i="8" a="1"/>
  <c r="G92" i="8" a="1"/>
  <c r="E92" i="8" a="1"/>
  <c r="I83" i="8" a="1"/>
  <c r="G82" i="8" a="1"/>
  <c r="E81" i="8" a="1"/>
  <c r="E76" i="8" a="1"/>
  <c r="G76" i="8" a="1"/>
  <c r="I76" i="8" a="1"/>
  <c r="E77" i="8" a="1"/>
  <c r="G77" i="8" a="1"/>
  <c r="I77" i="8" a="1"/>
  <c r="G85" i="8" a="1"/>
  <c r="AM5" i="8" a="1"/>
  <c r="AO5" i="8" s="1"/>
  <c r="AM5" i="8"/>
  <c r="AN5" i="8"/>
  <c r="AL6" i="8" a="1"/>
  <c r="AL9" i="8" s="1"/>
  <c r="E60" i="8" a="1"/>
  <c r="I60" i="8" s="1"/>
  <c r="E59" i="8" a="1"/>
  <c r="M29" i="8" a="1"/>
  <c r="M30" i="8" s="1"/>
  <c r="L29" i="8"/>
  <c r="L29" i="8" a="1"/>
  <c r="L30" i="8" s="1"/>
  <c r="N28" i="8"/>
  <c r="N27" i="8" a="1"/>
  <c r="N27" i="8" s="1"/>
  <c r="L27" i="8" a="1"/>
  <c r="L28" i="8" s="1"/>
  <c r="N25" i="8" a="1"/>
  <c r="N25" i="8" s="1"/>
  <c r="M25" i="8" a="1"/>
  <c r="M25" i="8" s="1"/>
  <c r="L25" i="8" a="1"/>
  <c r="H11" i="8"/>
  <c r="G11" i="8"/>
  <c r="G10" i="8"/>
  <c r="G10" i="8" a="1"/>
  <c r="H10" i="8" s="1"/>
  <c r="E10" i="8" a="1"/>
  <c r="F10" i="8" s="1"/>
  <c r="I9" i="8"/>
  <c r="J8" i="8"/>
  <c r="I8" i="8" a="1"/>
  <c r="J9" i="8" s="1"/>
  <c r="E8" i="8" a="1"/>
  <c r="E9" i="8" s="1"/>
  <c r="AB7" i="8"/>
  <c r="I10" i="8" s="1" a="1"/>
  <c r="I11" i="8" s="1"/>
  <c r="AA6" i="8"/>
  <c r="M27" i="8" s="1" a="1"/>
  <c r="I6" i="8" a="1"/>
  <c r="H6" i="8"/>
  <c r="G6" i="8" a="1"/>
  <c r="H7" i="8" s="1"/>
  <c r="Z5" i="8"/>
  <c r="E6" i="8" s="1" a="1"/>
  <c r="E65" i="7" a="1"/>
  <c r="BH35" i="7"/>
  <c r="BI35" i="7"/>
  <c r="BG35" i="7"/>
  <c r="AL43" i="7" a="1"/>
  <c r="AM42" i="7" a="1"/>
  <c r="E60" i="7" a="1"/>
  <c r="J60" i="7" s="1"/>
  <c r="E59" i="7" a="1"/>
  <c r="F59" i="7" s="1"/>
  <c r="M29" i="7" a="1"/>
  <c r="M30" i="7" s="1"/>
  <c r="L29" i="7" a="1"/>
  <c r="L30" i="7" s="1"/>
  <c r="N27" i="7" a="1"/>
  <c r="N28" i="7" s="1"/>
  <c r="L27" i="7" a="1"/>
  <c r="L28" i="7" s="1"/>
  <c r="N25" i="7" a="1"/>
  <c r="N26" i="7" s="1"/>
  <c r="M25" i="7" a="1"/>
  <c r="M26" i="7" s="1"/>
  <c r="G10" i="7" a="1"/>
  <c r="H11" i="7" s="1"/>
  <c r="E10" i="7" a="1"/>
  <c r="F11" i="7" s="1"/>
  <c r="I8" i="7" a="1"/>
  <c r="I9" i="7" s="1"/>
  <c r="E8" i="7" a="1"/>
  <c r="F9" i="7" s="1"/>
  <c r="AB7" i="7"/>
  <c r="N29" i="7" s="1" a="1"/>
  <c r="N29" i="7" s="1"/>
  <c r="AA6" i="7"/>
  <c r="M27" i="7" s="1" a="1"/>
  <c r="M27" i="7" s="1"/>
  <c r="I6" i="7" a="1"/>
  <c r="I6" i="7" s="1"/>
  <c r="G6" i="7" a="1"/>
  <c r="G7" i="7" s="1"/>
  <c r="Z5" i="7"/>
  <c r="L25" i="7" s="1" a="1"/>
  <c r="L26" i="7" s="1"/>
  <c r="P26" i="7" s="1"/>
  <c r="F87" i="3" a="1"/>
  <c r="H87" i="3" s="1"/>
  <c r="E88" i="3" a="1"/>
  <c r="E90" i="3" s="1"/>
  <c r="AQ18" i="3"/>
  <c r="AR18" i="3"/>
  <c r="AR17" i="3"/>
  <c r="AQ17" i="3"/>
  <c r="AO16" i="3"/>
  <c r="AP16" i="3"/>
  <c r="AP15" i="3"/>
  <c r="AN101" i="8" l="1"/>
  <c r="AR101" i="8"/>
  <c r="AR94" i="8" s="1"/>
  <c r="AR100" i="8"/>
  <c r="AR93" i="8" s="1"/>
  <c r="AN99" i="8"/>
  <c r="AR99" i="8"/>
  <c r="AR98" i="8"/>
  <c r="AR91" i="8" s="1"/>
  <c r="AN98" i="8"/>
  <c r="AQ103" i="8"/>
  <c r="AQ96" i="8" s="1"/>
  <c r="AL103" i="8"/>
  <c r="AL102" i="8"/>
  <c r="AL98" i="8"/>
  <c r="AQ98" i="8"/>
  <c r="H65" i="8"/>
  <c r="AK99" i="8" s="1"/>
  <c r="F67" i="8"/>
  <c r="AI103" i="8" s="1"/>
  <c r="AP103" i="8" s="1"/>
  <c r="AP96" i="8" s="1"/>
  <c r="AP102" i="8"/>
  <c r="AP95" i="8" s="1"/>
  <c r="AJ102" i="8"/>
  <c r="AJ101" i="8"/>
  <c r="AP101" i="8"/>
  <c r="AP94" i="8" s="1"/>
  <c r="AP100" i="8"/>
  <c r="AQ91" i="8"/>
  <c r="I77" i="8"/>
  <c r="E77" i="8"/>
  <c r="I86" i="8" a="1"/>
  <c r="E87" i="8" a="1"/>
  <c r="I85" i="8" a="1"/>
  <c r="G87" i="8" a="1"/>
  <c r="F60" i="8"/>
  <c r="J60" i="8"/>
  <c r="E60" i="8"/>
  <c r="H60" i="8"/>
  <c r="G60" i="8"/>
  <c r="AL8" i="8"/>
  <c r="AL6" i="8"/>
  <c r="G77" i="8"/>
  <c r="AL7" i="8"/>
  <c r="AN7" i="8" s="1"/>
  <c r="F8" i="8"/>
  <c r="E11" i="8"/>
  <c r="M26" i="8"/>
  <c r="AR5" i="8"/>
  <c r="E8" i="8"/>
  <c r="E10" i="8"/>
  <c r="F9" i="8"/>
  <c r="F11" i="8"/>
  <c r="N29" i="8" a="1"/>
  <c r="N30" i="8" s="1"/>
  <c r="P30" i="8" s="1"/>
  <c r="AL11" i="8"/>
  <c r="AQ5" i="8"/>
  <c r="G7" i="8"/>
  <c r="G8" i="8" a="1"/>
  <c r="H8" i="8" s="1"/>
  <c r="N26" i="8"/>
  <c r="AL10" i="8"/>
  <c r="AP5" i="8"/>
  <c r="E6" i="8"/>
  <c r="F7" i="8"/>
  <c r="E7" i="8"/>
  <c r="F6" i="8"/>
  <c r="M28" i="8"/>
  <c r="P28" i="8" s="1"/>
  <c r="M27" i="8"/>
  <c r="J7" i="8"/>
  <c r="I7" i="8"/>
  <c r="J6" i="8"/>
  <c r="I6" i="8"/>
  <c r="I10" i="8"/>
  <c r="J10" i="8"/>
  <c r="J11" i="8"/>
  <c r="L26" i="8"/>
  <c r="L25" i="8"/>
  <c r="M29" i="8"/>
  <c r="AQ95" i="8" s="1"/>
  <c r="G6" i="8"/>
  <c r="I8" i="8"/>
  <c r="L27" i="8"/>
  <c r="E10" i="7"/>
  <c r="H7" i="7"/>
  <c r="E8" i="7"/>
  <c r="F10" i="7"/>
  <c r="F8" i="7"/>
  <c r="E11" i="7"/>
  <c r="L29" i="7"/>
  <c r="J6" i="7"/>
  <c r="E9" i="7"/>
  <c r="I7" i="7"/>
  <c r="J7" i="7"/>
  <c r="E6" i="7" a="1"/>
  <c r="E6" i="7" s="1"/>
  <c r="J9" i="7"/>
  <c r="F60" i="7"/>
  <c r="E60" i="7"/>
  <c r="G60" i="7"/>
  <c r="M25" i="7"/>
  <c r="N27" i="7"/>
  <c r="N30" i="7"/>
  <c r="J59" i="7"/>
  <c r="I59" i="7"/>
  <c r="G59" i="7"/>
  <c r="H59" i="7"/>
  <c r="G8" i="7" a="1"/>
  <c r="E59" i="7"/>
  <c r="AQ42" i="7"/>
  <c r="AP42" i="7"/>
  <c r="AO42" i="7"/>
  <c r="AM42" i="7"/>
  <c r="AN42" i="7"/>
  <c r="G6" i="7"/>
  <c r="I8" i="7"/>
  <c r="I10" i="7" a="1"/>
  <c r="AR42" i="7"/>
  <c r="H6" i="7"/>
  <c r="J8" i="7"/>
  <c r="L25" i="7"/>
  <c r="AL48" i="7"/>
  <c r="AL47" i="7"/>
  <c r="AL46" i="7"/>
  <c r="AL45" i="7"/>
  <c r="AL44" i="7"/>
  <c r="G11" i="7"/>
  <c r="H10" i="7"/>
  <c r="G10" i="7"/>
  <c r="M28" i="7"/>
  <c r="P28" i="7" s="1"/>
  <c r="P30" i="7"/>
  <c r="AL43" i="7"/>
  <c r="H60" i="7"/>
  <c r="L27" i="7"/>
  <c r="P27" i="7" s="1"/>
  <c r="M29" i="7"/>
  <c r="P29" i="7" s="1"/>
  <c r="I60" i="7"/>
  <c r="N25" i="7"/>
  <c r="G87" i="3"/>
  <c r="F87" i="3"/>
  <c r="K87" i="3"/>
  <c r="I87" i="3"/>
  <c r="J87" i="3"/>
  <c r="E89" i="3"/>
  <c r="E88" i="3"/>
  <c r="E93" i="3"/>
  <c r="E92" i="3"/>
  <c r="E91" i="3"/>
  <c r="H77" i="8" l="1"/>
  <c r="F77" i="8"/>
  <c r="AR92" i="8"/>
  <c r="AQ99" i="8"/>
  <c r="AQ92" i="8" s="1"/>
  <c r="AL99" i="8"/>
  <c r="AJ103" i="8"/>
  <c r="AP93" i="8"/>
  <c r="F13" i="8"/>
  <c r="F59" i="8" s="1"/>
  <c r="E13" i="8"/>
  <c r="E59" i="8" s="1"/>
  <c r="J77" i="8"/>
  <c r="I13" i="8"/>
  <c r="I59" i="8" s="1"/>
  <c r="J13" i="8"/>
  <c r="J59" i="8" s="1"/>
  <c r="E86" i="8" a="1"/>
  <c r="AQ7" i="8"/>
  <c r="P26" i="8"/>
  <c r="AP7" i="8"/>
  <c r="G9" i="8"/>
  <c r="H9" i="8"/>
  <c r="H13" i="8" s="1"/>
  <c r="H59" i="8" s="1"/>
  <c r="G8" i="8"/>
  <c r="E17" i="8" s="1" a="1"/>
  <c r="AM7" i="8"/>
  <c r="N29" i="8"/>
  <c r="P29" i="8" s="1"/>
  <c r="N35" i="8" s="1"/>
  <c r="AM8" i="8"/>
  <c r="P27" i="8"/>
  <c r="M35" i="8" s="1"/>
  <c r="AN8" i="8"/>
  <c r="AO8" i="8"/>
  <c r="AO7" i="8"/>
  <c r="AP8" i="8"/>
  <c r="AR8" i="8"/>
  <c r="AQ8" i="8"/>
  <c r="AR7" i="8"/>
  <c r="AP6" i="8"/>
  <c r="AO6" i="8"/>
  <c r="AN6" i="8"/>
  <c r="AM6" i="8"/>
  <c r="AQ6" i="8"/>
  <c r="AR6" i="8"/>
  <c r="AP10" i="8"/>
  <c r="AO10" i="8"/>
  <c r="AN10" i="8"/>
  <c r="AM10" i="8"/>
  <c r="AR10" i="8"/>
  <c r="AQ10" i="8"/>
  <c r="P25" i="8"/>
  <c r="AN9" i="8"/>
  <c r="AM9" i="8"/>
  <c r="AR9" i="8"/>
  <c r="AQ9" i="8"/>
  <c r="AP9" i="8"/>
  <c r="AO9" i="8"/>
  <c r="AR11" i="8"/>
  <c r="AQ11" i="8"/>
  <c r="AP11" i="8"/>
  <c r="AO11" i="8"/>
  <c r="AN11" i="8"/>
  <c r="AM11" i="8"/>
  <c r="F7" i="7"/>
  <c r="F6" i="7"/>
  <c r="E7" i="7"/>
  <c r="AP47" i="7"/>
  <c r="AP43" i="7"/>
  <c r="AP44" i="7"/>
  <c r="AP48" i="7"/>
  <c r="AP45" i="7"/>
  <c r="AP46" i="7"/>
  <c r="AR43" i="7"/>
  <c r="AR45" i="7"/>
  <c r="AR48" i="7"/>
  <c r="AR46" i="7"/>
  <c r="AR44" i="7"/>
  <c r="AR47" i="7"/>
  <c r="AN48" i="7"/>
  <c r="AN44" i="7"/>
  <c r="AN47" i="7"/>
  <c r="AN43" i="7"/>
  <c r="AN46" i="7"/>
  <c r="AN45" i="7"/>
  <c r="AM44" i="7"/>
  <c r="AM47" i="7"/>
  <c r="AM43" i="7"/>
  <c r="AM48" i="7"/>
  <c r="AM46" i="7"/>
  <c r="AM45" i="7"/>
  <c r="AQ45" i="7"/>
  <c r="AQ47" i="7"/>
  <c r="AQ44" i="7"/>
  <c r="AQ48" i="7"/>
  <c r="AQ46" i="7"/>
  <c r="AQ43" i="7"/>
  <c r="AO44" i="7"/>
  <c r="AO48" i="7"/>
  <c r="AO46" i="7"/>
  <c r="AO47" i="7"/>
  <c r="AO43" i="7"/>
  <c r="AO45" i="7"/>
  <c r="P25" i="7"/>
  <c r="AT6" i="7" a="1"/>
  <c r="H9" i="7"/>
  <c r="G9" i="7"/>
  <c r="H8" i="7"/>
  <c r="G8" i="7"/>
  <c r="AV10" i="7" a="1"/>
  <c r="AU8" i="7" a="1"/>
  <c r="J11" i="7"/>
  <c r="R25" i="7" s="1" a="1"/>
  <c r="J10" i="7"/>
  <c r="I10" i="7"/>
  <c r="I11" i="7"/>
  <c r="E59" i="3" a="1"/>
  <c r="E59" i="3" s="1"/>
  <c r="R25" i="8" l="1" a="1"/>
  <c r="R28" i="8" s="1"/>
  <c r="G13" i="8"/>
  <c r="G59" i="8" s="1"/>
  <c r="L35" i="8"/>
  <c r="E54" i="8" a="1"/>
  <c r="F54" i="8" s="1"/>
  <c r="J17" i="8"/>
  <c r="I17" i="8"/>
  <c r="H17" i="8"/>
  <c r="G17" i="8"/>
  <c r="F17" i="8"/>
  <c r="E17" i="8"/>
  <c r="T29" i="7"/>
  <c r="S29" i="7"/>
  <c r="T26" i="7"/>
  <c r="S28" i="7"/>
  <c r="R29" i="7"/>
  <c r="S26" i="7"/>
  <c r="T25" i="7"/>
  <c r="T28" i="7"/>
  <c r="R26" i="7"/>
  <c r="R27" i="7"/>
  <c r="S25" i="7"/>
  <c r="R30" i="7"/>
  <c r="T30" i="7"/>
  <c r="R25" i="7"/>
  <c r="S30" i="7"/>
  <c r="R28" i="7"/>
  <c r="S27" i="7"/>
  <c r="T27" i="7"/>
  <c r="AV11" i="7"/>
  <c r="AV10" i="7"/>
  <c r="E54" i="7" a="1"/>
  <c r="E17" i="7" a="1"/>
  <c r="E53" i="7" a="1"/>
  <c r="AU9" i="7"/>
  <c r="AU8" i="7"/>
  <c r="AT7" i="7"/>
  <c r="AT6" i="7"/>
  <c r="I59" i="3"/>
  <c r="G59" i="3"/>
  <c r="J59" i="3"/>
  <c r="H59" i="3"/>
  <c r="F59" i="3"/>
  <c r="E53" i="8" l="1" a="1"/>
  <c r="H53" i="8" s="1"/>
  <c r="S27" i="8"/>
  <c r="T25" i="8"/>
  <c r="R30" i="8"/>
  <c r="S28" i="8"/>
  <c r="R25" i="8"/>
  <c r="R26" i="8"/>
  <c r="T28" i="8"/>
  <c r="T26" i="8"/>
  <c r="S30" i="8"/>
  <c r="S26" i="8"/>
  <c r="T27" i="8"/>
  <c r="S29" i="8"/>
  <c r="S25" i="8"/>
  <c r="R29" i="8"/>
  <c r="T29" i="8"/>
  <c r="T30" i="8"/>
  <c r="R27" i="8"/>
  <c r="H54" i="8"/>
  <c r="E54" i="8"/>
  <c r="I54" i="8"/>
  <c r="J54" i="8"/>
  <c r="G54" i="8"/>
  <c r="E38" i="8" a="1"/>
  <c r="V28" i="7"/>
  <c r="V26" i="7"/>
  <c r="J17" i="7"/>
  <c r="I17" i="7"/>
  <c r="H17" i="7"/>
  <c r="G17" i="7"/>
  <c r="F17" i="7"/>
  <c r="E17" i="7"/>
  <c r="BG38" i="7" a="1"/>
  <c r="V25" i="7"/>
  <c r="BN25" i="7" a="1"/>
  <c r="BG25" i="7" a="1"/>
  <c r="G53" i="7"/>
  <c r="F53" i="7"/>
  <c r="E53" i="7"/>
  <c r="J53" i="7"/>
  <c r="I53" i="7"/>
  <c r="H53" i="7"/>
  <c r="V27" i="7"/>
  <c r="V29" i="7"/>
  <c r="H54" i="7"/>
  <c r="G54" i="7"/>
  <c r="F54" i="7"/>
  <c r="E54" i="7"/>
  <c r="J54" i="7"/>
  <c r="I54" i="7"/>
  <c r="V30" i="7"/>
  <c r="E60" i="3" a="1"/>
  <c r="E60" i="3" s="1"/>
  <c r="E53" i="8" l="1"/>
  <c r="I53" i="8"/>
  <c r="F53" i="8"/>
  <c r="G53" i="8"/>
  <c r="J53" i="8"/>
  <c r="V27" i="8"/>
  <c r="AB93" i="8" s="1"/>
  <c r="V30" i="8"/>
  <c r="AB96" i="8" s="1"/>
  <c r="V28" i="8"/>
  <c r="AB94" i="8" s="1"/>
  <c r="V29" i="8"/>
  <c r="AB95" i="8" s="1"/>
  <c r="V25" i="8"/>
  <c r="AB91" i="8" s="1"/>
  <c r="BG25" i="8" a="1"/>
  <c r="BH25" i="8" s="1"/>
  <c r="BG38" i="8" a="1"/>
  <c r="BG39" i="8" s="1"/>
  <c r="BN25" i="8" a="1"/>
  <c r="BP25" i="8" s="1"/>
  <c r="V26" i="8"/>
  <c r="AB92" i="8" s="1"/>
  <c r="G38" i="8"/>
  <c r="F38" i="8"/>
  <c r="E38" i="8"/>
  <c r="J38" i="8"/>
  <c r="I38" i="8"/>
  <c r="H38" i="8"/>
  <c r="E38" i="7" a="1"/>
  <c r="G38" i="7" s="1"/>
  <c r="BI41" i="7"/>
  <c r="BG39" i="7"/>
  <c r="BH41" i="7"/>
  <c r="BI38" i="7"/>
  <c r="BI43" i="7"/>
  <c r="BG41" i="7"/>
  <c r="BH38" i="7"/>
  <c r="BG43" i="7"/>
  <c r="BH40" i="7"/>
  <c r="BH43" i="7"/>
  <c r="BI40" i="7"/>
  <c r="BG38" i="7"/>
  <c r="BG42" i="7"/>
  <c r="BG40" i="7"/>
  <c r="BI39" i="7"/>
  <c r="BH39" i="7"/>
  <c r="BI42" i="7"/>
  <c r="BH42" i="7"/>
  <c r="E32" i="7" a="1"/>
  <c r="E37" i="7" a="1"/>
  <c r="E25" i="7" a="1"/>
  <c r="E34" i="7" a="1"/>
  <c r="BI26" i="7"/>
  <c r="BH26" i="7"/>
  <c r="BH31" i="7" s="1"/>
  <c r="BG26" i="7"/>
  <c r="BH25" i="7"/>
  <c r="BI25" i="7"/>
  <c r="BI27" i="7"/>
  <c r="BI31" i="7" s="1"/>
  <c r="BH27" i="7"/>
  <c r="BG27" i="7"/>
  <c r="BG25" i="7"/>
  <c r="BP25" i="7"/>
  <c r="BO25" i="7"/>
  <c r="BP27" i="7"/>
  <c r="BP31" i="7" s="1"/>
  <c r="BN25" i="7"/>
  <c r="BN27" i="7"/>
  <c r="BO27" i="7"/>
  <c r="BP26" i="7"/>
  <c r="BN26" i="7"/>
  <c r="BO26" i="7"/>
  <c r="BO31" i="7" s="1"/>
  <c r="G60" i="3"/>
  <c r="J60" i="3"/>
  <c r="I60" i="3"/>
  <c r="F60" i="3"/>
  <c r="H60" i="3"/>
  <c r="V31" i="8" l="1"/>
  <c r="BI43" i="8"/>
  <c r="BI41" i="8"/>
  <c r="BG41" i="8"/>
  <c r="BG42" i="8"/>
  <c r="BG25" i="8"/>
  <c r="BG31" i="8" s="1"/>
  <c r="BI39" i="8"/>
  <c r="BH42" i="8"/>
  <c r="BI42" i="8"/>
  <c r="BG40" i="8"/>
  <c r="BN25" i="8"/>
  <c r="BN31" i="8" s="1"/>
  <c r="BI40" i="8"/>
  <c r="BH43" i="8"/>
  <c r="BH38" i="8"/>
  <c r="BI27" i="8"/>
  <c r="BI31" i="8" s="1"/>
  <c r="BO25" i="8"/>
  <c r="BN33" i="8" s="1"/>
  <c r="BP27" i="8"/>
  <c r="BP31" i="8" s="1"/>
  <c r="BI25" i="8"/>
  <c r="BG33" i="8" s="1"/>
  <c r="E34" i="8" a="1"/>
  <c r="I34" i="8" s="1"/>
  <c r="BN26" i="8"/>
  <c r="E25" i="8" a="1"/>
  <c r="J26" i="8" s="1"/>
  <c r="BO26" i="8"/>
  <c r="BO31" i="8" s="1"/>
  <c r="BI26" i="8"/>
  <c r="E32" i="8" a="1"/>
  <c r="E32" i="8" s="1"/>
  <c r="BG43" i="8"/>
  <c r="BH41" i="8"/>
  <c r="BN27" i="8"/>
  <c r="BH26" i="8"/>
  <c r="BH31" i="8" s="1"/>
  <c r="BG26" i="8"/>
  <c r="E37" i="8" a="1"/>
  <c r="J37" i="8" s="1"/>
  <c r="BH40" i="8"/>
  <c r="BI38" i="8"/>
  <c r="BP26" i="8"/>
  <c r="BP32" i="8" s="1"/>
  <c r="BG27" i="8"/>
  <c r="BH27" i="8"/>
  <c r="BH39" i="8"/>
  <c r="BG38" i="8"/>
  <c r="BO27" i="8"/>
  <c r="P38" i="8"/>
  <c r="I38" i="7"/>
  <c r="J38" i="7"/>
  <c r="H38" i="7"/>
  <c r="E38" i="7"/>
  <c r="F38" i="7"/>
  <c r="BQ27" i="7"/>
  <c r="BP33" i="7"/>
  <c r="I29" i="7"/>
  <c r="G28" i="7"/>
  <c r="E27" i="7"/>
  <c r="I25" i="7"/>
  <c r="J30" i="7"/>
  <c r="H29" i="7"/>
  <c r="F28" i="7"/>
  <c r="J26" i="7"/>
  <c r="H25" i="7"/>
  <c r="I30" i="7"/>
  <c r="G29" i="7"/>
  <c r="E28" i="7"/>
  <c r="I26" i="7"/>
  <c r="G25" i="7"/>
  <c r="E29" i="7"/>
  <c r="F27" i="7"/>
  <c r="J28" i="7"/>
  <c r="H26" i="7"/>
  <c r="F30" i="7"/>
  <c r="E26" i="7"/>
  <c r="H30" i="7"/>
  <c r="I28" i="7"/>
  <c r="G26" i="7"/>
  <c r="J27" i="7"/>
  <c r="G30" i="7"/>
  <c r="H28" i="7"/>
  <c r="F26" i="7"/>
  <c r="E30" i="7"/>
  <c r="I27" i="7"/>
  <c r="J25" i="7"/>
  <c r="J29" i="7"/>
  <c r="H27" i="7"/>
  <c r="F25" i="7"/>
  <c r="F29" i="7"/>
  <c r="G27" i="7"/>
  <c r="E25" i="7"/>
  <c r="BQ25" i="7"/>
  <c r="BN28" i="7"/>
  <c r="BN31" i="7"/>
  <c r="BI32" i="7"/>
  <c r="BI28" i="7"/>
  <c r="BH33" i="7"/>
  <c r="BJ26" i="7"/>
  <c r="BG32" i="7"/>
  <c r="E34" i="7"/>
  <c r="I34" i="7"/>
  <c r="J34" i="7"/>
  <c r="H34" i="7"/>
  <c r="G34" i="7"/>
  <c r="F34" i="7"/>
  <c r="BH32" i="7"/>
  <c r="BH28" i="7"/>
  <c r="BG33" i="7"/>
  <c r="BO32" i="7"/>
  <c r="BO28" i="7"/>
  <c r="BN33" i="7"/>
  <c r="G37" i="7"/>
  <c r="F37" i="7"/>
  <c r="E37" i="7"/>
  <c r="I37" i="7"/>
  <c r="H37" i="7"/>
  <c r="J37" i="7"/>
  <c r="BP32" i="7"/>
  <c r="BP28" i="7"/>
  <c r="H32" i="7"/>
  <c r="G32" i="7"/>
  <c r="F32" i="7"/>
  <c r="E32" i="7"/>
  <c r="I32" i="7"/>
  <c r="J32" i="7"/>
  <c r="BN32" i="7"/>
  <c r="BO33" i="7"/>
  <c r="BQ26" i="7"/>
  <c r="BG31" i="7"/>
  <c r="BJ25" i="7"/>
  <c r="BG28" i="7"/>
  <c r="BJ27" i="7"/>
  <c r="BI33" i="7"/>
  <c r="E44" i="6" a="1"/>
  <c r="F44" i="6" s="1"/>
  <c r="BG32" i="8" l="1"/>
  <c r="BG35" i="8" s="1"/>
  <c r="BI32" i="8"/>
  <c r="AN92" i="8"/>
  <c r="T92" i="8"/>
  <c r="BO33" i="8"/>
  <c r="F34" i="8"/>
  <c r="BN32" i="8"/>
  <c r="BN34" i="8" s="1"/>
  <c r="BJ25" i="8"/>
  <c r="BQ25" i="8"/>
  <c r="BN28" i="8"/>
  <c r="BP28" i="8"/>
  <c r="BI33" i="8"/>
  <c r="F32" i="8"/>
  <c r="I32" i="8"/>
  <c r="BO28" i="8"/>
  <c r="J32" i="8"/>
  <c r="BJ26" i="8"/>
  <c r="G32" i="8"/>
  <c r="BO32" i="8"/>
  <c r="BJ27" i="8"/>
  <c r="BQ26" i="8"/>
  <c r="BI28" i="8"/>
  <c r="BH32" i="8"/>
  <c r="J34" i="8"/>
  <c r="G28" i="8"/>
  <c r="I28" i="8"/>
  <c r="I27" i="8"/>
  <c r="G25" i="8"/>
  <c r="H29" i="8"/>
  <c r="F37" i="8"/>
  <c r="BG28" i="8"/>
  <c r="I29" i="8"/>
  <c r="E30" i="8"/>
  <c r="E29" i="8"/>
  <c r="I26" i="8"/>
  <c r="J30" i="8"/>
  <c r="BH28" i="8"/>
  <c r="H32" i="8"/>
  <c r="G37" i="8"/>
  <c r="E34" i="8"/>
  <c r="I25" i="8"/>
  <c r="G26" i="8"/>
  <c r="H30" i="8"/>
  <c r="E37" i="8"/>
  <c r="J25" i="8"/>
  <c r="F26" i="8"/>
  <c r="G30" i="8"/>
  <c r="E28" i="8"/>
  <c r="BH33" i="8"/>
  <c r="G34" i="8"/>
  <c r="F27" i="8"/>
  <c r="G29" i="8"/>
  <c r="H28" i="8"/>
  <c r="J28" i="8"/>
  <c r="H26" i="8"/>
  <c r="I30" i="8"/>
  <c r="BP33" i="8"/>
  <c r="BP34" i="8" s="1"/>
  <c r="H37" i="8"/>
  <c r="H34" i="8"/>
  <c r="G27" i="8"/>
  <c r="F28" i="8"/>
  <c r="H27" i="8"/>
  <c r="J29" i="8"/>
  <c r="F30" i="8"/>
  <c r="H25" i="8"/>
  <c r="BQ27" i="8"/>
  <c r="I37" i="8"/>
  <c r="F25" i="8"/>
  <c r="J27" i="8"/>
  <c r="E27" i="8"/>
  <c r="E26" i="8"/>
  <c r="E25" i="8"/>
  <c r="F29" i="8"/>
  <c r="AM15" i="8" a="1"/>
  <c r="AM15" i="7" a="1"/>
  <c r="AQ19" i="7" s="1"/>
  <c r="E18" i="7" a="1"/>
  <c r="H18" i="7" s="1"/>
  <c r="BH34" i="7"/>
  <c r="BI34" i="7"/>
  <c r="BP34" i="7"/>
  <c r="BO34" i="7"/>
  <c r="BN34" i="7"/>
  <c r="P37" i="7"/>
  <c r="AO8" i="7" a="1"/>
  <c r="BG34" i="7"/>
  <c r="AM6" i="7" a="1"/>
  <c r="V34" i="7"/>
  <c r="AQ10" i="7" a="1"/>
  <c r="J44" i="6"/>
  <c r="I44" i="6"/>
  <c r="H44" i="6"/>
  <c r="G44" i="6"/>
  <c r="E44" i="6"/>
  <c r="BG34" i="8" l="1"/>
  <c r="BI35" i="8"/>
  <c r="AM91" i="8"/>
  <c r="S91" i="8"/>
  <c r="O96" i="8"/>
  <c r="AI96" i="8"/>
  <c r="Q94" i="8"/>
  <c r="AK94" i="8"/>
  <c r="O91" i="8"/>
  <c r="AI91" i="8"/>
  <c r="P96" i="8"/>
  <c r="AJ96" i="8"/>
  <c r="S96" i="8"/>
  <c r="AM96" i="8"/>
  <c r="O94" i="8"/>
  <c r="AI94" i="8"/>
  <c r="S95" i="8"/>
  <c r="AM95" i="8"/>
  <c r="AJ95" i="8"/>
  <c r="P95" i="8"/>
  <c r="AI92" i="8"/>
  <c r="O92" i="8"/>
  <c r="Q96" i="8"/>
  <c r="AK96" i="8"/>
  <c r="AL93" i="8"/>
  <c r="R93" i="8"/>
  <c r="AJ92" i="8"/>
  <c r="P92" i="8"/>
  <c r="T93" i="8"/>
  <c r="AN93" i="8"/>
  <c r="AL95" i="8"/>
  <c r="R95" i="8"/>
  <c r="Q95" i="8"/>
  <c r="AK95" i="8"/>
  <c r="AN96" i="8"/>
  <c r="T96" i="8"/>
  <c r="BO34" i="8"/>
  <c r="AL91" i="8"/>
  <c r="R91" i="8"/>
  <c r="AN95" i="8"/>
  <c r="T95" i="8"/>
  <c r="R92" i="8"/>
  <c r="AL92" i="8"/>
  <c r="O93" i="8"/>
  <c r="AI93" i="8"/>
  <c r="T94" i="8"/>
  <c r="AN94" i="8"/>
  <c r="AJ94" i="8"/>
  <c r="P94" i="8"/>
  <c r="AL94" i="8"/>
  <c r="R94" i="8"/>
  <c r="T91" i="8"/>
  <c r="AN91" i="8"/>
  <c r="AJ91" i="8"/>
  <c r="P91" i="8"/>
  <c r="Q93" i="8"/>
  <c r="AK93" i="8"/>
  <c r="Q91" i="8"/>
  <c r="AK91" i="8"/>
  <c r="P93" i="8"/>
  <c r="AJ93" i="8"/>
  <c r="R96" i="8"/>
  <c r="AL96" i="8"/>
  <c r="S92" i="8"/>
  <c r="AM92" i="8"/>
  <c r="AM93" i="8"/>
  <c r="S93" i="8"/>
  <c r="Q92" i="8"/>
  <c r="AK92" i="8"/>
  <c r="AI95" i="8"/>
  <c r="O95" i="8"/>
  <c r="S94" i="8"/>
  <c r="AM94" i="8"/>
  <c r="BH34" i="8"/>
  <c r="P37" i="8"/>
  <c r="X25" i="8"/>
  <c r="X26" i="8"/>
  <c r="BI34" i="8"/>
  <c r="BH35" i="8"/>
  <c r="X28" i="8"/>
  <c r="V34" i="8"/>
  <c r="X27" i="8"/>
  <c r="X30" i="8"/>
  <c r="X29" i="8"/>
  <c r="AR20" i="8"/>
  <c r="AP19" i="8"/>
  <c r="AN18" i="8"/>
  <c r="AR16" i="8"/>
  <c r="AP15" i="8"/>
  <c r="AP20" i="8"/>
  <c r="AN19" i="8"/>
  <c r="AR17" i="8"/>
  <c r="AO20" i="8"/>
  <c r="AM19" i="8"/>
  <c r="AQ17" i="8"/>
  <c r="AO16" i="8"/>
  <c r="AM15" i="8"/>
  <c r="AN20" i="8"/>
  <c r="AR18" i="8"/>
  <c r="AP17" i="8"/>
  <c r="AN16" i="8"/>
  <c r="AM20" i="8"/>
  <c r="AQ18" i="8"/>
  <c r="AO17" i="8"/>
  <c r="AM16" i="8"/>
  <c r="AR19" i="8"/>
  <c r="AP18" i="8"/>
  <c r="AN17" i="8"/>
  <c r="AR15" i="8"/>
  <c r="AQ19" i="8"/>
  <c r="AO15" i="8"/>
  <c r="AO19" i="8"/>
  <c r="AN15" i="8"/>
  <c r="AM18" i="8"/>
  <c r="AP16" i="8"/>
  <c r="AO18" i="8"/>
  <c r="AQ16" i="8"/>
  <c r="AQ20" i="8"/>
  <c r="AQ15" i="8"/>
  <c r="AM17" i="8"/>
  <c r="AR17" i="7"/>
  <c r="AP17" i="7"/>
  <c r="AP19" i="7"/>
  <c r="AN20" i="7"/>
  <c r="AR18" i="7"/>
  <c r="AO20" i="7"/>
  <c r="AO15" i="7"/>
  <c r="AO25" i="7" s="1" a="1"/>
  <c r="AN16" i="7"/>
  <c r="AQ15" i="7"/>
  <c r="AR20" i="7"/>
  <c r="AQ18" i="7"/>
  <c r="AO18" i="7"/>
  <c r="AO17" i="7"/>
  <c r="AM18" i="7"/>
  <c r="AQ16" i="7"/>
  <c r="AR15" i="7"/>
  <c r="AO19" i="7"/>
  <c r="AQ20" i="7"/>
  <c r="AR19" i="7"/>
  <c r="AM16" i="7"/>
  <c r="AP20" i="7"/>
  <c r="AM19" i="7"/>
  <c r="AP16" i="7"/>
  <c r="AN15" i="7"/>
  <c r="AM20" i="7"/>
  <c r="AQ17" i="7"/>
  <c r="AN17" i="7"/>
  <c r="AN18" i="7"/>
  <c r="AR16" i="7"/>
  <c r="AP18" i="7"/>
  <c r="AM17" i="7"/>
  <c r="AN19" i="7"/>
  <c r="AO16" i="7"/>
  <c r="AM15" i="7"/>
  <c r="AP15" i="7"/>
  <c r="I18" i="7"/>
  <c r="J18" i="7"/>
  <c r="E18" i="7"/>
  <c r="G18" i="7"/>
  <c r="F18" i="7"/>
  <c r="AP8" i="7"/>
  <c r="AO8" i="7"/>
  <c r="AP9" i="7"/>
  <c r="AO9" i="7"/>
  <c r="AQ10" i="7"/>
  <c r="AR11" i="7"/>
  <c r="AQ11" i="7"/>
  <c r="AR10" i="7"/>
  <c r="AN7" i="7"/>
  <c r="AM7" i="7"/>
  <c r="AN6" i="7"/>
  <c r="AM6" i="7"/>
  <c r="E68" i="6" a="1"/>
  <c r="H68" i="6" s="1"/>
  <c r="M28" i="6" a="1"/>
  <c r="M28" i="6" s="1"/>
  <c r="L28" i="6" a="1"/>
  <c r="L29" i="6" s="1"/>
  <c r="N26" i="6" a="1"/>
  <c r="N26" i="6" s="1"/>
  <c r="L26" i="6" a="1"/>
  <c r="L26" i="6" s="1"/>
  <c r="N24" i="6" a="1"/>
  <c r="N24" i="6" s="1"/>
  <c r="M24" i="6" a="1"/>
  <c r="M25" i="6" s="1"/>
  <c r="AN10" i="6" a="1"/>
  <c r="AO11" i="6" s="1"/>
  <c r="AL10" i="6" a="1"/>
  <c r="AM11" i="6" s="1"/>
  <c r="G10" i="6" a="1"/>
  <c r="G11" i="6" s="1"/>
  <c r="E10" i="6" a="1"/>
  <c r="E11" i="6" s="1"/>
  <c r="AL8" i="6" a="1"/>
  <c r="AL9" i="6" s="1"/>
  <c r="AJ8" i="6" a="1"/>
  <c r="AJ8" i="6" s="1"/>
  <c r="I8" i="6" a="1"/>
  <c r="J9" i="6" s="1"/>
  <c r="E8" i="6" a="1"/>
  <c r="F8" i="6" s="1"/>
  <c r="AB7" i="6"/>
  <c r="I10" i="6" s="1" a="1"/>
  <c r="AN6" i="6" a="1"/>
  <c r="AO6" i="6" s="1"/>
  <c r="AL6" i="6" a="1"/>
  <c r="AM7" i="6" s="1"/>
  <c r="AJ6" i="6" a="1"/>
  <c r="AK7" i="6" s="1"/>
  <c r="AA6" i="6"/>
  <c r="G8" i="6" s="1" a="1"/>
  <c r="I6" i="6" a="1"/>
  <c r="J6" i="6" s="1"/>
  <c r="G6" i="6" a="1"/>
  <c r="H7" i="6" s="1"/>
  <c r="Z5" i="6"/>
  <c r="E6" i="6" s="1" a="1"/>
  <c r="E33" i="5" a="1"/>
  <c r="F33" i="5" s="1"/>
  <c r="E43" i="5" a="1"/>
  <c r="F43" i="5" s="1"/>
  <c r="E44" i="5" a="1"/>
  <c r="G44" i="5" s="1"/>
  <c r="E62" i="5" a="1"/>
  <c r="G62" i="5" s="1"/>
  <c r="M28" i="5" a="1"/>
  <c r="M29" i="5" s="1"/>
  <c r="L28" i="5" a="1"/>
  <c r="L28" i="5" s="1"/>
  <c r="N26" i="5" a="1"/>
  <c r="N26" i="5" s="1"/>
  <c r="L26" i="5" a="1"/>
  <c r="L27" i="5" s="1"/>
  <c r="N24" i="5" a="1"/>
  <c r="N25" i="5" s="1"/>
  <c r="M24" i="5" a="1"/>
  <c r="M25" i="5" s="1"/>
  <c r="AT10" i="5" a="1"/>
  <c r="AU11" i="5" s="1"/>
  <c r="AR10" i="5" a="1"/>
  <c r="AS11" i="5" s="1"/>
  <c r="G10" i="5" a="1"/>
  <c r="G11" i="5" s="1"/>
  <c r="F11" i="5"/>
  <c r="E10" i="5" a="1"/>
  <c r="F10" i="5" s="1"/>
  <c r="AR8" i="5" a="1"/>
  <c r="AS9" i="5" s="1"/>
  <c r="AP8" i="5" a="1"/>
  <c r="AQ10" i="5" s="1"/>
  <c r="I8" i="5" a="1"/>
  <c r="I9" i="5" s="1"/>
  <c r="E8" i="5" a="1"/>
  <c r="F9" i="5" s="1"/>
  <c r="AB7" i="5"/>
  <c r="I10" i="5" s="1" a="1"/>
  <c r="AT6" i="5" a="1"/>
  <c r="AT9" i="5" s="1"/>
  <c r="AR6" i="5" a="1"/>
  <c r="AS7" i="5" s="1"/>
  <c r="AP6" i="5" a="1"/>
  <c r="AP6" i="5" s="1"/>
  <c r="AA6" i="5"/>
  <c r="G8" i="5" s="1" a="1"/>
  <c r="I6" i="5" a="1"/>
  <c r="J7" i="5" s="1"/>
  <c r="G6" i="5" a="1"/>
  <c r="H7" i="5" s="1"/>
  <c r="Z5" i="5"/>
  <c r="L24" i="5" s="1" a="1"/>
  <c r="AM23" i="8" l="1" a="1"/>
  <c r="AO26" i="7"/>
  <c r="AO25" i="7"/>
  <c r="AP26" i="7"/>
  <c r="AP25" i="7"/>
  <c r="AM23" i="7" a="1"/>
  <c r="AQ27" i="7" a="1"/>
  <c r="AX7" i="7"/>
  <c r="AX11" i="7"/>
  <c r="AX8" i="7"/>
  <c r="AX6" i="7"/>
  <c r="AX9" i="7"/>
  <c r="AX10" i="7"/>
  <c r="M24" i="6"/>
  <c r="AL8" i="6"/>
  <c r="AM9" i="6"/>
  <c r="E9" i="6"/>
  <c r="F9" i="6"/>
  <c r="F11" i="6"/>
  <c r="N25" i="6"/>
  <c r="N27" i="6"/>
  <c r="AJ6" i="6"/>
  <c r="I6" i="6"/>
  <c r="I7" i="6"/>
  <c r="J7" i="6"/>
  <c r="E8" i="6"/>
  <c r="AM8" i="6"/>
  <c r="L24" i="6" a="1"/>
  <c r="L24" i="6" s="1"/>
  <c r="AN8" i="6"/>
  <c r="AO8" i="6"/>
  <c r="AN9" i="6"/>
  <c r="AK8" i="6"/>
  <c r="AJ9" i="6"/>
  <c r="AK9" i="6"/>
  <c r="AN7" i="6"/>
  <c r="AJ10" i="6"/>
  <c r="I68" i="6"/>
  <c r="AL10" i="6"/>
  <c r="AN6" i="6"/>
  <c r="AO7" i="6"/>
  <c r="AK10" i="6"/>
  <c r="J68" i="6"/>
  <c r="F7" i="6"/>
  <c r="E6" i="6"/>
  <c r="E7" i="6"/>
  <c r="F6" i="6"/>
  <c r="I10" i="6"/>
  <c r="J10" i="6"/>
  <c r="J11" i="6"/>
  <c r="I11" i="6"/>
  <c r="G9" i="6"/>
  <c r="H8" i="6"/>
  <c r="G8" i="6"/>
  <c r="H9" i="6"/>
  <c r="G6" i="6"/>
  <c r="AL6" i="6"/>
  <c r="AM6" i="6"/>
  <c r="I8" i="6"/>
  <c r="G10" i="6"/>
  <c r="AO10" i="6"/>
  <c r="L27" i="6"/>
  <c r="M29" i="6"/>
  <c r="H6" i="6"/>
  <c r="G7" i="6"/>
  <c r="AL7" i="6"/>
  <c r="J8" i="6"/>
  <c r="H10" i="6"/>
  <c r="AN11" i="6"/>
  <c r="M26" i="6" a="1"/>
  <c r="N28" i="6" a="1"/>
  <c r="E68" i="6"/>
  <c r="AN10" i="6"/>
  <c r="I9" i="6"/>
  <c r="AK6" i="6"/>
  <c r="AO9" i="6"/>
  <c r="AJ11" i="6"/>
  <c r="E10" i="6"/>
  <c r="H11" i="6"/>
  <c r="AM10" i="6"/>
  <c r="F68" i="6"/>
  <c r="AJ7" i="6"/>
  <c r="AK11" i="6"/>
  <c r="F10" i="6"/>
  <c r="AL11" i="6"/>
  <c r="L28" i="6"/>
  <c r="G68" i="6"/>
  <c r="I33" i="5"/>
  <c r="H33" i="5"/>
  <c r="G33" i="5"/>
  <c r="E33" i="5"/>
  <c r="J33" i="5"/>
  <c r="I44" i="5"/>
  <c r="H44" i="5"/>
  <c r="F44" i="5"/>
  <c r="H43" i="5"/>
  <c r="G43" i="5"/>
  <c r="E6" i="5" a="1"/>
  <c r="E6" i="5" s="1"/>
  <c r="J44" i="5"/>
  <c r="E43" i="5"/>
  <c r="E44" i="5"/>
  <c r="E11" i="5"/>
  <c r="J43" i="5"/>
  <c r="I43" i="5"/>
  <c r="N24" i="5"/>
  <c r="AQ7" i="5"/>
  <c r="AR6" i="5"/>
  <c r="L29" i="5"/>
  <c r="AQ8" i="5"/>
  <c r="AP9" i="5"/>
  <c r="H11" i="5"/>
  <c r="N27" i="5"/>
  <c r="F7" i="5"/>
  <c r="AP11" i="5"/>
  <c r="AQ6" i="5"/>
  <c r="J9" i="5"/>
  <c r="E10" i="5"/>
  <c r="N28" i="5" a="1"/>
  <c r="N29" i="5" s="1"/>
  <c r="F6" i="5"/>
  <c r="AP8" i="5"/>
  <c r="H62" i="5"/>
  <c r="J10" i="5"/>
  <c r="I11" i="5"/>
  <c r="G8" i="5"/>
  <c r="H9" i="5"/>
  <c r="G9" i="5"/>
  <c r="H8" i="5"/>
  <c r="L25" i="5"/>
  <c r="P25" i="5" s="1"/>
  <c r="L24" i="5"/>
  <c r="E7" i="5"/>
  <c r="I6" i="5"/>
  <c r="AP7" i="5"/>
  <c r="AT6" i="5"/>
  <c r="AQ11" i="5"/>
  <c r="AT10" i="5"/>
  <c r="M24" i="5"/>
  <c r="L26" i="5"/>
  <c r="I62" i="5"/>
  <c r="AU10" i="5"/>
  <c r="J62" i="5"/>
  <c r="I7" i="5"/>
  <c r="AT7" i="5"/>
  <c r="E8" i="5"/>
  <c r="AR8" i="5"/>
  <c r="AT11" i="5"/>
  <c r="M26" i="5" a="1"/>
  <c r="J6" i="5"/>
  <c r="AS8" i="5"/>
  <c r="AR10" i="5"/>
  <c r="AU9" i="5"/>
  <c r="AU6" i="5"/>
  <c r="G6" i="5"/>
  <c r="AU7" i="5"/>
  <c r="F8" i="5"/>
  <c r="H6" i="5"/>
  <c r="AS6" i="5"/>
  <c r="AT8" i="5"/>
  <c r="E9" i="5"/>
  <c r="I8" i="5"/>
  <c r="AQ9" i="5"/>
  <c r="AR9" i="5"/>
  <c r="G10" i="5"/>
  <c r="AS10" i="5"/>
  <c r="E62" i="5"/>
  <c r="AR7" i="5"/>
  <c r="AU8" i="5"/>
  <c r="J8" i="5"/>
  <c r="AP10" i="5"/>
  <c r="H10" i="5"/>
  <c r="AR11" i="5"/>
  <c r="M28" i="5"/>
  <c r="F62" i="5"/>
  <c r="G7" i="5"/>
  <c r="J11" i="5"/>
  <c r="I10" i="5"/>
  <c r="N25" i="3" a="1"/>
  <c r="N26" i="3" s="1"/>
  <c r="N27" i="3" a="1"/>
  <c r="N28" i="3" s="1"/>
  <c r="M29" i="3" a="1"/>
  <c r="M29" i="3" s="1"/>
  <c r="M25" i="3" a="1"/>
  <c r="M25" i="3" s="1"/>
  <c r="L29" i="3" a="1"/>
  <c r="L29" i="3" s="1"/>
  <c r="L27" i="3" a="1"/>
  <c r="L28" i="3" s="1"/>
  <c r="I6" i="3" a="1"/>
  <c r="I7" i="3" s="1"/>
  <c r="I8" i="3" a="1"/>
  <c r="I8" i="3" s="1"/>
  <c r="G10" i="3" a="1"/>
  <c r="G11" i="3" s="1"/>
  <c r="G6" i="3" a="1"/>
  <c r="G6" i="3" s="1"/>
  <c r="E10" i="3" a="1"/>
  <c r="E11" i="3" s="1"/>
  <c r="E8" i="3" a="1"/>
  <c r="E9" i="3" s="1"/>
  <c r="AB7" i="3"/>
  <c r="I10" i="3" s="1" a="1"/>
  <c r="I10" i="3" s="1"/>
  <c r="AA6" i="3"/>
  <c r="G8" i="3" s="1" a="1"/>
  <c r="G8" i="3" s="1"/>
  <c r="Z5" i="3"/>
  <c r="F44" i="2" a="1"/>
  <c r="G44" i="2" s="1"/>
  <c r="D44" i="2" a="1"/>
  <c r="D44" i="2" s="1"/>
  <c r="F38" i="2" a="1"/>
  <c r="G38" i="2" s="1"/>
  <c r="M38" i="2" s="1"/>
  <c r="D38" i="2" a="1"/>
  <c r="E38" i="2" s="1"/>
  <c r="K38" i="2" s="1"/>
  <c r="D37" i="2" a="1"/>
  <c r="E37" i="2" s="1"/>
  <c r="K37" i="2" s="1"/>
  <c r="D36" i="2" a="1"/>
  <c r="G36" i="2" s="1"/>
  <c r="L20" i="2" a="1"/>
  <c r="M22" i="2" s="1"/>
  <c r="D13" i="2" a="1"/>
  <c r="G13" i="2" s="1"/>
  <c r="D43" i="1" a="1"/>
  <c r="J37" i="1"/>
  <c r="K37" i="1"/>
  <c r="L37" i="1"/>
  <c r="M37" i="1"/>
  <c r="L39" i="1"/>
  <c r="M39" i="1"/>
  <c r="L40" i="1"/>
  <c r="M40" i="1"/>
  <c r="F40" i="1" a="1"/>
  <c r="F40" i="1" s="1"/>
  <c r="D39" i="1" a="1"/>
  <c r="D39" i="1" s="1"/>
  <c r="J39" i="1" s="1"/>
  <c r="D38" i="1" a="1"/>
  <c r="D38" i="1" s="1"/>
  <c r="J38" i="1" s="1"/>
  <c r="F38" i="1" a="1"/>
  <c r="F38" i="1" s="1"/>
  <c r="L38" i="1" s="1"/>
  <c r="D37" i="1" a="1"/>
  <c r="F37" i="1" s="1"/>
  <c r="AO23" i="8" l="1"/>
  <c r="AQ24" i="8"/>
  <c r="AM26" i="8"/>
  <c r="AO27" i="8"/>
  <c r="AQ28" i="8"/>
  <c r="AP23" i="8"/>
  <c r="AR24" i="8"/>
  <c r="AN26" i="8"/>
  <c r="AP27" i="8"/>
  <c r="AR28" i="8"/>
  <c r="AQ23" i="8"/>
  <c r="AE22" i="8" s="1"/>
  <c r="AM25" i="8"/>
  <c r="AO26" i="8"/>
  <c r="AQ27" i="8"/>
  <c r="AR23" i="8"/>
  <c r="AF22" i="8" s="1"/>
  <c r="AN25" i="8"/>
  <c r="AP26" i="8"/>
  <c r="AR27" i="8"/>
  <c r="AM24" i="8"/>
  <c r="AO25" i="8"/>
  <c r="AQ26" i="8"/>
  <c r="AM28" i="8"/>
  <c r="AM23" i="8"/>
  <c r="AO24" i="8"/>
  <c r="AQ25" i="8"/>
  <c r="AO28" i="8"/>
  <c r="AN24" i="8"/>
  <c r="AP25" i="8"/>
  <c r="AR26" i="8"/>
  <c r="AN28" i="8"/>
  <c r="AM27" i="8"/>
  <c r="AN23" i="8"/>
  <c r="AP24" i="8"/>
  <c r="AR25" i="8"/>
  <c r="AN27" i="8"/>
  <c r="AP28" i="8"/>
  <c r="AN23" i="7"/>
  <c r="AM23" i="7"/>
  <c r="AN24" i="7"/>
  <c r="AM24" i="7"/>
  <c r="AQ27" i="7"/>
  <c r="AR27" i="7"/>
  <c r="AR28" i="7"/>
  <c r="AQ28" i="7"/>
  <c r="L25" i="6"/>
  <c r="P25" i="6" s="1"/>
  <c r="P24" i="6"/>
  <c r="E53" i="6" a="1"/>
  <c r="E53" i="6" s="1"/>
  <c r="M27" i="6"/>
  <c r="M26" i="6"/>
  <c r="P26" i="6" s="1"/>
  <c r="P27" i="6"/>
  <c r="N29" i="6"/>
  <c r="P29" i="6" s="1"/>
  <c r="N28" i="6"/>
  <c r="P28" i="6" s="1"/>
  <c r="E56" i="6" a="1"/>
  <c r="E70" i="6" a="1"/>
  <c r="E52" i="6" a="1"/>
  <c r="E51" i="6" a="1"/>
  <c r="E78" i="6" a="1"/>
  <c r="E17" i="6" a="1"/>
  <c r="E42" i="5" a="1"/>
  <c r="E42" i="5" s="1"/>
  <c r="E45" i="5" a="1"/>
  <c r="P24" i="5"/>
  <c r="N28" i="5"/>
  <c r="P29" i="5"/>
  <c r="P28" i="5"/>
  <c r="M27" i="5"/>
  <c r="P27" i="5" s="1"/>
  <c r="M26" i="5"/>
  <c r="P26" i="5" s="1"/>
  <c r="E64" i="5" a="1"/>
  <c r="E51" i="5" a="1"/>
  <c r="E50" i="5" a="1"/>
  <c r="E72" i="5" a="1"/>
  <c r="E52" i="5" a="1"/>
  <c r="E55" i="5" a="1"/>
  <c r="E17" i="5" a="1"/>
  <c r="R24" i="5" a="1"/>
  <c r="E6" i="3" a="1"/>
  <c r="F7" i="3" s="1"/>
  <c r="N29" i="3" a="1"/>
  <c r="N30" i="3" s="1"/>
  <c r="L25" i="3" a="1"/>
  <c r="L25" i="3" s="1"/>
  <c r="M27" i="3" a="1"/>
  <c r="M28" i="3" s="1"/>
  <c r="P28" i="3" s="1"/>
  <c r="N25" i="3"/>
  <c r="N27" i="3"/>
  <c r="M30" i="3"/>
  <c r="M26" i="3"/>
  <c r="L30" i="3"/>
  <c r="L27" i="3"/>
  <c r="H10" i="3"/>
  <c r="G10" i="3"/>
  <c r="J6" i="3"/>
  <c r="I6" i="3"/>
  <c r="J7" i="3"/>
  <c r="J9" i="3"/>
  <c r="I9" i="3"/>
  <c r="J8" i="3"/>
  <c r="I11" i="3"/>
  <c r="J11" i="3"/>
  <c r="J10" i="3"/>
  <c r="H11" i="3"/>
  <c r="H9" i="3"/>
  <c r="G9" i="3"/>
  <c r="H8" i="3"/>
  <c r="G7" i="3"/>
  <c r="H7" i="3"/>
  <c r="H6" i="3"/>
  <c r="F10" i="3"/>
  <c r="E10" i="3"/>
  <c r="F11" i="3"/>
  <c r="F9" i="3"/>
  <c r="F8" i="3"/>
  <c r="E8" i="3"/>
  <c r="F44" i="2"/>
  <c r="E44" i="2"/>
  <c r="F37" i="2"/>
  <c r="L37" i="2" s="1"/>
  <c r="G37" i="2"/>
  <c r="M37" i="2" s="1"/>
  <c r="F38" i="2"/>
  <c r="L38" i="2" s="1"/>
  <c r="M36" i="2"/>
  <c r="M23" i="2"/>
  <c r="L23" i="2"/>
  <c r="O23" i="2" s="1"/>
  <c r="L20" i="2"/>
  <c r="M20" i="2"/>
  <c r="D36" i="2"/>
  <c r="D13" i="2"/>
  <c r="L21" i="2"/>
  <c r="E36" i="2"/>
  <c r="D37" i="2"/>
  <c r="J37" i="2" s="1"/>
  <c r="E13" i="2"/>
  <c r="M21" i="2"/>
  <c r="F36" i="2"/>
  <c r="D38" i="2"/>
  <c r="F13" i="2"/>
  <c r="D45" i="2" s="1" a="1"/>
  <c r="E45" i="2" s="1"/>
  <c r="L22" i="2"/>
  <c r="O22" i="2" s="1"/>
  <c r="D43" i="1"/>
  <c r="F39" i="1" a="1"/>
  <c r="F39" i="1" s="1"/>
  <c r="D40" i="1" a="1"/>
  <c r="G40" i="1"/>
  <c r="E39" i="1"/>
  <c r="K39" i="1" s="1"/>
  <c r="E38" i="1"/>
  <c r="K38" i="1" s="1"/>
  <c r="E37" i="1"/>
  <c r="D37" i="1"/>
  <c r="G38" i="1"/>
  <c r="M38" i="1" s="1"/>
  <c r="G37" i="1"/>
  <c r="E55" i="8" l="1" a="1"/>
  <c r="E55" i="8" s="1"/>
  <c r="E48" i="8" s="1"/>
  <c r="E61" i="8" a="1"/>
  <c r="AM31" i="7" a="1"/>
  <c r="AQ36" i="7" s="1"/>
  <c r="Z24" i="6" a="1"/>
  <c r="G53" i="6"/>
  <c r="I53" i="6"/>
  <c r="F53" i="6"/>
  <c r="H53" i="6"/>
  <c r="J53" i="6"/>
  <c r="G83" i="6"/>
  <c r="E82" i="6"/>
  <c r="I80" i="6"/>
  <c r="G79" i="6"/>
  <c r="E78" i="6"/>
  <c r="F83" i="6"/>
  <c r="J81" i="6"/>
  <c r="H80" i="6"/>
  <c r="F79" i="6"/>
  <c r="F82" i="6"/>
  <c r="F78" i="6"/>
  <c r="E83" i="6"/>
  <c r="I81" i="6"/>
  <c r="G80" i="6"/>
  <c r="E79" i="6"/>
  <c r="J82" i="6"/>
  <c r="H81" i="6"/>
  <c r="F80" i="6"/>
  <c r="J78" i="6"/>
  <c r="J80" i="6"/>
  <c r="I82" i="6"/>
  <c r="G81" i="6"/>
  <c r="E80" i="6"/>
  <c r="I78" i="6"/>
  <c r="J83" i="6"/>
  <c r="H82" i="6"/>
  <c r="F81" i="6"/>
  <c r="J79" i="6"/>
  <c r="H78" i="6"/>
  <c r="H83" i="6"/>
  <c r="H79" i="6"/>
  <c r="I83" i="6"/>
  <c r="G82" i="6"/>
  <c r="E81" i="6"/>
  <c r="I79" i="6"/>
  <c r="G78" i="6"/>
  <c r="E52" i="6"/>
  <c r="J52" i="6"/>
  <c r="I52" i="6"/>
  <c r="H52" i="6"/>
  <c r="G52" i="6"/>
  <c r="F52" i="6"/>
  <c r="J51" i="6"/>
  <c r="I51" i="6"/>
  <c r="H51" i="6"/>
  <c r="G51" i="6"/>
  <c r="E51" i="6"/>
  <c r="F51" i="6"/>
  <c r="J74" i="6"/>
  <c r="H73" i="6"/>
  <c r="F72" i="6"/>
  <c r="J70" i="6"/>
  <c r="I74" i="6"/>
  <c r="G73" i="6"/>
  <c r="E72" i="6"/>
  <c r="I70" i="6"/>
  <c r="G72" i="6"/>
  <c r="J75" i="6"/>
  <c r="H74" i="6"/>
  <c r="F73" i="6"/>
  <c r="J71" i="6"/>
  <c r="H70" i="6"/>
  <c r="I75" i="6"/>
  <c r="G74" i="6"/>
  <c r="E73" i="6"/>
  <c r="I71" i="6"/>
  <c r="G70" i="6"/>
  <c r="E75" i="6"/>
  <c r="E71" i="6"/>
  <c r="H75" i="6"/>
  <c r="F74" i="6"/>
  <c r="J72" i="6"/>
  <c r="H71" i="6"/>
  <c r="F70" i="6"/>
  <c r="G75" i="6"/>
  <c r="E74" i="6"/>
  <c r="I72" i="6"/>
  <c r="G71" i="6"/>
  <c r="E70" i="6"/>
  <c r="I73" i="6"/>
  <c r="F75" i="6"/>
  <c r="J73" i="6"/>
  <c r="H72" i="6"/>
  <c r="F71" i="6"/>
  <c r="R24" i="6" a="1"/>
  <c r="G56" i="6"/>
  <c r="F56" i="6"/>
  <c r="H56" i="6"/>
  <c r="E56" i="6"/>
  <c r="J56" i="6"/>
  <c r="I56" i="6"/>
  <c r="F17" i="6"/>
  <c r="H17" i="6"/>
  <c r="E17" i="6"/>
  <c r="G17" i="6"/>
  <c r="J17" i="6"/>
  <c r="I17" i="6"/>
  <c r="J42" i="5"/>
  <c r="I42" i="5"/>
  <c r="H42" i="5"/>
  <c r="H46" i="5" s="1"/>
  <c r="G42" i="5"/>
  <c r="F42" i="5"/>
  <c r="H45" i="5"/>
  <c r="I45" i="5"/>
  <c r="I46" i="5" s="1"/>
  <c r="J45" i="5"/>
  <c r="J46" i="5" s="1"/>
  <c r="E45" i="5"/>
  <c r="F45" i="5"/>
  <c r="G45" i="5"/>
  <c r="G46" i="5" s="1"/>
  <c r="F46" i="5"/>
  <c r="E46" i="5"/>
  <c r="J68" i="5"/>
  <c r="E69" i="5"/>
  <c r="I67" i="5"/>
  <c r="G66" i="5"/>
  <c r="E65" i="5"/>
  <c r="G65" i="5"/>
  <c r="H69" i="5"/>
  <c r="F67" i="5"/>
  <c r="J64" i="5"/>
  <c r="H64" i="5"/>
  <c r="F68" i="5"/>
  <c r="I66" i="5"/>
  <c r="G64" i="5"/>
  <c r="H68" i="5"/>
  <c r="F66" i="5"/>
  <c r="H66" i="5"/>
  <c r="G69" i="5"/>
  <c r="E67" i="5"/>
  <c r="J67" i="5"/>
  <c r="F64" i="5"/>
  <c r="I64" i="5"/>
  <c r="F69" i="5"/>
  <c r="I69" i="5"/>
  <c r="E66" i="5"/>
  <c r="F65" i="5"/>
  <c r="E68" i="5"/>
  <c r="I65" i="5"/>
  <c r="J69" i="5"/>
  <c r="H67" i="5"/>
  <c r="G68" i="5"/>
  <c r="H65" i="5"/>
  <c r="J66" i="5"/>
  <c r="G67" i="5"/>
  <c r="E64" i="5"/>
  <c r="J65" i="5"/>
  <c r="I68" i="5"/>
  <c r="G55" i="5"/>
  <c r="F55" i="5"/>
  <c r="E55" i="5"/>
  <c r="H55" i="5"/>
  <c r="J55" i="5"/>
  <c r="I55" i="5"/>
  <c r="G17" i="5"/>
  <c r="F17" i="5"/>
  <c r="E17" i="5"/>
  <c r="H17" i="5"/>
  <c r="J17" i="5"/>
  <c r="I17" i="5"/>
  <c r="G77" i="5"/>
  <c r="E76" i="5"/>
  <c r="I74" i="5"/>
  <c r="G73" i="5"/>
  <c r="E72" i="5"/>
  <c r="F77" i="5"/>
  <c r="J75" i="5"/>
  <c r="H74" i="5"/>
  <c r="F73" i="5"/>
  <c r="E77" i="5"/>
  <c r="I75" i="5"/>
  <c r="G74" i="5"/>
  <c r="E73" i="5"/>
  <c r="J76" i="5"/>
  <c r="H75" i="5"/>
  <c r="F74" i="5"/>
  <c r="J72" i="5"/>
  <c r="I76" i="5"/>
  <c r="G75" i="5"/>
  <c r="E74" i="5"/>
  <c r="I72" i="5"/>
  <c r="F76" i="5"/>
  <c r="H73" i="5"/>
  <c r="F72" i="5"/>
  <c r="J77" i="5"/>
  <c r="H76" i="5"/>
  <c r="F75" i="5"/>
  <c r="J73" i="5"/>
  <c r="H72" i="5"/>
  <c r="H77" i="5"/>
  <c r="J74" i="5"/>
  <c r="I77" i="5"/>
  <c r="G76" i="5"/>
  <c r="E75" i="5"/>
  <c r="I73" i="5"/>
  <c r="G72" i="5"/>
  <c r="E52" i="5"/>
  <c r="J52" i="5"/>
  <c r="I52" i="5"/>
  <c r="F52" i="5"/>
  <c r="H52" i="5"/>
  <c r="G52" i="5"/>
  <c r="J50" i="5"/>
  <c r="I50" i="5"/>
  <c r="H50" i="5"/>
  <c r="G50" i="5"/>
  <c r="E50" i="5"/>
  <c r="E49" i="5" s="1"/>
  <c r="F50" i="5"/>
  <c r="J51" i="5"/>
  <c r="I51" i="5"/>
  <c r="H51" i="5"/>
  <c r="G51" i="5"/>
  <c r="E51" i="5"/>
  <c r="F51" i="5"/>
  <c r="S28" i="5"/>
  <c r="T25" i="5"/>
  <c r="R28" i="5"/>
  <c r="S25" i="5"/>
  <c r="T27" i="5"/>
  <c r="R25" i="5"/>
  <c r="S27" i="5"/>
  <c r="T24" i="5"/>
  <c r="T28" i="5"/>
  <c r="T29" i="5"/>
  <c r="R27" i="5"/>
  <c r="S24" i="5"/>
  <c r="S29" i="5"/>
  <c r="T26" i="5"/>
  <c r="R24" i="5"/>
  <c r="R26" i="5"/>
  <c r="R29" i="5"/>
  <c r="S26" i="5"/>
  <c r="E6" i="3"/>
  <c r="F6" i="3"/>
  <c r="E7" i="3"/>
  <c r="M27" i="3"/>
  <c r="N29" i="3"/>
  <c r="P29" i="3" s="1"/>
  <c r="P30" i="3"/>
  <c r="L26" i="3"/>
  <c r="AT6" i="3" s="1" a="1"/>
  <c r="P25" i="3"/>
  <c r="D45" i="2"/>
  <c r="D43" i="2" s="1"/>
  <c r="F45" i="2" a="1"/>
  <c r="E43" i="2"/>
  <c r="M35" i="2"/>
  <c r="O20" i="2"/>
  <c r="G39" i="2"/>
  <c r="K36" i="2"/>
  <c r="K35" i="2" s="1"/>
  <c r="E39" i="2"/>
  <c r="O21" i="2"/>
  <c r="J38" i="2"/>
  <c r="J36" i="2"/>
  <c r="D39" i="2"/>
  <c r="F39" i="2"/>
  <c r="L36" i="2"/>
  <c r="L35" i="2" s="1"/>
  <c r="E43" i="1"/>
  <c r="D40" i="1"/>
  <c r="J40" i="1" s="1"/>
  <c r="E40" i="1"/>
  <c r="K40" i="1" s="1"/>
  <c r="L20" i="1" a="1"/>
  <c r="M23" i="1" s="1"/>
  <c r="G39" i="1"/>
  <c r="D13" i="1" a="1"/>
  <c r="D36" i="1" a="1"/>
  <c r="J55" i="8" l="1"/>
  <c r="J48" i="8" s="1"/>
  <c r="G55" i="8"/>
  <c r="G48" i="8" s="1"/>
  <c r="H55" i="8"/>
  <c r="H48" i="8" s="1"/>
  <c r="I55" i="8"/>
  <c r="I48" i="8" s="1"/>
  <c r="F55" i="8"/>
  <c r="F48" i="8" s="1"/>
  <c r="E61" i="8"/>
  <c r="F61" i="8"/>
  <c r="G61" i="8"/>
  <c r="I61" i="8"/>
  <c r="H61" i="8"/>
  <c r="J61" i="8"/>
  <c r="AP34" i="7"/>
  <c r="AO34" i="7"/>
  <c r="AM35" i="7"/>
  <c r="AP31" i="7"/>
  <c r="AP36" i="7"/>
  <c r="AR35" i="7"/>
  <c r="AN32" i="7"/>
  <c r="AQ32" i="7"/>
  <c r="AR34" i="7"/>
  <c r="AR32" i="7"/>
  <c r="AO36" i="7"/>
  <c r="AO32" i="7"/>
  <c r="AR36" i="7"/>
  <c r="AN33" i="7"/>
  <c r="AR31" i="7"/>
  <c r="AQ35" i="7"/>
  <c r="AN36" i="7"/>
  <c r="AN34" i="7"/>
  <c r="AM32" i="7"/>
  <c r="AP33" i="7"/>
  <c r="AP32" i="7"/>
  <c r="AO35" i="7"/>
  <c r="AN35" i="7"/>
  <c r="AR33" i="7"/>
  <c r="AM31" i="7"/>
  <c r="AQ34" i="7"/>
  <c r="AN31" i="7"/>
  <c r="AM36" i="7"/>
  <c r="AO31" i="7"/>
  <c r="AP35" i="7"/>
  <c r="AQ31" i="7"/>
  <c r="AO33" i="7"/>
  <c r="AM34" i="7"/>
  <c r="AQ33" i="7"/>
  <c r="AM33" i="7"/>
  <c r="E55" i="7" a="1"/>
  <c r="I55" i="7" s="1"/>
  <c r="I48" i="7" s="1"/>
  <c r="AV10" i="3" a="1"/>
  <c r="AT6" i="3"/>
  <c r="AT7" i="3"/>
  <c r="P27" i="3"/>
  <c r="AU8" i="3" a="1"/>
  <c r="E54" i="3" a="1"/>
  <c r="E50" i="6"/>
  <c r="F50" i="6"/>
  <c r="Z26" i="6"/>
  <c r="Z25" i="6"/>
  <c r="Z29" i="6"/>
  <c r="Z28" i="6"/>
  <c r="Z27" i="6"/>
  <c r="Z24" i="6"/>
  <c r="G50" i="6"/>
  <c r="E86" i="6" a="1"/>
  <c r="R28" i="6"/>
  <c r="S25" i="6"/>
  <c r="T29" i="6"/>
  <c r="T25" i="6"/>
  <c r="T27" i="6"/>
  <c r="R25" i="6"/>
  <c r="V25" i="6" s="1"/>
  <c r="R27" i="6"/>
  <c r="S24" i="6"/>
  <c r="S27" i="6"/>
  <c r="T24" i="6"/>
  <c r="T28" i="6"/>
  <c r="S28" i="6"/>
  <c r="S29" i="6"/>
  <c r="T26" i="6"/>
  <c r="R24" i="6"/>
  <c r="AQ24" i="6" s="1" a="1"/>
  <c r="R29" i="6"/>
  <c r="S26" i="6"/>
  <c r="R26" i="6"/>
  <c r="H50" i="6"/>
  <c r="I50" i="6"/>
  <c r="E34" i="6" a="1"/>
  <c r="E55" i="6" a="1"/>
  <c r="J50" i="6"/>
  <c r="F49" i="5"/>
  <c r="AD52" i="5" s="1" a="1"/>
  <c r="G49" i="5"/>
  <c r="H49" i="5"/>
  <c r="E80" i="5" a="1"/>
  <c r="AC24" i="5" a="1"/>
  <c r="V24" i="5"/>
  <c r="AJ24" i="5" a="1"/>
  <c r="I49" i="5"/>
  <c r="V29" i="5"/>
  <c r="J49" i="5"/>
  <c r="V26" i="5"/>
  <c r="V25" i="5"/>
  <c r="E37" i="5" a="1"/>
  <c r="E54" i="5" a="1"/>
  <c r="V27" i="5"/>
  <c r="V28" i="5"/>
  <c r="E53" i="3" a="1"/>
  <c r="E17" i="3" a="1"/>
  <c r="I17" i="3" s="1"/>
  <c r="R25" i="3" a="1"/>
  <c r="R26" i="3" s="1"/>
  <c r="P26" i="3"/>
  <c r="G45" i="2"/>
  <c r="G43" i="2" s="1"/>
  <c r="F45" i="2"/>
  <c r="F43" i="2" s="1"/>
  <c r="D28" i="2" a="1"/>
  <c r="G28" i="2" s="1"/>
  <c r="D20" i="2" a="1"/>
  <c r="G20" i="2" s="1"/>
  <c r="D26" i="2" a="1"/>
  <c r="D26" i="2" s="1"/>
  <c r="D25" i="2" a="1"/>
  <c r="D25" i="2" s="1"/>
  <c r="J35" i="2"/>
  <c r="M22" i="1"/>
  <c r="L20" i="1"/>
  <c r="L23" i="1"/>
  <c r="O23" i="1" s="1"/>
  <c r="M21" i="1"/>
  <c r="L21" i="1"/>
  <c r="O21" i="1" s="1"/>
  <c r="L22" i="1"/>
  <c r="M20" i="1"/>
  <c r="O20" i="1" s="1"/>
  <c r="D13" i="1"/>
  <c r="E13" i="1"/>
  <c r="F13" i="1"/>
  <c r="G13" i="1"/>
  <c r="D36" i="1"/>
  <c r="G36" i="1"/>
  <c r="F36" i="1"/>
  <c r="E36" i="1"/>
  <c r="E61" i="7" l="1" a="1"/>
  <c r="E61" i="7" s="1"/>
  <c r="F55" i="7"/>
  <c r="F48" i="7" s="1"/>
  <c r="H55" i="7"/>
  <c r="H48" i="7" s="1"/>
  <c r="F65" i="7" s="1"/>
  <c r="J55" i="7"/>
  <c r="J48" i="7" s="1"/>
  <c r="I50" i="7" s="1" a="1"/>
  <c r="E55" i="7"/>
  <c r="E48" i="7" s="1"/>
  <c r="G55" i="7"/>
  <c r="G48" i="7" s="1"/>
  <c r="E65" i="7" s="1"/>
  <c r="F61" i="7"/>
  <c r="H61" i="7"/>
  <c r="I61" i="7"/>
  <c r="E64" i="7" a="1"/>
  <c r="I64" i="7" a="1"/>
  <c r="G64" i="7" a="1"/>
  <c r="I65" i="7" a="1"/>
  <c r="G65" i="7" a="1"/>
  <c r="G66" i="7" a="1"/>
  <c r="AU8" i="3"/>
  <c r="AU9" i="3"/>
  <c r="AV10" i="3"/>
  <c r="AV11" i="3"/>
  <c r="G54" i="3"/>
  <c r="F54" i="3"/>
  <c r="E54" i="3"/>
  <c r="J54" i="3"/>
  <c r="I54" i="3"/>
  <c r="H54" i="3"/>
  <c r="AR25" i="6"/>
  <c r="AS24" i="6"/>
  <c r="AR28" i="6"/>
  <c r="AQ27" i="6"/>
  <c r="AS25" i="6"/>
  <c r="AR24" i="6"/>
  <c r="AQ28" i="6"/>
  <c r="AS26" i="6"/>
  <c r="AQ24" i="6"/>
  <c r="AS27" i="6"/>
  <c r="AR26" i="6"/>
  <c r="AQ25" i="6"/>
  <c r="AS28" i="6"/>
  <c r="AR27" i="6"/>
  <c r="AQ26" i="6"/>
  <c r="V29" i="6"/>
  <c r="F55" i="6"/>
  <c r="E55" i="6"/>
  <c r="G55" i="6"/>
  <c r="J55" i="6"/>
  <c r="I55" i="6"/>
  <c r="H55" i="6"/>
  <c r="J34" i="6"/>
  <c r="F34" i="6"/>
  <c r="I34" i="6"/>
  <c r="H34" i="6"/>
  <c r="G34" i="6"/>
  <c r="E34" i="6"/>
  <c r="V26" i="6"/>
  <c r="J91" i="6"/>
  <c r="H90" i="6"/>
  <c r="F89" i="6"/>
  <c r="J87" i="6"/>
  <c r="H86" i="6"/>
  <c r="I91" i="6"/>
  <c r="G90" i="6"/>
  <c r="E89" i="6"/>
  <c r="I87" i="6"/>
  <c r="G86" i="6"/>
  <c r="E88" i="6"/>
  <c r="H91" i="6"/>
  <c r="F90" i="6"/>
  <c r="J88" i="6"/>
  <c r="H87" i="6"/>
  <c r="F86" i="6"/>
  <c r="G91" i="6"/>
  <c r="E90" i="6"/>
  <c r="I88" i="6"/>
  <c r="G87" i="6"/>
  <c r="E86" i="6"/>
  <c r="I90" i="6"/>
  <c r="F91" i="6"/>
  <c r="J89" i="6"/>
  <c r="H88" i="6"/>
  <c r="F87" i="6"/>
  <c r="E91" i="6"/>
  <c r="I89" i="6"/>
  <c r="G88" i="6"/>
  <c r="E87" i="6"/>
  <c r="G89" i="6"/>
  <c r="J90" i="6"/>
  <c r="H89" i="6"/>
  <c r="F88" i="6"/>
  <c r="J86" i="6"/>
  <c r="I86" i="6"/>
  <c r="V28" i="6"/>
  <c r="AX24" i="6" a="1"/>
  <c r="V24" i="6"/>
  <c r="BE24" i="6" a="1"/>
  <c r="V27" i="6"/>
  <c r="AH58" i="5" a="1"/>
  <c r="AH59" i="5" s="1"/>
  <c r="AF55" i="5" a="1"/>
  <c r="F54" i="5"/>
  <c r="E54" i="5"/>
  <c r="J54" i="5"/>
  <c r="I54" i="5"/>
  <c r="G54" i="5"/>
  <c r="H54" i="5"/>
  <c r="E36" i="5" a="1"/>
  <c r="E31" i="5" a="1"/>
  <c r="E24" i="5" a="1"/>
  <c r="AD24" i="5"/>
  <c r="AE26" i="5"/>
  <c r="AE30" i="5" s="1"/>
  <c r="AC24" i="5"/>
  <c r="AD26" i="5"/>
  <c r="AC26" i="5"/>
  <c r="AE25" i="5"/>
  <c r="AE24" i="5"/>
  <c r="AD25" i="5"/>
  <c r="AD30" i="5" s="1"/>
  <c r="AC25" i="5"/>
  <c r="AJ26" i="5"/>
  <c r="AL25" i="5"/>
  <c r="AK25" i="5"/>
  <c r="AK30" i="5" s="1"/>
  <c r="AJ25" i="5"/>
  <c r="AK26" i="5"/>
  <c r="AL24" i="5"/>
  <c r="AK24" i="5"/>
  <c r="AL26" i="5"/>
  <c r="AL30" i="5" s="1"/>
  <c r="AJ24" i="5"/>
  <c r="J85" i="5"/>
  <c r="H84" i="5"/>
  <c r="F83" i="5"/>
  <c r="J81" i="5"/>
  <c r="H80" i="5"/>
  <c r="I85" i="5"/>
  <c r="G84" i="5"/>
  <c r="E83" i="5"/>
  <c r="I81" i="5"/>
  <c r="G80" i="5"/>
  <c r="H85" i="5"/>
  <c r="F84" i="5"/>
  <c r="J82" i="5"/>
  <c r="H81" i="5"/>
  <c r="F80" i="5"/>
  <c r="G85" i="5"/>
  <c r="E84" i="5"/>
  <c r="I82" i="5"/>
  <c r="G81" i="5"/>
  <c r="E80" i="5"/>
  <c r="I80" i="5"/>
  <c r="F85" i="5"/>
  <c r="J83" i="5"/>
  <c r="H82" i="5"/>
  <c r="F81" i="5"/>
  <c r="G83" i="5"/>
  <c r="E85" i="5"/>
  <c r="I83" i="5"/>
  <c r="G82" i="5"/>
  <c r="E81" i="5"/>
  <c r="I84" i="5"/>
  <c r="J84" i="5"/>
  <c r="H83" i="5"/>
  <c r="F82" i="5"/>
  <c r="J80" i="5"/>
  <c r="E82" i="5"/>
  <c r="AH58" i="5"/>
  <c r="E37" i="5"/>
  <c r="J37" i="5"/>
  <c r="I37" i="5"/>
  <c r="H37" i="5"/>
  <c r="G37" i="5"/>
  <c r="F37" i="5"/>
  <c r="AD53" i="5"/>
  <c r="AD52" i="5"/>
  <c r="E53" i="3"/>
  <c r="H53" i="3"/>
  <c r="G53" i="3"/>
  <c r="F53" i="3"/>
  <c r="J53" i="3"/>
  <c r="I53" i="3"/>
  <c r="F17" i="3"/>
  <c r="G17" i="3"/>
  <c r="E17" i="3"/>
  <c r="J17" i="3"/>
  <c r="H17" i="3"/>
  <c r="R28" i="3"/>
  <c r="S27" i="3"/>
  <c r="S30" i="3"/>
  <c r="R30" i="3"/>
  <c r="S28" i="3"/>
  <c r="T30" i="3"/>
  <c r="T29" i="3"/>
  <c r="T28" i="3"/>
  <c r="S26" i="3"/>
  <c r="S29" i="3"/>
  <c r="R27" i="3"/>
  <c r="R25" i="3"/>
  <c r="T27" i="3"/>
  <c r="S25" i="3"/>
  <c r="T25" i="3"/>
  <c r="T26" i="3"/>
  <c r="R29" i="3"/>
  <c r="E26" i="2"/>
  <c r="D28" i="2"/>
  <c r="E28" i="2"/>
  <c r="F28" i="2"/>
  <c r="D22" i="2"/>
  <c r="D23" i="2"/>
  <c r="G26" i="2"/>
  <c r="F25" i="2"/>
  <c r="E20" i="2"/>
  <c r="E21" i="2"/>
  <c r="G23" i="2"/>
  <c r="G22" i="2"/>
  <c r="D20" i="2"/>
  <c r="D21" i="2"/>
  <c r="F26" i="2"/>
  <c r="E25" i="2"/>
  <c r="E22" i="2"/>
  <c r="E23" i="2"/>
  <c r="G25" i="2"/>
  <c r="F20" i="2"/>
  <c r="F21" i="2"/>
  <c r="F22" i="2"/>
  <c r="F23" i="2"/>
  <c r="G21" i="2"/>
  <c r="G41" i="1"/>
  <c r="M36" i="1"/>
  <c r="M35" i="1" s="1"/>
  <c r="D41" i="1"/>
  <c r="J36" i="1"/>
  <c r="J35" i="1" s="1"/>
  <c r="F41" i="1"/>
  <c r="L36" i="1"/>
  <c r="L35" i="1" s="1"/>
  <c r="E41" i="1"/>
  <c r="K36" i="1"/>
  <c r="K35" i="1" s="1"/>
  <c r="O22" i="1"/>
  <c r="D25" i="1" s="1" a="1"/>
  <c r="E65" i="8" l="1" a="1"/>
  <c r="G66" i="8" a="1"/>
  <c r="J61" i="7"/>
  <c r="G61" i="7"/>
  <c r="E35" i="7" a="1"/>
  <c r="H35" i="7" s="1"/>
  <c r="I66" i="7" a="1"/>
  <c r="E66" i="7" a="1"/>
  <c r="E50" i="7" a="1"/>
  <c r="E50" i="7" s="1"/>
  <c r="G50" i="7" a="1"/>
  <c r="G50" i="7" s="1"/>
  <c r="I50" i="7"/>
  <c r="J50" i="7"/>
  <c r="E49" i="7" a="1"/>
  <c r="I49" i="7" s="1"/>
  <c r="E58" i="7" a="1"/>
  <c r="F58" i="7" s="1"/>
  <c r="H64" i="7"/>
  <c r="G64" i="7"/>
  <c r="G66" i="7"/>
  <c r="H66" i="7"/>
  <c r="J66" i="7"/>
  <c r="I66" i="7"/>
  <c r="J64" i="7"/>
  <c r="I64" i="7"/>
  <c r="F66" i="7"/>
  <c r="E66" i="7"/>
  <c r="F64" i="7"/>
  <c r="E64" i="7"/>
  <c r="J65" i="7"/>
  <c r="I65" i="7"/>
  <c r="H65" i="7"/>
  <c r="G65" i="7"/>
  <c r="AT38" i="3" a="1"/>
  <c r="AU42" i="3" s="1"/>
  <c r="AZ26" i="6"/>
  <c r="AZ30" i="6" s="1"/>
  <c r="AX24" i="6"/>
  <c r="AZ24" i="6"/>
  <c r="AY26" i="6"/>
  <c r="AX26" i="6"/>
  <c r="AZ25" i="6"/>
  <c r="AY25" i="6"/>
  <c r="AY30" i="6" s="1"/>
  <c r="AY24" i="6"/>
  <c r="AX25" i="6"/>
  <c r="E18" i="6" a="1"/>
  <c r="E33" i="6" a="1"/>
  <c r="E31" i="6" a="1"/>
  <c r="E24" i="6" a="1"/>
  <c r="BE26" i="6"/>
  <c r="BG25" i="6"/>
  <c r="BF25" i="6"/>
  <c r="BF30" i="6" s="1"/>
  <c r="BE25" i="6"/>
  <c r="BF26" i="6"/>
  <c r="BG24" i="6"/>
  <c r="BF24" i="6"/>
  <c r="BG26" i="6"/>
  <c r="BG30" i="6" s="1"/>
  <c r="BE24" i="6"/>
  <c r="AF56" i="5"/>
  <c r="AF55" i="5"/>
  <c r="J31" i="5"/>
  <c r="I31" i="5"/>
  <c r="H31" i="5"/>
  <c r="G31" i="5"/>
  <c r="E31" i="5"/>
  <c r="F31" i="5"/>
  <c r="AM25" i="5"/>
  <c r="AK32" i="5"/>
  <c r="AJ31" i="5"/>
  <c r="AE32" i="5"/>
  <c r="AF26" i="5"/>
  <c r="J36" i="5"/>
  <c r="I36" i="5"/>
  <c r="H36" i="5"/>
  <c r="G36" i="5"/>
  <c r="E36" i="5"/>
  <c r="F36" i="5"/>
  <c r="AJ30" i="5"/>
  <c r="AM24" i="5"/>
  <c r="AJ27" i="5"/>
  <c r="AM26" i="5"/>
  <c r="AL32" i="5"/>
  <c r="AF24" i="5"/>
  <c r="AC27" i="5"/>
  <c r="AC30" i="5"/>
  <c r="E18" i="5" a="1"/>
  <c r="AC31" i="5"/>
  <c r="AD32" i="5"/>
  <c r="AF25" i="5"/>
  <c r="AD31" i="5"/>
  <c r="AD27" i="5"/>
  <c r="AC32" i="5"/>
  <c r="AL31" i="5"/>
  <c r="AL27" i="5"/>
  <c r="AE27" i="5"/>
  <c r="AE31" i="5"/>
  <c r="AE33" i="5" s="1"/>
  <c r="AH52" i="5" a="1"/>
  <c r="AD58" i="5" a="1"/>
  <c r="AJ32" i="5"/>
  <c r="AK31" i="5"/>
  <c r="AK27" i="5"/>
  <c r="I28" i="5"/>
  <c r="G27" i="5"/>
  <c r="E26" i="5"/>
  <c r="I24" i="5"/>
  <c r="J24" i="5"/>
  <c r="J29" i="5"/>
  <c r="H28" i="5"/>
  <c r="F27" i="5"/>
  <c r="J25" i="5"/>
  <c r="H24" i="5"/>
  <c r="F26" i="5"/>
  <c r="I29" i="5"/>
  <c r="G28" i="5"/>
  <c r="E27" i="5"/>
  <c r="I25" i="5"/>
  <c r="G24" i="5"/>
  <c r="H29" i="5"/>
  <c r="F28" i="5"/>
  <c r="J26" i="5"/>
  <c r="H25" i="5"/>
  <c r="F24" i="5"/>
  <c r="G29" i="5"/>
  <c r="E28" i="5"/>
  <c r="I26" i="5"/>
  <c r="G25" i="5"/>
  <c r="E24" i="5"/>
  <c r="J28" i="5"/>
  <c r="F29" i="5"/>
  <c r="J27" i="5"/>
  <c r="H26" i="5"/>
  <c r="F25" i="5"/>
  <c r="E29" i="5"/>
  <c r="I27" i="5"/>
  <c r="G26" i="5"/>
  <c r="E25" i="5"/>
  <c r="H27" i="5"/>
  <c r="E38" i="3" a="1"/>
  <c r="J38" i="3" s="1"/>
  <c r="BA25" i="3" a="1"/>
  <c r="BC25" i="3" s="1"/>
  <c r="AT25" i="3" a="1"/>
  <c r="AV26" i="3" s="1"/>
  <c r="V29" i="3"/>
  <c r="V26" i="3"/>
  <c r="V30" i="3"/>
  <c r="V25" i="3"/>
  <c r="V27" i="3"/>
  <c r="V28" i="3"/>
  <c r="O28" i="2"/>
  <c r="D26" i="1" a="1"/>
  <c r="F26" i="1" s="1"/>
  <c r="G25" i="1"/>
  <c r="E25" i="1"/>
  <c r="D25" i="1"/>
  <c r="D28" i="1" a="1"/>
  <c r="D28" i="1" s="1"/>
  <c r="D20" i="1" a="1"/>
  <c r="G21" i="1" s="1"/>
  <c r="F25" i="1"/>
  <c r="G81" i="8" l="1"/>
  <c r="W98" i="8" s="1"/>
  <c r="I81" i="8"/>
  <c r="X98" i="8" s="1"/>
  <c r="G83" i="8"/>
  <c r="W102" i="8" s="1"/>
  <c r="E83" i="8"/>
  <c r="V102" i="8" s="1"/>
  <c r="J82" i="8"/>
  <c r="X101" i="8" s="1"/>
  <c r="F82" i="8"/>
  <c r="V101" i="8" s="1"/>
  <c r="I82" i="8"/>
  <c r="X100" i="8" s="1"/>
  <c r="E82" i="8"/>
  <c r="V100" i="8" s="1"/>
  <c r="H83" i="8"/>
  <c r="W103" i="8" s="1"/>
  <c r="F83" i="8"/>
  <c r="V103" i="8" s="1"/>
  <c r="H81" i="8"/>
  <c r="W99" i="8" s="1"/>
  <c r="J81" i="8"/>
  <c r="X99" i="8" s="1"/>
  <c r="H82" i="8"/>
  <c r="W101" i="8" s="1"/>
  <c r="E81" i="8"/>
  <c r="V98" i="8" s="1"/>
  <c r="I67" i="8" a="1"/>
  <c r="I83" i="8"/>
  <c r="X102" i="8" s="1"/>
  <c r="G82" i="8"/>
  <c r="W100" i="8" s="1"/>
  <c r="J83" i="8"/>
  <c r="X103" i="8" s="1"/>
  <c r="F81" i="8"/>
  <c r="V99" i="8" s="1"/>
  <c r="E35" i="8" a="1"/>
  <c r="F35" i="8" s="1"/>
  <c r="I50" i="8" a="1"/>
  <c r="J50" i="8" s="1"/>
  <c r="E50" i="8" a="1"/>
  <c r="F50" i="8" s="1"/>
  <c r="E49" i="8" a="1"/>
  <c r="H49" i="8" s="1"/>
  <c r="G50" i="8" a="1"/>
  <c r="H50" i="8" s="1"/>
  <c r="E58" i="8" a="1"/>
  <c r="E58" i="8" s="1"/>
  <c r="G71" i="8" a="1"/>
  <c r="H66" i="8"/>
  <c r="G66" i="8"/>
  <c r="J67" i="8"/>
  <c r="I67" i="8"/>
  <c r="F65" i="8"/>
  <c r="E65" i="8"/>
  <c r="E71" i="8" a="1"/>
  <c r="G35" i="7"/>
  <c r="I35" i="7"/>
  <c r="E35" i="7"/>
  <c r="J35" i="7"/>
  <c r="F35" i="7"/>
  <c r="G70" i="7" a="1"/>
  <c r="F50" i="7"/>
  <c r="O50" i="7" s="1"/>
  <c r="H50" i="7"/>
  <c r="P50" i="7" s="1"/>
  <c r="Q50" i="7"/>
  <c r="G58" i="7"/>
  <c r="H58" i="7"/>
  <c r="J58" i="7"/>
  <c r="I58" i="7"/>
  <c r="E49" i="7"/>
  <c r="F49" i="7"/>
  <c r="J49" i="7"/>
  <c r="G49" i="7"/>
  <c r="H49" i="7"/>
  <c r="E58" i="7"/>
  <c r="H70" i="7"/>
  <c r="G70" i="7"/>
  <c r="E69" i="7" a="1"/>
  <c r="E70" i="7" a="1"/>
  <c r="I68" i="7" a="1"/>
  <c r="I69" i="7" a="1"/>
  <c r="G68" i="7" a="1"/>
  <c r="E34" i="3" a="1"/>
  <c r="AT39" i="3"/>
  <c r="AT38" i="3"/>
  <c r="AU43" i="3"/>
  <c r="AT41" i="3"/>
  <c r="AT43" i="3"/>
  <c r="AT40" i="3"/>
  <c r="AV43" i="3"/>
  <c r="AV42" i="3"/>
  <c r="AU39" i="3"/>
  <c r="AU40" i="3"/>
  <c r="AU38" i="3"/>
  <c r="AV38" i="3"/>
  <c r="AV39" i="3"/>
  <c r="AV41" i="3"/>
  <c r="AV40" i="3"/>
  <c r="AU41" i="3"/>
  <c r="AT42" i="3"/>
  <c r="J29" i="6"/>
  <c r="H28" i="6"/>
  <c r="F27" i="6"/>
  <c r="J25" i="6"/>
  <c r="H24" i="6"/>
  <c r="G29" i="6"/>
  <c r="I26" i="6"/>
  <c r="E24" i="6"/>
  <c r="E37" i="6" s="1" a="1"/>
  <c r="J28" i="6"/>
  <c r="J24" i="6"/>
  <c r="E26" i="6"/>
  <c r="I29" i="6"/>
  <c r="G28" i="6"/>
  <c r="E27" i="6"/>
  <c r="I25" i="6"/>
  <c r="G24" i="6"/>
  <c r="E28" i="6"/>
  <c r="G25" i="6"/>
  <c r="H29" i="6"/>
  <c r="F28" i="6"/>
  <c r="J26" i="6"/>
  <c r="H25" i="6"/>
  <c r="F24" i="6"/>
  <c r="H27" i="6"/>
  <c r="G27" i="6"/>
  <c r="F29" i="6"/>
  <c r="J27" i="6"/>
  <c r="H26" i="6"/>
  <c r="F25" i="6"/>
  <c r="I28" i="6"/>
  <c r="I24" i="6"/>
  <c r="E29" i="6"/>
  <c r="I27" i="6"/>
  <c r="G26" i="6"/>
  <c r="E25" i="6"/>
  <c r="F26" i="6"/>
  <c r="J31" i="6"/>
  <c r="I31" i="6"/>
  <c r="H31" i="6"/>
  <c r="G31" i="6"/>
  <c r="E31" i="6"/>
  <c r="F31" i="6"/>
  <c r="AX31" i="6"/>
  <c r="AY32" i="6"/>
  <c r="BA25" i="6"/>
  <c r="AX32" i="6"/>
  <c r="AY31" i="6"/>
  <c r="AY27" i="6"/>
  <c r="J33" i="6"/>
  <c r="I33" i="6"/>
  <c r="H33" i="6"/>
  <c r="G33" i="6"/>
  <c r="F33" i="6"/>
  <c r="E33" i="6"/>
  <c r="AZ32" i="6"/>
  <c r="BA26" i="6"/>
  <c r="BE30" i="6"/>
  <c r="BH24" i="6"/>
  <c r="BE27" i="6"/>
  <c r="BH26" i="6"/>
  <c r="BG32" i="6"/>
  <c r="BH25" i="6"/>
  <c r="BE31" i="6"/>
  <c r="BF32" i="6"/>
  <c r="BF31" i="6"/>
  <c r="BF27" i="6"/>
  <c r="BE32" i="6"/>
  <c r="AZ31" i="6"/>
  <c r="AZ27" i="6"/>
  <c r="BG31" i="6"/>
  <c r="BG27" i="6"/>
  <c r="G18" i="6"/>
  <c r="F18" i="6"/>
  <c r="E18" i="6"/>
  <c r="I18" i="6"/>
  <c r="H18" i="6"/>
  <c r="J18" i="6"/>
  <c r="BA24" i="6"/>
  <c r="AX27" i="6"/>
  <c r="AX30" i="6"/>
  <c r="AL33" i="5"/>
  <c r="AH55" i="5" a="1"/>
  <c r="AH55" i="5" s="1"/>
  <c r="AK33" i="5"/>
  <c r="AD33" i="5"/>
  <c r="AJ33" i="5"/>
  <c r="AD55" i="5" a="1"/>
  <c r="AD55" i="5" s="1"/>
  <c r="AF58" i="5" a="1"/>
  <c r="AF58" i="5" s="1"/>
  <c r="AF52" i="5" a="1"/>
  <c r="AF53" i="5" s="1"/>
  <c r="H18" i="5"/>
  <c r="G18" i="5"/>
  <c r="F18" i="5"/>
  <c r="I18" i="5"/>
  <c r="E18" i="5"/>
  <c r="J18" i="5"/>
  <c r="AC33" i="5"/>
  <c r="AD58" i="5"/>
  <c r="AD59" i="5"/>
  <c r="AH53" i="5"/>
  <c r="AH52" i="5"/>
  <c r="G38" i="3"/>
  <c r="I38" i="3"/>
  <c r="E38" i="3"/>
  <c r="F38" i="3"/>
  <c r="H38" i="3"/>
  <c r="BA26" i="3"/>
  <c r="BA25" i="3"/>
  <c r="BA31" i="3" s="1"/>
  <c r="BC27" i="3"/>
  <c r="BC31" i="3" s="1"/>
  <c r="BA27" i="3"/>
  <c r="BB27" i="3"/>
  <c r="BB25" i="3"/>
  <c r="BA33" i="3" s="1"/>
  <c r="BC26" i="3"/>
  <c r="BB26" i="3"/>
  <c r="BB31" i="3" s="1"/>
  <c r="AT27" i="3"/>
  <c r="AU27" i="3"/>
  <c r="AT25" i="3"/>
  <c r="AT31" i="3" s="1"/>
  <c r="AU25" i="3"/>
  <c r="AV25" i="3"/>
  <c r="AV32" i="3" s="1"/>
  <c r="AU26" i="3"/>
  <c r="AU31" i="3" s="1"/>
  <c r="AT26" i="3"/>
  <c r="AV27" i="3"/>
  <c r="AV31" i="3" s="1"/>
  <c r="E25" i="3" a="1"/>
  <c r="E25" i="3" s="1"/>
  <c r="E37" i="3" a="1"/>
  <c r="H37" i="3" s="1"/>
  <c r="E32" i="3" a="1"/>
  <c r="G32" i="3" s="1"/>
  <c r="G26" i="1"/>
  <c r="D21" i="1"/>
  <c r="E26" i="1"/>
  <c r="D26" i="1"/>
  <c r="F20" i="1"/>
  <c r="E21" i="1"/>
  <c r="G22" i="1"/>
  <c r="F23" i="1"/>
  <c r="F22" i="1"/>
  <c r="F21" i="1"/>
  <c r="D20" i="1"/>
  <c r="E23" i="1"/>
  <c r="E20" i="1"/>
  <c r="E28" i="1"/>
  <c r="G28" i="1"/>
  <c r="G20" i="1"/>
  <c r="E22" i="1"/>
  <c r="G23" i="1"/>
  <c r="D22" i="1"/>
  <c r="F28" i="1"/>
  <c r="D23" i="1"/>
  <c r="W91" i="8" l="1"/>
  <c r="E87" i="8"/>
  <c r="I76" i="8"/>
  <c r="AM102" i="8"/>
  <c r="H92" i="8"/>
  <c r="H76" i="8"/>
  <c r="AK101" i="8"/>
  <c r="F92" i="8"/>
  <c r="E76" i="8"/>
  <c r="AI98" i="8"/>
  <c r="I92" i="8"/>
  <c r="F76" i="8"/>
  <c r="AI99" i="8"/>
  <c r="E92" i="8"/>
  <c r="G76" i="8"/>
  <c r="AK100" i="8"/>
  <c r="J92" i="8"/>
  <c r="J76" i="8"/>
  <c r="AM103" i="8"/>
  <c r="G92" i="8"/>
  <c r="H87" i="8"/>
  <c r="I86" i="8"/>
  <c r="F87" i="8"/>
  <c r="G85" i="8"/>
  <c r="G93" i="8"/>
  <c r="I93" i="8"/>
  <c r="I85" i="8"/>
  <c r="E93" i="8"/>
  <c r="E86" i="8"/>
  <c r="H93" i="8"/>
  <c r="H85" i="8"/>
  <c r="G87" i="8"/>
  <c r="J86" i="8"/>
  <c r="J93" i="8"/>
  <c r="J85" i="8"/>
  <c r="F93" i="8"/>
  <c r="F86" i="8"/>
  <c r="G35" i="8"/>
  <c r="I35" i="8"/>
  <c r="H35" i="8"/>
  <c r="J35" i="8"/>
  <c r="E35" i="8"/>
  <c r="E50" i="8"/>
  <c r="O50" i="8" s="1"/>
  <c r="E49" i="8"/>
  <c r="I50" i="8"/>
  <c r="Q50" i="8" s="1"/>
  <c r="G49" i="8"/>
  <c r="I49" i="8"/>
  <c r="F49" i="8"/>
  <c r="J49" i="8"/>
  <c r="F58" i="8"/>
  <c r="G58" i="8"/>
  <c r="G50" i="8"/>
  <c r="P50" i="8" s="1"/>
  <c r="H58" i="8"/>
  <c r="J58" i="8"/>
  <c r="I58" i="8"/>
  <c r="G69" i="8" a="1"/>
  <c r="I69" i="8" a="1"/>
  <c r="I70" i="8" a="1"/>
  <c r="H71" i="8"/>
  <c r="G71" i="8"/>
  <c r="E70" i="8" a="1"/>
  <c r="F71" i="8"/>
  <c r="E71" i="8"/>
  <c r="L49" i="7"/>
  <c r="V35" i="7"/>
  <c r="V36" i="7" s="1"/>
  <c r="J69" i="7"/>
  <c r="I69" i="7"/>
  <c r="J68" i="7"/>
  <c r="I68" i="7"/>
  <c r="E69" i="7"/>
  <c r="F69" i="7"/>
  <c r="F70" i="7"/>
  <c r="E70" i="7"/>
  <c r="H68" i="7"/>
  <c r="G68" i="7"/>
  <c r="G34" i="3"/>
  <c r="H34" i="3"/>
  <c r="I34" i="3"/>
  <c r="J34" i="3"/>
  <c r="E34" i="3"/>
  <c r="F34" i="3"/>
  <c r="E18" i="3" a="1"/>
  <c r="E37" i="6"/>
  <c r="J37" i="6"/>
  <c r="F39" i="6"/>
  <c r="F41" i="6"/>
  <c r="E39" i="6"/>
  <c r="H41" i="6"/>
  <c r="G40" i="6"/>
  <c r="J38" i="6"/>
  <c r="H37" i="6"/>
  <c r="I37" i="6"/>
  <c r="H38" i="6"/>
  <c r="G41" i="6"/>
  <c r="E42" i="6"/>
  <c r="J42" i="6"/>
  <c r="F37" i="6"/>
  <c r="E40" i="6"/>
  <c r="G42" i="6"/>
  <c r="I42" i="6"/>
  <c r="F38" i="6"/>
  <c r="I40" i="6"/>
  <c r="I41" i="6"/>
  <c r="J39" i="6"/>
  <c r="F40" i="6"/>
  <c r="F42" i="6"/>
  <c r="J40" i="6"/>
  <c r="G39" i="6"/>
  <c r="J41" i="6"/>
  <c r="H42" i="6"/>
  <c r="H40" i="6"/>
  <c r="G37" i="6"/>
  <c r="H39" i="6"/>
  <c r="I39" i="6"/>
  <c r="E38" i="6"/>
  <c r="G38" i="6"/>
  <c r="E41" i="6"/>
  <c r="I38" i="6"/>
  <c r="X24" i="6" a="1"/>
  <c r="AY33" i="6"/>
  <c r="AZ33" i="6" s="1"/>
  <c r="E57" i="6" a="1"/>
  <c r="AX33" i="6"/>
  <c r="BE33" i="6"/>
  <c r="BF33" i="6" s="1"/>
  <c r="BG33" i="6" s="1"/>
  <c r="AH56" i="5"/>
  <c r="AD56" i="5"/>
  <c r="AF52" i="5"/>
  <c r="AF59" i="5"/>
  <c r="E56" i="5" a="1"/>
  <c r="BC28" i="3"/>
  <c r="BC33" i="3"/>
  <c r="BD25" i="3"/>
  <c r="BD27" i="3"/>
  <c r="BA28" i="3"/>
  <c r="BB28" i="3"/>
  <c r="BB32" i="3"/>
  <c r="BC32" i="3"/>
  <c r="BD26" i="3"/>
  <c r="BA32" i="3"/>
  <c r="BA34" i="3" s="1"/>
  <c r="BB33" i="3"/>
  <c r="AT33" i="3"/>
  <c r="AU32" i="3"/>
  <c r="AV33" i="3"/>
  <c r="AV34" i="3" s="1"/>
  <c r="AU33" i="3"/>
  <c r="AT32" i="3"/>
  <c r="AW25" i="3"/>
  <c r="AU28" i="3"/>
  <c r="AV28" i="3"/>
  <c r="AT28" i="3"/>
  <c r="AW26" i="3"/>
  <c r="AW27" i="3"/>
  <c r="G27" i="3"/>
  <c r="J29" i="3"/>
  <c r="F26" i="3"/>
  <c r="AN14" i="3" s="1"/>
  <c r="I30" i="3"/>
  <c r="J25" i="3"/>
  <c r="E26" i="3"/>
  <c r="F29" i="3"/>
  <c r="F25" i="3"/>
  <c r="G25" i="3"/>
  <c r="H28" i="3"/>
  <c r="E28" i="3"/>
  <c r="E29" i="3"/>
  <c r="F28" i="3"/>
  <c r="J27" i="3"/>
  <c r="I25" i="3"/>
  <c r="I29" i="3"/>
  <c r="G29" i="3"/>
  <c r="AO15" i="3" s="1"/>
  <c r="J30" i="3"/>
  <c r="F27" i="3"/>
  <c r="G26" i="3"/>
  <c r="H26" i="3"/>
  <c r="E30" i="3"/>
  <c r="H30" i="3"/>
  <c r="F30" i="3"/>
  <c r="J28" i="3"/>
  <c r="H25" i="3"/>
  <c r="I28" i="3"/>
  <c r="I27" i="3"/>
  <c r="E27" i="3"/>
  <c r="AM13" i="3" s="1"/>
  <c r="I26" i="3"/>
  <c r="H27" i="3"/>
  <c r="G30" i="3"/>
  <c r="J26" i="3"/>
  <c r="H29" i="3"/>
  <c r="G28" i="3"/>
  <c r="I32" i="3"/>
  <c r="G37" i="3"/>
  <c r="F32" i="3"/>
  <c r="E32" i="3"/>
  <c r="I37" i="3"/>
  <c r="J32" i="3"/>
  <c r="F37" i="3"/>
  <c r="J37" i="3"/>
  <c r="H32" i="3"/>
  <c r="E37" i="3"/>
  <c r="O28" i="1"/>
  <c r="V95" i="8" l="1"/>
  <c r="V94" i="8"/>
  <c r="W95" i="8"/>
  <c r="W92" i="8"/>
  <c r="X91" i="8"/>
  <c r="X92" i="8"/>
  <c r="V93" i="8"/>
  <c r="X94" i="8"/>
  <c r="X93" i="8"/>
  <c r="W96" i="8"/>
  <c r="V96" i="8"/>
  <c r="AJ98" i="8"/>
  <c r="AP98" i="8"/>
  <c r="AP91" i="8" s="1"/>
  <c r="AT91" i="8" s="1"/>
  <c r="W94" i="8"/>
  <c r="W93" i="8"/>
  <c r="X96" i="8"/>
  <c r="AJ99" i="8"/>
  <c r="AP99" i="8"/>
  <c r="AP92" i="8" s="1"/>
  <c r="AL101" i="8"/>
  <c r="AQ101" i="8"/>
  <c r="AQ94" i="8" s="1"/>
  <c r="X95" i="8"/>
  <c r="AN102" i="8"/>
  <c r="AR102" i="8"/>
  <c r="AR95" i="8" s="1"/>
  <c r="V92" i="8"/>
  <c r="AL100" i="8"/>
  <c r="AQ100" i="8"/>
  <c r="AQ93" i="8" s="1"/>
  <c r="AN103" i="8"/>
  <c r="AR103" i="8"/>
  <c r="AR96" i="8" s="1"/>
  <c r="V91" i="8"/>
  <c r="AA91" i="8" s="1"/>
  <c r="V35" i="8"/>
  <c r="V36" i="8" s="1"/>
  <c r="V38" i="8" s="1"/>
  <c r="W35" i="8"/>
  <c r="L49" i="8"/>
  <c r="F70" i="8"/>
  <c r="E70" i="8"/>
  <c r="J70" i="8"/>
  <c r="I70" i="8"/>
  <c r="J69" i="8"/>
  <c r="I69" i="8"/>
  <c r="G69" i="8"/>
  <c r="H69" i="8"/>
  <c r="AO8" i="3" a="1"/>
  <c r="AN13" i="3"/>
  <c r="AM14" i="3"/>
  <c r="AQ10" i="3" a="1"/>
  <c r="AM6" i="3" a="1"/>
  <c r="V34" i="3"/>
  <c r="P37" i="3"/>
  <c r="G18" i="3"/>
  <c r="H18" i="3"/>
  <c r="F18" i="3"/>
  <c r="I18" i="3"/>
  <c r="E18" i="3"/>
  <c r="J18" i="3"/>
  <c r="E45" i="6" a="1"/>
  <c r="X24" i="6"/>
  <c r="X29" i="6"/>
  <c r="X25" i="6"/>
  <c r="Y29" i="6"/>
  <c r="X27" i="6"/>
  <c r="Y25" i="6"/>
  <c r="X28" i="6"/>
  <c r="Y28" i="6"/>
  <c r="Y24" i="6"/>
  <c r="Y27" i="6"/>
  <c r="Y26" i="6"/>
  <c r="X26" i="6"/>
  <c r="H57" i="6"/>
  <c r="G57" i="6"/>
  <c r="F57" i="6"/>
  <c r="E57" i="6"/>
  <c r="J57" i="6"/>
  <c r="I57" i="6"/>
  <c r="H56" i="5"/>
  <c r="G56" i="5"/>
  <c r="F56" i="5"/>
  <c r="E56" i="5"/>
  <c r="I56" i="5"/>
  <c r="J56" i="5"/>
  <c r="BC34" i="3"/>
  <c r="BB34" i="3"/>
  <c r="AU34" i="3"/>
  <c r="AT34" i="3"/>
  <c r="AA92" i="8" l="1"/>
  <c r="AA93" i="8"/>
  <c r="AA96" i="8"/>
  <c r="AA94" i="8"/>
  <c r="AA95" i="8"/>
  <c r="Z92" i="8"/>
  <c r="AD92" i="8" s="1"/>
  <c r="AT93" i="8"/>
  <c r="AT95" i="8"/>
  <c r="Z95" i="8"/>
  <c r="AD95" i="8" s="1"/>
  <c r="AT92" i="8"/>
  <c r="Z94" i="8"/>
  <c r="AD94" i="8" s="1"/>
  <c r="Z91" i="8"/>
  <c r="AT94" i="8"/>
  <c r="Z96" i="8"/>
  <c r="AD96" i="8" s="1"/>
  <c r="AT96" i="8"/>
  <c r="Z93" i="8"/>
  <c r="AD93" i="8" s="1"/>
  <c r="AM7" i="3"/>
  <c r="AX7" i="3" s="1"/>
  <c r="AN6" i="3"/>
  <c r="AM6" i="3"/>
  <c r="AX6" i="3" s="1"/>
  <c r="AN7" i="3"/>
  <c r="AQ10" i="3"/>
  <c r="AR11" i="3"/>
  <c r="AQ11" i="3"/>
  <c r="AX11" i="3" s="1"/>
  <c r="AR10" i="3"/>
  <c r="AO9" i="3"/>
  <c r="AX9" i="3" s="1"/>
  <c r="AP8" i="3"/>
  <c r="AO8" i="3"/>
  <c r="AP9" i="3"/>
  <c r="AX8" i="3"/>
  <c r="E45" i="6"/>
  <c r="F45" i="6"/>
  <c r="J45" i="6"/>
  <c r="I45" i="6"/>
  <c r="H45" i="6"/>
  <c r="G45" i="6"/>
  <c r="AB24" i="6" a="1"/>
  <c r="AD24" i="6" s="1"/>
  <c r="AA98" i="8" l="1"/>
  <c r="Z98" i="8"/>
  <c r="AD91" i="8"/>
  <c r="AD98" i="8" s="1"/>
  <c r="AT98" i="8"/>
  <c r="AX10" i="3"/>
  <c r="AD25" i="6"/>
  <c r="AD28" i="6"/>
  <c r="AB29" i="6"/>
  <c r="AC28" i="6"/>
  <c r="AD29" i="6"/>
  <c r="AB26" i="6"/>
  <c r="AC29" i="6"/>
  <c r="AC27" i="6"/>
  <c r="AC24" i="6"/>
  <c r="AD26" i="6"/>
  <c r="AB25" i="6"/>
  <c r="AD27" i="6"/>
  <c r="AB24" i="6"/>
  <c r="AB28" i="6"/>
  <c r="AC25" i="6"/>
  <c r="AB27" i="6"/>
  <c r="AC26" i="6"/>
  <c r="AB25" i="3" l="1" a="1"/>
  <c r="AG27" i="3" s="1"/>
  <c r="AG30" i="3" l="1"/>
  <c r="AE29" i="3"/>
  <c r="AC25" i="3"/>
  <c r="AD25" i="3"/>
  <c r="AB30" i="3"/>
  <c r="AC27" i="3"/>
  <c r="AG28" i="3"/>
  <c r="AF29" i="3"/>
  <c r="AD27" i="3"/>
  <c r="AE25" i="3"/>
  <c r="AB27" i="3"/>
  <c r="AD30" i="3"/>
  <c r="AE27" i="3"/>
  <c r="AE26" i="3"/>
  <c r="AG29" i="3"/>
  <c r="AB25" i="3"/>
  <c r="AF28" i="3"/>
  <c r="AF27" i="3"/>
  <c r="AF25" i="3"/>
  <c r="AB26" i="3"/>
  <c r="AF30" i="3"/>
  <c r="AC28" i="3"/>
  <c r="AC26" i="3"/>
  <c r="AB29" i="3"/>
  <c r="AE28" i="3"/>
  <c r="AD29" i="3"/>
  <c r="AE30" i="3"/>
  <c r="AD26" i="3"/>
  <c r="AG25" i="3"/>
  <c r="AB28" i="3"/>
  <c r="AC29" i="3"/>
  <c r="AG26" i="3"/>
  <c r="AC30" i="3"/>
  <c r="AD28" i="3"/>
  <c r="AF26" i="3"/>
  <c r="E55" i="3" l="1" a="1"/>
  <c r="E61" i="3" a="1"/>
  <c r="F55" i="3" l="1"/>
  <c r="F48" i="3" s="1"/>
  <c r="H55" i="3"/>
  <c r="H48" i="3" s="1"/>
  <c r="J55" i="3"/>
  <c r="J48" i="3" s="1"/>
  <c r="G55" i="3"/>
  <c r="G48" i="3" s="1"/>
  <c r="I55" i="3"/>
  <c r="I48" i="3" s="1"/>
  <c r="E55" i="3"/>
  <c r="E48" i="3" s="1"/>
  <c r="G61" i="3"/>
  <c r="E61" i="3"/>
  <c r="H61" i="3"/>
  <c r="F61" i="3"/>
  <c r="I61" i="3"/>
  <c r="J61" i="3"/>
  <c r="E35" i="3" l="1" a="1"/>
  <c r="F35" i="3" s="1"/>
  <c r="I64" i="3" a="1"/>
  <c r="E64" i="3" a="1"/>
  <c r="G64" i="3" a="1"/>
  <c r="G64" i="3" s="1"/>
  <c r="I66" i="3" a="1"/>
  <c r="E66" i="3" a="1"/>
  <c r="F66" i="3" s="1"/>
  <c r="G66" i="3" a="1"/>
  <c r="H66" i="3" s="1"/>
  <c r="G65" i="3" a="1"/>
  <c r="H65" i="3" s="1"/>
  <c r="I65" i="3" a="1"/>
  <c r="J65" i="3" s="1"/>
  <c r="E65" i="3" a="1"/>
  <c r="J66" i="3"/>
  <c r="F65" i="3"/>
  <c r="E58" i="3" a="1"/>
  <c r="E64" i="3"/>
  <c r="I64" i="3"/>
  <c r="I68" i="3" s="1" a="1"/>
  <c r="E49" i="3" a="1"/>
  <c r="E66" i="3"/>
  <c r="I66" i="3"/>
  <c r="E65" i="3"/>
  <c r="G65" i="3"/>
  <c r="J64" i="3"/>
  <c r="F64" i="3"/>
  <c r="H35" i="3" l="1"/>
  <c r="E35" i="3"/>
  <c r="I35" i="3"/>
  <c r="G35" i="3"/>
  <c r="J35" i="3"/>
  <c r="E69" i="3" a="1"/>
  <c r="E69" i="3" s="1"/>
  <c r="I65" i="3"/>
  <c r="I69" i="3" s="1" a="1"/>
  <c r="I69" i="3" s="1"/>
  <c r="G66" i="3"/>
  <c r="G70" i="3" s="1" a="1"/>
  <c r="E70" i="3" a="1"/>
  <c r="F70" i="3" s="1"/>
  <c r="H64" i="3"/>
  <c r="G68" i="3" s="1" a="1"/>
  <c r="J68" i="3"/>
  <c r="I68" i="3"/>
  <c r="F69" i="3"/>
  <c r="I58" i="3"/>
  <c r="H58" i="3"/>
  <c r="J58" i="3"/>
  <c r="G58" i="3"/>
  <c r="E58" i="3"/>
  <c r="F58" i="3"/>
  <c r="H70" i="3"/>
  <c r="F49" i="3"/>
  <c r="I49" i="3"/>
  <c r="J49" i="3"/>
  <c r="G49" i="3"/>
  <c r="H49" i="3"/>
  <c r="E49" i="3"/>
  <c r="V35" i="3" l="1"/>
  <c r="L49" i="3"/>
  <c r="G70" i="3"/>
  <c r="G68" i="3"/>
  <c r="H68" i="3"/>
  <c r="E70" i="3"/>
  <c r="J6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tc={4CFB1D2C-BF13-45A7-AF5F-78C67FBF6DA0}</author>
    <author>tc={8D5DE404-CD68-40FB-B3D5-841139F7D87F}</author>
    <author>tc={61325CD1-E20F-4576-ABB8-BBF58FF8F2CA}</author>
  </authors>
  <commentList>
    <comment ref="AB22" authorId="0" shapeId="0" xr:uid="{4CFB1D2C-BF13-45A7-AF5F-78C67FBF6DA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 fin qui...</t>
      </text>
    </comment>
    <comment ref="AB23" authorId="1" shapeId="0" xr:uid="{8D5DE404-CD68-40FB-B3D5-841139F7D87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nonostante la struttura degli import sia differente, i coefficienti totali delle due regioni e i coefficienti emissivi sono gli stessi. dunque è corretto che i riverberi sul prezzo di una stessa tassa territoriale siano i medesimi.</t>
      </text>
    </comment>
    <comment ref="AB24" authorId="2" shapeId="0" xr:uid="{61325CD1-E20F-4576-ABB8-BBF58FF8F2C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la struttura degli imports è radicalmente diversa (r.A è dipendente, r.B è autarchico). quindi l'applicazione del medesimo cba risulta in effetti differenti sui prezzi.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tc={23DC461E-306E-4434-976E-FFA0A78D543C}</author>
    <author>tc={28247AB8-7435-415C-B256-E5D6FDA229ED}</author>
  </authors>
  <commentList>
    <comment ref="AS24" authorId="0" shapeId="0" xr:uid="{23DC461E-306E-4434-976E-FFA0A78D543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ogni cella rappresenta le emissioni dirette originate nella regione riga per produrre la domanda finale domandata dalla regione colonna.</t>
      </text>
    </comment>
    <comment ref="AZ24" authorId="1" shapeId="0" xr:uid="{28247AB8-7435-415C-B256-E5D6FDA229E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ogni cella rappresenta il valore aggiunto diretto originato nella regione riga per produrre la domanda finale domandata dalla regione colonna.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tc={1145208C-2451-467A-9F40-DD4E2628CE54}</author>
    <author>tc={D4AF70CA-2905-4B5D-A152-745EB7DFE212}</author>
  </authors>
  <commentList>
    <comment ref="BF24" authorId="0" shapeId="0" xr:uid="{1145208C-2451-467A-9F40-DD4E2628CE5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ogni cella rappresenta le emissioni dirette originate nella regione riga per produrre la domanda finale domandata dalla regione colonna.</t>
      </text>
    </comment>
    <comment ref="BM24" authorId="1" shapeId="0" xr:uid="{D4AF70CA-2905-4B5D-A152-745EB7DFE21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ogni cella rappresenta il valore aggiunto diretto originato nella regione riga per produrre la domanda finale domandata dalla regione colonna.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tc={B804239B-F471-4EDA-AF8D-06021E50A5A7}</author>
    <author>tc={76537734-08C3-413B-BE61-D3AC396B45DF}</author>
  </authors>
  <commentList>
    <comment ref="BF24" authorId="0" shapeId="0" xr:uid="{B804239B-F471-4EDA-AF8D-06021E50A5A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ogni cella rappresenta le emissioni dirette originate nella regione riga per produrre la domanda finale domandata dalla regione colonna.</t>
      </text>
    </comment>
    <comment ref="BM24" authorId="1" shapeId="0" xr:uid="{76537734-08C3-413B-BE61-D3AC396B45D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ogni cella rappresenta il valore aggiunto diretto originato nella regione riga per produrre la domanda finale domandata dalla regione colonna.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tc={1A03F307-82B7-49D0-87F9-A3113166E266}</author>
    <author>tc={FCDC1059-3A76-4E80-A73A-EEE0C4AF707D}</author>
    <author>tc={41D4607F-D14B-4A02-9E70-516FFAEEE292}</author>
  </authors>
  <commentList>
    <comment ref="AJ3" authorId="0" shapeId="0" xr:uid="{1A03F307-82B7-49D0-87F9-A3113166E26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cba, cbam</t>
      </text>
    </comment>
    <comment ref="AW23" authorId="1" shapeId="0" xr:uid="{FCDC1059-3A76-4E80-A73A-EEE0C4AF707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ogni cella rappresenta le emissioni dirette originate nella regione riga per produrre la domanda finale domandata dalla regione colonna.</t>
      </text>
    </comment>
    <comment ref="BD23" authorId="2" shapeId="0" xr:uid="{41D4607F-D14B-4A02-9E70-516FFAEEE29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ogni cella rappresenta il valore aggiunto diretto originato nella regione riga per produrre la domanda finale domandata dalla regione colonna.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tc={E1ECFC1B-58AE-4341-8F4D-DB0E78B3135D}</author>
    <author>tc={3287E187-CF96-4CD4-9C29-ECE6DF357811}</author>
    <author>tc={A2552DEC-AE55-46BE-ACD1-3E68F3A0342A}</author>
  </authors>
  <commentList>
    <comment ref="AP3" authorId="0" shapeId="0" xr:uid="{E1ECFC1B-58AE-4341-8F4D-DB0E78B3135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cba, cbam</t>
      </text>
    </comment>
    <comment ref="AB23" authorId="1" shapeId="0" xr:uid="{3287E187-CF96-4CD4-9C29-ECE6DF35781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ogni cella rappresenta le emissioni dirette originate nella regione riga per produrre la domanda finale domandata dalla regione colonna.</t>
      </text>
    </comment>
    <comment ref="AI23" authorId="2" shapeId="0" xr:uid="{A2552DEC-AE55-46BE-ACD1-3E68F3A034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ogni cella rappresenta il valore aggiunto diretto originato nella regione riga per produrre la domanda finale domandata dalla regione colonna.</t>
      </text>
    </comment>
  </commentList>
</comments>
</file>

<file path=xl/sharedStrings.xml><?xml version="1.0" encoding="utf-8"?>
<sst xmlns="http://schemas.openxmlformats.org/spreadsheetml/2006/main" count="1630" uniqueCount="140">
  <si>
    <t>i.1</t>
  </si>
  <si>
    <t>i.2</t>
  </si>
  <si>
    <t>r.A</t>
  </si>
  <si>
    <t>r.B</t>
  </si>
  <si>
    <t>y</t>
  </si>
  <si>
    <t>v</t>
  </si>
  <si>
    <t>x</t>
  </si>
  <si>
    <t>VA</t>
  </si>
  <si>
    <t>region</t>
  </si>
  <si>
    <t>sector</t>
  </si>
  <si>
    <t>notes</t>
  </si>
  <si>
    <t>€/€</t>
  </si>
  <si>
    <t>€/€x</t>
  </si>
  <si>
    <t>kg/€x</t>
  </si>
  <si>
    <t>r.all</t>
  </si>
  <si>
    <t>€</t>
  </si>
  <si>
    <t>kg</t>
  </si>
  <si>
    <t>b_pba</t>
  </si>
  <si>
    <t>B_pba</t>
  </si>
  <si>
    <t>p</t>
  </si>
  <si>
    <t>€/kg</t>
  </si>
  <si>
    <t>net</t>
  </si>
  <si>
    <t>p*A</t>
  </si>
  <si>
    <t>PRICE MODEL APPLIED TO THE MULTI-REGION SETTING</t>
  </si>
  <si>
    <t>TOTAL VALUES</t>
  </si>
  <si>
    <t>COEFFICIENTS</t>
  </si>
  <si>
    <t>p_pba</t>
  </si>
  <si>
    <t>p_cba</t>
  </si>
  <si>
    <t>v_pba*p_pba</t>
  </si>
  <si>
    <t>VA_tax_pba</t>
  </si>
  <si>
    <t>cost of intermediate inputs</t>
  </si>
  <si>
    <t>cost of factors of production</t>
  </si>
  <si>
    <t>cost of pba carbon tax</t>
  </si>
  <si>
    <t>applied to producers</t>
  </si>
  <si>
    <t>applied to consumers</t>
  </si>
  <si>
    <t>nd</t>
  </si>
  <si>
    <t>kg/€y</t>
  </si>
  <si>
    <t>b_cba (unused)</t>
  </si>
  <si>
    <t>test</t>
  </si>
  <si>
    <t>backup</t>
  </si>
  <si>
    <t>no taxation</t>
  </si>
  <si>
    <t>pba both regions, same amount</t>
  </si>
  <si>
    <t>cba both regions, same amount</t>
  </si>
  <si>
    <t>v_cba_m</t>
  </si>
  <si>
    <t>v_cba_e</t>
  </si>
  <si>
    <t>%</t>
  </si>
  <si>
    <t>p_basic</t>
  </si>
  <si>
    <t>Dp_cba</t>
  </si>
  <si>
    <t>p_basic_imports (+cba)</t>
  </si>
  <si>
    <t>cba</t>
  </si>
  <si>
    <t>pba</t>
  </si>
  <si>
    <t>r.C</t>
  </si>
  <si>
    <t>total coefficients (no-trades)</t>
  </si>
  <si>
    <t>real coefficients (trades)</t>
  </si>
  <si>
    <t>trade shares</t>
  </si>
  <si>
    <t>carbon tax</t>
  </si>
  <si>
    <t>units</t>
  </si>
  <si>
    <t>v - value added</t>
  </si>
  <si>
    <t>b_pba - direct CO2</t>
  </si>
  <si>
    <t>b_cba - embodied CO2</t>
  </si>
  <si>
    <t>total final demand (no-trades)</t>
  </si>
  <si>
    <t>tax - pba</t>
  </si>
  <si>
    <t>tax - cba</t>
  </si>
  <si>
    <t>summation matrix</t>
  </si>
  <si>
    <t>B_cba</t>
  </si>
  <si>
    <t>export</t>
  </si>
  <si>
    <t>domestic</t>
  </si>
  <si>
    <t>import</t>
  </si>
  <si>
    <t>emissions decomposition</t>
  </si>
  <si>
    <t>value added decompostition</t>
  </si>
  <si>
    <t>p_base</t>
  </si>
  <si>
    <t>€/€y</t>
  </si>
  <si>
    <t>cba step by step</t>
  </si>
  <si>
    <t>tassa solo su importazioni da altre regioni</t>
  </si>
  <si>
    <t>leontief</t>
  </si>
  <si>
    <t>tassa per unità di domanda finale</t>
  </si>
  <si>
    <t>tax_pba (dom production)</t>
  </si>
  <si>
    <t>v*L</t>
  </si>
  <si>
    <t>SISTEMA EQUAZIONI</t>
  </si>
  <si>
    <t>SOL DIRETTA</t>
  </si>
  <si>
    <t>tax_pba*L</t>
  </si>
  <si>
    <t>tax_cba*L</t>
  </si>
  <si>
    <t>p = p*A + v + t_pba + t_cba</t>
  </si>
  <si>
    <t>p = (v+t_pba+t_cba)*L</t>
  </si>
  <si>
    <t>price index comparison</t>
  </si>
  <si>
    <t>from</t>
  </si>
  <si>
    <t>to</t>
  </si>
  <si>
    <t>type</t>
  </si>
  <si>
    <t>(tax_cba - check)</t>
  </si>
  <si>
    <t xml:space="preserve">tax_cba </t>
  </si>
  <si>
    <t>tax_cba_nic&amp;lore</t>
  </si>
  <si>
    <t>tax_cba_matteo</t>
  </si>
  <si>
    <t>tax_pba</t>
  </si>
  <si>
    <t>SOLO PBA R.A</t>
  </si>
  <si>
    <t>GHOSH</t>
  </si>
  <si>
    <t>€t/€y</t>
  </si>
  <si>
    <t>intermediate transactions</t>
  </si>
  <si>
    <t>final demand</t>
  </si>
  <si>
    <t>total production</t>
  </si>
  <si>
    <t>levied on prod cons</t>
  </si>
  <si>
    <t>levied on sect prod</t>
  </si>
  <si>
    <t>decomposition 1</t>
  </si>
  <si>
    <t>decomposition 2</t>
  </si>
  <si>
    <t>intermediate transactions (no trades)</t>
  </si>
  <si>
    <t>demand share - no trades</t>
  </si>
  <si>
    <t>final demand (no trades)</t>
  </si>
  <si>
    <t>p_base_ponderato</t>
  </si>
  <si>
    <t>T_pba</t>
  </si>
  <si>
    <t>T_cba</t>
  </si>
  <si>
    <t>from rA</t>
  </si>
  <si>
    <t>from rB</t>
  </si>
  <si>
    <t>from rC</t>
  </si>
  <si>
    <t>rA</t>
  </si>
  <si>
    <t>rB</t>
  </si>
  <si>
    <t>rC</t>
  </si>
  <si>
    <t>competition with imports</t>
  </si>
  <si>
    <t>da fare… cross correlazioni e sconti per evitare double counting</t>
  </si>
  <si>
    <t>demand share matrix (ghosh)</t>
  </si>
  <si>
    <t>transactions matrix total demand</t>
  </si>
  <si>
    <t>transactions matrix - total demand</t>
  </si>
  <si>
    <t>transactions matrix - filtered</t>
  </si>
  <si>
    <t>final demand (total)</t>
  </si>
  <si>
    <t>total demand</t>
  </si>
  <si>
    <t>tax filter (avoid double countings)</t>
  </si>
  <si>
    <t>total price index</t>
  </si>
  <si>
    <t>p_base_weighted</t>
  </si>
  <si>
    <t>simulation list</t>
  </si>
  <si>
    <t>p_base_weighted_country</t>
  </si>
  <si>
    <t>2_applicazione pba su net exporter</t>
  </si>
  <si>
    <t>1_applicazione pba su net importer</t>
  </si>
  <si>
    <t>3_cba su net importer</t>
  </si>
  <si>
    <t>4_cba su net exporter</t>
  </si>
  <si>
    <t>5_cbam su net importer</t>
  </si>
  <si>
    <t>6_cbam su net exporter</t>
  </si>
  <si>
    <t>net_ie</t>
  </si>
  <si>
    <t>p_domestico</t>
  </si>
  <si>
    <t>p_import</t>
  </si>
  <si>
    <t>technical coefficients - filtered</t>
  </si>
  <si>
    <t>with b_pba kg/€x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</si>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</sst>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;\-0.00;\-"/>
    <numFmt numFmtId="165" formatCode="0.0;\-0.0;\-"/>
    <numFmt numFmtId="166" formatCode="0;\-0;\-"/>
    <numFmt numFmtId="167" formatCode="0.000;\-0.000;\-"/>
    <numFmt numFmtId="168" formatCode="0.0000;\-0.0000;\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2" borderId="0" xfId="0" applyNumberFormat="1" applyFill="1"/>
    <xf numFmtId="166" fontId="0" fillId="2" borderId="0" xfId="0" applyNumberFormat="1" applyFill="1"/>
    <xf numFmtId="166" fontId="0" fillId="0" borderId="0" xfId="0" applyNumberFormat="1"/>
    <xf numFmtId="166" fontId="0" fillId="3" borderId="0" xfId="0" applyNumberFormat="1" applyFill="1"/>
    <xf numFmtId="164" fontId="2" fillId="3" borderId="0" xfId="0" applyNumberFormat="1" applyFont="1" applyFill="1"/>
    <xf numFmtId="164" fontId="2" fillId="2" borderId="0" xfId="0" applyNumberFormat="1" applyFont="1" applyFill="1"/>
    <xf numFmtId="166" fontId="3" fillId="0" borderId="0" xfId="0" applyNumberFormat="1" applyFont="1"/>
    <xf numFmtId="164" fontId="0" fillId="0" borderId="0" xfId="0" applyNumberFormat="1" applyAlignment="1">
      <alignment horizontal="left" indent="1"/>
    </xf>
    <xf numFmtId="164" fontId="0" fillId="2" borderId="0" xfId="0" applyNumberFormat="1" applyFill="1" applyAlignment="1">
      <alignment horizontal="right"/>
    </xf>
    <xf numFmtId="9" fontId="0" fillId="0" borderId="0" xfId="1" applyFont="1"/>
    <xf numFmtId="9" fontId="2" fillId="3" borderId="0" xfId="1" applyFont="1" applyFill="1"/>
    <xf numFmtId="164" fontId="0" fillId="0" borderId="0" xfId="0" applyNumberFormat="1" applyAlignment="1">
      <alignment horizontal="centerContinuous"/>
    </xf>
    <xf numFmtId="164" fontId="5" fillId="0" borderId="0" xfId="0" applyNumberFormat="1" applyFont="1" applyAlignment="1">
      <alignment horizontal="left" indent="1"/>
    </xf>
    <xf numFmtId="164" fontId="5" fillId="0" borderId="0" xfId="0" applyNumberFormat="1" applyFont="1"/>
    <xf numFmtId="164" fontId="0" fillId="0" borderId="0" xfId="0" applyNumberFormat="1" applyAlignment="1">
      <alignment horizontal="center"/>
    </xf>
    <xf numFmtId="164" fontId="2" fillId="0" borderId="0" xfId="0" applyNumberFormat="1" applyFont="1"/>
    <xf numFmtId="166" fontId="2" fillId="2" borderId="0" xfId="0" applyNumberFormat="1" applyFont="1" applyFill="1"/>
    <xf numFmtId="166" fontId="2" fillId="0" borderId="0" xfId="0" applyNumberFormat="1" applyFont="1"/>
    <xf numFmtId="166" fontId="6" fillId="2" borderId="0" xfId="0" applyNumberFormat="1" applyFont="1" applyFill="1"/>
    <xf numFmtId="166" fontId="6" fillId="0" borderId="0" xfId="0" applyNumberFormat="1" applyFont="1"/>
    <xf numFmtId="165" fontId="0" fillId="0" borderId="0" xfId="0" applyNumberFormat="1"/>
    <xf numFmtId="166" fontId="0" fillId="0" borderId="0" xfId="0" applyNumberFormat="1" applyAlignment="1">
      <alignment horizontal="right"/>
    </xf>
    <xf numFmtId="166" fontId="7" fillId="0" borderId="0" xfId="0" applyNumberFormat="1" applyFont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6" fontId="0" fillId="0" borderId="1" xfId="0" applyNumberFormat="1" applyBorder="1"/>
    <xf numFmtId="164" fontId="8" fillId="0" borderId="0" xfId="0" applyNumberFormat="1" applyFont="1"/>
    <xf numFmtId="166" fontId="9" fillId="0" borderId="0" xfId="0" applyNumberFormat="1" applyFont="1"/>
    <xf numFmtId="164" fontId="6" fillId="0" borderId="0" xfId="0" applyNumberFormat="1" applyFont="1" applyFill="1"/>
    <xf numFmtId="164" fontId="6" fillId="0" borderId="0" xfId="0" applyNumberFormat="1" applyFont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5" fontId="0" fillId="0" borderId="2" xfId="0" applyNumberFormat="1" applyBorder="1"/>
    <xf numFmtId="9" fontId="0" fillId="4" borderId="0" xfId="1" applyFont="1" applyFill="1" applyAlignment="1">
      <alignment horizontal="right"/>
    </xf>
    <xf numFmtId="9" fontId="0" fillId="4" borderId="2" xfId="1" applyFont="1" applyFill="1" applyBorder="1" applyAlignment="1">
      <alignment horizontal="right"/>
    </xf>
    <xf numFmtId="164" fontId="10" fillId="2" borderId="0" xfId="0" applyNumberFormat="1" applyFont="1" applyFill="1"/>
    <xf numFmtId="164" fontId="7" fillId="0" borderId="0" xfId="0" applyNumberFormat="1" applyFont="1"/>
    <xf numFmtId="164" fontId="0" fillId="0" borderId="0" xfId="0" applyNumberFormat="1" applyAlignment="1">
      <alignment horizontal="left"/>
    </xf>
    <xf numFmtId="164" fontId="11" fillId="0" borderId="0" xfId="0" applyNumberFormat="1" applyFont="1"/>
    <xf numFmtId="9" fontId="0" fillId="2" borderId="0" xfId="1" applyFont="1" applyFill="1"/>
    <xf numFmtId="164" fontId="11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Alignment="1"/>
    <xf numFmtId="166" fontId="11" fillId="0" borderId="0" xfId="0" applyNumberFormat="1" applyFont="1"/>
    <xf numFmtId="167" fontId="0" fillId="0" borderId="0" xfId="0" applyNumberFormat="1"/>
    <xf numFmtId="168" fontId="12" fillId="0" borderId="0" xfId="0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1200" b="0"/>
              <a:t>Trade in CO2 emissions</a:t>
            </a:r>
          </a:p>
        </c:rich>
      </c:tx>
      <c:layout>
        <c:manualLayout>
          <c:xMode val="edge"/>
          <c:yMode val="edge"/>
          <c:x val="0.25752444941999236"/>
          <c:y val="2.4959293750251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c_tax_production!$AS$31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c_tax_production!$AT$30:$AV$30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c_tax_production!$AT$31:$AV$31</c:f>
              <c:numCache>
                <c:formatCode>0;\-0;\-</c:formatCode>
                <c:ptCount val="3"/>
                <c:pt idx="0">
                  <c:v>37.954404132124459</c:v>
                </c:pt>
                <c:pt idx="1">
                  <c:v>163.93712606395559</c:v>
                </c:pt>
                <c:pt idx="2">
                  <c:v>254.05405405405406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1-4DB0-AF2B-D9C039654F5C}"/>
            </c:ext>
          </c:extLst>
        </c:ser>
        <c:ser>
          <c:idx val="1"/>
          <c:order val="1"/>
          <c:tx>
            <c:strRef>
              <c:f>c_tax_production!$AS$32</c:f>
              <c:strCache>
                <c:ptCount val="1"/>
                <c:pt idx="0">
                  <c:v>import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c_tax_production!$AT$30:$AV$30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c_tax_production!$AT$32:$AV$32</c:f>
              <c:numCache>
                <c:formatCode>0;\-0;\-</c:formatCode>
                <c:ptCount val="3"/>
                <c:pt idx="0">
                  <c:v>-165.24398585823556</c:v>
                </c:pt>
                <c:pt idx="1">
                  <c:v>-33.00607155964768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1-4DB0-AF2B-D9C039654F5C}"/>
            </c:ext>
          </c:extLst>
        </c:ser>
        <c:ser>
          <c:idx val="2"/>
          <c:order val="2"/>
          <c:tx>
            <c:strRef>
              <c:f>c_tax_production!$AS$33</c:f>
              <c:strCache>
                <c:ptCount val="1"/>
                <c:pt idx="0">
                  <c:v>export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c_tax_production!$AT$30:$AV$30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c_tax_production!$AT$33:$AV$33</c:f>
              <c:numCache>
                <c:formatCode>0;\-0;\-</c:formatCode>
                <c:ptCount val="3"/>
                <c:pt idx="0">
                  <c:v>16.126574914461944</c:v>
                </c:pt>
                <c:pt idx="1">
                  <c:v>51.605039726278214</c:v>
                </c:pt>
                <c:pt idx="2">
                  <c:v>130.51844277714309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61-4DB0-AF2B-D9C039654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860853344"/>
        <c:axId val="1908381328"/>
      </c:barChart>
      <c:lineChart>
        <c:grouping val="standard"/>
        <c:varyColors val="0"/>
        <c:ser>
          <c:idx val="3"/>
          <c:order val="3"/>
          <c:tx>
            <c:strRef>
              <c:f>c_tax_production!$AS$34</c:f>
              <c:strCache>
                <c:ptCount val="1"/>
                <c:pt idx="0">
                  <c:v>net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c_tax_production!$AT$34:$AV$34</c:f>
              <c:numCache>
                <c:formatCode>0;\-0;\-</c:formatCode>
                <c:ptCount val="3"/>
                <c:pt idx="0">
                  <c:v>-111.16300681164915</c:v>
                </c:pt>
                <c:pt idx="1">
                  <c:v>182.53609423058612</c:v>
                </c:pt>
                <c:pt idx="2">
                  <c:v>384.57249683119716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61-4DB0-AF2B-D9C039654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960448"/>
        <c:axId val="1858966688"/>
      </c:lineChart>
      <c:catAx>
        <c:axId val="1860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8381328"/>
        <c:crosses val="autoZero"/>
        <c:auto val="1"/>
        <c:lblAlgn val="ctr"/>
        <c:lblOffset val="100"/>
        <c:noMultiLvlLbl val="0"/>
      </c:catAx>
      <c:valAx>
        <c:axId val="1908381328"/>
        <c:scaling>
          <c:orientation val="minMax"/>
          <c:max val="5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CO2 emissions [kg]</a:t>
                </a:r>
              </a:p>
            </c:rich>
          </c:tx>
          <c:layout>
            <c:manualLayout>
              <c:xMode val="edge"/>
              <c:yMode val="edge"/>
              <c:x val="1.2491507373308943E-2"/>
              <c:y val="0.2756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;\-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0853344"/>
        <c:crosses val="autoZero"/>
        <c:crossBetween val="between"/>
      </c:valAx>
      <c:valAx>
        <c:axId val="1858966688"/>
        <c:scaling>
          <c:orientation val="minMax"/>
          <c:max val="500"/>
          <c:min val="-300"/>
        </c:scaling>
        <c:delete val="0"/>
        <c:axPos val="r"/>
        <c:numFmt formatCode="0;\-0;\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8960448"/>
        <c:crosses val="max"/>
        <c:crossBetween val="between"/>
      </c:valAx>
      <c:catAx>
        <c:axId val="1858960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85896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69762025005327"/>
          <c:y val="0.15191955639277283"/>
          <c:w val="0.20252405577136887"/>
          <c:h val="0.28079401998905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1200" b="0"/>
              <a:t>Trade in Value Added</a:t>
            </a:r>
          </a:p>
        </c:rich>
      </c:tx>
      <c:layout>
        <c:manualLayout>
          <c:xMode val="edge"/>
          <c:yMode val="edge"/>
          <c:x val="0.25752444941999236"/>
          <c:y val="2.4959293750251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c_tax_production!$AS$31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c_tax_production!$BA$30:$BC$30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c_tax_production!$BA$31:$BC$31</c:f>
              <c:numCache>
                <c:formatCode>0;\-0;\-</c:formatCode>
                <c:ptCount val="3"/>
                <c:pt idx="0">
                  <c:v>28.321492299192485</c:v>
                </c:pt>
                <c:pt idx="1">
                  <c:v>93.357022573687146</c:v>
                </c:pt>
                <c:pt idx="2">
                  <c:v>119.99999999999999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1-4DB0-AF2B-D9C039654F5C}"/>
            </c:ext>
          </c:extLst>
        </c:ser>
        <c:ser>
          <c:idx val="1"/>
          <c:order val="1"/>
          <c:tx>
            <c:strRef>
              <c:f>c_tax_production!$AS$32</c:f>
              <c:strCache>
                <c:ptCount val="1"/>
                <c:pt idx="0">
                  <c:v>import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c_tax_production!$BA$30:$BC$30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c_tax_production!$BA$32:$BC$32</c:f>
              <c:numCache>
                <c:formatCode>0;\-0;\-</c:formatCode>
                <c:ptCount val="3"/>
                <c:pt idx="0">
                  <c:v>-91.678507700807515</c:v>
                </c:pt>
                <c:pt idx="1">
                  <c:v>-26.642977426312854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1-4DB0-AF2B-D9C039654F5C}"/>
            </c:ext>
          </c:extLst>
        </c:ser>
        <c:ser>
          <c:idx val="2"/>
          <c:order val="2"/>
          <c:tx>
            <c:strRef>
              <c:f>c_tax_production!$AS$33</c:f>
              <c:strCache>
                <c:ptCount val="1"/>
                <c:pt idx="0">
                  <c:v>export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c_tax_production!$BA$30:$BC$30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c_tax_production!$BA$33:$BC$33</c:f>
              <c:numCache>
                <c:formatCode>0;\-0;\-</c:formatCode>
                <c:ptCount val="3"/>
                <c:pt idx="0">
                  <c:v>16.258882568623669</c:v>
                </c:pt>
                <c:pt idx="1">
                  <c:v>32.517765137247338</c:v>
                </c:pt>
                <c:pt idx="2">
                  <c:v>69.544837421249355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61-4DB0-AF2B-D9C039654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860853344"/>
        <c:axId val="1908381328"/>
      </c:barChart>
      <c:lineChart>
        <c:grouping val="standard"/>
        <c:varyColors val="0"/>
        <c:ser>
          <c:idx val="3"/>
          <c:order val="3"/>
          <c:tx>
            <c:strRef>
              <c:f>c_tax_production!$AS$34</c:f>
              <c:strCache>
                <c:ptCount val="1"/>
                <c:pt idx="0">
                  <c:v>net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c_tax_production!$BA$30:$BC$30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c_tax_production!$BA$34:$BC$34</c:f>
              <c:numCache>
                <c:formatCode>0;\-0;\-</c:formatCode>
                <c:ptCount val="3"/>
                <c:pt idx="0">
                  <c:v>-47.098132832991361</c:v>
                </c:pt>
                <c:pt idx="1">
                  <c:v>99.231810284621631</c:v>
                </c:pt>
                <c:pt idx="2">
                  <c:v>189.54483742124933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61-4DB0-AF2B-D9C039654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960448"/>
        <c:axId val="1858966688"/>
      </c:lineChart>
      <c:catAx>
        <c:axId val="1860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8381328"/>
        <c:crosses val="autoZero"/>
        <c:auto val="1"/>
        <c:lblAlgn val="ctr"/>
        <c:lblOffset val="100"/>
        <c:noMultiLvlLbl val="0"/>
      </c:catAx>
      <c:valAx>
        <c:axId val="1908381328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Value Added [€]</a:t>
                </a:r>
              </a:p>
            </c:rich>
          </c:tx>
          <c:layout>
            <c:manualLayout>
              <c:xMode val="edge"/>
              <c:yMode val="edge"/>
              <c:x val="1.2491507373308943E-2"/>
              <c:y val="0.2756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;\-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0853344"/>
        <c:crosses val="autoZero"/>
        <c:crossBetween val="between"/>
      </c:valAx>
      <c:valAx>
        <c:axId val="1858966688"/>
        <c:scaling>
          <c:orientation val="minMax"/>
          <c:max val="300"/>
          <c:min val="-150"/>
        </c:scaling>
        <c:delete val="0"/>
        <c:axPos val="r"/>
        <c:numFmt formatCode="0;\-0;\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8960448"/>
        <c:crosses val="max"/>
        <c:crossBetween val="between"/>
      </c:valAx>
      <c:catAx>
        <c:axId val="185896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896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69762025005327"/>
          <c:y val="0.15191955639277283"/>
          <c:w val="0.20252405577136887"/>
          <c:h val="0.28079401998905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1200" b="0"/>
              <a:t>Trade in CO2 emissions</a:t>
            </a:r>
          </a:p>
        </c:rich>
      </c:tx>
      <c:layout>
        <c:manualLayout>
          <c:xMode val="edge"/>
          <c:yMode val="edge"/>
          <c:x val="0.25752444941999236"/>
          <c:y val="2.4959293750251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'c_tax_production (2)_deprecated'!$BF$31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'c_tax_production (2)_deprecated'!$BG$30:$BI$30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(2)_deprecated'!$BG$31:$BI$31</c:f>
              <c:numCache>
                <c:formatCode>0;\-0;\-</c:formatCode>
                <c:ptCount val="3"/>
                <c:pt idx="0">
                  <c:v>36.188066806951241</c:v>
                </c:pt>
                <c:pt idx="1">
                  <c:v>109.94042650032304</c:v>
                </c:pt>
                <c:pt idx="2">
                  <c:v>254.05405405405406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0-44DE-BB76-0BB1DF960C0F}"/>
            </c:ext>
          </c:extLst>
        </c:ser>
        <c:ser>
          <c:idx val="1"/>
          <c:order val="1"/>
          <c:tx>
            <c:strRef>
              <c:f>'c_tax_production (2)_deprecated'!$BF$32</c:f>
              <c:strCache>
                <c:ptCount val="1"/>
                <c:pt idx="0">
                  <c:v>import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'c_tax_production (2)_deprecated'!$BG$30:$BI$30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(2)_deprecated'!$BG$32:$BI$32</c:f>
              <c:numCache>
                <c:formatCode>0;\-0;\-</c:formatCode>
                <c:ptCount val="3"/>
                <c:pt idx="0">
                  <c:v>-171.27001651831139</c:v>
                </c:pt>
                <c:pt idx="1">
                  <c:v>-110.12358097750011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B0-44DE-BB76-0BB1DF960C0F}"/>
            </c:ext>
          </c:extLst>
        </c:ser>
        <c:ser>
          <c:idx val="2"/>
          <c:order val="2"/>
          <c:tx>
            <c:strRef>
              <c:f>'c_tax_production (2)_deprecated'!$BF$33</c:f>
              <c:strCache>
                <c:ptCount val="1"/>
                <c:pt idx="0">
                  <c:v>export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'c_tax_production (2)_deprecated'!$BG$30:$BI$30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(2)_deprecated'!$BG$33:$BI$33</c:f>
              <c:numCache>
                <c:formatCode>0;\-0;\-</c:formatCode>
                <c:ptCount val="3"/>
                <c:pt idx="0">
                  <c:v>6.5049399511501358</c:v>
                </c:pt>
                <c:pt idx="1">
                  <c:v>41.631615687360863</c:v>
                </c:pt>
                <c:pt idx="2">
                  <c:v>233.25704185730052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B0-44DE-BB76-0BB1DF960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860853344"/>
        <c:axId val="1908381328"/>
      </c:barChart>
      <c:lineChart>
        <c:grouping val="standard"/>
        <c:varyColors val="0"/>
        <c:ser>
          <c:idx val="3"/>
          <c:order val="3"/>
          <c:tx>
            <c:strRef>
              <c:f>'c_tax_production (2)_deprecated'!$BF$34</c:f>
              <c:strCache>
                <c:ptCount val="1"/>
                <c:pt idx="0">
                  <c:v>net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'c_tax_production (2)_deprecated'!$BG$34:$BI$34</c:f>
              <c:numCache>
                <c:formatCode>0;\-0;\-</c:formatCode>
                <c:ptCount val="3"/>
                <c:pt idx="0">
                  <c:v>-128.57700976021002</c:v>
                </c:pt>
                <c:pt idx="1">
                  <c:v>41.448461210183794</c:v>
                </c:pt>
                <c:pt idx="2">
                  <c:v>487.31109591135458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B0-44DE-BB76-0BB1DF960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960448"/>
        <c:axId val="1858966688"/>
      </c:lineChart>
      <c:catAx>
        <c:axId val="1860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8381328"/>
        <c:crosses val="autoZero"/>
        <c:auto val="1"/>
        <c:lblAlgn val="ctr"/>
        <c:lblOffset val="100"/>
        <c:noMultiLvlLbl val="0"/>
      </c:catAx>
      <c:valAx>
        <c:axId val="1908381328"/>
        <c:scaling>
          <c:orientation val="minMax"/>
          <c:max val="5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CO2 emissions [kg]</a:t>
                </a:r>
              </a:p>
            </c:rich>
          </c:tx>
          <c:layout>
            <c:manualLayout>
              <c:xMode val="edge"/>
              <c:yMode val="edge"/>
              <c:x val="1.2491507373308943E-2"/>
              <c:y val="0.2756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;\-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0853344"/>
        <c:crosses val="autoZero"/>
        <c:crossBetween val="between"/>
      </c:valAx>
      <c:valAx>
        <c:axId val="1858966688"/>
        <c:scaling>
          <c:orientation val="minMax"/>
          <c:max val="500"/>
          <c:min val="-300"/>
        </c:scaling>
        <c:delete val="0"/>
        <c:axPos val="r"/>
        <c:numFmt formatCode="0;\-0;\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8960448"/>
        <c:crosses val="max"/>
        <c:crossBetween val="between"/>
      </c:valAx>
      <c:catAx>
        <c:axId val="1858960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85896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69762025005327"/>
          <c:y val="0.15191955639277283"/>
          <c:w val="0.20252405577136887"/>
          <c:h val="0.28079401998905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1200" b="0"/>
              <a:t>Trade in Value Added</a:t>
            </a:r>
          </a:p>
        </c:rich>
      </c:tx>
      <c:layout>
        <c:manualLayout>
          <c:xMode val="edge"/>
          <c:yMode val="edge"/>
          <c:x val="0.25752444941999236"/>
          <c:y val="2.4959293750251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'c_tax_production (2)_deprecated'!$BF$31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'c_tax_production (2)_deprecated'!$BN$30:$BP$30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(2)_deprecated'!$BN$31:$BP$31</c:f>
              <c:numCache>
                <c:formatCode>0;\-0;\-</c:formatCode>
                <c:ptCount val="3"/>
                <c:pt idx="0">
                  <c:v>26.142214618934293</c:v>
                </c:pt>
                <c:pt idx="1">
                  <c:v>57.186958118005563</c:v>
                </c:pt>
                <c:pt idx="2">
                  <c:v>119.99999999999999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5-46E8-946E-6D226BD54146}"/>
            </c:ext>
          </c:extLst>
        </c:ser>
        <c:ser>
          <c:idx val="1"/>
          <c:order val="1"/>
          <c:tx>
            <c:strRef>
              <c:f>'c_tax_production (2)_deprecated'!$BF$32</c:f>
              <c:strCache>
                <c:ptCount val="1"/>
                <c:pt idx="0">
                  <c:v>import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'c_tax_production (2)_deprecated'!$BN$30:$BP$30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(2)_deprecated'!$BN$32:$BP$32</c:f>
              <c:numCache>
                <c:formatCode>0;\-0;\-</c:formatCode>
                <c:ptCount val="3"/>
                <c:pt idx="0">
                  <c:v>-93.85778538106571</c:v>
                </c:pt>
                <c:pt idx="1">
                  <c:v>-62.81304188199443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05-46E8-946E-6D226BD54146}"/>
            </c:ext>
          </c:extLst>
        </c:ser>
        <c:ser>
          <c:idx val="2"/>
          <c:order val="2"/>
          <c:tx>
            <c:strRef>
              <c:f>'c_tax_production (2)_deprecated'!$BF$33</c:f>
              <c:strCache>
                <c:ptCount val="1"/>
                <c:pt idx="0">
                  <c:v>export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'c_tax_production (2)_deprecated'!$BN$30:$BP$30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(2)_deprecated'!$BN$33:$BP$33</c:f>
              <c:numCache>
                <c:formatCode>0;\-0;\-</c:formatCode>
                <c:ptCount val="3"/>
                <c:pt idx="0">
                  <c:v>6.2089486998142558</c:v>
                </c:pt>
                <c:pt idx="1">
                  <c:v>24.83579479925702</c:v>
                </c:pt>
                <c:pt idx="2">
                  <c:v>125.62608376398887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05-46E8-946E-6D226BD54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860853344"/>
        <c:axId val="1908381328"/>
      </c:barChart>
      <c:lineChart>
        <c:grouping val="standard"/>
        <c:varyColors val="0"/>
        <c:ser>
          <c:idx val="3"/>
          <c:order val="3"/>
          <c:tx>
            <c:strRef>
              <c:f>'c_tax_production (2)_deprecated'!$BF$34</c:f>
              <c:strCache>
                <c:ptCount val="1"/>
                <c:pt idx="0">
                  <c:v>net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'c_tax_production (2)_deprecated'!$BN$30:$BP$30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(2)_deprecated'!$BN$34:$BP$34</c:f>
              <c:numCache>
                <c:formatCode>0;\-0;\-</c:formatCode>
                <c:ptCount val="3"/>
                <c:pt idx="0">
                  <c:v>-61.506622062317163</c:v>
                </c:pt>
                <c:pt idx="1">
                  <c:v>19.209711035268153</c:v>
                </c:pt>
                <c:pt idx="2">
                  <c:v>245.62608376398885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05-46E8-946E-6D226BD54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960448"/>
        <c:axId val="1858966688"/>
      </c:lineChart>
      <c:catAx>
        <c:axId val="1860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8381328"/>
        <c:crosses val="autoZero"/>
        <c:auto val="1"/>
        <c:lblAlgn val="ctr"/>
        <c:lblOffset val="100"/>
        <c:noMultiLvlLbl val="0"/>
      </c:catAx>
      <c:valAx>
        <c:axId val="1908381328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Value Added [€]</a:t>
                </a:r>
              </a:p>
            </c:rich>
          </c:tx>
          <c:layout>
            <c:manualLayout>
              <c:xMode val="edge"/>
              <c:yMode val="edge"/>
              <c:x val="1.2491507373308943E-2"/>
              <c:y val="0.2756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;\-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0853344"/>
        <c:crosses val="autoZero"/>
        <c:crossBetween val="between"/>
      </c:valAx>
      <c:valAx>
        <c:axId val="1858966688"/>
        <c:scaling>
          <c:orientation val="minMax"/>
          <c:max val="300"/>
          <c:min val="-150"/>
        </c:scaling>
        <c:delete val="0"/>
        <c:axPos val="r"/>
        <c:numFmt formatCode="0;\-0;\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8960448"/>
        <c:crosses val="max"/>
        <c:crossBetween val="between"/>
      </c:valAx>
      <c:catAx>
        <c:axId val="185896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896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69762025005327"/>
          <c:y val="0.15191955639277283"/>
          <c:w val="0.20252405577136887"/>
          <c:h val="0.28079401998905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1200" b="0"/>
              <a:t>Trade in CO2 emissions</a:t>
            </a:r>
          </a:p>
        </c:rich>
      </c:tx>
      <c:layout>
        <c:manualLayout>
          <c:xMode val="edge"/>
          <c:yMode val="edge"/>
          <c:x val="0.25752444941999236"/>
          <c:y val="2.4959293750251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'c_tax_production (2)_deprecated'!$BF$32</c:f>
              <c:strCache>
                <c:ptCount val="1"/>
                <c:pt idx="0">
                  <c:v>import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'c_tax_production (2)_deprecated'!$BG$30:$BI$30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(2)_deprecated'!$BG$32:$BI$32</c:f>
              <c:numCache>
                <c:formatCode>0;\-0;\-</c:formatCode>
                <c:ptCount val="3"/>
                <c:pt idx="0">
                  <c:v>-171.27001651831139</c:v>
                </c:pt>
                <c:pt idx="1">
                  <c:v>-110.12358097750011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B0-44DE-BB76-0BB1DF960C0F}"/>
            </c:ext>
          </c:extLst>
        </c:ser>
        <c:ser>
          <c:idx val="2"/>
          <c:order val="1"/>
          <c:tx>
            <c:strRef>
              <c:f>'c_tax_production (2)_deprecated'!$BF$33</c:f>
              <c:strCache>
                <c:ptCount val="1"/>
                <c:pt idx="0">
                  <c:v>export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'c_tax_production (2)_deprecated'!$BG$30:$BI$30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(2)_deprecated'!$BG$33:$BI$33</c:f>
              <c:numCache>
                <c:formatCode>0;\-0;\-</c:formatCode>
                <c:ptCount val="3"/>
                <c:pt idx="0">
                  <c:v>6.5049399511501358</c:v>
                </c:pt>
                <c:pt idx="1">
                  <c:v>41.631615687360863</c:v>
                </c:pt>
                <c:pt idx="2">
                  <c:v>233.25704185730052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B0-44DE-BB76-0BB1DF960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860853344"/>
        <c:axId val="1908381328"/>
      </c:barChart>
      <c:lineChart>
        <c:grouping val="standard"/>
        <c:varyColors val="0"/>
        <c:ser>
          <c:idx val="3"/>
          <c:order val="2"/>
          <c:tx>
            <c:strRef>
              <c:f>'c_tax_production (2)_deprecated'!$BF$35</c:f>
              <c:strCache>
                <c:ptCount val="1"/>
                <c:pt idx="0">
                  <c:v>net_ie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'c_tax_production (2)_deprecated'!$BG$35:$BI$35</c:f>
              <c:numCache>
                <c:formatCode>0;\-0;\-</c:formatCode>
                <c:ptCount val="3"/>
                <c:pt idx="0">
                  <c:v>-164.76507656716126</c:v>
                </c:pt>
                <c:pt idx="1">
                  <c:v>-68.491965290139248</c:v>
                </c:pt>
                <c:pt idx="2">
                  <c:v>233.25704185730052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B0-44DE-BB76-0BB1DF960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960448"/>
        <c:axId val="1858966688"/>
      </c:lineChart>
      <c:catAx>
        <c:axId val="1860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8381328"/>
        <c:crosses val="autoZero"/>
        <c:auto val="1"/>
        <c:lblAlgn val="ctr"/>
        <c:lblOffset val="100"/>
        <c:noMultiLvlLbl val="0"/>
      </c:catAx>
      <c:valAx>
        <c:axId val="1908381328"/>
        <c:scaling>
          <c:orientation val="minMax"/>
          <c:max val="5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CO2 emissions [kg]</a:t>
                </a:r>
              </a:p>
            </c:rich>
          </c:tx>
          <c:layout>
            <c:manualLayout>
              <c:xMode val="edge"/>
              <c:yMode val="edge"/>
              <c:x val="1.2491507373308943E-2"/>
              <c:y val="0.2756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;\-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0853344"/>
        <c:crosses val="autoZero"/>
        <c:crossBetween val="between"/>
      </c:valAx>
      <c:valAx>
        <c:axId val="1858966688"/>
        <c:scaling>
          <c:orientation val="minMax"/>
          <c:max val="500"/>
          <c:min val="-300"/>
        </c:scaling>
        <c:delete val="0"/>
        <c:axPos val="r"/>
        <c:numFmt formatCode="0;\-0;\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8960448"/>
        <c:crosses val="max"/>
        <c:crossBetween val="between"/>
      </c:valAx>
      <c:catAx>
        <c:axId val="1858960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85896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69762025005327"/>
          <c:y val="0.15191955639277283"/>
          <c:w val="0.20252405577136887"/>
          <c:h val="0.28079401998905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1200" b="0"/>
              <a:t>Trade in CO2 emissions</a:t>
            </a:r>
          </a:p>
        </c:rich>
      </c:tx>
      <c:layout>
        <c:manualLayout>
          <c:xMode val="edge"/>
          <c:yMode val="edge"/>
          <c:x val="0.25752444941999236"/>
          <c:y val="2.4959293750251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c_tax_production_final!$BF$31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c_tax_production_final!$BG$30:$BI$30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c_tax_production_final!$BG$31:$BI$31</c:f>
              <c:numCache>
                <c:formatCode>0;\-0;\-</c:formatCode>
                <c:ptCount val="3"/>
                <c:pt idx="0">
                  <c:v>59.313638775871219</c:v>
                </c:pt>
                <c:pt idx="1">
                  <c:v>127.02702702702703</c:v>
                </c:pt>
                <c:pt idx="2">
                  <c:v>127.02702702702703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4745-86B5-D18C66178AD3}"/>
            </c:ext>
          </c:extLst>
        </c:ser>
        <c:ser>
          <c:idx val="1"/>
          <c:order val="1"/>
          <c:tx>
            <c:strRef>
              <c:f>c_tax_production_final!$BF$32</c:f>
              <c:strCache>
                <c:ptCount val="1"/>
                <c:pt idx="0">
                  <c:v>import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c_tax_production_final!$BG$30:$BI$30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c_tax_production_final!$BG$32:$BI$32</c:f>
              <c:numCache>
                <c:formatCode>0;\-0;\-</c:formatCode>
                <c:ptCount val="3"/>
                <c:pt idx="0">
                  <c:v>-67.71338825115582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4745-86B5-D18C66178AD3}"/>
            </c:ext>
          </c:extLst>
        </c:ser>
        <c:ser>
          <c:idx val="2"/>
          <c:order val="2"/>
          <c:tx>
            <c:strRef>
              <c:f>c_tax_production_final!$BF$33</c:f>
              <c:strCache>
                <c:ptCount val="1"/>
                <c:pt idx="0">
                  <c:v>export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c_tax_production_final!$BG$30:$BI$30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c_tax_production_final!$BG$33:$BI$33</c:f>
              <c:numCache>
                <c:formatCode>0;\-0;\-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67.71338825115582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4745-86B5-D18C66178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860853344"/>
        <c:axId val="1908381328"/>
      </c:barChart>
      <c:lineChart>
        <c:grouping val="standard"/>
        <c:varyColors val="0"/>
        <c:ser>
          <c:idx val="3"/>
          <c:order val="3"/>
          <c:tx>
            <c:strRef>
              <c:f>c_tax_production_final!$BF$34</c:f>
              <c:strCache>
                <c:ptCount val="1"/>
                <c:pt idx="0">
                  <c:v>net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c_tax_production_final!$BG$34:$BI$34</c:f>
              <c:numCache>
                <c:formatCode>0;\-0;\-</c:formatCode>
                <c:ptCount val="3"/>
                <c:pt idx="0">
                  <c:v>-8.3997494752846009</c:v>
                </c:pt>
                <c:pt idx="1">
                  <c:v>127.02702702702703</c:v>
                </c:pt>
                <c:pt idx="2">
                  <c:v>194.74041527818287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E6-4745-86B5-D18C66178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960448"/>
        <c:axId val="1858966688"/>
      </c:lineChart>
      <c:catAx>
        <c:axId val="1860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8381328"/>
        <c:crosses val="autoZero"/>
        <c:auto val="1"/>
        <c:lblAlgn val="ctr"/>
        <c:lblOffset val="100"/>
        <c:noMultiLvlLbl val="0"/>
      </c:catAx>
      <c:valAx>
        <c:axId val="1908381328"/>
        <c:scaling>
          <c:orientation val="minMax"/>
          <c:max val="5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CO2 emissions [kg]</a:t>
                </a:r>
              </a:p>
            </c:rich>
          </c:tx>
          <c:layout>
            <c:manualLayout>
              <c:xMode val="edge"/>
              <c:yMode val="edge"/>
              <c:x val="1.2491507373308943E-2"/>
              <c:y val="0.2756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;\-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0853344"/>
        <c:crosses val="autoZero"/>
        <c:crossBetween val="between"/>
      </c:valAx>
      <c:valAx>
        <c:axId val="1858966688"/>
        <c:scaling>
          <c:orientation val="minMax"/>
          <c:max val="500"/>
          <c:min val="-300"/>
        </c:scaling>
        <c:delete val="0"/>
        <c:axPos val="r"/>
        <c:numFmt formatCode="0;\-0;\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8960448"/>
        <c:crosses val="max"/>
        <c:crossBetween val="between"/>
      </c:valAx>
      <c:catAx>
        <c:axId val="1858960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85896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69762025005327"/>
          <c:y val="0.15191955639277283"/>
          <c:w val="0.20252405577136887"/>
          <c:h val="0.28079401998905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1200" b="0"/>
              <a:t>Trade in Value Added</a:t>
            </a:r>
          </a:p>
        </c:rich>
      </c:tx>
      <c:layout>
        <c:manualLayout>
          <c:xMode val="edge"/>
          <c:yMode val="edge"/>
          <c:x val="0.25752444941999236"/>
          <c:y val="2.4959293750251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c_tax_production_final!$BF$31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c_tax_production_final!$BN$30:$BP$30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c_tax_production_final!$BN$31:$BP$31</c:f>
              <c:numCache>
                <c:formatCode>0;\-0;\-</c:formatCode>
                <c:ptCount val="3"/>
                <c:pt idx="0">
                  <c:v>47.401379798337175</c:v>
                </c:pt>
                <c:pt idx="1">
                  <c:v>119.99999999999999</c:v>
                </c:pt>
                <c:pt idx="2">
                  <c:v>119.99999999999999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8-4ADE-BDB0-0B41C44E153C}"/>
            </c:ext>
          </c:extLst>
        </c:ser>
        <c:ser>
          <c:idx val="1"/>
          <c:order val="1"/>
          <c:tx>
            <c:strRef>
              <c:f>c_tax_production_final!$BF$32</c:f>
              <c:strCache>
                <c:ptCount val="1"/>
                <c:pt idx="0">
                  <c:v>import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c_tax_production_final!$BN$30:$BP$30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c_tax_production_final!$BN$32:$BP$32</c:f>
              <c:numCache>
                <c:formatCode>0;\-0;\-</c:formatCode>
                <c:ptCount val="3"/>
                <c:pt idx="0">
                  <c:v>-72.598620201662825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38-4ADE-BDB0-0B41C44E153C}"/>
            </c:ext>
          </c:extLst>
        </c:ser>
        <c:ser>
          <c:idx val="2"/>
          <c:order val="2"/>
          <c:tx>
            <c:strRef>
              <c:f>c_tax_production_final!$BF$33</c:f>
              <c:strCache>
                <c:ptCount val="1"/>
                <c:pt idx="0">
                  <c:v>export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c_tax_production_final!$BN$30:$BP$30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c_tax_production_final!$BN$33:$BP$33</c:f>
              <c:numCache>
                <c:formatCode>0;\-0;\-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72.598620201662825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38-4ADE-BDB0-0B41C44E1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860853344"/>
        <c:axId val="1908381328"/>
      </c:barChart>
      <c:lineChart>
        <c:grouping val="standard"/>
        <c:varyColors val="0"/>
        <c:ser>
          <c:idx val="3"/>
          <c:order val="3"/>
          <c:tx>
            <c:strRef>
              <c:f>c_tax_production_final!$BF$34</c:f>
              <c:strCache>
                <c:ptCount val="1"/>
                <c:pt idx="0">
                  <c:v>net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c_tax_production_final!$BN$30:$BP$30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c_tax_production_final!$BN$34:$BP$34</c:f>
              <c:numCache>
                <c:formatCode>0;\-0;\-</c:formatCode>
                <c:ptCount val="3"/>
                <c:pt idx="0">
                  <c:v>-25.197240403325651</c:v>
                </c:pt>
                <c:pt idx="1">
                  <c:v>119.99999999999999</c:v>
                </c:pt>
                <c:pt idx="2">
                  <c:v>192.59862020166281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38-4ADE-BDB0-0B41C44E1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960448"/>
        <c:axId val="1858966688"/>
      </c:lineChart>
      <c:catAx>
        <c:axId val="1860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8381328"/>
        <c:crosses val="autoZero"/>
        <c:auto val="1"/>
        <c:lblAlgn val="ctr"/>
        <c:lblOffset val="100"/>
        <c:noMultiLvlLbl val="0"/>
      </c:catAx>
      <c:valAx>
        <c:axId val="1908381328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Value Added [€]</a:t>
                </a:r>
              </a:p>
            </c:rich>
          </c:tx>
          <c:layout>
            <c:manualLayout>
              <c:xMode val="edge"/>
              <c:yMode val="edge"/>
              <c:x val="1.2491507373308943E-2"/>
              <c:y val="0.2756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;\-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0853344"/>
        <c:crosses val="autoZero"/>
        <c:crossBetween val="between"/>
      </c:valAx>
      <c:valAx>
        <c:axId val="1858966688"/>
        <c:scaling>
          <c:orientation val="minMax"/>
          <c:max val="300"/>
          <c:min val="-150"/>
        </c:scaling>
        <c:delete val="0"/>
        <c:axPos val="r"/>
        <c:numFmt formatCode="0;\-0;\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8960448"/>
        <c:crosses val="max"/>
        <c:crossBetween val="between"/>
      </c:valAx>
      <c:catAx>
        <c:axId val="185896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896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69762025005327"/>
          <c:y val="0.15191955639277283"/>
          <c:w val="0.20252405577136887"/>
          <c:h val="0.28079401998905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1200" b="0"/>
              <a:t>Trade in CO2 emissions</a:t>
            </a:r>
          </a:p>
        </c:rich>
      </c:tx>
      <c:layout>
        <c:manualLayout>
          <c:xMode val="edge"/>
          <c:yMode val="edge"/>
          <c:x val="0.25752444941999236"/>
          <c:y val="2.4959293750251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c_tax_production_final!$BF$32</c:f>
              <c:strCache>
                <c:ptCount val="1"/>
                <c:pt idx="0">
                  <c:v>import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c_tax_production_final!$BG$30:$BI$30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c_tax_production_final!$BG$32:$BI$32</c:f>
              <c:numCache>
                <c:formatCode>0;\-0;\-</c:formatCode>
                <c:ptCount val="3"/>
                <c:pt idx="0">
                  <c:v>-67.71338825115582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2-4564-A85D-04DE16ADFA91}"/>
            </c:ext>
          </c:extLst>
        </c:ser>
        <c:ser>
          <c:idx val="2"/>
          <c:order val="1"/>
          <c:tx>
            <c:strRef>
              <c:f>c_tax_production_final!$BF$33</c:f>
              <c:strCache>
                <c:ptCount val="1"/>
                <c:pt idx="0">
                  <c:v>export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c_tax_production_final!$BG$30:$BI$30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c_tax_production_final!$BG$33:$BI$33</c:f>
              <c:numCache>
                <c:formatCode>0;\-0;\-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67.71338825115582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22-4564-A85D-04DE16ADF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860853344"/>
        <c:axId val="1908381328"/>
      </c:barChart>
      <c:lineChart>
        <c:grouping val="standard"/>
        <c:varyColors val="0"/>
        <c:ser>
          <c:idx val="3"/>
          <c:order val="2"/>
          <c:tx>
            <c:strRef>
              <c:f>c_tax_production_final!$BF$35</c:f>
              <c:strCache>
                <c:ptCount val="1"/>
                <c:pt idx="0">
                  <c:v>net_ie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c_tax_production_final!$BG$35:$BI$35</c:f>
              <c:numCache>
                <c:formatCode>0;\-0;\-</c:formatCode>
                <c:ptCount val="3"/>
                <c:pt idx="0">
                  <c:v>-67.71338825115582</c:v>
                </c:pt>
                <c:pt idx="1">
                  <c:v>0</c:v>
                </c:pt>
                <c:pt idx="2">
                  <c:v>67.71338825115582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22-4564-A85D-04DE16ADF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960448"/>
        <c:axId val="1858966688"/>
      </c:lineChart>
      <c:catAx>
        <c:axId val="1860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8381328"/>
        <c:crosses val="autoZero"/>
        <c:auto val="1"/>
        <c:lblAlgn val="ctr"/>
        <c:lblOffset val="100"/>
        <c:noMultiLvlLbl val="0"/>
      </c:catAx>
      <c:valAx>
        <c:axId val="1908381328"/>
        <c:scaling>
          <c:orientation val="minMax"/>
          <c:max val="5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CO2 emissions [kg]</a:t>
                </a:r>
              </a:p>
            </c:rich>
          </c:tx>
          <c:layout>
            <c:manualLayout>
              <c:xMode val="edge"/>
              <c:yMode val="edge"/>
              <c:x val="1.2491507373308943E-2"/>
              <c:y val="0.2756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;\-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0853344"/>
        <c:crosses val="autoZero"/>
        <c:crossBetween val="between"/>
      </c:valAx>
      <c:valAx>
        <c:axId val="1858966688"/>
        <c:scaling>
          <c:orientation val="minMax"/>
          <c:max val="500"/>
          <c:min val="-300"/>
        </c:scaling>
        <c:delete val="0"/>
        <c:axPos val="r"/>
        <c:numFmt formatCode="0;\-0;\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8960448"/>
        <c:crosses val="max"/>
        <c:crossBetween val="between"/>
      </c:valAx>
      <c:catAx>
        <c:axId val="1858960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85896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69762025005327"/>
          <c:y val="0.15191955639277283"/>
          <c:w val="0.20252405577136887"/>
          <c:h val="0.28079401998905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c_tax_production_final!$D$92</c:f>
              <c:strCache>
                <c:ptCount val="1"/>
                <c:pt idx="0">
                  <c:v>p_domestico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C4-4716-9DA9-F934BD4EF6D7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C4-4716-9DA9-F934BD4EF6D7}"/>
              </c:ext>
            </c:extLst>
          </c:dPt>
          <c:cat>
            <c:multiLvlStrRef>
              <c:f>c_tax_production_final!$E$74:$J$75</c:f>
              <c:multiLvlStrCache>
                <c:ptCount val="6"/>
                <c:lvl>
                  <c:pt idx="0">
                    <c:v>i.1</c:v>
                  </c:pt>
                  <c:pt idx="1">
                    <c:v>i.2</c:v>
                  </c:pt>
                  <c:pt idx="2">
                    <c:v>i.1</c:v>
                  </c:pt>
                  <c:pt idx="3">
                    <c:v>i.2</c:v>
                  </c:pt>
                  <c:pt idx="4">
                    <c:v>i.1</c:v>
                  </c:pt>
                  <c:pt idx="5">
                    <c:v>i.2</c:v>
                  </c:pt>
                </c:lvl>
                <c:lvl>
                  <c:pt idx="0">
                    <c:v>rA</c:v>
                  </c:pt>
                  <c:pt idx="2">
                    <c:v>rB</c:v>
                  </c:pt>
                  <c:pt idx="4">
                    <c:v>rC</c:v>
                  </c:pt>
                </c:lvl>
              </c:multiLvlStrCache>
            </c:multiLvlStrRef>
          </c:cat>
          <c:val>
            <c:numRef>
              <c:f>c_tax_production_final!$E$76:$J$76</c:f>
              <c:numCache>
                <c:formatCode>0.00;\-0.00;\-</c:formatCode>
                <c:ptCount val="6"/>
                <c:pt idx="0">
                  <c:v>1.8225720856182557</c:v>
                </c:pt>
                <c:pt idx="1">
                  <c:v>1.1238280558995224</c:v>
                </c:pt>
                <c:pt idx="2">
                  <c:v>2.2162162162162162</c:v>
                </c:pt>
                <c:pt idx="3">
                  <c:v>1.2702702702702702</c:v>
                </c:pt>
                <c:pt idx="4">
                  <c:v>1</c:v>
                </c:pt>
                <c:pt idx="5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C4-4716-9DA9-F934BD4EF6D7}"/>
            </c:ext>
          </c:extLst>
        </c:ser>
        <c:ser>
          <c:idx val="1"/>
          <c:order val="1"/>
          <c:tx>
            <c:strRef>
              <c:f>c_tax_production_final!$D$93</c:f>
              <c:strCache>
                <c:ptCount val="1"/>
                <c:pt idx="0">
                  <c:v>p_import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C4-4716-9DA9-F934BD4EF6D7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C4-4716-9DA9-F934BD4EF6D7}"/>
              </c:ext>
            </c:extLst>
          </c:dPt>
          <c:cat>
            <c:multiLvlStrRef>
              <c:f>c_tax_production_final!$E$74:$J$75</c:f>
              <c:multiLvlStrCache>
                <c:ptCount val="6"/>
                <c:lvl>
                  <c:pt idx="0">
                    <c:v>i.1</c:v>
                  </c:pt>
                  <c:pt idx="1">
                    <c:v>i.2</c:v>
                  </c:pt>
                  <c:pt idx="2">
                    <c:v>i.1</c:v>
                  </c:pt>
                  <c:pt idx="3">
                    <c:v>i.2</c:v>
                  </c:pt>
                  <c:pt idx="4">
                    <c:v>i.1</c:v>
                  </c:pt>
                  <c:pt idx="5">
                    <c:v>i.2</c:v>
                  </c:pt>
                </c:lvl>
                <c:lvl>
                  <c:pt idx="0">
                    <c:v>rA</c:v>
                  </c:pt>
                  <c:pt idx="2">
                    <c:v>rB</c:v>
                  </c:pt>
                  <c:pt idx="4">
                    <c:v>rC</c:v>
                  </c:pt>
                </c:lvl>
              </c:multiLvlStrCache>
            </c:multiLvlStrRef>
          </c:cat>
          <c:val>
            <c:numRef>
              <c:f>c_tax_production_final!$E$77:$J$77</c:f>
              <c:numCache>
                <c:formatCode>0.00;\-0.00;\-</c:formatCode>
                <c:ptCount val="6"/>
                <c:pt idx="0">
                  <c:v>0.75</c:v>
                </c:pt>
                <c:pt idx="1">
                  <c:v>1</c:v>
                </c:pt>
                <c:pt idx="2">
                  <c:v>1.25</c:v>
                </c:pt>
                <c:pt idx="3">
                  <c:v>1</c:v>
                </c:pt>
                <c:pt idx="4">
                  <c:v>0.5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C4-4716-9DA9-F934BD4EF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737871"/>
        <c:axId val="1686734959"/>
      </c:lineChart>
      <c:catAx>
        <c:axId val="168673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86734959"/>
        <c:crosses val="autoZero"/>
        <c:auto val="1"/>
        <c:lblAlgn val="ctr"/>
        <c:lblOffset val="100"/>
        <c:noMultiLvlLbl val="0"/>
      </c:catAx>
      <c:valAx>
        <c:axId val="1686734959"/>
        <c:scaling>
          <c:orientation val="minMax"/>
          <c:max val="2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;\-0.0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8673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c_tax_production_final!$D$92</c:f>
              <c:strCache>
                <c:ptCount val="1"/>
                <c:pt idx="0">
                  <c:v>p_domestico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C4-4716-9DA9-F934BD4EF6D7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C4-4716-9DA9-F934BD4EF6D7}"/>
              </c:ext>
            </c:extLst>
          </c:dPt>
          <c:cat>
            <c:multiLvlStrRef>
              <c:f>c_tax_production_final!$E$74:$J$75</c:f>
              <c:multiLvlStrCache>
                <c:ptCount val="6"/>
                <c:lvl>
                  <c:pt idx="0">
                    <c:v>i.1</c:v>
                  </c:pt>
                  <c:pt idx="1">
                    <c:v>i.2</c:v>
                  </c:pt>
                  <c:pt idx="2">
                    <c:v>i.1</c:v>
                  </c:pt>
                  <c:pt idx="3">
                    <c:v>i.2</c:v>
                  </c:pt>
                  <c:pt idx="4">
                    <c:v>i.1</c:v>
                  </c:pt>
                  <c:pt idx="5">
                    <c:v>i.2</c:v>
                  </c:pt>
                </c:lvl>
                <c:lvl>
                  <c:pt idx="0">
                    <c:v>rA</c:v>
                  </c:pt>
                  <c:pt idx="2">
                    <c:v>rB</c:v>
                  </c:pt>
                  <c:pt idx="4">
                    <c:v>rC</c:v>
                  </c:pt>
                </c:lvl>
              </c:multiLvlStrCache>
            </c:multiLvlStrRef>
          </c:cat>
          <c:val>
            <c:numRef>
              <c:f>c_tax_production_final!$E$92:$J$92</c:f>
              <c:numCache>
                <c:formatCode>0.00;\-0.00;\-</c:formatCode>
                <c:ptCount val="6"/>
                <c:pt idx="0">
                  <c:v>1.8225720856182557</c:v>
                </c:pt>
                <c:pt idx="1">
                  <c:v>1.1238280558995224</c:v>
                </c:pt>
                <c:pt idx="2">
                  <c:v>2.2162162162162162</c:v>
                </c:pt>
                <c:pt idx="3">
                  <c:v>1.2702702702702702</c:v>
                </c:pt>
                <c:pt idx="4">
                  <c:v>1</c:v>
                </c:pt>
                <c:pt idx="5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C4-4716-9DA9-F934BD4EF6D7}"/>
            </c:ext>
          </c:extLst>
        </c:ser>
        <c:ser>
          <c:idx val="1"/>
          <c:order val="1"/>
          <c:tx>
            <c:strRef>
              <c:f>c_tax_production_final!$D$93</c:f>
              <c:strCache>
                <c:ptCount val="1"/>
                <c:pt idx="0">
                  <c:v>p_import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C4-4716-9DA9-F934BD4EF6D7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C4-4716-9DA9-F934BD4EF6D7}"/>
              </c:ext>
            </c:extLst>
          </c:dPt>
          <c:cat>
            <c:multiLvlStrRef>
              <c:f>c_tax_production_final!$E$74:$J$75</c:f>
              <c:multiLvlStrCache>
                <c:ptCount val="6"/>
                <c:lvl>
                  <c:pt idx="0">
                    <c:v>i.1</c:v>
                  </c:pt>
                  <c:pt idx="1">
                    <c:v>i.2</c:v>
                  </c:pt>
                  <c:pt idx="2">
                    <c:v>i.1</c:v>
                  </c:pt>
                  <c:pt idx="3">
                    <c:v>i.2</c:v>
                  </c:pt>
                  <c:pt idx="4">
                    <c:v>i.1</c:v>
                  </c:pt>
                  <c:pt idx="5">
                    <c:v>i.2</c:v>
                  </c:pt>
                </c:lvl>
                <c:lvl>
                  <c:pt idx="0">
                    <c:v>rA</c:v>
                  </c:pt>
                  <c:pt idx="2">
                    <c:v>rB</c:v>
                  </c:pt>
                  <c:pt idx="4">
                    <c:v>rC</c:v>
                  </c:pt>
                </c:lvl>
              </c:multiLvlStrCache>
            </c:multiLvlStrRef>
          </c:cat>
          <c:val>
            <c:numRef>
              <c:f>c_tax_production_final!$E$93:$J$93</c:f>
              <c:numCache>
                <c:formatCode>0.00;\-0.00;\-</c:formatCode>
                <c:ptCount val="6"/>
                <c:pt idx="0">
                  <c:v>1.6081081081081081</c:v>
                </c:pt>
                <c:pt idx="1">
                  <c:v>1.1351351351351351</c:v>
                </c:pt>
                <c:pt idx="2">
                  <c:v>1.9112860428091278</c:v>
                </c:pt>
                <c:pt idx="3">
                  <c:v>1.0619140279497612</c:v>
                </c:pt>
                <c:pt idx="4">
                  <c:v>2.0193941509172362</c:v>
                </c:pt>
                <c:pt idx="5">
                  <c:v>1.1970491630848963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C4-4716-9DA9-F934BD4EF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737871"/>
        <c:axId val="1686734959"/>
      </c:lineChart>
      <c:catAx>
        <c:axId val="168673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86734959"/>
        <c:crosses val="autoZero"/>
        <c:auto val="1"/>
        <c:lblAlgn val="ctr"/>
        <c:lblOffset val="100"/>
        <c:noMultiLvlLbl val="0"/>
      </c:catAx>
      <c:valAx>
        <c:axId val="1686734959"/>
        <c:scaling>
          <c:orientation val="minMax"/>
          <c:max val="2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;\-0.0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8673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1200" b="0"/>
              <a:t>Trade in CO2 emissions</a:t>
            </a:r>
          </a:p>
        </c:rich>
      </c:tx>
      <c:layout>
        <c:manualLayout>
          <c:xMode val="edge"/>
          <c:yMode val="edge"/>
          <c:x val="0.25752444941999236"/>
          <c:y val="2.4959293750251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'c_tax_production (4)'!$AW$30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'c_tax_production (4)'!$AX$29:$AZ$29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(4)'!$AX$30:$AZ$30</c:f>
              <c:numCache>
                <c:formatCode>0;\-0;\-</c:formatCode>
                <c:ptCount val="3"/>
                <c:pt idx="0">
                  <c:v>49.565462931007453</c:v>
                </c:pt>
                <c:pt idx="1">
                  <c:v>164.76892667775232</c:v>
                </c:pt>
                <c:pt idx="2">
                  <c:v>254.05405405405406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4-469C-AF32-3BA9FD8D830B}"/>
            </c:ext>
          </c:extLst>
        </c:ser>
        <c:ser>
          <c:idx val="1"/>
          <c:order val="1"/>
          <c:tx>
            <c:strRef>
              <c:f>'c_tax_production (4)'!$AW$31</c:f>
              <c:strCache>
                <c:ptCount val="1"/>
                <c:pt idx="0">
                  <c:v>import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'c_tax_production (4)'!$AX$29:$AZ$29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(4)'!$AX$31:$AZ$31</c:f>
              <c:numCache>
                <c:formatCode>0;\-0;\-</c:formatCode>
                <c:ptCount val="3"/>
                <c:pt idx="0">
                  <c:v>-140.67909719401578</c:v>
                </c:pt>
                <c:pt idx="1">
                  <c:v>-30.287856959334391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4-469C-AF32-3BA9FD8D830B}"/>
            </c:ext>
          </c:extLst>
        </c:ser>
        <c:ser>
          <c:idx val="2"/>
          <c:order val="2"/>
          <c:tx>
            <c:strRef>
              <c:f>'c_tax_production (4)'!$AW$32</c:f>
              <c:strCache>
                <c:ptCount val="1"/>
                <c:pt idx="0">
                  <c:v>export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'c_tax_production (4)'!$AX$29:$AZ$29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(4)'!$AX$32:$AZ$32</c:f>
              <c:numCache>
                <c:formatCode>0;\-0;\-</c:formatCode>
                <c:ptCount val="3"/>
                <c:pt idx="0">
                  <c:v>17.80503874752926</c:v>
                </c:pt>
                <c:pt idx="1">
                  <c:v>56.976123992093619</c:v>
                </c:pt>
                <c:pt idx="2">
                  <c:v>96.185791413727287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4-469C-AF32-3BA9FD8D8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860853344"/>
        <c:axId val="1908381328"/>
      </c:barChart>
      <c:lineChart>
        <c:grouping val="standard"/>
        <c:varyColors val="0"/>
        <c:ser>
          <c:idx val="3"/>
          <c:order val="3"/>
          <c:tx>
            <c:strRef>
              <c:f>'c_tax_production (4)'!$AW$33</c:f>
              <c:strCache>
                <c:ptCount val="1"/>
                <c:pt idx="0">
                  <c:v>net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'c_tax_production (4)'!$AX$33:$AZ$33</c:f>
              <c:numCache>
                <c:formatCode>0;\-0;\-</c:formatCode>
                <c:ptCount val="3"/>
                <c:pt idx="0">
                  <c:v>-73.308595515479055</c:v>
                </c:pt>
                <c:pt idx="1">
                  <c:v>191.45719371051155</c:v>
                </c:pt>
                <c:pt idx="2">
                  <c:v>350.23984546778138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34-469C-AF32-3BA9FD8D8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960448"/>
        <c:axId val="1858966688"/>
      </c:lineChart>
      <c:catAx>
        <c:axId val="1860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8381328"/>
        <c:crosses val="autoZero"/>
        <c:auto val="1"/>
        <c:lblAlgn val="ctr"/>
        <c:lblOffset val="100"/>
        <c:noMultiLvlLbl val="0"/>
      </c:catAx>
      <c:valAx>
        <c:axId val="1908381328"/>
        <c:scaling>
          <c:orientation val="minMax"/>
          <c:max val="5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CO2 emissions [kg]</a:t>
                </a:r>
              </a:p>
            </c:rich>
          </c:tx>
          <c:layout>
            <c:manualLayout>
              <c:xMode val="edge"/>
              <c:yMode val="edge"/>
              <c:x val="1.2491507373308943E-2"/>
              <c:y val="0.2756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;\-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0853344"/>
        <c:crosses val="autoZero"/>
        <c:crossBetween val="between"/>
      </c:valAx>
      <c:valAx>
        <c:axId val="1858966688"/>
        <c:scaling>
          <c:orientation val="minMax"/>
          <c:max val="500"/>
          <c:min val="-300"/>
        </c:scaling>
        <c:delete val="0"/>
        <c:axPos val="r"/>
        <c:numFmt formatCode="0;\-0;\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8960448"/>
        <c:crosses val="max"/>
        <c:crossBetween val="between"/>
      </c:valAx>
      <c:catAx>
        <c:axId val="1858960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85896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69762025005327"/>
          <c:y val="0.15191955639277283"/>
          <c:w val="0.20252405577136887"/>
          <c:h val="0.28079401998905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1200" b="0"/>
              <a:t>Trade in Value Added</a:t>
            </a:r>
          </a:p>
        </c:rich>
      </c:tx>
      <c:layout>
        <c:manualLayout>
          <c:xMode val="edge"/>
          <c:yMode val="edge"/>
          <c:x val="0.25752444941999236"/>
          <c:y val="2.4959293750251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'c_tax_production (4)'!$AW$30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'c_tax_production (4)'!$BE$29:$BG$29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(4)'!$BE$30:$BG$30</c:f>
              <c:numCache>
                <c:formatCode>0;\-0;\-</c:formatCode>
                <c:ptCount val="3"/>
                <c:pt idx="0">
                  <c:v>39.001976594609872</c:v>
                </c:pt>
                <c:pt idx="1">
                  <c:v>93.993662347441415</c:v>
                </c:pt>
                <c:pt idx="2">
                  <c:v>119.99999999999999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FD-44EE-8BAB-FCE9C6EE3FCD}"/>
            </c:ext>
          </c:extLst>
        </c:ser>
        <c:ser>
          <c:idx val="1"/>
          <c:order val="1"/>
          <c:tx>
            <c:strRef>
              <c:f>'c_tax_production (4)'!$AW$31</c:f>
              <c:strCache>
                <c:ptCount val="1"/>
                <c:pt idx="0">
                  <c:v>import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'c_tax_production (4)'!$BE$29:$BG$29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(4)'!$BE$31:$BG$31</c:f>
              <c:numCache>
                <c:formatCode>0;\-0;\-</c:formatCode>
                <c:ptCount val="3"/>
                <c:pt idx="0">
                  <c:v>-80.998023405390157</c:v>
                </c:pt>
                <c:pt idx="1">
                  <c:v>-26.006337652558599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FD-44EE-8BAB-FCE9C6EE3FCD}"/>
            </c:ext>
          </c:extLst>
        </c:ser>
        <c:ser>
          <c:idx val="2"/>
          <c:order val="2"/>
          <c:tx>
            <c:strRef>
              <c:f>'c_tax_production (4)'!$AW$32</c:f>
              <c:strCache>
                <c:ptCount val="1"/>
                <c:pt idx="0">
                  <c:v>export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'c_tax_production (4)'!$BE$29:$BG$29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(4)'!$BE$32:$BG$32</c:f>
              <c:numCache>
                <c:formatCode>0;\-0;\-</c:formatCode>
                <c:ptCount val="3"/>
                <c:pt idx="0">
                  <c:v>18.33056191761052</c:v>
                </c:pt>
                <c:pt idx="1">
                  <c:v>36.661123835221041</c:v>
                </c:pt>
                <c:pt idx="2">
                  <c:v>52.012675305117192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FD-44EE-8BAB-FCE9C6EE3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860853344"/>
        <c:axId val="1908381328"/>
      </c:barChart>
      <c:lineChart>
        <c:grouping val="standard"/>
        <c:varyColors val="0"/>
        <c:ser>
          <c:idx val="3"/>
          <c:order val="3"/>
          <c:tx>
            <c:strRef>
              <c:f>'c_tax_production (4)'!$AW$33</c:f>
              <c:strCache>
                <c:ptCount val="1"/>
                <c:pt idx="0">
                  <c:v>net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'c_tax_production (4)'!$BE$29:$BG$29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(4)'!$BE$33:$BG$33</c:f>
              <c:numCache>
                <c:formatCode>0;\-0;\-</c:formatCode>
                <c:ptCount val="3"/>
                <c:pt idx="0">
                  <c:v>-23.665484893169765</c:v>
                </c:pt>
                <c:pt idx="1">
                  <c:v>104.64844853010385</c:v>
                </c:pt>
                <c:pt idx="2">
                  <c:v>172.01267530511717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FD-44EE-8BAB-FCE9C6EE3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960448"/>
        <c:axId val="1858966688"/>
      </c:lineChart>
      <c:catAx>
        <c:axId val="1860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8381328"/>
        <c:crosses val="autoZero"/>
        <c:auto val="1"/>
        <c:lblAlgn val="ctr"/>
        <c:lblOffset val="100"/>
        <c:noMultiLvlLbl val="0"/>
      </c:catAx>
      <c:valAx>
        <c:axId val="1908381328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Value Added [€]</a:t>
                </a:r>
              </a:p>
            </c:rich>
          </c:tx>
          <c:layout>
            <c:manualLayout>
              <c:xMode val="edge"/>
              <c:yMode val="edge"/>
              <c:x val="1.2491507373308943E-2"/>
              <c:y val="0.2756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;\-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0853344"/>
        <c:crosses val="autoZero"/>
        <c:crossBetween val="between"/>
      </c:valAx>
      <c:valAx>
        <c:axId val="1858966688"/>
        <c:scaling>
          <c:orientation val="minMax"/>
          <c:max val="300"/>
          <c:min val="-150"/>
        </c:scaling>
        <c:delete val="0"/>
        <c:axPos val="r"/>
        <c:numFmt formatCode="0;\-0;\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8960448"/>
        <c:crosses val="max"/>
        <c:crossBetween val="between"/>
      </c:valAx>
      <c:catAx>
        <c:axId val="185896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896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69762025005327"/>
          <c:y val="0.15191955639277283"/>
          <c:w val="0.20252405577136887"/>
          <c:h val="0.28079401998905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1200" b="0"/>
              <a:t>Trade in CO2 emissions</a:t>
            </a:r>
          </a:p>
        </c:rich>
      </c:tx>
      <c:layout>
        <c:manualLayout>
          <c:xMode val="edge"/>
          <c:yMode val="edge"/>
          <c:x val="0.25752444941999236"/>
          <c:y val="2.4959293750251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'c_tax_production (3)'!$AB$30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'c_tax_production (3)'!$AC$29:$AE$29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(3)'!$AC$30:$AE$30</c:f>
              <c:numCache>
                <c:formatCode>0;\-0;\-</c:formatCode>
                <c:ptCount val="3"/>
                <c:pt idx="0">
                  <c:v>49.565462931007453</c:v>
                </c:pt>
                <c:pt idx="1">
                  <c:v>164.76892667775232</c:v>
                </c:pt>
                <c:pt idx="2">
                  <c:v>254.05405405405406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8-4B3C-AE64-28501CADA750}"/>
            </c:ext>
          </c:extLst>
        </c:ser>
        <c:ser>
          <c:idx val="1"/>
          <c:order val="1"/>
          <c:tx>
            <c:strRef>
              <c:f>'c_tax_production (3)'!$AB$31</c:f>
              <c:strCache>
                <c:ptCount val="1"/>
                <c:pt idx="0">
                  <c:v>import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'c_tax_production (3)'!$AC$29:$AE$29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(3)'!$AC$31:$AE$31</c:f>
              <c:numCache>
                <c:formatCode>0;\-0;\-</c:formatCode>
                <c:ptCount val="3"/>
                <c:pt idx="0">
                  <c:v>-140.67909719401578</c:v>
                </c:pt>
                <c:pt idx="1">
                  <c:v>-30.287856959334391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28-4B3C-AE64-28501CADA750}"/>
            </c:ext>
          </c:extLst>
        </c:ser>
        <c:ser>
          <c:idx val="2"/>
          <c:order val="2"/>
          <c:tx>
            <c:strRef>
              <c:f>'c_tax_production (3)'!$AB$32</c:f>
              <c:strCache>
                <c:ptCount val="1"/>
                <c:pt idx="0">
                  <c:v>export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'c_tax_production (3)'!$AC$29:$AE$29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(3)'!$AC$32:$AE$32</c:f>
              <c:numCache>
                <c:formatCode>0;\-0;\-</c:formatCode>
                <c:ptCount val="3"/>
                <c:pt idx="0">
                  <c:v>17.80503874752926</c:v>
                </c:pt>
                <c:pt idx="1">
                  <c:v>56.976123992093619</c:v>
                </c:pt>
                <c:pt idx="2">
                  <c:v>96.185791413727287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28-4B3C-AE64-28501CADA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860853344"/>
        <c:axId val="1908381328"/>
      </c:barChart>
      <c:lineChart>
        <c:grouping val="standard"/>
        <c:varyColors val="0"/>
        <c:ser>
          <c:idx val="3"/>
          <c:order val="3"/>
          <c:tx>
            <c:strRef>
              <c:f>'c_tax_production (3)'!$AB$33</c:f>
              <c:strCache>
                <c:ptCount val="1"/>
                <c:pt idx="0">
                  <c:v>net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'c_tax_production (3)'!$AC$33:$AE$33</c:f>
              <c:numCache>
                <c:formatCode>0;\-0;\-</c:formatCode>
                <c:ptCount val="3"/>
                <c:pt idx="0">
                  <c:v>-73.308595515479055</c:v>
                </c:pt>
                <c:pt idx="1">
                  <c:v>191.45719371051155</c:v>
                </c:pt>
                <c:pt idx="2">
                  <c:v>350.23984546778138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28-4B3C-AE64-28501CADA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960448"/>
        <c:axId val="1858966688"/>
      </c:lineChart>
      <c:catAx>
        <c:axId val="1860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8381328"/>
        <c:crosses val="autoZero"/>
        <c:auto val="1"/>
        <c:lblAlgn val="ctr"/>
        <c:lblOffset val="100"/>
        <c:noMultiLvlLbl val="0"/>
      </c:catAx>
      <c:valAx>
        <c:axId val="1908381328"/>
        <c:scaling>
          <c:orientation val="minMax"/>
          <c:max val="5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CO2 emissions [kg]</a:t>
                </a:r>
              </a:p>
            </c:rich>
          </c:tx>
          <c:layout>
            <c:manualLayout>
              <c:xMode val="edge"/>
              <c:yMode val="edge"/>
              <c:x val="1.2491507373308943E-2"/>
              <c:y val="0.2756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;\-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0853344"/>
        <c:crosses val="autoZero"/>
        <c:crossBetween val="between"/>
      </c:valAx>
      <c:valAx>
        <c:axId val="1858966688"/>
        <c:scaling>
          <c:orientation val="minMax"/>
          <c:max val="500"/>
          <c:min val="-300"/>
        </c:scaling>
        <c:delete val="0"/>
        <c:axPos val="r"/>
        <c:numFmt formatCode="0;\-0;\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8960448"/>
        <c:crosses val="max"/>
        <c:crossBetween val="between"/>
      </c:valAx>
      <c:catAx>
        <c:axId val="1858960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85896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69762025005327"/>
          <c:y val="0.15191955639277283"/>
          <c:w val="0.20252405577136887"/>
          <c:h val="0.28079401998905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sz="1200" b="0"/>
              <a:t>Trade in Value Added</a:t>
            </a:r>
          </a:p>
        </c:rich>
      </c:tx>
      <c:layout>
        <c:manualLayout>
          <c:xMode val="edge"/>
          <c:yMode val="edge"/>
          <c:x val="0.25752444941999236"/>
          <c:y val="2.4959293750251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'c_tax_production (3)'!$AB$30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'c_tax_production (3)'!$AJ$29:$AL$29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(3)'!$AJ$30:$AL$30</c:f>
              <c:numCache>
                <c:formatCode>0;\-0;\-</c:formatCode>
                <c:ptCount val="3"/>
                <c:pt idx="0">
                  <c:v>39.001976594609872</c:v>
                </c:pt>
                <c:pt idx="1">
                  <c:v>93.993662347441415</c:v>
                </c:pt>
                <c:pt idx="2">
                  <c:v>119.99999999999999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5-4D43-A817-433547158DDE}"/>
            </c:ext>
          </c:extLst>
        </c:ser>
        <c:ser>
          <c:idx val="1"/>
          <c:order val="1"/>
          <c:tx>
            <c:strRef>
              <c:f>'c_tax_production (3)'!$AB$31</c:f>
              <c:strCache>
                <c:ptCount val="1"/>
                <c:pt idx="0">
                  <c:v>import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'c_tax_production (3)'!$AJ$29:$AL$29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(3)'!$AJ$31:$AL$31</c:f>
              <c:numCache>
                <c:formatCode>0;\-0;\-</c:formatCode>
                <c:ptCount val="3"/>
                <c:pt idx="0">
                  <c:v>-80.998023405390157</c:v>
                </c:pt>
                <c:pt idx="1">
                  <c:v>-26.006337652558599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65-4D43-A817-433547158DDE}"/>
            </c:ext>
          </c:extLst>
        </c:ser>
        <c:ser>
          <c:idx val="2"/>
          <c:order val="2"/>
          <c:tx>
            <c:strRef>
              <c:f>'c_tax_production (3)'!$AB$32</c:f>
              <c:strCache>
                <c:ptCount val="1"/>
                <c:pt idx="0">
                  <c:v>export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'c_tax_production (3)'!$AJ$29:$AL$29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(3)'!$AJ$32:$AL$32</c:f>
              <c:numCache>
                <c:formatCode>0;\-0;\-</c:formatCode>
                <c:ptCount val="3"/>
                <c:pt idx="0">
                  <c:v>18.33056191761052</c:v>
                </c:pt>
                <c:pt idx="1">
                  <c:v>36.661123835221041</c:v>
                </c:pt>
                <c:pt idx="2">
                  <c:v>52.012675305117192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65-4D43-A817-433547158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860853344"/>
        <c:axId val="1908381328"/>
      </c:barChart>
      <c:lineChart>
        <c:grouping val="standard"/>
        <c:varyColors val="0"/>
        <c:ser>
          <c:idx val="3"/>
          <c:order val="3"/>
          <c:tx>
            <c:strRef>
              <c:f>'c_tax_production (3)'!$AB$33</c:f>
              <c:strCache>
                <c:ptCount val="1"/>
                <c:pt idx="0">
                  <c:v>net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'c_tax_production (3)'!$AJ$29:$AL$29</c:f>
              <c:strCache>
                <c:ptCount val="3"/>
                <c:pt idx="0">
                  <c:v>r.A</c:v>
                </c:pt>
                <c:pt idx="1">
                  <c:v>r.B</c:v>
                </c:pt>
                <c:pt idx="2">
                  <c:v>r.C</c:v>
                </c:pt>
              </c:strCache>
            </c:strRef>
          </c:cat>
          <c:val>
            <c:numRef>
              <c:f>'c_tax_production (3)'!$AJ$33:$AL$33</c:f>
              <c:numCache>
                <c:formatCode>0;\-0;\-</c:formatCode>
                <c:ptCount val="3"/>
                <c:pt idx="0">
                  <c:v>-23.665484893169765</c:v>
                </c:pt>
                <c:pt idx="1">
                  <c:v>104.64844853010385</c:v>
                </c:pt>
                <c:pt idx="2">
                  <c:v>172.01267530511717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65-4D43-A817-433547158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960448"/>
        <c:axId val="1858966688"/>
      </c:lineChart>
      <c:catAx>
        <c:axId val="18608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8381328"/>
        <c:crosses val="autoZero"/>
        <c:auto val="1"/>
        <c:lblAlgn val="ctr"/>
        <c:lblOffset val="100"/>
        <c:noMultiLvlLbl val="0"/>
      </c:catAx>
      <c:valAx>
        <c:axId val="1908381328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Value Added [€]</a:t>
                </a:r>
              </a:p>
            </c:rich>
          </c:tx>
          <c:layout>
            <c:manualLayout>
              <c:xMode val="edge"/>
              <c:yMode val="edge"/>
              <c:x val="1.2491507373308943E-2"/>
              <c:y val="0.2756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;\-0;\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0853344"/>
        <c:crosses val="autoZero"/>
        <c:crossBetween val="between"/>
      </c:valAx>
      <c:valAx>
        <c:axId val="1858966688"/>
        <c:scaling>
          <c:orientation val="minMax"/>
          <c:max val="300"/>
          <c:min val="-150"/>
        </c:scaling>
        <c:delete val="0"/>
        <c:axPos val="r"/>
        <c:numFmt formatCode="0;\-0;\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8960448"/>
        <c:crosses val="max"/>
        <c:crossBetween val="between"/>
      </c:valAx>
      <c:catAx>
        <c:axId val="185896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896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69762025005327"/>
          <c:y val="0.15191955639277283"/>
          <c:w val="0.20252405577136887"/>
          <c:h val="0.28079401998905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236</xdr:colOff>
      <xdr:row>43</xdr:row>
      <xdr:rowOff>12244</xdr:rowOff>
    </xdr:from>
    <xdr:to>
      <xdr:col>24</xdr:col>
      <xdr:colOff>336923</xdr:colOff>
      <xdr:row>59</xdr:row>
      <xdr:rowOff>17215</xdr:rowOff>
    </xdr:to>
    <xdr:graphicFrame macro="">
      <xdr:nvGraphicFramePr>
        <xdr:cNvPr id="51" name="Grafico 1">
          <a:extLst>
            <a:ext uri="{FF2B5EF4-FFF2-40B4-BE49-F238E27FC236}">
              <a16:creationId xmlns:a16="http://schemas.microsoft.com/office/drawing/2014/main" id="{7BFC3113-9DE5-406E-A94D-449B40EA5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61</xdr:col>
      <xdr:colOff>114595</xdr:colOff>
      <xdr:row>1</xdr:row>
      <xdr:rowOff>47623</xdr:rowOff>
    </xdr:from>
    <xdr:to>
      <xdr:col>72</xdr:col>
      <xdr:colOff>76080</xdr:colOff>
      <xdr:row>17</xdr:row>
      <xdr:rowOff>52594</xdr:rowOff>
    </xdr:to>
    <xdr:graphicFrame macro="">
      <xdr:nvGraphicFramePr>
        <xdr:cNvPr id="49" name="Grafico 2">
          <a:extLst>
            <a:ext uri="{FF2B5EF4-FFF2-40B4-BE49-F238E27FC236}">
              <a16:creationId xmlns:a16="http://schemas.microsoft.com/office/drawing/2014/main" id="{EAB39487-E4DA-49F7-984A-E6EF15FB9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180947</xdr:colOff>
      <xdr:row>51</xdr:row>
      <xdr:rowOff>31859</xdr:rowOff>
    </xdr:from>
    <xdr:to>
      <xdr:col>34</xdr:col>
      <xdr:colOff>146159</xdr:colOff>
      <xdr:row>67</xdr:row>
      <xdr:rowOff>36830</xdr:rowOff>
    </xdr:to>
    <xdr:graphicFrame macro="">
      <xdr:nvGraphicFramePr>
        <xdr:cNvPr id="5" name="Grafico 1">
          <a:extLst>
            <a:ext uri="{FF2B5EF4-FFF2-40B4-BE49-F238E27FC236}">
              <a16:creationId xmlns:a16="http://schemas.microsoft.com/office/drawing/2014/main" id="{2409D0D8-4974-4451-8E75-CF961711E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62</xdr:col>
      <xdr:colOff>114596</xdr:colOff>
      <xdr:row>1</xdr:row>
      <xdr:rowOff>168851</xdr:rowOff>
    </xdr:from>
    <xdr:to>
      <xdr:col>73</xdr:col>
      <xdr:colOff>76081</xdr:colOff>
      <xdr:row>17</xdr:row>
      <xdr:rowOff>173822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9975D98-D6FA-4B6F-A64C-1ED0ADCF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56707</xdr:colOff>
      <xdr:row>51</xdr:row>
      <xdr:rowOff>31859</xdr:rowOff>
    </xdr:from>
    <xdr:to>
      <xdr:col>45</xdr:col>
      <xdr:colOff>21920</xdr:colOff>
      <xdr:row>67</xdr:row>
      <xdr:rowOff>36830</xdr:rowOff>
    </xdr:to>
    <xdr:graphicFrame macro="">
      <xdr:nvGraphicFramePr>
        <xdr:cNvPr id="4" name="Grafico 1">
          <a:extLst>
            <a:ext uri="{FF2B5EF4-FFF2-40B4-BE49-F238E27FC236}">
              <a16:creationId xmlns:a16="http://schemas.microsoft.com/office/drawing/2014/main" id="{5CBF6A84-016B-46BB-B4B0-2E52E2B8B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19022</xdr:colOff>
      <xdr:row>34</xdr:row>
      <xdr:rowOff>3284</xdr:rowOff>
    </xdr:from>
    <xdr:to>
      <xdr:col>40</xdr:col>
      <xdr:colOff>355709</xdr:colOff>
      <xdr:row>50</xdr:row>
      <xdr:rowOff>8255</xdr:rowOff>
    </xdr:to>
    <xdr:graphicFrame macro="">
      <xdr:nvGraphicFramePr>
        <xdr:cNvPr id="8" name="Grafico 1">
          <a:extLst>
            <a:ext uri="{FF2B5EF4-FFF2-40B4-BE49-F238E27FC236}">
              <a16:creationId xmlns:a16="http://schemas.microsoft.com/office/drawing/2014/main" id="{1BFA75DD-BBD8-4514-91F9-8431E75F9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62</xdr:col>
      <xdr:colOff>114596</xdr:colOff>
      <xdr:row>1</xdr:row>
      <xdr:rowOff>168851</xdr:rowOff>
    </xdr:from>
    <xdr:to>
      <xdr:col>73</xdr:col>
      <xdr:colOff>76081</xdr:colOff>
      <xdr:row>17</xdr:row>
      <xdr:rowOff>173822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8A53EF3-8370-4E84-A97C-7DA337D1E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371032</xdr:colOff>
      <xdr:row>49</xdr:row>
      <xdr:rowOff>165209</xdr:rowOff>
    </xdr:from>
    <xdr:to>
      <xdr:col>40</xdr:col>
      <xdr:colOff>336245</xdr:colOff>
      <xdr:row>65</xdr:row>
      <xdr:rowOff>170180</xdr:rowOff>
    </xdr:to>
    <xdr:graphicFrame macro="">
      <xdr:nvGraphicFramePr>
        <xdr:cNvPr id="9" name="Grafico 1">
          <a:extLst>
            <a:ext uri="{FF2B5EF4-FFF2-40B4-BE49-F238E27FC236}">
              <a16:creationId xmlns:a16="http://schemas.microsoft.com/office/drawing/2014/main" id="{64AFDD3F-A205-4DAE-AB41-40383F974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157774</xdr:colOff>
      <xdr:row>53</xdr:row>
      <xdr:rowOff>21833</xdr:rowOff>
    </xdr:from>
    <xdr:to>
      <xdr:col>25</xdr:col>
      <xdr:colOff>228964</xdr:colOff>
      <xdr:row>67</xdr:row>
      <xdr:rowOff>94298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B16E5B6-9E84-43F1-A1A9-A1805F4C3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140404</xdr:colOff>
      <xdr:row>67</xdr:row>
      <xdr:rowOff>147899</xdr:rowOff>
    </xdr:from>
    <xdr:to>
      <xdr:col>25</xdr:col>
      <xdr:colOff>209913</xdr:colOff>
      <xdr:row>82</xdr:row>
      <xdr:rowOff>29864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CE1CB0C-E3A1-4451-A6F2-41F3B5ACB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198418</xdr:colOff>
      <xdr:row>2</xdr:row>
      <xdr:rowOff>52105</xdr:rowOff>
    </xdr:from>
    <xdr:to>
      <xdr:col>59</xdr:col>
      <xdr:colOff>163631</xdr:colOff>
      <xdr:row>18</xdr:row>
      <xdr:rowOff>57076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718C67-C0DD-4B72-BAB3-481743401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269234</xdr:colOff>
      <xdr:row>2</xdr:row>
      <xdr:rowOff>52105</xdr:rowOff>
    </xdr:from>
    <xdr:to>
      <xdr:col>67</xdr:col>
      <xdr:colOff>230719</xdr:colOff>
      <xdr:row>18</xdr:row>
      <xdr:rowOff>57076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4E82C6F-BDF3-45E9-9AC9-15CBFB910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176007</xdr:colOff>
      <xdr:row>18</xdr:row>
      <xdr:rowOff>85723</xdr:rowOff>
    </xdr:from>
    <xdr:to>
      <xdr:col>51</xdr:col>
      <xdr:colOff>141220</xdr:colOff>
      <xdr:row>34</xdr:row>
      <xdr:rowOff>90694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C615F0F-A046-4A0C-BC9E-3B2EE92F8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246823</xdr:colOff>
      <xdr:row>18</xdr:row>
      <xdr:rowOff>85723</xdr:rowOff>
    </xdr:from>
    <xdr:to>
      <xdr:col>59</xdr:col>
      <xdr:colOff>208308</xdr:colOff>
      <xdr:row>34</xdr:row>
      <xdr:rowOff>90694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F4E1EC8-C5E4-4CAA-BAEC-91F9A7CDE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eo Vincenzo Rocco" id="{3A48D158-C52B-472B-80DA-F626541DE631}" userId="S::10261181@polimi.it::f0612b38-90a5-4ea6-a107-ffcb2d31d2f2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22" dT="2021-11-11T16:50:03.18" personId="{3A48D158-C52B-472B-80DA-F626541DE631}" id="{4CFB1D2C-BF13-45A7-AF5F-78C67FBF6DA0}">
    <text>e fin qui...</text>
  </threadedComment>
  <threadedComment ref="AB23" dT="2021-11-11T16:51:04.48" personId="{3A48D158-C52B-472B-80DA-F626541DE631}" id="{8D5DE404-CD68-40FB-B3D5-841139F7D87F}">
    <text>nonostante la struttura degli import sia differente, i coefficienti totali delle due regioni e i coefficienti emissivi sono gli stessi. dunque è corretto che i riverberi sul prezzo di una stessa tassa territoriale siano i medesimi.</text>
  </threadedComment>
  <threadedComment ref="AB24" dT="2021-11-11T16:52:04.09" personId="{3A48D158-C52B-472B-80DA-F626541DE631}" id="{61325CD1-E20F-4576-ABB8-BBF58FF8F2CA}">
    <text>la struttura degli imports è radicalmente diversa (r.A è dipendente, r.B è autarchico). quindi l'applicazione del medesimo cba risulta in effetti differenti sui prezzi.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S24" dT="2021-11-14T09:44:38.38" personId="{3A48D158-C52B-472B-80DA-F626541DE631}" id="{23DC461E-306E-4434-976E-FFA0A78D543C}">
    <text>ogni cella rappresenta le emissioni dirette originate nella regione riga per produrre la domanda finale domandata dalla regione colonna.</text>
  </threadedComment>
  <threadedComment ref="AZ24" dT="2021-11-14T09:44:38.38" personId="{3A48D158-C52B-472B-80DA-F626541DE631}" id="{28247AB8-7435-415C-B256-E5D6FDA229ED}">
    <text>ogni cella rappresenta il valore aggiunto diretto originato nella regione riga per produrre la domanda finale domandata dalla regione colonna.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F24" dT="2021-11-14T09:44:38.38" personId="{3A48D158-C52B-472B-80DA-F626541DE631}" id="{1145208C-2451-467A-9F40-DD4E2628CE54}">
    <text>ogni cella rappresenta le emissioni dirette originate nella regione riga per produrre la domanda finale domandata dalla regione colonna.</text>
  </threadedComment>
  <threadedComment ref="BM24" dT="2021-11-14T09:44:38.38" personId="{3A48D158-C52B-472B-80DA-F626541DE631}" id="{D4AF70CA-2905-4B5D-A152-745EB7DFE212}">
    <text>ogni cella rappresenta il valore aggiunto diretto originato nella regione riga per produrre la domanda finale domandata dalla regione colonna.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F24" dT="2021-11-14T09:44:38.38" personId="{3A48D158-C52B-472B-80DA-F626541DE631}" id="{B804239B-F471-4EDA-AF8D-06021E50A5A7}">
    <text>ogni cella rappresenta le emissioni dirette originate nella regione riga per produrre la domanda finale domandata dalla regione colonna.</text>
  </threadedComment>
  <threadedComment ref="BM24" dT="2021-11-14T09:44:38.38" personId="{3A48D158-C52B-472B-80DA-F626541DE631}" id="{76537734-08C3-413B-BE61-D3AC396B45DF}">
    <text>ogni cella rappresenta il valore aggiunto diretto originato nella regione riga per produrre la domanda finale domandata dalla regione colonna.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J3" dT="2021-11-14T18:12:59.93" personId="{3A48D158-C52B-472B-80DA-F626541DE631}" id="{1A03F307-82B7-49D0-87F9-A3113166E266}">
    <text>cba, cbam</text>
  </threadedComment>
  <threadedComment ref="AW23" dT="2021-11-14T09:44:38.38" personId="{3A48D158-C52B-472B-80DA-F626541DE631}" id="{FCDC1059-3A76-4E80-A73A-EEE0C4AF707D}">
    <text>ogni cella rappresenta le emissioni dirette originate nella regione riga per produrre la domanda finale domandata dalla regione colonna.</text>
  </threadedComment>
  <threadedComment ref="BD23" dT="2021-11-14T09:44:38.38" personId="{3A48D158-C52B-472B-80DA-F626541DE631}" id="{41D4607F-D14B-4A02-9E70-516FFAEEE292}">
    <text>ogni cella rappresenta il valore aggiunto diretto originato nella regione riga per produrre la domanda finale domandata dalla regione colonna.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P3" dT="2021-11-14T18:12:59.93" personId="{3A48D158-C52B-472B-80DA-F626541DE631}" id="{E1ECFC1B-58AE-4341-8F4D-DB0E78B3135D}">
    <text>cba, cbam</text>
  </threadedComment>
  <threadedComment ref="AB23" dT="2021-11-14T09:44:38.38" personId="{3A48D158-C52B-472B-80DA-F626541DE631}" id="{3287E187-CF96-4CD4-9C29-ECE6DF357811}">
    <text>ogni cella rappresenta le emissioni dirette originate nella regione riga per produrre la domanda finale domandata dalla regione colonna.</text>
  </threadedComment>
  <threadedComment ref="AI23" dT="2021-11-14T09:44:38.38" personId="{3A48D158-C52B-472B-80DA-F626541DE631}" id="{A2552DEC-AE55-46BE-ACD1-3E68F3A0342A}">
    <text>ogni cella rappresenta il valore aggiunto diretto originato nella regione riga per produrre la domanda finale domandata dalla regione colonna.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5.xm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6.xm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86CB-41A9-4876-A462-8F39F4E47A63}">
  <dimension ref="A1:AC50"/>
  <sheetViews>
    <sheetView showGridLines="0" topLeftCell="A19" zoomScale="115" zoomScaleNormal="115" workbookViewId="0">
      <selection activeCell="D43" sqref="D43"/>
    </sheetView>
  </sheetViews>
  <sheetFormatPr defaultColWidth="9.109375" defaultRowHeight="14.4" x14ac:dyDescent="0.3"/>
  <cols>
    <col min="1" max="1" width="7.109375" style="2" customWidth="1"/>
    <col min="2" max="2" width="14.5546875" style="2" customWidth="1"/>
    <col min="3" max="3" width="9.109375" style="2"/>
    <col min="4" max="34" width="5.88671875" style="2" customWidth="1"/>
    <col min="35" max="16384" width="9.109375" style="2"/>
  </cols>
  <sheetData>
    <row r="1" spans="1:25" x14ac:dyDescent="0.3">
      <c r="A1" s="2" t="s">
        <v>25</v>
      </c>
      <c r="D1" s="10">
        <v>1</v>
      </c>
    </row>
    <row r="2" spans="1:25" x14ac:dyDescent="0.3">
      <c r="V2" s="2" t="s">
        <v>39</v>
      </c>
    </row>
    <row r="3" spans="1:25" x14ac:dyDescent="0.3">
      <c r="A3" s="2" t="s">
        <v>8</v>
      </c>
      <c r="D3" s="2" t="s">
        <v>2</v>
      </c>
      <c r="F3" s="2" t="s">
        <v>3</v>
      </c>
      <c r="V3" s="2" t="s">
        <v>2</v>
      </c>
      <c r="X3" s="2" t="s">
        <v>3</v>
      </c>
    </row>
    <row r="4" spans="1:25" x14ac:dyDescent="0.3">
      <c r="B4" s="2" t="s">
        <v>9</v>
      </c>
      <c r="C4" s="2" t="s">
        <v>10</v>
      </c>
      <c r="D4" s="3" t="s">
        <v>0</v>
      </c>
      <c r="E4" s="3" t="s">
        <v>1</v>
      </c>
      <c r="F4" s="3" t="s">
        <v>0</v>
      </c>
      <c r="G4" s="3" t="s">
        <v>1</v>
      </c>
      <c r="V4" s="3" t="s">
        <v>0</v>
      </c>
      <c r="W4" s="3" t="s">
        <v>1</v>
      </c>
      <c r="X4" s="3" t="s">
        <v>0</v>
      </c>
      <c r="Y4" s="3" t="s">
        <v>1</v>
      </c>
    </row>
    <row r="5" spans="1:25" x14ac:dyDescent="0.3">
      <c r="A5" s="2" t="s">
        <v>2</v>
      </c>
      <c r="B5" s="2" t="s">
        <v>0</v>
      </c>
      <c r="C5" s="2" t="s">
        <v>12</v>
      </c>
      <c r="D5" s="1">
        <v>0.1</v>
      </c>
      <c r="E5" s="1">
        <v>0.4</v>
      </c>
      <c r="F5" s="2">
        <v>0</v>
      </c>
      <c r="G5" s="2">
        <v>0</v>
      </c>
      <c r="V5" s="1">
        <v>0.1</v>
      </c>
      <c r="W5" s="1">
        <v>0.4</v>
      </c>
      <c r="X5" s="2">
        <v>0.05</v>
      </c>
      <c r="Y5" s="2">
        <v>0</v>
      </c>
    </row>
    <row r="6" spans="1:25" x14ac:dyDescent="0.3">
      <c r="B6" s="2" t="s">
        <v>1</v>
      </c>
      <c r="C6" s="2" t="s">
        <v>12</v>
      </c>
      <c r="D6" s="1">
        <v>0.2</v>
      </c>
      <c r="E6" s="1">
        <v>0.05</v>
      </c>
      <c r="F6" s="2">
        <v>0</v>
      </c>
      <c r="G6" s="2">
        <v>0</v>
      </c>
      <c r="V6" s="1">
        <v>0.2</v>
      </c>
      <c r="W6" s="1">
        <v>0.05</v>
      </c>
      <c r="X6" s="2">
        <v>0.1</v>
      </c>
      <c r="Y6" s="2">
        <v>0.1</v>
      </c>
    </row>
    <row r="7" spans="1:25" x14ac:dyDescent="0.3">
      <c r="A7" s="2" t="s">
        <v>3</v>
      </c>
      <c r="B7" s="2" t="s">
        <v>0</v>
      </c>
      <c r="C7" s="2" t="s">
        <v>12</v>
      </c>
      <c r="D7" s="2">
        <v>0.05</v>
      </c>
      <c r="E7" s="2">
        <v>0</v>
      </c>
      <c r="F7" s="1">
        <v>0.15000000000000002</v>
      </c>
      <c r="G7" s="1">
        <v>0.4</v>
      </c>
      <c r="H7" s="3"/>
      <c r="M7" s="3"/>
      <c r="V7" s="2">
        <v>0.05</v>
      </c>
      <c r="W7" s="2">
        <v>0</v>
      </c>
      <c r="X7" s="1">
        <v>0.1</v>
      </c>
      <c r="Y7" s="1">
        <v>0.4</v>
      </c>
    </row>
    <row r="8" spans="1:25" x14ac:dyDescent="0.3">
      <c r="B8" s="2" t="s">
        <v>1</v>
      </c>
      <c r="C8" s="2" t="s">
        <v>12</v>
      </c>
      <c r="D8" s="2">
        <v>0.1</v>
      </c>
      <c r="E8" s="2">
        <v>0.1</v>
      </c>
      <c r="F8" s="1">
        <v>0.30000000000000004</v>
      </c>
      <c r="G8" s="1">
        <v>0.15000000000000002</v>
      </c>
      <c r="V8" s="2">
        <v>0.1</v>
      </c>
      <c r="W8" s="2">
        <v>0.1</v>
      </c>
      <c r="X8" s="1">
        <v>0.2</v>
      </c>
      <c r="Y8" s="1">
        <v>0.05</v>
      </c>
    </row>
    <row r="10" spans="1:25" x14ac:dyDescent="0.3">
      <c r="B10" s="2" t="s">
        <v>5</v>
      </c>
      <c r="C10" s="2" t="s">
        <v>12</v>
      </c>
      <c r="D10" s="1">
        <v>0.55000000000000004</v>
      </c>
      <c r="E10" s="1">
        <v>0.45</v>
      </c>
      <c r="F10" s="1">
        <v>0.55000000000000004</v>
      </c>
      <c r="G10" s="1">
        <v>0.45</v>
      </c>
      <c r="V10" s="1">
        <v>0.55000000000000004</v>
      </c>
      <c r="W10" s="1">
        <v>0.45</v>
      </c>
      <c r="X10" s="1">
        <v>0.55000000000000004</v>
      </c>
      <c r="Y10" s="1">
        <v>0.45</v>
      </c>
    </row>
    <row r="11" spans="1:25" x14ac:dyDescent="0.3">
      <c r="K11" s="3" t="s">
        <v>2</v>
      </c>
      <c r="L11" s="3" t="s">
        <v>3</v>
      </c>
    </row>
    <row r="12" spans="1:25" x14ac:dyDescent="0.3">
      <c r="B12" s="2" t="s">
        <v>17</v>
      </c>
      <c r="C12" s="2" t="s">
        <v>13</v>
      </c>
      <c r="D12" s="4">
        <v>10</v>
      </c>
      <c r="E12" s="4">
        <v>2</v>
      </c>
      <c r="F12" s="4">
        <v>10</v>
      </c>
      <c r="G12" s="4">
        <v>2</v>
      </c>
      <c r="I12" s="2" t="s">
        <v>26</v>
      </c>
      <c r="J12" s="3" t="s">
        <v>20</v>
      </c>
      <c r="K12" s="9">
        <v>0.1</v>
      </c>
      <c r="L12" s="9">
        <v>0</v>
      </c>
      <c r="N12" s="2" t="s">
        <v>33</v>
      </c>
    </row>
    <row r="13" spans="1:25" x14ac:dyDescent="0.3">
      <c r="B13" s="2" t="s">
        <v>37</v>
      </c>
      <c r="C13" s="2" t="s">
        <v>36</v>
      </c>
      <c r="D13" s="4">
        <f t="array" ref="D13:G13">MMULT(D12:G12,MINVERSE(_xlfn.MUNIT(4)-D5:G8))</f>
        <v>15.103734439834025</v>
      </c>
      <c r="E13" s="4">
        <v>9.4605809128630725</v>
      </c>
      <c r="F13" s="4">
        <v>15.103734439834028</v>
      </c>
      <c r="G13" s="4">
        <v>9.4605809128630725</v>
      </c>
      <c r="I13" s="2" t="s">
        <v>27</v>
      </c>
      <c r="J13" s="3" t="s">
        <v>20</v>
      </c>
      <c r="K13" s="9">
        <v>0.1</v>
      </c>
      <c r="L13" s="9">
        <v>0</v>
      </c>
      <c r="N13" s="2" t="s">
        <v>34</v>
      </c>
    </row>
    <row r="16" spans="1:25" x14ac:dyDescent="0.3">
      <c r="A16" s="2" t="s">
        <v>24</v>
      </c>
    </row>
    <row r="17" spans="1:29" x14ac:dyDescent="0.3">
      <c r="AB17" s="3"/>
      <c r="AC17" s="3"/>
    </row>
    <row r="18" spans="1:29" x14ac:dyDescent="0.3">
      <c r="A18" s="2" t="s">
        <v>8</v>
      </c>
      <c r="D18" s="2" t="s">
        <v>2</v>
      </c>
      <c r="F18" s="2" t="s">
        <v>3</v>
      </c>
      <c r="I18" s="3" t="s">
        <v>2</v>
      </c>
      <c r="J18" s="3" t="s">
        <v>3</v>
      </c>
      <c r="K18" s="3"/>
      <c r="L18" s="3" t="s">
        <v>2</v>
      </c>
      <c r="M18" s="3" t="s">
        <v>3</v>
      </c>
      <c r="N18" s="3"/>
      <c r="O18" s="3" t="s">
        <v>14</v>
      </c>
      <c r="AB18" s="3"/>
      <c r="AC18" s="3"/>
    </row>
    <row r="19" spans="1:29" x14ac:dyDescent="0.3">
      <c r="B19" s="2" t="s">
        <v>9</v>
      </c>
      <c r="C19" s="2" t="s">
        <v>10</v>
      </c>
      <c r="D19" s="3" t="s">
        <v>0</v>
      </c>
      <c r="E19" s="3" t="s">
        <v>1</v>
      </c>
      <c r="F19" s="3" t="s">
        <v>0</v>
      </c>
      <c r="G19" s="3" t="s">
        <v>1</v>
      </c>
      <c r="H19" s="3"/>
      <c r="I19" s="3" t="s">
        <v>4</v>
      </c>
      <c r="J19" s="3" t="s">
        <v>4</v>
      </c>
      <c r="K19" s="3"/>
      <c r="L19" s="3" t="s">
        <v>6</v>
      </c>
      <c r="M19" s="3" t="s">
        <v>6</v>
      </c>
      <c r="O19" s="3" t="s">
        <v>6</v>
      </c>
      <c r="AB19" s="3"/>
      <c r="AC19" s="3"/>
    </row>
    <row r="20" spans="1:29" x14ac:dyDescent="0.3">
      <c r="A20" s="2" t="s">
        <v>2</v>
      </c>
      <c r="B20" s="2" t="s">
        <v>0</v>
      </c>
      <c r="C20" s="2" t="s">
        <v>15</v>
      </c>
      <c r="D20" s="5">
        <f t="array" ref="D20:G23">MMULT(D5:G8,O20:O23*_xlfn.MUNIT(4))</f>
        <v>12.258064516129032</v>
      </c>
      <c r="E20" s="5">
        <v>10.322580645161294</v>
      </c>
      <c r="F20" s="6">
        <v>0</v>
      </c>
      <c r="G20" s="6">
        <v>0</v>
      </c>
      <c r="I20" s="5">
        <v>100</v>
      </c>
      <c r="J20" s="6">
        <v>0</v>
      </c>
      <c r="L20" s="5">
        <f t="array" ref="L20:M23">MMULT(MINVERSE(_xlfn.MUNIT(4)-D5:G8),I20:J23)</f>
        <v>122.58064516129032</v>
      </c>
      <c r="M20" s="6">
        <v>0</v>
      </c>
      <c r="O20" s="7">
        <f>SUM(L20:M20)</f>
        <v>122.58064516129032</v>
      </c>
      <c r="U20" s="2" t="s">
        <v>38</v>
      </c>
      <c r="W20" s="2" t="s">
        <v>2</v>
      </c>
      <c r="Y20" s="2" t="s">
        <v>3</v>
      </c>
    </row>
    <row r="21" spans="1:29" x14ac:dyDescent="0.3">
      <c r="B21" s="2" t="s">
        <v>1</v>
      </c>
      <c r="C21" s="2" t="s">
        <v>15</v>
      </c>
      <c r="D21" s="5">
        <v>24.516129032258064</v>
      </c>
      <c r="E21" s="5">
        <v>1.2903225806451617</v>
      </c>
      <c r="F21" s="6">
        <v>0</v>
      </c>
      <c r="G21" s="6">
        <v>0</v>
      </c>
      <c r="I21" s="5">
        <v>0</v>
      </c>
      <c r="J21" s="6">
        <v>0</v>
      </c>
      <c r="L21" s="5">
        <v>25.806451612903231</v>
      </c>
      <c r="M21" s="6">
        <v>0</v>
      </c>
      <c r="O21" s="7">
        <f t="shared" ref="O21:O23" si="0">SUM(L21:M21)</f>
        <v>25.806451612903231</v>
      </c>
      <c r="W21" s="3" t="s">
        <v>0</v>
      </c>
      <c r="X21" s="3" t="s">
        <v>1</v>
      </c>
      <c r="Y21" s="3" t="s">
        <v>0</v>
      </c>
      <c r="Z21" s="3" t="s">
        <v>1</v>
      </c>
    </row>
    <row r="22" spans="1:29" x14ac:dyDescent="0.3">
      <c r="A22" s="2" t="s">
        <v>3</v>
      </c>
      <c r="B22" s="2" t="s">
        <v>0</v>
      </c>
      <c r="C22" s="2" t="s">
        <v>15</v>
      </c>
      <c r="D22" s="6">
        <v>6.129032258064516</v>
      </c>
      <c r="E22" s="6">
        <v>0</v>
      </c>
      <c r="F22" s="5">
        <v>23.936554678088619</v>
      </c>
      <c r="G22" s="5">
        <v>29.51144425110428</v>
      </c>
      <c r="I22" s="6">
        <v>0</v>
      </c>
      <c r="J22" s="5">
        <v>100</v>
      </c>
      <c r="L22" s="6">
        <v>18.498193012983538</v>
      </c>
      <c r="M22" s="5">
        <v>141.0788381742739</v>
      </c>
      <c r="O22" s="7">
        <f t="shared" si="0"/>
        <v>159.57703118725743</v>
      </c>
      <c r="U22" s="2" t="s">
        <v>19</v>
      </c>
      <c r="V22" s="2" t="s">
        <v>11</v>
      </c>
      <c r="W22" s="2">
        <v>1</v>
      </c>
      <c r="X22" s="2">
        <v>1</v>
      </c>
      <c r="Y22" s="2">
        <v>1</v>
      </c>
      <c r="Z22" s="2">
        <v>1</v>
      </c>
      <c r="AB22" s="2" t="s">
        <v>40</v>
      </c>
    </row>
    <row r="23" spans="1:29" x14ac:dyDescent="0.3">
      <c r="B23" s="2" t="s">
        <v>1</v>
      </c>
      <c r="C23" s="2" t="s">
        <v>15</v>
      </c>
      <c r="D23" s="6">
        <v>12.258064516129032</v>
      </c>
      <c r="E23" s="6">
        <v>2.5806451612903234</v>
      </c>
      <c r="F23" s="5">
        <v>47.873109356177238</v>
      </c>
      <c r="G23" s="5">
        <v>11.066791594164107</v>
      </c>
      <c r="I23" s="6">
        <v>0</v>
      </c>
      <c r="J23" s="5">
        <v>0</v>
      </c>
      <c r="L23" s="6">
        <v>23.98607950742873</v>
      </c>
      <c r="M23" s="5">
        <v>49.792531120331965</v>
      </c>
      <c r="O23" s="7">
        <f t="shared" si="0"/>
        <v>73.778610627760699</v>
      </c>
      <c r="W23" s="2">
        <v>1.1510373</v>
      </c>
      <c r="X23" s="2">
        <v>1.0946058000000001</v>
      </c>
      <c r="Y23" s="2">
        <v>1.1510373</v>
      </c>
      <c r="Z23" s="2">
        <v>1.0946058000000001</v>
      </c>
      <c r="AB23" s="2" t="s">
        <v>41</v>
      </c>
    </row>
    <row r="24" spans="1:29" x14ac:dyDescent="0.3">
      <c r="W24" s="2">
        <v>1.0069167000000001</v>
      </c>
      <c r="X24" s="2">
        <v>1.0108760999999999</v>
      </c>
      <c r="Y24" s="2">
        <v>0.98414937999999996</v>
      </c>
      <c r="Z24" s="2">
        <v>0.97842324000000003</v>
      </c>
      <c r="AB24" s="2" t="s">
        <v>42</v>
      </c>
    </row>
    <row r="25" spans="1:29" x14ac:dyDescent="0.3">
      <c r="B25" s="2" t="s">
        <v>7</v>
      </c>
      <c r="C25" s="2" t="s">
        <v>15</v>
      </c>
      <c r="D25" s="5">
        <f t="array" ref="D25:G25">MMULT(D10:G10,O20:O23*_xlfn.MUNIT(4))</f>
        <v>67.41935483870968</v>
      </c>
      <c r="E25" s="5">
        <v>11.612903225806454</v>
      </c>
      <c r="F25" s="5">
        <v>87.767367152991596</v>
      </c>
      <c r="G25" s="5">
        <v>33.200374782492318</v>
      </c>
      <c r="AB25" s="3"/>
      <c r="AC25" s="3"/>
    </row>
    <row r="26" spans="1:29" x14ac:dyDescent="0.3">
      <c r="B26" s="2" t="s">
        <v>29</v>
      </c>
      <c r="C26" s="2" t="s">
        <v>15</v>
      </c>
      <c r="D26" s="5">
        <f t="array" ref="D26:G26">MMULT(D38:G38,O20:O23*_xlfn.MUNIT(4))</f>
        <v>122.58064516129032</v>
      </c>
      <c r="E26" s="5">
        <v>5.1612903225806468</v>
      </c>
      <c r="F26" s="5">
        <v>0</v>
      </c>
      <c r="G26" s="5">
        <v>0</v>
      </c>
      <c r="AB26" s="3"/>
      <c r="AC26" s="3"/>
    </row>
    <row r="27" spans="1:29" x14ac:dyDescent="0.3">
      <c r="O27" s="3" t="s">
        <v>16</v>
      </c>
      <c r="AB27" s="3"/>
      <c r="AC27" s="3"/>
    </row>
    <row r="28" spans="1:29" x14ac:dyDescent="0.3">
      <c r="B28" s="2" t="s">
        <v>18</v>
      </c>
      <c r="C28" s="2" t="s">
        <v>16</v>
      </c>
      <c r="D28" s="5">
        <f t="array" ref="D28:G28">MMULT(D12:G12,O20:O23*_xlfn.MUNIT(4))</f>
        <v>1225.8064516129032</v>
      </c>
      <c r="E28" s="5">
        <v>51.612903225806463</v>
      </c>
      <c r="F28" s="5">
        <v>1595.7703118725744</v>
      </c>
      <c r="G28" s="5">
        <v>147.5572212555214</v>
      </c>
      <c r="I28" s="12" t="s">
        <v>35</v>
      </c>
      <c r="J28" s="12" t="s">
        <v>35</v>
      </c>
      <c r="O28" s="6">
        <f>SUM(D28:G28,I28:J28)</f>
        <v>3020.7468879668054</v>
      </c>
      <c r="AB28" s="3"/>
      <c r="AC28" s="3"/>
    </row>
    <row r="29" spans="1:29" x14ac:dyDescent="0.3">
      <c r="AB29" s="3"/>
      <c r="AC29" s="3"/>
    </row>
    <row r="31" spans="1:29" x14ac:dyDescent="0.3">
      <c r="A31" s="2" t="s">
        <v>23</v>
      </c>
    </row>
    <row r="33" spans="2:15" x14ac:dyDescent="0.3">
      <c r="D33" s="2" t="s">
        <v>2</v>
      </c>
      <c r="F33" s="2" t="s">
        <v>3</v>
      </c>
      <c r="J33" s="2" t="s">
        <v>2</v>
      </c>
      <c r="L33" s="2" t="s">
        <v>3</v>
      </c>
    </row>
    <row r="34" spans="2:15" x14ac:dyDescent="0.3">
      <c r="D34" s="3" t="s">
        <v>0</v>
      </c>
      <c r="E34" s="3" t="s">
        <v>1</v>
      </c>
      <c r="F34" s="3" t="s">
        <v>0</v>
      </c>
      <c r="G34" s="3" t="s">
        <v>1</v>
      </c>
      <c r="J34" s="3" t="s">
        <v>0</v>
      </c>
      <c r="K34" s="3" t="s">
        <v>1</v>
      </c>
      <c r="L34" s="3" t="s">
        <v>0</v>
      </c>
      <c r="M34" s="3" t="s">
        <v>1</v>
      </c>
    </row>
    <row r="35" spans="2:15" x14ac:dyDescent="0.3">
      <c r="B35" s="2" t="s">
        <v>19</v>
      </c>
      <c r="C35" s="2" t="s">
        <v>11</v>
      </c>
      <c r="D35" s="8">
        <v>2.3683871000000001</v>
      </c>
      <c r="E35" s="8">
        <v>1.8077418999999999</v>
      </c>
      <c r="F35" s="8">
        <v>1</v>
      </c>
      <c r="G35" s="8">
        <v>1</v>
      </c>
      <c r="I35" s="2" t="s">
        <v>45</v>
      </c>
      <c r="J35" s="14">
        <f>SUM(J36:J40)</f>
        <v>0.99999999577771725</v>
      </c>
      <c r="K35" s="14">
        <f t="shared" ref="K35:M35" si="1">SUM(K36:K40)</f>
        <v>1.0000000193611711</v>
      </c>
      <c r="L35" s="14">
        <f t="shared" si="1"/>
        <v>1</v>
      </c>
      <c r="M35" s="14">
        <f t="shared" si="1"/>
        <v>1</v>
      </c>
    </row>
    <row r="36" spans="2:15" x14ac:dyDescent="0.3">
      <c r="B36" s="11" t="s">
        <v>22</v>
      </c>
      <c r="D36" s="2">
        <f t="array" ref="D36:G36">MMULT(D35:G35,D5:G8)</f>
        <v>0.74838709000000003</v>
      </c>
      <c r="E36" s="2">
        <v>1.1377419350000002</v>
      </c>
      <c r="F36" s="2">
        <v>0.45000000000000007</v>
      </c>
      <c r="G36" s="2">
        <v>0.55000000000000004</v>
      </c>
      <c r="J36" s="13">
        <f>D36/D$35</f>
        <v>0.31599019011714768</v>
      </c>
      <c r="K36" s="13">
        <f t="shared" ref="K36:M36" si="2">E36/E$35</f>
        <v>0.62937188931672172</v>
      </c>
      <c r="L36" s="13">
        <f t="shared" si="2"/>
        <v>0.45000000000000007</v>
      </c>
      <c r="M36" s="13">
        <f t="shared" si="2"/>
        <v>0.55000000000000004</v>
      </c>
      <c r="O36" s="2" t="s">
        <v>30</v>
      </c>
    </row>
    <row r="37" spans="2:15" x14ac:dyDescent="0.3">
      <c r="B37" s="11" t="s">
        <v>5</v>
      </c>
      <c r="D37" s="2">
        <f t="array" ref="D37:G37">D10:G10</f>
        <v>0.55000000000000004</v>
      </c>
      <c r="E37" s="2">
        <v>0.45</v>
      </c>
      <c r="F37" s="2">
        <v>0.55000000000000004</v>
      </c>
      <c r="G37" s="2">
        <v>0.45</v>
      </c>
      <c r="J37" s="13">
        <f t="shared" ref="J37:J40" si="3">D37/D$35</f>
        <v>0.23222555130451439</v>
      </c>
      <c r="K37" s="13">
        <f t="shared" ref="K37:K40" si="4">E37/E$35</f>
        <v>0.24892934107463019</v>
      </c>
      <c r="L37" s="13">
        <f t="shared" ref="L37:L40" si="5">F37/F$35</f>
        <v>0.55000000000000004</v>
      </c>
      <c r="M37" s="13">
        <f t="shared" ref="M37:M40" si="6">G37/G$35</f>
        <v>0.45</v>
      </c>
      <c r="O37" s="2" t="s">
        <v>31</v>
      </c>
    </row>
    <row r="38" spans="2:15" x14ac:dyDescent="0.3">
      <c r="B38" s="11" t="s">
        <v>28</v>
      </c>
      <c r="D38" s="2">
        <f t="array" ref="D38:E38">D12:E12*K12</f>
        <v>1</v>
      </c>
      <c r="E38" s="2">
        <v>0.2</v>
      </c>
      <c r="F38" s="2">
        <f t="array" ref="F38:G38">F12:G12*L12</f>
        <v>0</v>
      </c>
      <c r="G38" s="2">
        <v>0</v>
      </c>
      <c r="J38" s="13">
        <f t="shared" si="3"/>
        <v>0.42222827509911703</v>
      </c>
      <c r="K38" s="13">
        <f t="shared" si="4"/>
        <v>0.11063526269983565</v>
      </c>
      <c r="L38" s="13">
        <f t="shared" si="5"/>
        <v>0</v>
      </c>
      <c r="M38" s="13">
        <f t="shared" si="6"/>
        <v>0</v>
      </c>
      <c r="O38" s="2" t="s">
        <v>32</v>
      </c>
    </row>
    <row r="39" spans="2:15" x14ac:dyDescent="0.3">
      <c r="B39" s="11" t="s">
        <v>43</v>
      </c>
      <c r="D39" s="2">
        <f t="array" ref="D39:E39">MMULT(F12:G12,D7:E8)*K13</f>
        <v>6.9999999999999993E-2</v>
      </c>
      <c r="E39" s="2">
        <v>2.0000000000000004E-2</v>
      </c>
      <c r="F39" s="2">
        <f t="array" ref="F39:G39">MMULT(D12:E12,F5:G6)*L13</f>
        <v>0</v>
      </c>
      <c r="G39" s="2">
        <v>0</v>
      </c>
      <c r="J39" s="13">
        <f t="shared" si="3"/>
        <v>2.9555979256938189E-2</v>
      </c>
      <c r="K39" s="13">
        <f t="shared" si="4"/>
        <v>1.1063526269983566E-2</v>
      </c>
      <c r="L39" s="13">
        <f t="shared" si="5"/>
        <v>0</v>
      </c>
      <c r="M39" s="13">
        <f t="shared" si="6"/>
        <v>0</v>
      </c>
    </row>
    <row r="40" spans="2:15" x14ac:dyDescent="0.3">
      <c r="B40" s="11" t="s">
        <v>44</v>
      </c>
      <c r="D40" s="2">
        <f t="array" ref="D40:E40">-MMULT(D12:E12,F5:G6)*K13</f>
        <v>0</v>
      </c>
      <c r="E40" s="2">
        <v>0</v>
      </c>
      <c r="F40" s="2">
        <f t="array" ref="F40:G40">-MMULT(D12:E12,D7:E8)*L13</f>
        <v>0</v>
      </c>
      <c r="G40" s="2">
        <v>0</v>
      </c>
      <c r="J40" s="13">
        <f t="shared" si="3"/>
        <v>0</v>
      </c>
      <c r="K40" s="13">
        <f t="shared" si="4"/>
        <v>0</v>
      </c>
      <c r="L40" s="13">
        <f t="shared" si="5"/>
        <v>0</v>
      </c>
      <c r="M40" s="13">
        <f t="shared" si="6"/>
        <v>0</v>
      </c>
    </row>
    <row r="41" spans="2:15" x14ac:dyDescent="0.3">
      <c r="B41" s="11" t="s">
        <v>21</v>
      </c>
      <c r="D41" s="2">
        <f>D35-SUM(D36:D40)</f>
        <v>9.9999999392252903E-9</v>
      </c>
      <c r="E41" s="2">
        <f t="shared" ref="E41:G41" si="7">E35-SUM(E36:E40)</f>
        <v>-3.5000000231377726E-8</v>
      </c>
      <c r="F41" s="2">
        <f t="shared" si="7"/>
        <v>0</v>
      </c>
      <c r="G41" s="2">
        <f t="shared" si="7"/>
        <v>0</v>
      </c>
    </row>
    <row r="42" spans="2:15" x14ac:dyDescent="0.3">
      <c r="B42" s="11"/>
    </row>
    <row r="43" spans="2:15" x14ac:dyDescent="0.3">
      <c r="B43" s="11"/>
      <c r="D43" s="2">
        <f t="array" ref="D43:E43">F35:G35+D39:E39</f>
        <v>1.07</v>
      </c>
      <c r="E43" s="2">
        <v>1.02</v>
      </c>
    </row>
    <row r="44" spans="2:15" x14ac:dyDescent="0.3">
      <c r="B44" s="11"/>
    </row>
    <row r="45" spans="2:15" x14ac:dyDescent="0.3">
      <c r="B45" s="11"/>
    </row>
    <row r="46" spans="2:15" x14ac:dyDescent="0.3">
      <c r="B46" s="11"/>
    </row>
    <row r="47" spans="2:15" x14ac:dyDescent="0.3">
      <c r="B47" s="11"/>
    </row>
    <row r="48" spans="2:15" x14ac:dyDescent="0.3">
      <c r="B48" s="11"/>
    </row>
    <row r="49" spans="2:2" x14ac:dyDescent="0.3">
      <c r="B49" s="11"/>
    </row>
    <row r="50" spans="2:2" x14ac:dyDescent="0.3">
      <c r="B50" s="11"/>
    </row>
  </sheetData>
  <phoneticPr fontId="4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3CEF-CE7E-47B1-AFC0-B3B284DA537C}">
  <dimension ref="A1:AC47"/>
  <sheetViews>
    <sheetView showGridLines="0" zoomScale="115" zoomScaleNormal="115" workbookViewId="0">
      <selection activeCell="D39" sqref="D39"/>
    </sheetView>
  </sheetViews>
  <sheetFormatPr defaultColWidth="9.109375" defaultRowHeight="14.4" x14ac:dyDescent="0.3"/>
  <cols>
    <col min="1" max="1" width="7.109375" style="2" customWidth="1"/>
    <col min="2" max="2" width="22.33203125" style="2" customWidth="1"/>
    <col min="3" max="3" width="9.109375" style="2"/>
    <col min="4" max="34" width="5.88671875" style="2" customWidth="1"/>
    <col min="35" max="16384" width="9.109375" style="2"/>
  </cols>
  <sheetData>
    <row r="1" spans="1:25" x14ac:dyDescent="0.3">
      <c r="A1" s="2" t="s">
        <v>25</v>
      </c>
      <c r="D1" s="10">
        <v>1</v>
      </c>
    </row>
    <row r="2" spans="1:25" x14ac:dyDescent="0.3">
      <c r="V2" s="2" t="s">
        <v>39</v>
      </c>
    </row>
    <row r="3" spans="1:25" x14ac:dyDescent="0.3">
      <c r="A3" s="2" t="s">
        <v>8</v>
      </c>
      <c r="D3" s="2" t="s">
        <v>2</v>
      </c>
      <c r="F3" s="2" t="s">
        <v>3</v>
      </c>
      <c r="V3" s="2" t="s">
        <v>2</v>
      </c>
      <c r="X3" s="2" t="s">
        <v>3</v>
      </c>
    </row>
    <row r="4" spans="1:25" x14ac:dyDescent="0.3">
      <c r="B4" s="2" t="s">
        <v>9</v>
      </c>
      <c r="C4" s="2" t="s">
        <v>10</v>
      </c>
      <c r="D4" s="3" t="s">
        <v>0</v>
      </c>
      <c r="E4" s="3" t="s">
        <v>1</v>
      </c>
      <c r="F4" s="3" t="s">
        <v>0</v>
      </c>
      <c r="G4" s="3" t="s">
        <v>1</v>
      </c>
      <c r="V4" s="3" t="s">
        <v>0</v>
      </c>
      <c r="W4" s="3" t="s">
        <v>1</v>
      </c>
      <c r="X4" s="3" t="s">
        <v>0</v>
      </c>
      <c r="Y4" s="3" t="s">
        <v>1</v>
      </c>
    </row>
    <row r="5" spans="1:25" x14ac:dyDescent="0.3">
      <c r="A5" s="2" t="s">
        <v>2</v>
      </c>
      <c r="B5" s="2" t="s">
        <v>0</v>
      </c>
      <c r="C5" s="2" t="s">
        <v>12</v>
      </c>
      <c r="D5" s="1">
        <v>0.1</v>
      </c>
      <c r="E5" s="1">
        <v>0.4</v>
      </c>
      <c r="F5" s="2">
        <v>0.05</v>
      </c>
      <c r="G5" s="2">
        <v>0</v>
      </c>
      <c r="V5" s="1">
        <v>0.1</v>
      </c>
      <c r="W5" s="1">
        <v>0.4</v>
      </c>
      <c r="X5" s="2">
        <v>0.05</v>
      </c>
      <c r="Y5" s="2">
        <v>0</v>
      </c>
    </row>
    <row r="6" spans="1:25" x14ac:dyDescent="0.3">
      <c r="B6" s="2" t="s">
        <v>1</v>
      </c>
      <c r="C6" s="2" t="s">
        <v>12</v>
      </c>
      <c r="D6" s="1">
        <v>0.2</v>
      </c>
      <c r="E6" s="1">
        <v>0.05</v>
      </c>
      <c r="F6" s="2">
        <v>0</v>
      </c>
      <c r="G6" s="2">
        <v>0.1</v>
      </c>
      <c r="V6" s="1">
        <v>0.2</v>
      </c>
      <c r="W6" s="1">
        <v>0.05</v>
      </c>
      <c r="X6" s="2">
        <v>0.1</v>
      </c>
      <c r="Y6" s="2">
        <v>0.1</v>
      </c>
    </row>
    <row r="7" spans="1:25" x14ac:dyDescent="0.3">
      <c r="A7" s="2" t="s">
        <v>3</v>
      </c>
      <c r="B7" s="2" t="s">
        <v>0</v>
      </c>
      <c r="C7" s="2" t="s">
        <v>12</v>
      </c>
      <c r="D7" s="2">
        <v>0.05</v>
      </c>
      <c r="E7" s="2">
        <v>0</v>
      </c>
      <c r="F7" s="1">
        <v>0.1</v>
      </c>
      <c r="G7" s="1">
        <v>0.4</v>
      </c>
      <c r="H7" s="3"/>
      <c r="M7" s="3"/>
      <c r="V7" s="2">
        <v>0.05</v>
      </c>
      <c r="W7" s="2">
        <v>0</v>
      </c>
      <c r="X7" s="1">
        <v>0.1</v>
      </c>
      <c r="Y7" s="1">
        <v>0.4</v>
      </c>
    </row>
    <row r="8" spans="1:25" x14ac:dyDescent="0.3">
      <c r="B8" s="2" t="s">
        <v>1</v>
      </c>
      <c r="C8" s="2" t="s">
        <v>12</v>
      </c>
      <c r="D8" s="2">
        <v>0.1</v>
      </c>
      <c r="E8" s="2">
        <v>0.1</v>
      </c>
      <c r="F8" s="1">
        <v>0.3</v>
      </c>
      <c r="G8" s="1">
        <v>0.05</v>
      </c>
      <c r="V8" s="2">
        <v>0.1</v>
      </c>
      <c r="W8" s="2">
        <v>0.1</v>
      </c>
      <c r="X8" s="1">
        <v>0.2</v>
      </c>
      <c r="Y8" s="1">
        <v>0.05</v>
      </c>
    </row>
    <row r="10" spans="1:25" x14ac:dyDescent="0.3">
      <c r="B10" s="2" t="s">
        <v>5</v>
      </c>
      <c r="C10" s="2" t="s">
        <v>12</v>
      </c>
      <c r="D10" s="1">
        <v>0.55000000000000004</v>
      </c>
      <c r="E10" s="1">
        <v>0.45</v>
      </c>
      <c r="F10" s="1">
        <v>0.55000000000000004</v>
      </c>
      <c r="G10" s="1">
        <v>0.45</v>
      </c>
      <c r="V10" s="1">
        <v>0.55000000000000004</v>
      </c>
      <c r="W10" s="1">
        <v>0.45</v>
      </c>
      <c r="X10" s="1">
        <v>0.55000000000000004</v>
      </c>
      <c r="Y10" s="1">
        <v>0.45</v>
      </c>
    </row>
    <row r="11" spans="1:25" x14ac:dyDescent="0.3">
      <c r="K11" s="3" t="s">
        <v>2</v>
      </c>
      <c r="L11" s="3" t="s">
        <v>3</v>
      </c>
    </row>
    <row r="12" spans="1:25" x14ac:dyDescent="0.3">
      <c r="B12" s="2" t="s">
        <v>17</v>
      </c>
      <c r="C12" s="2" t="s">
        <v>13</v>
      </c>
      <c r="D12" s="4">
        <v>10</v>
      </c>
      <c r="E12" s="4">
        <v>2</v>
      </c>
      <c r="F12" s="4">
        <v>5</v>
      </c>
      <c r="G12" s="4">
        <v>2</v>
      </c>
      <c r="I12" s="2" t="s">
        <v>26</v>
      </c>
      <c r="J12" s="3" t="s">
        <v>20</v>
      </c>
      <c r="K12" s="9">
        <v>0</v>
      </c>
      <c r="L12" s="9">
        <v>0</v>
      </c>
      <c r="N12" s="2" t="s">
        <v>33</v>
      </c>
    </row>
    <row r="13" spans="1:25" x14ac:dyDescent="0.3">
      <c r="B13" s="2" t="s">
        <v>37</v>
      </c>
      <c r="C13" s="2" t="s">
        <v>36</v>
      </c>
      <c r="D13" s="4">
        <f t="array" ref="D13:G13">MMULT(D12:G12,MINVERSE(_xlfn.MUNIT(4)-D5:G8))</f>
        <v>14.284034506540639</v>
      </c>
      <c r="E13" s="4">
        <v>8.8183884134001165</v>
      </c>
      <c r="F13" s="4">
        <v>8.5619636618539907</v>
      </c>
      <c r="G13" s="4">
        <v>6.6385519011385341</v>
      </c>
      <c r="I13" s="2" t="s">
        <v>27</v>
      </c>
      <c r="J13" s="3" t="s">
        <v>20</v>
      </c>
      <c r="K13" s="9">
        <v>0</v>
      </c>
      <c r="L13" s="9">
        <v>0</v>
      </c>
      <c r="N13" s="2" t="s">
        <v>34</v>
      </c>
    </row>
    <row r="16" spans="1:25" x14ac:dyDescent="0.3">
      <c r="A16" s="2" t="s">
        <v>24</v>
      </c>
    </row>
    <row r="17" spans="1:29" x14ac:dyDescent="0.3">
      <c r="AB17" s="3"/>
      <c r="AC17" s="3"/>
    </row>
    <row r="18" spans="1:29" x14ac:dyDescent="0.3">
      <c r="A18" s="2" t="s">
        <v>8</v>
      </c>
      <c r="D18" s="2" t="s">
        <v>2</v>
      </c>
      <c r="F18" s="2" t="s">
        <v>3</v>
      </c>
      <c r="I18" s="3" t="s">
        <v>2</v>
      </c>
      <c r="J18" s="3" t="s">
        <v>3</v>
      </c>
      <c r="K18" s="3"/>
      <c r="L18" s="3" t="s">
        <v>2</v>
      </c>
      <c r="M18" s="3" t="s">
        <v>3</v>
      </c>
      <c r="N18" s="3"/>
      <c r="O18" s="3" t="s">
        <v>14</v>
      </c>
      <c r="AB18" s="3"/>
      <c r="AC18" s="3"/>
    </row>
    <row r="19" spans="1:29" x14ac:dyDescent="0.3">
      <c r="B19" s="2" t="s">
        <v>9</v>
      </c>
      <c r="C19" s="2" t="s">
        <v>10</v>
      </c>
      <c r="D19" s="3" t="s">
        <v>0</v>
      </c>
      <c r="E19" s="3" t="s">
        <v>1</v>
      </c>
      <c r="F19" s="3" t="s">
        <v>0</v>
      </c>
      <c r="G19" s="3" t="s">
        <v>1</v>
      </c>
      <c r="H19" s="3"/>
      <c r="I19" s="3" t="s">
        <v>4</v>
      </c>
      <c r="J19" s="3" t="s">
        <v>4</v>
      </c>
      <c r="K19" s="3"/>
      <c r="L19" s="3" t="s">
        <v>6</v>
      </c>
      <c r="M19" s="3" t="s">
        <v>6</v>
      </c>
      <c r="O19" s="3" t="s">
        <v>6</v>
      </c>
      <c r="AB19" s="3"/>
      <c r="AC19" s="3"/>
    </row>
    <row r="20" spans="1:29" x14ac:dyDescent="0.3">
      <c r="A20" s="2" t="s">
        <v>2</v>
      </c>
      <c r="B20" s="2" t="s">
        <v>0</v>
      </c>
      <c r="C20" s="2" t="s">
        <v>15</v>
      </c>
      <c r="D20" s="5">
        <f t="array" ref="D20:G23">MMULT(D5:G8,O20:O23*_xlfn.MUNIT(4))</f>
        <v>13.492826212307939</v>
      </c>
      <c r="E20" s="5">
        <v>14.073965199498009</v>
      </c>
      <c r="F20" s="6">
        <v>7.3614707112734159</v>
      </c>
      <c r="G20" s="6">
        <v>0</v>
      </c>
      <c r="I20" s="5">
        <v>100</v>
      </c>
      <c r="J20" s="6">
        <v>0</v>
      </c>
      <c r="L20" s="5">
        <f t="array" ref="L20:M23">MMULT(MINVERSE(_xlfn.MUNIT(4)-D5:G8),I20:J23)</f>
        <v>124.68483950840617</v>
      </c>
      <c r="M20" s="6">
        <v>10.243422614673193</v>
      </c>
      <c r="O20" s="7">
        <f>SUM(L20:M20)</f>
        <v>134.92826212307938</v>
      </c>
    </row>
    <row r="21" spans="1:29" x14ac:dyDescent="0.3">
      <c r="B21" s="2" t="s">
        <v>1</v>
      </c>
      <c r="C21" s="2" t="s">
        <v>15</v>
      </c>
      <c r="D21" s="5">
        <v>26.985652424615878</v>
      </c>
      <c r="E21" s="5">
        <v>1.7592456499372511</v>
      </c>
      <c r="F21" s="6">
        <v>0</v>
      </c>
      <c r="G21" s="6">
        <v>6.4400149241918889</v>
      </c>
      <c r="I21" s="5">
        <v>0</v>
      </c>
      <c r="J21" s="6">
        <v>0</v>
      </c>
      <c r="L21" s="5">
        <v>28.491639060680413</v>
      </c>
      <c r="M21" s="6">
        <v>6.6932739380646034</v>
      </c>
      <c r="O21" s="7">
        <f t="shared" ref="O21:O23" si="0">SUM(L21:M21)</f>
        <v>35.18491299874502</v>
      </c>
    </row>
    <row r="22" spans="1:29" x14ac:dyDescent="0.3">
      <c r="A22" s="2" t="s">
        <v>3</v>
      </c>
      <c r="B22" s="2" t="s">
        <v>0</v>
      </c>
      <c r="C22" s="2" t="s">
        <v>15</v>
      </c>
      <c r="D22" s="6">
        <v>6.7464131061539696</v>
      </c>
      <c r="E22" s="6">
        <v>0</v>
      </c>
      <c r="F22" s="5">
        <v>14.722941422546832</v>
      </c>
      <c r="G22" s="5">
        <v>25.760059696767556</v>
      </c>
      <c r="I22" s="6">
        <v>0</v>
      </c>
      <c r="J22" s="5">
        <v>100</v>
      </c>
      <c r="L22" s="6">
        <v>16.393998665867691</v>
      </c>
      <c r="M22" s="5">
        <v>130.83541555960062</v>
      </c>
      <c r="O22" s="7">
        <f t="shared" si="0"/>
        <v>147.2294142254683</v>
      </c>
    </row>
    <row r="23" spans="1:29" x14ac:dyDescent="0.3">
      <c r="B23" s="2" t="s">
        <v>1</v>
      </c>
      <c r="C23" s="2" t="s">
        <v>15</v>
      </c>
      <c r="D23" s="6">
        <v>13.492826212307939</v>
      </c>
      <c r="E23" s="6">
        <v>3.5184912998745022</v>
      </c>
      <c r="F23" s="5">
        <v>44.168824267640488</v>
      </c>
      <c r="G23" s="5">
        <v>3.2200074620959445</v>
      </c>
      <c r="I23" s="6">
        <v>0</v>
      </c>
      <c r="J23" s="5">
        <v>0</v>
      </c>
      <c r="L23" s="6">
        <v>21.300892059651545</v>
      </c>
      <c r="M23" s="5">
        <v>43.09925718226733</v>
      </c>
      <c r="O23" s="7">
        <f t="shared" si="0"/>
        <v>64.400149241918882</v>
      </c>
    </row>
    <row r="25" spans="1:29" x14ac:dyDescent="0.3">
      <c r="B25" s="2" t="s">
        <v>7</v>
      </c>
      <c r="C25" s="2" t="s">
        <v>15</v>
      </c>
      <c r="D25" s="5">
        <f t="array" ref="D25:G25">MMULT(D10:G10,O20:O23*_xlfn.MUNIT(4))</f>
        <v>74.210544167693669</v>
      </c>
      <c r="E25" s="5">
        <v>15.833210849435259</v>
      </c>
      <c r="F25" s="5">
        <v>80.976177824007578</v>
      </c>
      <c r="G25" s="5">
        <v>28.980067158863498</v>
      </c>
    </row>
    <row r="26" spans="1:29" x14ac:dyDescent="0.3">
      <c r="B26" s="2" t="s">
        <v>29</v>
      </c>
      <c r="C26" s="2" t="s">
        <v>15</v>
      </c>
      <c r="D26" s="5">
        <f t="array" ref="D26:G26">MMULT(D38:G38,O20:O23*_xlfn.MUNIT(4))</f>
        <v>0</v>
      </c>
      <c r="E26" s="5">
        <v>0</v>
      </c>
      <c r="F26" s="5">
        <v>0</v>
      </c>
      <c r="G26" s="5">
        <v>0</v>
      </c>
      <c r="AB26" s="3"/>
      <c r="AC26" s="3"/>
    </row>
    <row r="27" spans="1:29" x14ac:dyDescent="0.3">
      <c r="O27" s="3" t="s">
        <v>16</v>
      </c>
      <c r="AB27" s="3"/>
      <c r="AC27" s="3"/>
    </row>
    <row r="28" spans="1:29" x14ac:dyDescent="0.3">
      <c r="B28" s="2" t="s">
        <v>18</v>
      </c>
      <c r="C28" s="2" t="s">
        <v>16</v>
      </c>
      <c r="D28" s="5">
        <f t="array" ref="D28:G28">MMULT(D12:G12,O20:O23*_xlfn.MUNIT(4))</f>
        <v>1349.2826212307937</v>
      </c>
      <c r="E28" s="5">
        <v>70.36982599749004</v>
      </c>
      <c r="F28" s="5">
        <v>736.14707112734152</v>
      </c>
      <c r="G28" s="5">
        <v>128.80029848383776</v>
      </c>
      <c r="I28" s="12" t="s">
        <v>35</v>
      </c>
      <c r="J28" s="12" t="s">
        <v>35</v>
      </c>
      <c r="O28" s="6">
        <f>SUM(D28:G28,I28:J28)</f>
        <v>2284.5998168394631</v>
      </c>
      <c r="AB28" s="3"/>
      <c r="AC28" s="3"/>
    </row>
    <row r="29" spans="1:29" x14ac:dyDescent="0.3">
      <c r="AB29" s="3"/>
      <c r="AC29" s="3"/>
    </row>
    <row r="31" spans="1:29" x14ac:dyDescent="0.3">
      <c r="A31" s="2" t="s">
        <v>23</v>
      </c>
    </row>
    <row r="33" spans="2:15" x14ac:dyDescent="0.3">
      <c r="D33" s="15" t="s">
        <v>2</v>
      </c>
      <c r="E33" s="15"/>
      <c r="F33" s="15" t="s">
        <v>3</v>
      </c>
      <c r="G33" s="15"/>
      <c r="J33" s="15" t="s">
        <v>2</v>
      </c>
      <c r="K33" s="15"/>
      <c r="L33" s="15" t="s">
        <v>3</v>
      </c>
      <c r="M33" s="15"/>
    </row>
    <row r="34" spans="2:15" x14ac:dyDescent="0.3">
      <c r="D34" s="18" t="s">
        <v>0</v>
      </c>
      <c r="E34" s="18" t="s">
        <v>1</v>
      </c>
      <c r="F34" s="18" t="s">
        <v>0</v>
      </c>
      <c r="G34" s="18" t="s">
        <v>1</v>
      </c>
      <c r="J34" s="3" t="s">
        <v>0</v>
      </c>
      <c r="K34" s="3" t="s">
        <v>1</v>
      </c>
      <c r="L34" s="3" t="s">
        <v>0</v>
      </c>
      <c r="M34" s="3" t="s">
        <v>1</v>
      </c>
    </row>
    <row r="35" spans="2:15" x14ac:dyDescent="0.3">
      <c r="B35" s="2" t="s">
        <v>46</v>
      </c>
      <c r="C35" s="2" t="s">
        <v>11</v>
      </c>
      <c r="D35" s="8">
        <v>1</v>
      </c>
      <c r="E35" s="8">
        <v>1</v>
      </c>
      <c r="F35" s="8">
        <v>1</v>
      </c>
      <c r="G35" s="8">
        <v>1</v>
      </c>
      <c r="I35" s="2" t="s">
        <v>45</v>
      </c>
      <c r="J35" s="14">
        <f>SUM(J36:J38)</f>
        <v>1</v>
      </c>
      <c r="K35" s="14">
        <f>SUM(K36:K38)</f>
        <v>1</v>
      </c>
      <c r="L35" s="14">
        <f>SUM(L36:L38)</f>
        <v>1</v>
      </c>
      <c r="M35" s="14">
        <f>SUM(M36:M38)</f>
        <v>1</v>
      </c>
    </row>
    <row r="36" spans="2:15" x14ac:dyDescent="0.3">
      <c r="B36" s="16" t="s">
        <v>22</v>
      </c>
      <c r="C36" s="17"/>
      <c r="D36" s="17">
        <f t="array" ref="D36:G36">MMULT(D35:G35,D5:G8)</f>
        <v>0.45000000000000007</v>
      </c>
      <c r="E36" s="17">
        <v>0.55000000000000004</v>
      </c>
      <c r="F36" s="17">
        <v>0.45</v>
      </c>
      <c r="G36" s="17">
        <v>0.55000000000000004</v>
      </c>
      <c r="J36" s="13">
        <f>D36/D$35</f>
        <v>0.45000000000000007</v>
      </c>
      <c r="K36" s="13">
        <f t="shared" ref="K36:M38" si="1">E36/E$35</f>
        <v>0.55000000000000004</v>
      </c>
      <c r="L36" s="13">
        <f t="shared" si="1"/>
        <v>0.45</v>
      </c>
      <c r="M36" s="13">
        <f t="shared" si="1"/>
        <v>0.55000000000000004</v>
      </c>
      <c r="O36" s="2" t="s">
        <v>30</v>
      </c>
    </row>
    <row r="37" spans="2:15" x14ac:dyDescent="0.3">
      <c r="B37" s="16" t="s">
        <v>5</v>
      </c>
      <c r="C37" s="17"/>
      <c r="D37" s="17">
        <f t="array" ref="D37:G37">D10:G10</f>
        <v>0.55000000000000004</v>
      </c>
      <c r="E37" s="17">
        <v>0.45</v>
      </c>
      <c r="F37" s="17">
        <v>0.55000000000000004</v>
      </c>
      <c r="G37" s="17">
        <v>0.45</v>
      </c>
      <c r="J37" s="13">
        <f t="shared" ref="J37:J38" si="2">D37/D$35</f>
        <v>0.55000000000000004</v>
      </c>
      <c r="K37" s="13">
        <f t="shared" si="1"/>
        <v>0.45</v>
      </c>
      <c r="L37" s="13">
        <f t="shared" si="1"/>
        <v>0.55000000000000004</v>
      </c>
      <c r="M37" s="13">
        <f t="shared" si="1"/>
        <v>0.45</v>
      </c>
      <c r="O37" s="2" t="s">
        <v>31</v>
      </c>
    </row>
    <row r="38" spans="2:15" x14ac:dyDescent="0.3">
      <c r="B38" s="16" t="s">
        <v>28</v>
      </c>
      <c r="C38" s="17"/>
      <c r="D38" s="17">
        <f t="array" ref="D38:E38">D12:E12*K12</f>
        <v>0</v>
      </c>
      <c r="E38" s="17">
        <v>0</v>
      </c>
      <c r="F38" s="17">
        <f t="array" ref="F38:G38">F12:G12*L12</f>
        <v>0</v>
      </c>
      <c r="G38" s="17">
        <v>0</v>
      </c>
      <c r="J38" s="13">
        <f t="shared" si="2"/>
        <v>0</v>
      </c>
      <c r="K38" s="13">
        <f t="shared" si="1"/>
        <v>0</v>
      </c>
      <c r="L38" s="13">
        <f t="shared" si="1"/>
        <v>0</v>
      </c>
      <c r="M38" s="13">
        <f t="shared" si="1"/>
        <v>0</v>
      </c>
      <c r="O38" s="2" t="s">
        <v>32</v>
      </c>
    </row>
    <row r="39" spans="2:15" x14ac:dyDescent="0.3">
      <c r="B39" s="16" t="s">
        <v>21</v>
      </c>
      <c r="C39" s="17"/>
      <c r="D39" s="17">
        <f>D35-SUM(D36:D38)</f>
        <v>0</v>
      </c>
      <c r="E39" s="17">
        <f>E35-SUM(E36:E38)</f>
        <v>0</v>
      </c>
      <c r="F39" s="17">
        <f>F35-SUM(F36:F38)</f>
        <v>0</v>
      </c>
      <c r="G39" s="17">
        <f>G35-SUM(G36:G38)</f>
        <v>0</v>
      </c>
    </row>
    <row r="40" spans="2:15" x14ac:dyDescent="0.3">
      <c r="B40" s="11"/>
    </row>
    <row r="41" spans="2:15" x14ac:dyDescent="0.3">
      <c r="B41" s="11"/>
      <c r="D41" s="15" t="s">
        <v>3</v>
      </c>
      <c r="E41" s="15"/>
      <c r="F41" s="15" t="s">
        <v>2</v>
      </c>
      <c r="G41" s="15"/>
    </row>
    <row r="42" spans="2:15" x14ac:dyDescent="0.3">
      <c r="B42" s="11"/>
      <c r="D42" s="18" t="s">
        <v>0</v>
      </c>
      <c r="E42" s="18" t="s">
        <v>1</v>
      </c>
      <c r="F42" s="18" t="s">
        <v>0</v>
      </c>
      <c r="G42" s="18" t="s">
        <v>1</v>
      </c>
    </row>
    <row r="43" spans="2:15" x14ac:dyDescent="0.3">
      <c r="B43" s="2" t="s">
        <v>48</v>
      </c>
      <c r="C43" s="2" t="s">
        <v>11</v>
      </c>
      <c r="D43" s="8">
        <f>SUM(D44:D45)</f>
        <v>1</v>
      </c>
      <c r="E43" s="8">
        <f t="shared" ref="E43:G43" si="3">SUM(E44:E45)</f>
        <v>1</v>
      </c>
      <c r="F43" s="8">
        <f t="shared" si="3"/>
        <v>1</v>
      </c>
      <c r="G43" s="8">
        <f t="shared" si="3"/>
        <v>1</v>
      </c>
      <c r="J43" s="2">
        <v>2.4284034506540637</v>
      </c>
      <c r="K43" s="2">
        <v>1.8818388413400116</v>
      </c>
      <c r="L43" s="2">
        <v>1.8561963661853991</v>
      </c>
      <c r="M43" s="2">
        <v>1.6638551901138534</v>
      </c>
      <c r="N43" s="2" t="s">
        <v>49</v>
      </c>
    </row>
    <row r="44" spans="2:15" x14ac:dyDescent="0.3">
      <c r="B44" s="11" t="s">
        <v>46</v>
      </c>
      <c r="D44" s="2">
        <f t="array" ref="D44:E44">F35:G35</f>
        <v>1</v>
      </c>
      <c r="E44" s="2">
        <v>1</v>
      </c>
      <c r="F44" s="2">
        <f t="array" ref="F44:G44">D35:E35</f>
        <v>1</v>
      </c>
      <c r="G44" s="2">
        <v>1</v>
      </c>
      <c r="J44" s="2">
        <v>2.4284034999999999</v>
      </c>
      <c r="K44" s="2">
        <v>1.8818387999999999</v>
      </c>
      <c r="L44" s="2">
        <v>1.8561964</v>
      </c>
      <c r="M44" s="2">
        <v>1.6638552</v>
      </c>
      <c r="N44" s="2" t="s">
        <v>50</v>
      </c>
    </row>
    <row r="45" spans="2:15" x14ac:dyDescent="0.3">
      <c r="B45" s="11" t="s">
        <v>47</v>
      </c>
      <c r="D45" s="2">
        <f t="array" ref="D45:E45">K13*F13:G13</f>
        <v>0</v>
      </c>
      <c r="E45" s="2">
        <v>0</v>
      </c>
      <c r="F45" s="2">
        <f t="array" ref="F45:G45">L13*D13:E13</f>
        <v>0</v>
      </c>
      <c r="G45" s="2">
        <v>0</v>
      </c>
    </row>
    <row r="46" spans="2:15" x14ac:dyDescent="0.3">
      <c r="B46" s="11"/>
    </row>
    <row r="47" spans="2:15" x14ac:dyDescent="0.3">
      <c r="B47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D85C-DFBD-41FA-95A8-25577849C4D6}">
  <dimension ref="A1:BJ93"/>
  <sheetViews>
    <sheetView showGridLines="0" zoomScaleNormal="100" workbookViewId="0">
      <selection activeCell="N45" sqref="N45"/>
    </sheetView>
  </sheetViews>
  <sheetFormatPr defaultColWidth="9.109375" defaultRowHeight="14.4" x14ac:dyDescent="0.3"/>
  <cols>
    <col min="1" max="1" width="7.109375" style="2" customWidth="1"/>
    <col min="2" max="2" width="8.5546875" style="2" customWidth="1"/>
    <col min="3" max="3" width="22" style="2" customWidth="1"/>
    <col min="4" max="4" width="9.109375" style="2"/>
    <col min="5" max="83" width="5.5546875" style="2" customWidth="1"/>
    <col min="84" max="16384" width="9.109375" style="2"/>
  </cols>
  <sheetData>
    <row r="1" spans="1:62" x14ac:dyDescent="0.3">
      <c r="A1" s="2" t="s">
        <v>25</v>
      </c>
      <c r="E1" s="10"/>
    </row>
    <row r="2" spans="1:62" x14ac:dyDescent="0.3">
      <c r="E2" s="10"/>
    </row>
    <row r="3" spans="1:62" x14ac:dyDescent="0.3">
      <c r="E3" s="2" t="s">
        <v>53</v>
      </c>
      <c r="L3" s="2" t="s">
        <v>52</v>
      </c>
      <c r="S3" s="2" t="s">
        <v>60</v>
      </c>
      <c r="Y3" s="2" t="s">
        <v>54</v>
      </c>
      <c r="AD3" s="2" t="s">
        <v>63</v>
      </c>
      <c r="AK3" s="2" t="s">
        <v>103</v>
      </c>
      <c r="AT3" s="2" t="s">
        <v>105</v>
      </c>
    </row>
    <row r="4" spans="1:62" x14ac:dyDescent="0.3">
      <c r="A4" s="2" t="s">
        <v>8</v>
      </c>
      <c r="E4" s="2" t="s">
        <v>2</v>
      </c>
      <c r="G4" s="2" t="s">
        <v>3</v>
      </c>
      <c r="I4" s="2" t="s">
        <v>51</v>
      </c>
      <c r="L4" s="2" t="s">
        <v>2</v>
      </c>
      <c r="N4" s="2" t="s">
        <v>3</v>
      </c>
      <c r="P4" s="2" t="s">
        <v>51</v>
      </c>
      <c r="S4" s="3" t="s">
        <v>2</v>
      </c>
      <c r="T4" s="3" t="s">
        <v>3</v>
      </c>
      <c r="U4" s="3" t="s">
        <v>51</v>
      </c>
      <c r="Z4" s="2" t="s">
        <v>2</v>
      </c>
      <c r="AA4" s="2" t="s">
        <v>3</v>
      </c>
      <c r="AB4" s="2" t="s">
        <v>51</v>
      </c>
      <c r="AF4" s="3" t="s">
        <v>2</v>
      </c>
      <c r="AG4" s="3" t="s">
        <v>3</v>
      </c>
      <c r="AH4" s="3" t="s">
        <v>51</v>
      </c>
      <c r="AM4" s="2" t="s">
        <v>2</v>
      </c>
      <c r="AO4" s="2" t="s">
        <v>3</v>
      </c>
      <c r="AQ4" s="2" t="s">
        <v>51</v>
      </c>
      <c r="AT4" s="3" t="s">
        <v>2</v>
      </c>
      <c r="AU4" s="3" t="s">
        <v>3</v>
      </c>
      <c r="AV4" s="3" t="s">
        <v>51</v>
      </c>
    </row>
    <row r="5" spans="1:62" x14ac:dyDescent="0.3">
      <c r="B5" s="2" t="s">
        <v>9</v>
      </c>
      <c r="C5" s="2" t="s">
        <v>10</v>
      </c>
      <c r="D5" s="2" t="s">
        <v>56</v>
      </c>
      <c r="E5" s="3" t="s">
        <v>0</v>
      </c>
      <c r="F5" s="3" t="s">
        <v>1</v>
      </c>
      <c r="G5" s="3" t="s">
        <v>0</v>
      </c>
      <c r="H5" s="3" t="s">
        <v>1</v>
      </c>
      <c r="I5" s="3" t="s">
        <v>0</v>
      </c>
      <c r="J5" s="3" t="s">
        <v>1</v>
      </c>
      <c r="L5" s="3" t="s">
        <v>0</v>
      </c>
      <c r="M5" s="3" t="s">
        <v>1</v>
      </c>
      <c r="N5" s="3" t="s">
        <v>0</v>
      </c>
      <c r="O5" s="3" t="s">
        <v>1</v>
      </c>
      <c r="P5" s="3" t="s">
        <v>0</v>
      </c>
      <c r="Q5" s="3" t="s">
        <v>1</v>
      </c>
      <c r="S5" s="3" t="s">
        <v>4</v>
      </c>
      <c r="T5" s="3" t="s">
        <v>4</v>
      </c>
      <c r="U5" s="3" t="s">
        <v>4</v>
      </c>
      <c r="Y5" s="2" t="s">
        <v>2</v>
      </c>
      <c r="Z5" s="1">
        <f>1-Z6-Z7</f>
        <v>0.5</v>
      </c>
      <c r="AA5" s="19">
        <v>0.1</v>
      </c>
      <c r="AB5" s="19">
        <v>0</v>
      </c>
      <c r="AF5" s="3" t="s">
        <v>4</v>
      </c>
      <c r="AG5" s="3" t="s">
        <v>4</v>
      </c>
      <c r="AH5" s="3" t="s">
        <v>4</v>
      </c>
      <c r="AM5" s="3" t="s">
        <v>0</v>
      </c>
      <c r="AN5" s="3" t="s">
        <v>1</v>
      </c>
      <c r="AO5" s="3" t="s">
        <v>0</v>
      </c>
      <c r="AP5" s="3" t="s">
        <v>1</v>
      </c>
      <c r="AQ5" s="3" t="s">
        <v>0</v>
      </c>
      <c r="AR5" s="3" t="s">
        <v>1</v>
      </c>
      <c r="AT5" s="3" t="s">
        <v>4</v>
      </c>
      <c r="AU5" s="3" t="s">
        <v>4</v>
      </c>
      <c r="AV5" s="3" t="s">
        <v>4</v>
      </c>
      <c r="AX5" s="3" t="s">
        <v>6</v>
      </c>
    </row>
    <row r="6" spans="1:62" x14ac:dyDescent="0.3">
      <c r="A6" s="2" t="s">
        <v>2</v>
      </c>
      <c r="B6" s="2" t="s">
        <v>0</v>
      </c>
      <c r="D6" s="2" t="s">
        <v>12</v>
      </c>
      <c r="E6" s="1">
        <f t="array" ref="E6:F7">L6:M7*Z5</f>
        <v>0.25</v>
      </c>
      <c r="F6" s="1">
        <v>0.1</v>
      </c>
      <c r="G6" s="2">
        <f t="array" ref="G6:H7">N8:O9*AA5</f>
        <v>0.05</v>
      </c>
      <c r="H6" s="2">
        <v>2.0000000000000004E-2</v>
      </c>
      <c r="I6" s="2">
        <f t="array" ref="I6:J7">P10:Q11*AB5</f>
        <v>0</v>
      </c>
      <c r="J6" s="2">
        <v>0</v>
      </c>
      <c r="L6" s="9">
        <v>0.5</v>
      </c>
      <c r="M6" s="9">
        <v>0.2</v>
      </c>
      <c r="N6" s="2">
        <v>0</v>
      </c>
      <c r="O6" s="2">
        <v>0</v>
      </c>
      <c r="P6" s="2">
        <v>0</v>
      </c>
      <c r="Q6" s="2">
        <v>0</v>
      </c>
      <c r="S6" s="20">
        <v>100</v>
      </c>
      <c r="T6" s="21"/>
      <c r="U6" s="21"/>
      <c r="Y6" s="2" t="s">
        <v>3</v>
      </c>
      <c r="Z6" s="19">
        <v>0.2</v>
      </c>
      <c r="AA6" s="1">
        <f>1-AA5-AA7</f>
        <v>0.9</v>
      </c>
      <c r="AB6" s="19">
        <v>0</v>
      </c>
      <c r="AD6" s="2" t="s">
        <v>2</v>
      </c>
      <c r="AE6" s="2" t="s">
        <v>0</v>
      </c>
      <c r="AF6" s="22">
        <v>1</v>
      </c>
      <c r="AG6" s="23">
        <v>0</v>
      </c>
      <c r="AH6" s="23">
        <v>0</v>
      </c>
      <c r="AK6" s="2" t="s">
        <v>2</v>
      </c>
      <c r="AL6" s="2" t="s">
        <v>0</v>
      </c>
      <c r="AM6" s="5">
        <f t="array" ref="AM6:AN7">E25:F26+E27:F28+E29:F30</f>
        <v>54.080979046586407</v>
      </c>
      <c r="AN6" s="5">
        <v>9.6469083024282511</v>
      </c>
      <c r="AO6" s="6">
        <v>0</v>
      </c>
      <c r="AP6" s="6">
        <v>0</v>
      </c>
      <c r="AQ6" s="6">
        <v>0</v>
      </c>
      <c r="AR6" s="6">
        <v>0</v>
      </c>
      <c r="AT6" s="22">
        <f t="array" ref="AT6:AT7">L25:L26+L27:L28+L29:L30</f>
        <v>100</v>
      </c>
      <c r="AU6" s="23">
        <v>0</v>
      </c>
      <c r="AV6" s="23">
        <v>0</v>
      </c>
      <c r="AX6" s="6">
        <f>SUM(AM6:AR6,AT6:AV6)</f>
        <v>163.72788734901465</v>
      </c>
      <c r="BJ6" s="6"/>
    </row>
    <row r="7" spans="1:62" x14ac:dyDescent="0.3">
      <c r="B7" s="2" t="s">
        <v>1</v>
      </c>
      <c r="D7" s="2" t="s">
        <v>12</v>
      </c>
      <c r="E7" s="1">
        <v>0.2</v>
      </c>
      <c r="F7" s="1">
        <v>0.05</v>
      </c>
      <c r="G7" s="2">
        <v>4.0000000000000008E-2</v>
      </c>
      <c r="H7" s="2">
        <v>1.0000000000000002E-2</v>
      </c>
      <c r="I7" s="2">
        <v>0</v>
      </c>
      <c r="J7" s="2">
        <v>0</v>
      </c>
      <c r="L7" s="9">
        <v>0.4</v>
      </c>
      <c r="M7" s="9">
        <v>0.1</v>
      </c>
      <c r="N7" s="2">
        <v>0</v>
      </c>
      <c r="O7" s="2">
        <v>0</v>
      </c>
      <c r="P7" s="2">
        <v>0</v>
      </c>
      <c r="Q7" s="2">
        <v>0</v>
      </c>
      <c r="S7" s="20">
        <v>20</v>
      </c>
      <c r="T7" s="21"/>
      <c r="U7" s="21"/>
      <c r="Y7" s="2" t="s">
        <v>51</v>
      </c>
      <c r="Z7" s="19">
        <v>0.3</v>
      </c>
      <c r="AA7" s="19">
        <v>0</v>
      </c>
      <c r="AB7" s="1">
        <f>1-AB6-AB5</f>
        <v>1</v>
      </c>
      <c r="AE7" s="2" t="s">
        <v>1</v>
      </c>
      <c r="AF7" s="22">
        <v>1</v>
      </c>
      <c r="AG7" s="23">
        <v>0</v>
      </c>
      <c r="AH7" s="23">
        <v>0</v>
      </c>
      <c r="AL7" s="2" t="s">
        <v>1</v>
      </c>
      <c r="AM7" s="5">
        <v>43.264783237269128</v>
      </c>
      <c r="AN7" s="5">
        <v>4.8234541512141256</v>
      </c>
      <c r="AO7" s="6">
        <v>0</v>
      </c>
      <c r="AP7" s="6">
        <v>0</v>
      </c>
      <c r="AQ7" s="6">
        <v>0</v>
      </c>
      <c r="AR7" s="6">
        <v>0</v>
      </c>
      <c r="AT7" s="22">
        <v>20</v>
      </c>
      <c r="AU7" s="23">
        <v>0</v>
      </c>
      <c r="AV7" s="23">
        <v>0</v>
      </c>
      <c r="AX7" s="6">
        <f t="shared" ref="AX7:AX11" si="0">SUM(AM7:AR7,AT7:AV7)</f>
        <v>68.08823738848325</v>
      </c>
      <c r="BJ7" s="6"/>
    </row>
    <row r="8" spans="1:62" x14ac:dyDescent="0.3">
      <c r="A8" s="2" t="s">
        <v>3</v>
      </c>
      <c r="B8" s="2" t="s">
        <v>0</v>
      </c>
      <c r="D8" s="2" t="s">
        <v>12</v>
      </c>
      <c r="E8" s="2">
        <f t="array" ref="E8:F9">L6:M7*Z6</f>
        <v>0.1</v>
      </c>
      <c r="F8" s="2">
        <v>4.0000000000000008E-2</v>
      </c>
      <c r="G8" s="1">
        <f t="array" ref="G8:H9">N8:O9*AA6</f>
        <v>0.45</v>
      </c>
      <c r="H8" s="1">
        <v>0.18000000000000002</v>
      </c>
      <c r="I8" s="2">
        <f t="array" ref="I8:J9">P8:Q9*AB6</f>
        <v>0</v>
      </c>
      <c r="J8" s="2">
        <v>0</v>
      </c>
      <c r="L8" s="2">
        <v>0</v>
      </c>
      <c r="M8" s="2">
        <v>0</v>
      </c>
      <c r="N8" s="9">
        <v>0.5</v>
      </c>
      <c r="O8" s="9">
        <v>0.2</v>
      </c>
      <c r="P8" s="2">
        <v>0</v>
      </c>
      <c r="Q8" s="2">
        <v>0</v>
      </c>
      <c r="R8" s="3"/>
      <c r="S8" s="21"/>
      <c r="T8" s="20">
        <v>100</v>
      </c>
      <c r="U8" s="21"/>
      <c r="AD8" s="2" t="s">
        <v>3</v>
      </c>
      <c r="AE8" s="2" t="s">
        <v>0</v>
      </c>
      <c r="AF8" s="23">
        <v>0</v>
      </c>
      <c r="AG8" s="22">
        <v>1</v>
      </c>
      <c r="AH8" s="23">
        <v>0</v>
      </c>
      <c r="AK8" s="2" t="s">
        <v>3</v>
      </c>
      <c r="AL8" s="2" t="s">
        <v>0</v>
      </c>
      <c r="AM8" s="6">
        <v>0</v>
      </c>
      <c r="AN8" s="6">
        <v>0</v>
      </c>
      <c r="AO8" s="5">
        <f t="array" ref="AO8:AP9">G27:H28+G29:H30+G25:H26</f>
        <v>134.71385361889611</v>
      </c>
      <c r="AP8" s="5">
        <v>28.266290567758652</v>
      </c>
      <c r="AQ8" s="6">
        <v>0</v>
      </c>
      <c r="AR8" s="6">
        <v>0</v>
      </c>
      <c r="AT8" s="23">
        <v>0</v>
      </c>
      <c r="AU8" s="22">
        <f t="array" ref="AU8:AU9">M25:M26+M27:M28+M29:M30</f>
        <v>100</v>
      </c>
      <c r="AV8" s="23">
        <v>0</v>
      </c>
      <c r="AX8" s="6">
        <f t="shared" si="0"/>
        <v>262.9801441866548</v>
      </c>
      <c r="BJ8" s="6"/>
    </row>
    <row r="9" spans="1:62" x14ac:dyDescent="0.3">
      <c r="B9" s="2" t="s">
        <v>1</v>
      </c>
      <c r="D9" s="2" t="s">
        <v>12</v>
      </c>
      <c r="E9" s="2">
        <v>8.0000000000000016E-2</v>
      </c>
      <c r="F9" s="2">
        <v>2.0000000000000004E-2</v>
      </c>
      <c r="G9" s="1">
        <v>0.36000000000000004</v>
      </c>
      <c r="H9" s="1">
        <v>9.0000000000000011E-2</v>
      </c>
      <c r="I9" s="2">
        <v>0</v>
      </c>
      <c r="J9" s="2">
        <v>0</v>
      </c>
      <c r="L9" s="2">
        <v>0</v>
      </c>
      <c r="M9" s="2">
        <v>0</v>
      </c>
      <c r="N9" s="9">
        <v>0.4</v>
      </c>
      <c r="O9" s="9">
        <v>0.1</v>
      </c>
      <c r="P9" s="2">
        <v>0</v>
      </c>
      <c r="Q9" s="2">
        <v>0</v>
      </c>
      <c r="S9" s="21"/>
      <c r="T9" s="20">
        <v>20</v>
      </c>
      <c r="U9" s="21"/>
      <c r="AE9" s="2" t="s">
        <v>1</v>
      </c>
      <c r="AF9" s="23">
        <v>0</v>
      </c>
      <c r="AG9" s="22">
        <v>1</v>
      </c>
      <c r="AH9" s="23">
        <v>0</v>
      </c>
      <c r="AL9" s="2" t="s">
        <v>1</v>
      </c>
      <c r="AM9" s="6">
        <v>0</v>
      </c>
      <c r="AN9" s="6">
        <v>0</v>
      </c>
      <c r="AO9" s="5">
        <v>107.7710828951169</v>
      </c>
      <c r="AP9" s="5">
        <v>14.133145283879326</v>
      </c>
      <c r="AQ9" s="6">
        <v>0</v>
      </c>
      <c r="AR9" s="6">
        <v>0</v>
      </c>
      <c r="AT9" s="23">
        <v>0</v>
      </c>
      <c r="AU9" s="22">
        <v>20</v>
      </c>
      <c r="AV9" s="23">
        <v>0</v>
      </c>
      <c r="AX9" s="6">
        <f t="shared" si="0"/>
        <v>141.90422817899622</v>
      </c>
      <c r="BJ9" s="6"/>
    </row>
    <row r="10" spans="1:62" x14ac:dyDescent="0.3">
      <c r="A10" s="2" t="s">
        <v>51</v>
      </c>
      <c r="B10" s="2" t="s">
        <v>0</v>
      </c>
      <c r="D10" s="2" t="s">
        <v>12</v>
      </c>
      <c r="E10" s="2">
        <f t="array" ref="E10:F11">L6:M7*Z7</f>
        <v>0.15</v>
      </c>
      <c r="F10" s="2">
        <v>0.06</v>
      </c>
      <c r="G10" s="2">
        <f t="array" ref="G10:H11">N8:O9*AA7</f>
        <v>0</v>
      </c>
      <c r="H10" s="2">
        <v>0</v>
      </c>
      <c r="I10" s="1">
        <f t="array" ref="I10:J11">P10:Q11*AB7</f>
        <v>0.5</v>
      </c>
      <c r="J10" s="1">
        <v>0.2</v>
      </c>
      <c r="L10" s="2">
        <v>0</v>
      </c>
      <c r="M10" s="2">
        <v>0</v>
      </c>
      <c r="N10" s="2">
        <v>0</v>
      </c>
      <c r="O10" s="2">
        <v>0</v>
      </c>
      <c r="P10" s="9">
        <v>0.5</v>
      </c>
      <c r="Q10" s="9">
        <v>0.2</v>
      </c>
      <c r="S10" s="21"/>
      <c r="T10" s="21"/>
      <c r="U10" s="20">
        <v>100</v>
      </c>
      <c r="AD10" s="2" t="s">
        <v>51</v>
      </c>
      <c r="AE10" s="2" t="s">
        <v>0</v>
      </c>
      <c r="AF10" s="23">
        <v>0</v>
      </c>
      <c r="AG10" s="23">
        <v>0</v>
      </c>
      <c r="AH10" s="22">
        <v>1</v>
      </c>
      <c r="AK10" s="2" t="s">
        <v>51</v>
      </c>
      <c r="AL10" s="2" t="s">
        <v>0</v>
      </c>
      <c r="AM10" s="6">
        <v>0</v>
      </c>
      <c r="AN10" s="6">
        <v>0</v>
      </c>
      <c r="AO10" s="6">
        <v>0</v>
      </c>
      <c r="AP10" s="6">
        <v>0</v>
      </c>
      <c r="AQ10" s="5">
        <f t="array" ref="AQ10:AR11">I29:J30+I25:J26+I27:J28</f>
        <v>192.28624841559858</v>
      </c>
      <c r="AR10" s="5">
        <v>43.167882210894192</v>
      </c>
      <c r="AT10" s="23">
        <v>0</v>
      </c>
      <c r="AU10" s="23">
        <v>0</v>
      </c>
      <c r="AV10" s="22">
        <f t="array" ref="AV10:AV11">N25:N26+N27:N28+N29:N30</f>
        <v>100</v>
      </c>
      <c r="AX10" s="6">
        <f t="shared" si="0"/>
        <v>335.45413062649277</v>
      </c>
      <c r="BJ10" s="6"/>
    </row>
    <row r="11" spans="1:62" x14ac:dyDescent="0.3">
      <c r="B11" s="2" t="s">
        <v>1</v>
      </c>
      <c r="D11" s="2" t="s">
        <v>12</v>
      </c>
      <c r="E11" s="2">
        <v>0.12</v>
      </c>
      <c r="F11" s="2">
        <v>0.03</v>
      </c>
      <c r="G11" s="2">
        <v>0</v>
      </c>
      <c r="H11" s="2">
        <v>0</v>
      </c>
      <c r="I11" s="1">
        <v>0.4</v>
      </c>
      <c r="J11" s="1">
        <v>0.1</v>
      </c>
      <c r="L11" s="2">
        <v>0</v>
      </c>
      <c r="M11" s="2">
        <v>0</v>
      </c>
      <c r="N11" s="2">
        <v>0</v>
      </c>
      <c r="O11" s="2">
        <v>0</v>
      </c>
      <c r="P11" s="9">
        <v>0.4</v>
      </c>
      <c r="Q11" s="9">
        <v>0.1</v>
      </c>
      <c r="S11" s="21"/>
      <c r="T11" s="21"/>
      <c r="U11" s="20">
        <v>20</v>
      </c>
      <c r="AE11" s="2" t="s">
        <v>1</v>
      </c>
      <c r="AF11" s="23">
        <v>0</v>
      </c>
      <c r="AG11" s="23">
        <v>0</v>
      </c>
      <c r="AH11" s="22">
        <v>1</v>
      </c>
      <c r="AL11" s="2" t="s">
        <v>1</v>
      </c>
      <c r="AM11" s="6">
        <v>0</v>
      </c>
      <c r="AN11" s="6">
        <v>0</v>
      </c>
      <c r="AO11" s="6">
        <v>0</v>
      </c>
      <c r="AP11" s="6">
        <v>0</v>
      </c>
      <c r="AQ11" s="5">
        <v>153.82899873247888</v>
      </c>
      <c r="AR11" s="5">
        <v>21.583941105447096</v>
      </c>
      <c r="AT11" s="23">
        <v>0</v>
      </c>
      <c r="AU11" s="23">
        <v>0</v>
      </c>
      <c r="AV11" s="22">
        <v>20</v>
      </c>
      <c r="AX11" s="6">
        <f t="shared" si="0"/>
        <v>195.41293983792599</v>
      </c>
      <c r="BJ11" s="6"/>
    </row>
    <row r="13" spans="1:62" x14ac:dyDescent="0.3">
      <c r="C13" s="2" t="s">
        <v>57</v>
      </c>
      <c r="D13" s="2" t="s">
        <v>12</v>
      </c>
      <c r="E13" s="1">
        <v>0.1</v>
      </c>
      <c r="F13" s="1">
        <v>0.7</v>
      </c>
      <c r="G13" s="1">
        <v>0.1</v>
      </c>
      <c r="H13" s="1">
        <v>0.7</v>
      </c>
      <c r="I13" s="1">
        <v>0.1</v>
      </c>
      <c r="J13" s="1">
        <v>0.7</v>
      </c>
      <c r="AK13" s="2" t="s">
        <v>2</v>
      </c>
      <c r="AL13" s="2" t="s">
        <v>0</v>
      </c>
      <c r="AM13" s="5">
        <f>IF(AND(E$42&lt;&gt;0,E$43&lt;&gt;0),E27+E29,E25+E27+E29)</f>
        <v>54.080979046586407</v>
      </c>
      <c r="AN13" s="5">
        <f>IF(AND(F$42&lt;&gt;0,F$43&lt;&gt;0),F27+F29,F25+F27+F29)</f>
        <v>9.6469083024282511</v>
      </c>
      <c r="AO13" s="6">
        <v>0</v>
      </c>
      <c r="AP13" s="6">
        <v>0</v>
      </c>
      <c r="AQ13" s="6">
        <v>0</v>
      </c>
      <c r="AR13" s="6">
        <v>0</v>
      </c>
    </row>
    <row r="14" spans="1:62" x14ac:dyDescent="0.3">
      <c r="AL14" s="2" t="s">
        <v>1</v>
      </c>
      <c r="AM14" s="5">
        <f>IF(AND(E$42&lt;&gt;0,E$43&lt;&gt;0),E28+E30,E26+E28+E30)</f>
        <v>43.264783237269128</v>
      </c>
      <c r="AN14" s="5">
        <f>IF(AND(F$42&lt;&gt;0,F$43&lt;&gt;0),F28+F30,F26+F28+F30)</f>
        <v>4.8234541512141256</v>
      </c>
      <c r="AO14" s="6">
        <v>0</v>
      </c>
      <c r="AP14" s="6">
        <v>0</v>
      </c>
      <c r="AQ14" s="6">
        <v>0</v>
      </c>
      <c r="AR14" s="6">
        <v>0</v>
      </c>
    </row>
    <row r="15" spans="1:62" x14ac:dyDescent="0.3">
      <c r="AK15" s="2" t="s">
        <v>3</v>
      </c>
      <c r="AL15" s="2" t="s">
        <v>0</v>
      </c>
      <c r="AM15" s="6">
        <v>0</v>
      </c>
      <c r="AN15" s="6">
        <v>0</v>
      </c>
      <c r="AO15" s="5">
        <f>IF(AND(G$42&lt;&gt;0,G$43&lt;&gt;0),G29+G25,G27+G29+G25)</f>
        <v>134.71385361889611</v>
      </c>
      <c r="AP15" s="5">
        <f>IF(AND(H$42&lt;&gt;0,H$43&lt;&gt;0),H29+H25,H27+H29+H25)</f>
        <v>28.266290567758652</v>
      </c>
      <c r="AQ15" s="6">
        <v>0</v>
      </c>
      <c r="AR15" s="6">
        <v>0</v>
      </c>
    </row>
    <row r="16" spans="1:62" x14ac:dyDescent="0.3">
      <c r="C16" s="2" t="s">
        <v>58</v>
      </c>
      <c r="D16" s="2" t="s">
        <v>13</v>
      </c>
      <c r="E16" s="4">
        <v>0.5</v>
      </c>
      <c r="F16" s="4">
        <v>0</v>
      </c>
      <c r="G16" s="4">
        <v>0.8</v>
      </c>
      <c r="H16" s="4">
        <v>0</v>
      </c>
      <c r="I16" s="4">
        <v>1</v>
      </c>
      <c r="J16" s="4">
        <v>0</v>
      </c>
      <c r="AL16" s="2" t="s">
        <v>1</v>
      </c>
      <c r="AM16" s="6">
        <v>0</v>
      </c>
      <c r="AN16" s="6">
        <v>0</v>
      </c>
      <c r="AO16" s="5">
        <f>IF(AND(G$42&lt;&gt;0,G$43&lt;&gt;0),G30+G26,G28+G30+G26)</f>
        <v>107.7710828951169</v>
      </c>
      <c r="AP16" s="5">
        <f>IF(AND(H$42&lt;&gt;0,H$43&lt;&gt;0),H30+H26,H28+H30+H26)</f>
        <v>14.133145283879326</v>
      </c>
      <c r="AQ16" s="6">
        <v>0</v>
      </c>
      <c r="AR16" s="6">
        <v>0</v>
      </c>
    </row>
    <row r="17" spans="1:56" x14ac:dyDescent="0.3">
      <c r="C17" s="2" t="s">
        <v>59</v>
      </c>
      <c r="D17" s="2" t="s">
        <v>36</v>
      </c>
      <c r="E17" s="4">
        <f t="array" ref="E17:J17">MMULT(E16:J16,MINVERSE(_xlfn.MUNIT(6)-E6:J11))</f>
        <v>1.6549152665047342</v>
      </c>
      <c r="F17" s="4">
        <v>0.43418144329130681</v>
      </c>
      <c r="G17" s="4">
        <v>1.9109049627644064</v>
      </c>
      <c r="H17" s="4">
        <v>0.41912419017648445</v>
      </c>
      <c r="I17" s="4">
        <v>2.4324324324324325</v>
      </c>
      <c r="J17" s="4">
        <v>0.54054054054054057</v>
      </c>
      <c r="AK17" s="2" t="s">
        <v>51</v>
      </c>
      <c r="AL17" s="2" t="s">
        <v>0</v>
      </c>
      <c r="AM17" s="6">
        <v>0</v>
      </c>
      <c r="AN17" s="6">
        <v>0</v>
      </c>
      <c r="AO17" s="6">
        <v>0</v>
      </c>
      <c r="AP17" s="6">
        <v>0</v>
      </c>
      <c r="AQ17" s="5">
        <f>IF(AND(I$42&lt;&gt;0,I$43&lt;&gt;0),I25+I27,I29+I25+I27)</f>
        <v>192.28624841559858</v>
      </c>
      <c r="AR17" s="5">
        <f>IF(AND(J$42&lt;&gt;0,J$43&lt;&gt;0),J25+J27,J29+J25+J27)</f>
        <v>43.167882210894192</v>
      </c>
    </row>
    <row r="18" spans="1:56" x14ac:dyDescent="0.3">
      <c r="C18" s="2" t="s">
        <v>59</v>
      </c>
      <c r="D18" s="2" t="s">
        <v>13</v>
      </c>
      <c r="E18" s="4">
        <f t="array" ref="E18:J18">E38:J38/TRANSPOSE(V25:V30)</f>
        <v>0.91802069545328946</v>
      </c>
      <c r="F18" s="4">
        <v>0.10801755663385364</v>
      </c>
      <c r="G18" s="4">
        <v>0.78017048825110702</v>
      </c>
      <c r="H18" s="4">
        <v>6.5241897671568502E-2</v>
      </c>
      <c r="I18" s="4">
        <v>0.8222538502409209</v>
      </c>
      <c r="J18" s="4">
        <v>6.5113474807004842E-2</v>
      </c>
      <c r="AL18" s="2" t="s">
        <v>1</v>
      </c>
      <c r="AM18" s="6">
        <v>0</v>
      </c>
      <c r="AN18" s="6">
        <v>0</v>
      </c>
      <c r="AO18" s="6">
        <v>0</v>
      </c>
      <c r="AP18" s="6">
        <v>0</v>
      </c>
      <c r="AQ18" s="5">
        <f>IF(AND(I$42&lt;&gt;0,I$43&lt;&gt;0),I26+I28,I30+I26+I28)</f>
        <v>153.82899873247888</v>
      </c>
      <c r="AR18" s="5">
        <f>IF(AND(J$42&lt;&gt;0,J$43&lt;&gt;0),J26+J28,J30+J26+J28)</f>
        <v>21.583941105447096</v>
      </c>
    </row>
    <row r="20" spans="1:56" x14ac:dyDescent="0.3">
      <c r="A20" s="2" t="s">
        <v>24</v>
      </c>
      <c r="AF20" s="3"/>
      <c r="AG20" s="3"/>
    </row>
    <row r="21" spans="1:56" x14ac:dyDescent="0.3">
      <c r="AF21" s="3"/>
      <c r="AG21" s="3"/>
    </row>
    <row r="22" spans="1:56" x14ac:dyDescent="0.3">
      <c r="E22" s="2" t="s">
        <v>96</v>
      </c>
      <c r="L22" s="2" t="s">
        <v>97</v>
      </c>
      <c r="R22" s="2" t="s">
        <v>98</v>
      </c>
      <c r="AB22" s="2" t="s">
        <v>104</v>
      </c>
      <c r="AR22" s="2" t="s">
        <v>68</v>
      </c>
      <c r="AY22" s="2" t="s">
        <v>69</v>
      </c>
    </row>
    <row r="23" spans="1:56" x14ac:dyDescent="0.3">
      <c r="A23" s="2" t="s">
        <v>8</v>
      </c>
      <c r="E23" s="2" t="s">
        <v>2</v>
      </c>
      <c r="G23" s="2" t="s">
        <v>3</v>
      </c>
      <c r="I23" s="2" t="s">
        <v>51</v>
      </c>
      <c r="L23" s="3" t="s">
        <v>2</v>
      </c>
      <c r="M23" s="3" t="s">
        <v>3</v>
      </c>
      <c r="N23" s="3" t="s">
        <v>51</v>
      </c>
      <c r="P23" s="3" t="s">
        <v>14</v>
      </c>
      <c r="R23" s="3" t="s">
        <v>2</v>
      </c>
      <c r="S23" s="3" t="s">
        <v>3</v>
      </c>
      <c r="T23" s="3" t="s">
        <v>51</v>
      </c>
      <c r="V23" s="3" t="s">
        <v>14</v>
      </c>
      <c r="AB23" s="2" t="s">
        <v>2</v>
      </c>
      <c r="AD23" s="2" t="s">
        <v>3</v>
      </c>
      <c r="AF23" s="2" t="s">
        <v>51</v>
      </c>
    </row>
    <row r="24" spans="1:56" x14ac:dyDescent="0.3">
      <c r="B24" s="2" t="s">
        <v>9</v>
      </c>
      <c r="D24" s="2" t="s">
        <v>10</v>
      </c>
      <c r="E24" s="3" t="s">
        <v>0</v>
      </c>
      <c r="F24" s="3" t="s">
        <v>1</v>
      </c>
      <c r="G24" s="3" t="s">
        <v>0</v>
      </c>
      <c r="H24" s="3" t="s">
        <v>1</v>
      </c>
      <c r="I24" s="3" t="s">
        <v>0</v>
      </c>
      <c r="J24" s="3" t="s">
        <v>1</v>
      </c>
      <c r="K24" s="3"/>
      <c r="L24" s="3" t="s">
        <v>4</v>
      </c>
      <c r="M24" s="3" t="s">
        <v>4</v>
      </c>
      <c r="N24" s="3" t="s">
        <v>4</v>
      </c>
      <c r="P24" s="3" t="s">
        <v>4</v>
      </c>
      <c r="R24" s="3" t="s">
        <v>6</v>
      </c>
      <c r="S24" s="3" t="s">
        <v>6</v>
      </c>
      <c r="T24" s="3" t="s">
        <v>6</v>
      </c>
      <c r="V24" s="3" t="s">
        <v>6</v>
      </c>
      <c r="AB24" s="3" t="s">
        <v>0</v>
      </c>
      <c r="AC24" s="3" t="s">
        <v>1</v>
      </c>
      <c r="AD24" s="3" t="s">
        <v>0</v>
      </c>
      <c r="AE24" s="3" t="s">
        <v>1</v>
      </c>
      <c r="AF24" s="3" t="s">
        <v>0</v>
      </c>
      <c r="AG24" s="3" t="s">
        <v>1</v>
      </c>
      <c r="AS24" s="2" t="s">
        <v>50</v>
      </c>
      <c r="AT24" s="3" t="s">
        <v>2</v>
      </c>
      <c r="AU24" s="3" t="s">
        <v>3</v>
      </c>
      <c r="AV24" s="3" t="s">
        <v>51</v>
      </c>
      <c r="AW24" s="3"/>
      <c r="AZ24" s="2" t="s">
        <v>50</v>
      </c>
      <c r="BA24" s="3" t="s">
        <v>2</v>
      </c>
      <c r="BB24" s="3" t="s">
        <v>3</v>
      </c>
      <c r="BC24" s="3" t="s">
        <v>51</v>
      </c>
      <c r="BD24" s="3"/>
    </row>
    <row r="25" spans="1:56" x14ac:dyDescent="0.3">
      <c r="A25" s="2" t="s">
        <v>2</v>
      </c>
      <c r="B25" s="2" t="s">
        <v>0</v>
      </c>
      <c r="D25" s="2" t="s">
        <v>15</v>
      </c>
      <c r="E25" s="5">
        <f t="array" ref="E25:J30">MMULT(E6:J11,V25:V30*_xlfn.MUNIT(6))</f>
        <v>27.040489523293203</v>
      </c>
      <c r="F25" s="5">
        <v>4.8234541512141256</v>
      </c>
      <c r="G25" s="6">
        <v>13.471385361889611</v>
      </c>
      <c r="H25" s="6">
        <v>2.8266290567758654</v>
      </c>
      <c r="I25" s="6">
        <v>0</v>
      </c>
      <c r="J25" s="6">
        <v>0</v>
      </c>
      <c r="K25" s="6"/>
      <c r="L25" s="22">
        <f t="array" ref="L25:L26">S6:S7*Z5</f>
        <v>50</v>
      </c>
      <c r="M25" s="23">
        <f t="array" ref="M25:M26">T8:T9*AA5</f>
        <v>10</v>
      </c>
      <c r="N25" s="23">
        <f t="array" ref="N25:N26">U10:U11*AB5</f>
        <v>0</v>
      </c>
      <c r="P25" s="7">
        <f t="shared" ref="P25:P30" si="1">SUM(L25:N25)</f>
        <v>60</v>
      </c>
      <c r="R25" s="5">
        <f t="array" ref="R25:T30">MMULT(MINVERSE(_xlfn.MUNIT(6)-E6:J11),L25:N30)</f>
        <v>75.908808264248918</v>
      </c>
      <c r="S25" s="6">
        <v>32.253149828923888</v>
      </c>
      <c r="T25" s="6">
        <v>0</v>
      </c>
      <c r="V25" s="7">
        <f t="shared" ref="V25:V30" si="2">SUM(R25:T25)</f>
        <v>108.16195809317281</v>
      </c>
      <c r="Z25" s="2" t="s">
        <v>2</v>
      </c>
      <c r="AA25" s="2" t="s">
        <v>0</v>
      </c>
      <c r="AB25" s="1">
        <f t="array" ref="AB25:AG30">MMULT(MINVERSE(AX6:AX11*_xlfn.MUNIT(6)),AM13:AR18)</f>
        <v>0.33031012567396861</v>
      </c>
      <c r="AC25" s="1">
        <v>5.8920373667707429E-2</v>
      </c>
      <c r="AD25" s="2">
        <v>0</v>
      </c>
      <c r="AE25" s="2">
        <v>0</v>
      </c>
      <c r="AF25" s="2">
        <v>0</v>
      </c>
      <c r="AG25" s="2">
        <v>0</v>
      </c>
      <c r="AS25" s="2" t="s">
        <v>2</v>
      </c>
      <c r="AT25" s="5">
        <f t="array" ref="AT25:AV27">MMULT(TRANSPOSE(AF6:AH11),MMULT(E16:J16*_xlfn.MUNIT(6),R25:T30))</f>
        <v>37.954404132124459</v>
      </c>
      <c r="AU25" s="25">
        <v>16.126574914461944</v>
      </c>
      <c r="AV25" s="25">
        <v>0</v>
      </c>
      <c r="AW25" s="26">
        <f>SUM(AT25:AV25)</f>
        <v>54.080979046586407</v>
      </c>
      <c r="AZ25" s="2" t="s">
        <v>2</v>
      </c>
      <c r="BA25" s="5">
        <f t="array" ref="BA25:BC27">MMULT(TRANSPOSE(AF6:AH11),MMULT(E13:J13*_xlfn.MUNIT(6),R25:T30))</f>
        <v>28.321492299192485</v>
      </c>
      <c r="BB25" s="25">
        <v>16.258882568623669</v>
      </c>
      <c r="BC25" s="25">
        <v>0</v>
      </c>
      <c r="BD25" s="26">
        <f>SUM(BA25:BC25)</f>
        <v>44.580374867816154</v>
      </c>
    </row>
    <row r="26" spans="1:56" x14ac:dyDescent="0.3">
      <c r="B26" s="2" t="s">
        <v>1</v>
      </c>
      <c r="D26" s="2" t="s">
        <v>15</v>
      </c>
      <c r="E26" s="5">
        <v>21.632391618634564</v>
      </c>
      <c r="F26" s="5">
        <v>2.4117270756070628</v>
      </c>
      <c r="G26" s="6">
        <v>10.777108289511691</v>
      </c>
      <c r="H26" s="6">
        <v>1.4133145283879327</v>
      </c>
      <c r="I26" s="6">
        <v>0</v>
      </c>
      <c r="J26" s="6">
        <v>0</v>
      </c>
      <c r="K26" s="6"/>
      <c r="L26" s="22">
        <v>10</v>
      </c>
      <c r="M26" s="23">
        <v>2</v>
      </c>
      <c r="N26" s="23">
        <v>0</v>
      </c>
      <c r="P26" s="7">
        <f t="shared" si="1"/>
        <v>12</v>
      </c>
      <c r="R26" s="5">
        <v>29.615159246810848</v>
      </c>
      <c r="S26" s="6">
        <v>18.619382265330401</v>
      </c>
      <c r="T26" s="6">
        <v>0</v>
      </c>
      <c r="V26" s="7">
        <f t="shared" si="2"/>
        <v>48.234541512141249</v>
      </c>
      <c r="AA26" s="2" t="s">
        <v>1</v>
      </c>
      <c r="AB26" s="1">
        <v>0.63542228285949331</v>
      </c>
      <c r="AC26" s="1">
        <v>7.0841225095804677E-2</v>
      </c>
      <c r="AD26" s="2">
        <v>0</v>
      </c>
      <c r="AE26" s="2">
        <v>0</v>
      </c>
      <c r="AF26" s="2">
        <v>0</v>
      </c>
      <c r="AG26" s="2">
        <v>0</v>
      </c>
      <c r="AS26" s="2" t="s">
        <v>3</v>
      </c>
      <c r="AT26" s="6">
        <v>51.605039726278214</v>
      </c>
      <c r="AU26" s="5">
        <v>163.93712606395559</v>
      </c>
      <c r="AV26" s="6">
        <v>0</v>
      </c>
      <c r="AW26" s="26">
        <f>SUM(AT26:AV26)</f>
        <v>215.54216579023381</v>
      </c>
      <c r="AZ26" s="2" t="s">
        <v>3</v>
      </c>
      <c r="BA26" s="6">
        <v>32.517765137247338</v>
      </c>
      <c r="BB26" s="5">
        <v>93.357022573687146</v>
      </c>
      <c r="BC26" s="6">
        <v>0</v>
      </c>
      <c r="BD26" s="26">
        <f>SUM(BA26:BC26)</f>
        <v>125.87478771093448</v>
      </c>
    </row>
    <row r="27" spans="1:56" x14ac:dyDescent="0.3">
      <c r="A27" s="2" t="s">
        <v>3</v>
      </c>
      <c r="B27" s="2" t="s">
        <v>0</v>
      </c>
      <c r="D27" s="2" t="s">
        <v>15</v>
      </c>
      <c r="E27" s="6">
        <v>10.816195809317282</v>
      </c>
      <c r="F27" s="6">
        <v>1.9293816604856504</v>
      </c>
      <c r="G27" s="5">
        <v>121.24246825700651</v>
      </c>
      <c r="H27" s="5">
        <v>25.439661510982788</v>
      </c>
      <c r="I27" s="6">
        <v>0</v>
      </c>
      <c r="J27" s="6">
        <v>0</v>
      </c>
      <c r="K27" s="6"/>
      <c r="L27" s="23">
        <f t="array" ref="L27:L28">S6:S7*Z6</f>
        <v>20</v>
      </c>
      <c r="M27" s="22">
        <f t="array" ref="M27:M28">T8:T9*AA6</f>
        <v>90</v>
      </c>
      <c r="N27" s="23">
        <f t="array" ref="N27:N28">U10:U11*AB6</f>
        <v>0</v>
      </c>
      <c r="P27" s="7">
        <f t="shared" si="1"/>
        <v>110</v>
      </c>
      <c r="R27" s="6">
        <v>64.506299657847762</v>
      </c>
      <c r="S27" s="5">
        <v>204.92140757994446</v>
      </c>
      <c r="T27" s="6">
        <v>0</v>
      </c>
      <c r="V27" s="7">
        <f t="shared" si="2"/>
        <v>269.42770723779222</v>
      </c>
      <c r="Z27" s="2" t="s">
        <v>3</v>
      </c>
      <c r="AA27" s="2" t="s">
        <v>0</v>
      </c>
      <c r="AB27" s="2">
        <v>0</v>
      </c>
      <c r="AC27" s="2">
        <v>0</v>
      </c>
      <c r="AD27" s="1">
        <v>0.51225864992788417</v>
      </c>
      <c r="AE27" s="1">
        <v>0.10748450479096305</v>
      </c>
      <c r="AF27" s="2">
        <v>0</v>
      </c>
      <c r="AG27" s="2">
        <v>0</v>
      </c>
      <c r="AS27" s="2" t="s">
        <v>51</v>
      </c>
      <c r="AT27" s="6">
        <v>113.63894613195735</v>
      </c>
      <c r="AU27" s="6">
        <v>16.879496645185732</v>
      </c>
      <c r="AV27" s="5">
        <v>254.05405405405406</v>
      </c>
      <c r="AW27" s="26">
        <f>SUM(AT27:AV27)</f>
        <v>384.57249683119716</v>
      </c>
      <c r="AZ27" s="2" t="s">
        <v>51</v>
      </c>
      <c r="BA27" s="6">
        <v>59.160742563560177</v>
      </c>
      <c r="BB27" s="6">
        <v>10.384094857689183</v>
      </c>
      <c r="BC27" s="5">
        <v>119.99999999999999</v>
      </c>
      <c r="BD27" s="26">
        <f>SUM(BA27:BC27)</f>
        <v>189.54483742124933</v>
      </c>
    </row>
    <row r="28" spans="1:56" x14ac:dyDescent="0.3">
      <c r="B28" s="2" t="s">
        <v>1</v>
      </c>
      <c r="D28" s="2" t="s">
        <v>15</v>
      </c>
      <c r="E28" s="6">
        <v>8.6529566474538271</v>
      </c>
      <c r="F28" s="6">
        <v>0.9646908302428252</v>
      </c>
      <c r="G28" s="5">
        <v>96.993974605605217</v>
      </c>
      <c r="H28" s="5">
        <v>12.719830755491394</v>
      </c>
      <c r="I28" s="6">
        <v>0</v>
      </c>
      <c r="J28" s="6">
        <v>0</v>
      </c>
      <c r="K28" s="6"/>
      <c r="L28" s="23">
        <v>4</v>
      </c>
      <c r="M28" s="22">
        <v>18</v>
      </c>
      <c r="N28" s="23">
        <v>0</v>
      </c>
      <c r="P28" s="7">
        <f t="shared" si="1"/>
        <v>22</v>
      </c>
      <c r="R28" s="6">
        <v>37.238764530660802</v>
      </c>
      <c r="S28" s="5">
        <v>104.09268830813244</v>
      </c>
      <c r="T28" s="6">
        <v>0</v>
      </c>
      <c r="V28" s="7">
        <f t="shared" si="2"/>
        <v>141.33145283879324</v>
      </c>
      <c r="AA28" s="2" t="s">
        <v>1</v>
      </c>
      <c r="AB28" s="2">
        <v>0</v>
      </c>
      <c r="AC28" s="2">
        <v>0</v>
      </c>
      <c r="AD28" s="1">
        <v>0.75946350773407401</v>
      </c>
      <c r="AE28" s="1">
        <v>9.9596364852863675E-2</v>
      </c>
      <c r="AF28" s="2">
        <v>0</v>
      </c>
      <c r="AG28" s="2">
        <v>0</v>
      </c>
      <c r="AT28" s="26">
        <f>SUM(AT25:AT27)</f>
        <v>203.19838999036003</v>
      </c>
      <c r="AU28" s="26">
        <f>SUM(AU25:AU27)</f>
        <v>196.94319762360325</v>
      </c>
      <c r="AV28" s="26">
        <f>SUM(AV25:AV27)</f>
        <v>254.05405405405406</v>
      </c>
      <c r="BA28" s="26">
        <f>SUM(BA25:BA27)</f>
        <v>120</v>
      </c>
      <c r="BB28" s="26">
        <f>SUM(BB25:BB27)</f>
        <v>120</v>
      </c>
      <c r="BC28" s="26">
        <f>SUM(BC25:BC27)</f>
        <v>119.99999999999999</v>
      </c>
    </row>
    <row r="29" spans="1:56" x14ac:dyDescent="0.3">
      <c r="A29" s="2" t="s">
        <v>51</v>
      </c>
      <c r="B29" s="2" t="s">
        <v>0</v>
      </c>
      <c r="D29" s="2" t="s">
        <v>15</v>
      </c>
      <c r="E29" s="6">
        <v>16.224293713975921</v>
      </c>
      <c r="F29" s="6">
        <v>2.8940724907284747</v>
      </c>
      <c r="G29" s="6">
        <v>0</v>
      </c>
      <c r="H29" s="6">
        <v>0</v>
      </c>
      <c r="I29" s="5">
        <v>192.28624841559858</v>
      </c>
      <c r="J29" s="5">
        <v>43.167882210894192</v>
      </c>
      <c r="K29" s="6"/>
      <c r="L29" s="23">
        <f t="array" ref="L29:L30">S6:S7*Z7</f>
        <v>30</v>
      </c>
      <c r="M29" s="23">
        <f t="array" ref="M29:M30">T8:T9*AA7</f>
        <v>0</v>
      </c>
      <c r="N29" s="22">
        <f t="array" ref="N29:N30">U10:U11*AB7</f>
        <v>100</v>
      </c>
      <c r="P29" s="7">
        <f t="shared" si="1"/>
        <v>130</v>
      </c>
      <c r="R29" s="6">
        <v>113.63894613195735</v>
      </c>
      <c r="S29" s="6">
        <v>16.879496645185732</v>
      </c>
      <c r="T29" s="5">
        <v>254.05405405405406</v>
      </c>
      <c r="V29" s="7">
        <f t="shared" si="2"/>
        <v>384.57249683119716</v>
      </c>
      <c r="Z29" s="2" t="s">
        <v>51</v>
      </c>
      <c r="AA29" s="2" t="s">
        <v>0</v>
      </c>
      <c r="AB29" s="2">
        <v>0</v>
      </c>
      <c r="AC29" s="2">
        <v>0</v>
      </c>
      <c r="AD29" s="2">
        <v>0</v>
      </c>
      <c r="AE29" s="2">
        <v>0</v>
      </c>
      <c r="AF29" s="1">
        <v>0.57321174747941117</v>
      </c>
      <c r="AG29" s="1">
        <v>0.12868490285176704</v>
      </c>
    </row>
    <row r="30" spans="1:56" x14ac:dyDescent="0.3">
      <c r="B30" s="2" t="s">
        <v>1</v>
      </c>
      <c r="D30" s="2" t="s">
        <v>15</v>
      </c>
      <c r="E30" s="6">
        <v>12.979434971180737</v>
      </c>
      <c r="F30" s="6">
        <v>1.4470362453642374</v>
      </c>
      <c r="G30" s="6">
        <v>0</v>
      </c>
      <c r="H30" s="6">
        <v>0</v>
      </c>
      <c r="I30" s="5">
        <v>153.82899873247888</v>
      </c>
      <c r="J30" s="5">
        <v>21.583941105447096</v>
      </c>
      <c r="K30" s="6"/>
      <c r="L30" s="23">
        <v>6</v>
      </c>
      <c r="M30" s="23">
        <v>0</v>
      </c>
      <c r="N30" s="22">
        <v>20</v>
      </c>
      <c r="P30" s="7">
        <f t="shared" si="1"/>
        <v>26</v>
      </c>
      <c r="R30" s="6">
        <v>68.281211357663494</v>
      </c>
      <c r="S30" s="6">
        <v>12.4230645616723</v>
      </c>
      <c r="T30" s="5">
        <v>135.13513513513513</v>
      </c>
      <c r="V30" s="7">
        <f t="shared" si="2"/>
        <v>215.83941105447093</v>
      </c>
      <c r="AA30" s="2" t="s">
        <v>1</v>
      </c>
      <c r="AB30" s="2">
        <v>0</v>
      </c>
      <c r="AC30" s="2">
        <v>0</v>
      </c>
      <c r="AD30" s="2">
        <v>0</v>
      </c>
      <c r="AE30" s="2">
        <v>0</v>
      </c>
      <c r="AF30" s="1">
        <v>0.78719965453702034</v>
      </c>
      <c r="AG30" s="1">
        <v>0.11045297779844392</v>
      </c>
      <c r="AT30" s="3" t="s">
        <v>2</v>
      </c>
      <c r="AU30" s="3" t="s">
        <v>3</v>
      </c>
      <c r="AV30" s="3" t="s">
        <v>51</v>
      </c>
      <c r="BA30" s="3" t="s">
        <v>2</v>
      </c>
      <c r="BB30" s="3" t="s">
        <v>3</v>
      </c>
      <c r="BC30" s="3" t="s">
        <v>51</v>
      </c>
    </row>
    <row r="31" spans="1:56" x14ac:dyDescent="0.3">
      <c r="AF31" s="3"/>
      <c r="AG31" s="3"/>
      <c r="AS31" s="3" t="s">
        <v>66</v>
      </c>
      <c r="AT31" s="6">
        <f>AT25</f>
        <v>37.954404132124459</v>
      </c>
      <c r="AU31" s="6">
        <f>AU26</f>
        <v>163.93712606395559</v>
      </c>
      <c r="AV31" s="6">
        <f>AV27</f>
        <v>254.05405405405406</v>
      </c>
      <c r="AZ31" s="3" t="s">
        <v>66</v>
      </c>
      <c r="BA31" s="6">
        <f>BA25</f>
        <v>28.321492299192485</v>
      </c>
      <c r="BB31" s="6">
        <f>BB26</f>
        <v>93.357022573687146</v>
      </c>
      <c r="BC31" s="6">
        <f>BC27</f>
        <v>119.99999999999999</v>
      </c>
    </row>
    <row r="32" spans="1:56" x14ac:dyDescent="0.3">
      <c r="B32" s="2" t="s">
        <v>7</v>
      </c>
      <c r="D32" s="2" t="s">
        <v>15</v>
      </c>
      <c r="E32" s="5">
        <f t="array" ref="E32:J32">MMULT(E13:J13,V25:V30*_xlfn.MUNIT(6))</f>
        <v>10.816195809317282</v>
      </c>
      <c r="F32" s="5">
        <v>33.764179058498868</v>
      </c>
      <c r="G32" s="5">
        <v>26.942770723779223</v>
      </c>
      <c r="H32" s="5">
        <v>98.932016987155265</v>
      </c>
      <c r="I32" s="5">
        <v>38.45724968311972</v>
      </c>
      <c r="J32" s="5">
        <v>151.08758773812963</v>
      </c>
      <c r="AF32" s="3"/>
      <c r="AG32" s="3"/>
      <c r="AS32" s="3" t="s">
        <v>67</v>
      </c>
      <c r="AT32" s="6">
        <f>-SUM(AT26:AT27)</f>
        <v>-165.24398585823556</v>
      </c>
      <c r="AU32" s="6">
        <f>-SUM(AU25,AU27)</f>
        <v>-33.00607155964768</v>
      </c>
      <c r="AV32" s="6">
        <f>-SUM(AV25:AV26)</f>
        <v>0</v>
      </c>
      <c r="AZ32" s="3" t="s">
        <v>67</v>
      </c>
      <c r="BA32" s="6">
        <f>-SUM(BA26:BA27)</f>
        <v>-91.678507700807515</v>
      </c>
      <c r="BB32" s="6">
        <f>-SUM(BB25,BB27)</f>
        <v>-26.642977426312854</v>
      </c>
      <c r="BC32" s="6">
        <f>-SUM(BC25:BC26)</f>
        <v>0</v>
      </c>
    </row>
    <row r="33" spans="2:55" x14ac:dyDescent="0.3">
      <c r="AR33" s="27"/>
      <c r="AS33" s="28" t="s">
        <v>65</v>
      </c>
      <c r="AT33" s="29">
        <f>SUM(AU25:AV25)</f>
        <v>16.126574914461944</v>
      </c>
      <c r="AU33" s="29">
        <f>SUM(AT26,AV26)</f>
        <v>51.605039726278214</v>
      </c>
      <c r="AV33" s="29">
        <f>SUM(AT27:AU27)</f>
        <v>130.51844277714309</v>
      </c>
      <c r="AY33" s="27"/>
      <c r="AZ33" s="28" t="s">
        <v>65</v>
      </c>
      <c r="BA33" s="29">
        <f>SUM(BB25:BC25)</f>
        <v>16.258882568623669</v>
      </c>
      <c r="BB33" s="29">
        <f>SUM(BA26,BC26)</f>
        <v>32.517765137247338</v>
      </c>
      <c r="BC33" s="29">
        <f>SUM(BA27:BB27)</f>
        <v>69.544837421249355</v>
      </c>
    </row>
    <row r="34" spans="2:55" x14ac:dyDescent="0.3">
      <c r="B34" s="2" t="s">
        <v>107</v>
      </c>
      <c r="D34" s="2" t="s">
        <v>15</v>
      </c>
      <c r="E34" s="5">
        <f t="array" ref="E34:J34">MMULT(E60:J60,V25:V30*_xlfn.MUNIT(6))</f>
        <v>0</v>
      </c>
      <c r="F34" s="5">
        <v>0</v>
      </c>
      <c r="G34" s="5">
        <v>0</v>
      </c>
      <c r="H34" s="5">
        <v>0</v>
      </c>
      <c r="I34" s="5">
        <v>384.57249683119716</v>
      </c>
      <c r="J34" s="5">
        <v>0</v>
      </c>
      <c r="V34" s="7">
        <f>SUM(E34:J34)</f>
        <v>384.57249683119716</v>
      </c>
      <c r="AS34" s="3" t="s">
        <v>21</v>
      </c>
      <c r="AT34" s="6">
        <f>SUM(AT31:AT33)</f>
        <v>-111.16300681164915</v>
      </c>
      <c r="AU34" s="6">
        <f t="shared" ref="AU34:AV34" si="3">SUM(AU31:AU33)</f>
        <v>182.53609423058612</v>
      </c>
      <c r="AV34" s="6">
        <f t="shared" si="3"/>
        <v>384.57249683119716</v>
      </c>
      <c r="AZ34" s="3" t="s">
        <v>21</v>
      </c>
      <c r="BA34" s="6">
        <f>SUM(BA31:BA33)</f>
        <v>-47.098132832991361</v>
      </c>
      <c r="BB34" s="6">
        <f t="shared" ref="BB34" si="4">SUM(BB31:BB33)</f>
        <v>99.231810284621631</v>
      </c>
      <c r="BC34" s="6">
        <f t="shared" ref="BC34" si="5">SUM(BC31:BC33)</f>
        <v>189.54483742124933</v>
      </c>
    </row>
    <row r="35" spans="2:55" x14ac:dyDescent="0.3">
      <c r="B35" s="2" t="s">
        <v>108</v>
      </c>
      <c r="D35" s="2" t="s">
        <v>15</v>
      </c>
      <c r="E35" s="5">
        <f t="array" ref="E35:J35">MMULT(E61:J61,V25:V30*_xlfn.MUNIT(6))</f>
        <v>40.222002800621112</v>
      </c>
      <c r="F35" s="5">
        <v>2.9781075990998134</v>
      </c>
      <c r="G35" s="5">
        <v>0</v>
      </c>
      <c r="H35" s="5">
        <v>0</v>
      </c>
      <c r="I35" s="5">
        <v>0</v>
      </c>
      <c r="J35" s="5">
        <v>0</v>
      </c>
      <c r="V35" s="7">
        <f>SUM(E35:J35)</f>
        <v>43.200110399720927</v>
      </c>
      <c r="AX35" s="3"/>
    </row>
    <row r="37" spans="2:55" x14ac:dyDescent="0.3">
      <c r="B37" s="2" t="s">
        <v>18</v>
      </c>
      <c r="D37" s="2" t="s">
        <v>16</v>
      </c>
      <c r="E37" s="5">
        <f t="array" ref="E37:J37">MMULT(E16:J16,V25:V30*_xlfn.MUNIT(6))</f>
        <v>54.080979046586407</v>
      </c>
      <c r="F37" s="5">
        <v>0</v>
      </c>
      <c r="G37" s="5">
        <v>215.54216579023378</v>
      </c>
      <c r="H37" s="5">
        <v>0</v>
      </c>
      <c r="I37" s="5">
        <v>384.57249683119716</v>
      </c>
      <c r="J37" s="5">
        <v>0</v>
      </c>
      <c r="L37" s="12" t="s">
        <v>35</v>
      </c>
      <c r="M37" s="12" t="s">
        <v>35</v>
      </c>
      <c r="N37" s="12" t="s">
        <v>35</v>
      </c>
      <c r="P37" s="6">
        <f>SUM(E37:J37)</f>
        <v>654.19564166801729</v>
      </c>
      <c r="AT37" s="3" t="s">
        <v>2</v>
      </c>
      <c r="AU37" s="3" t="s">
        <v>3</v>
      </c>
      <c r="AV37" s="3" t="s">
        <v>51</v>
      </c>
    </row>
    <row r="38" spans="2:55" x14ac:dyDescent="0.3">
      <c r="B38" s="2" t="s">
        <v>64</v>
      </c>
      <c r="D38" s="2" t="s">
        <v>16</v>
      </c>
      <c r="E38" s="5">
        <f t="array" ref="E38:J38">MMULT(E17:J17,P25:P30*_xlfn.MUNIT(6))</f>
        <v>99.294915990284053</v>
      </c>
      <c r="F38" s="5">
        <v>5.2101773194956813</v>
      </c>
      <c r="G38" s="5">
        <v>210.19954590408469</v>
      </c>
      <c r="H38" s="5">
        <v>9.2207321838826584</v>
      </c>
      <c r="I38" s="5">
        <v>316.2162162162162</v>
      </c>
      <c r="J38" s="5">
        <v>14.054054054054054</v>
      </c>
      <c r="AR38" s="2" t="s">
        <v>2</v>
      </c>
      <c r="AS38" s="2" t="s">
        <v>0</v>
      </c>
      <c r="AT38" s="6">
        <f t="array" ref="AT38:AV43">MMULT(E16:J16*_xlfn.MUNIT(6),R25:T30)</f>
        <v>37.954404132124459</v>
      </c>
      <c r="AU38" s="6">
        <v>16.126574914461944</v>
      </c>
      <c r="AV38" s="6">
        <v>0</v>
      </c>
    </row>
    <row r="39" spans="2:55" x14ac:dyDescent="0.3">
      <c r="AS39" s="2" t="s">
        <v>1</v>
      </c>
      <c r="AT39" s="6">
        <v>0</v>
      </c>
      <c r="AU39" s="6">
        <v>0</v>
      </c>
      <c r="AV39" s="6">
        <v>0</v>
      </c>
    </row>
    <row r="40" spans="2:55" x14ac:dyDescent="0.3">
      <c r="AR40" s="2" t="s">
        <v>3</v>
      </c>
      <c r="AS40" s="2" t="s">
        <v>0</v>
      </c>
      <c r="AT40" s="6">
        <v>51.605039726278214</v>
      </c>
      <c r="AU40" s="6">
        <v>163.93712606395559</v>
      </c>
      <c r="AV40" s="6">
        <v>0</v>
      </c>
    </row>
    <row r="41" spans="2:55" x14ac:dyDescent="0.3">
      <c r="E41" s="2" t="s">
        <v>55</v>
      </c>
      <c r="AS41" s="2" t="s">
        <v>1</v>
      </c>
      <c r="AT41" s="6">
        <v>0</v>
      </c>
      <c r="AU41" s="6">
        <v>0</v>
      </c>
      <c r="AV41" s="6">
        <v>0</v>
      </c>
    </row>
    <row r="42" spans="2:55" x14ac:dyDescent="0.3">
      <c r="B42" s="2" t="s">
        <v>26</v>
      </c>
      <c r="C42" s="2" t="s">
        <v>100</v>
      </c>
      <c r="D42" s="42" t="s">
        <v>20</v>
      </c>
      <c r="E42" s="9">
        <v>0</v>
      </c>
      <c r="F42" s="9">
        <v>0</v>
      </c>
      <c r="G42" s="9">
        <v>0</v>
      </c>
      <c r="H42" s="9">
        <v>0</v>
      </c>
      <c r="I42" s="9">
        <v>1</v>
      </c>
      <c r="J42" s="9">
        <v>1</v>
      </c>
      <c r="AR42" s="2" t="s">
        <v>51</v>
      </c>
      <c r="AS42" s="2" t="s">
        <v>0</v>
      </c>
      <c r="AT42" s="6">
        <v>113.63894613195735</v>
      </c>
      <c r="AU42" s="6">
        <v>16.879496645185732</v>
      </c>
      <c r="AV42" s="6">
        <v>254.05405405405406</v>
      </c>
    </row>
    <row r="43" spans="2:55" x14ac:dyDescent="0.3">
      <c r="B43" s="2" t="s">
        <v>27</v>
      </c>
      <c r="C43" s="2" t="s">
        <v>99</v>
      </c>
      <c r="D43" s="42" t="s">
        <v>20</v>
      </c>
      <c r="E43" s="9">
        <v>1</v>
      </c>
      <c r="F43" s="9">
        <v>1</v>
      </c>
      <c r="G43" s="9">
        <v>0</v>
      </c>
      <c r="H43" s="9">
        <v>0</v>
      </c>
      <c r="I43" s="9">
        <v>0</v>
      </c>
      <c r="J43" s="9">
        <v>0</v>
      </c>
      <c r="AS43" s="2" t="s">
        <v>1</v>
      </c>
      <c r="AT43" s="6">
        <v>0</v>
      </c>
      <c r="AU43" s="6">
        <v>0</v>
      </c>
      <c r="AV43" s="6">
        <v>0</v>
      </c>
    </row>
    <row r="46" spans="2:55" x14ac:dyDescent="0.3">
      <c r="E46" s="2" t="s">
        <v>2</v>
      </c>
      <c r="G46" s="2" t="s">
        <v>3</v>
      </c>
      <c r="I46" s="2" t="s">
        <v>51</v>
      </c>
    </row>
    <row r="47" spans="2:55" x14ac:dyDescent="0.3">
      <c r="E47" s="3" t="s">
        <v>0</v>
      </c>
      <c r="F47" s="3" t="s">
        <v>1</v>
      </c>
      <c r="G47" s="3" t="s">
        <v>0</v>
      </c>
      <c r="H47" s="3" t="s">
        <v>1</v>
      </c>
      <c r="I47" s="3" t="s">
        <v>0</v>
      </c>
      <c r="J47" s="3" t="s">
        <v>1</v>
      </c>
    </row>
    <row r="48" spans="2:55" x14ac:dyDescent="0.3">
      <c r="B48" s="2" t="s">
        <v>70</v>
      </c>
      <c r="D48" s="2" t="s">
        <v>71</v>
      </c>
      <c r="E48" s="40">
        <f t="shared" ref="E48:J48" si="6">SUM(E53:E55)</f>
        <v>2.1985605420303869</v>
      </c>
      <c r="F48" s="40">
        <f t="shared" si="6"/>
        <v>1.3707761988889917</v>
      </c>
      <c r="G48" s="40">
        <f t="shared" si="6"/>
        <v>1.1790112199232525</v>
      </c>
      <c r="H48" s="40">
        <f t="shared" si="6"/>
        <v>1.0658252663908605</v>
      </c>
      <c r="I48" s="40">
        <f t="shared" si="6"/>
        <v>3.4324324324324325</v>
      </c>
      <c r="J48" s="40">
        <f t="shared" si="6"/>
        <v>1.5405405405405403</v>
      </c>
    </row>
    <row r="49" spans="2:12" x14ac:dyDescent="0.3">
      <c r="B49" s="2" t="s">
        <v>106</v>
      </c>
      <c r="D49" s="2" t="s">
        <v>71</v>
      </c>
      <c r="E49" s="43">
        <f t="array" ref="E49:J49">E48:J48*TRANSPOSE(V25:V30)/SUM(V25:V30)</f>
        <v>0.20367182150135599</v>
      </c>
      <c r="F49" s="43">
        <v>5.6629494776832219E-2</v>
      </c>
      <c r="G49" s="43">
        <v>0.27206844264554425</v>
      </c>
      <c r="H49" s="43">
        <v>0.12901577395228297</v>
      </c>
      <c r="I49" s="43">
        <v>1.1305719235546769</v>
      </c>
      <c r="J49" s="43">
        <v>0.28478811180798247</v>
      </c>
      <c r="L49" s="43">
        <f>SUM(E49:J49)</f>
        <v>2.0767455682386746</v>
      </c>
    </row>
    <row r="52" spans="2:12" x14ac:dyDescent="0.3">
      <c r="B52" s="2" t="s">
        <v>101</v>
      </c>
      <c r="D52" s="2" t="s">
        <v>83</v>
      </c>
    </row>
    <row r="53" spans="2:12" x14ac:dyDescent="0.3">
      <c r="B53" s="2" t="s">
        <v>77</v>
      </c>
      <c r="D53" s="2" t="s">
        <v>71</v>
      </c>
      <c r="E53" s="2">
        <f t="array" ref="E53:J53">MMULT(E13:J13,MINVERSE(_xlfn.MUNIT(6)-E6:J11))</f>
        <v>1</v>
      </c>
      <c r="F53" s="2">
        <v>0.99999999999999989</v>
      </c>
      <c r="G53" s="2">
        <v>1</v>
      </c>
      <c r="H53" s="2">
        <v>0.99999999999999989</v>
      </c>
      <c r="I53" s="2">
        <v>1</v>
      </c>
      <c r="J53" s="2">
        <v>0.99999999999999989</v>
      </c>
    </row>
    <row r="54" spans="2:12" x14ac:dyDescent="0.3">
      <c r="B54" s="2" t="s">
        <v>80</v>
      </c>
      <c r="D54" s="2" t="s">
        <v>71</v>
      </c>
      <c r="E54" s="2">
        <f t="array" ref="E54:J54">MMULT(MMULT(E16:J16,E42:J42*_xlfn.MUNIT(6)),MINVERSE(_xlfn.MUNIT(6)-E6:J11))</f>
        <v>0.65579746552761764</v>
      </c>
      <c r="F54" s="2">
        <v>0.2447984392374809</v>
      </c>
      <c r="G54" s="2">
        <v>0.1017958779040732</v>
      </c>
      <c r="H54" s="2">
        <v>3.7238672226000372E-2</v>
      </c>
      <c r="I54" s="2">
        <v>2.4324324324324325</v>
      </c>
      <c r="J54" s="2">
        <v>0.54054054054054057</v>
      </c>
    </row>
    <row r="55" spans="2:12" x14ac:dyDescent="0.3">
      <c r="B55" s="2" t="s">
        <v>81</v>
      </c>
      <c r="D55" s="2" t="s">
        <v>71</v>
      </c>
      <c r="E55" s="2">
        <f t="array" ref="E55:J55">MMULT(MMULT(MMULT(E18:J18,E43:J43*_xlfn.MUNIT(6)),AB25:AG30),MINVERSE(_xlfn.MUNIT(6)-E6:J11))</f>
        <v>0.54276307650276934</v>
      </c>
      <c r="F55" s="2">
        <v>0.12597775965151092</v>
      </c>
      <c r="G55" s="2">
        <v>7.721534201917922E-2</v>
      </c>
      <c r="H55" s="2">
        <v>2.8586594164860167E-2</v>
      </c>
      <c r="I55" s="2">
        <v>0</v>
      </c>
      <c r="J55" s="2">
        <v>0</v>
      </c>
    </row>
    <row r="57" spans="2:12" x14ac:dyDescent="0.3">
      <c r="B57" s="2" t="s">
        <v>102</v>
      </c>
      <c r="D57" s="2" t="s">
        <v>82</v>
      </c>
    </row>
    <row r="58" spans="2:12" x14ac:dyDescent="0.3">
      <c r="B58" s="2" t="s">
        <v>22</v>
      </c>
      <c r="D58" s="2" t="s">
        <v>12</v>
      </c>
      <c r="E58" s="2">
        <f t="array" ref="E58:J58">MMULT(E48:J48,E6:J11)</f>
        <v>1.7266922483187188</v>
      </c>
      <c r="F58" s="2">
        <v>0.60903398043439771</v>
      </c>
      <c r="G58" s="2">
        <v>1.0790112199232524</v>
      </c>
      <c r="H58" s="2">
        <v>0.3658252663908606</v>
      </c>
      <c r="I58" s="2">
        <v>2.3324324324324324</v>
      </c>
      <c r="J58" s="2">
        <v>0.84054054054054061</v>
      </c>
    </row>
    <row r="59" spans="2:12" x14ac:dyDescent="0.3">
      <c r="B59" s="2" t="s">
        <v>5</v>
      </c>
      <c r="D59" s="2" t="s">
        <v>12</v>
      </c>
      <c r="E59" s="33">
        <f t="array" ref="E59:J59">E13:J13</f>
        <v>0.1</v>
      </c>
      <c r="F59" s="33">
        <v>0.7</v>
      </c>
      <c r="G59" s="33">
        <v>0.1</v>
      </c>
      <c r="H59" s="33">
        <v>0.7</v>
      </c>
      <c r="I59" s="33">
        <v>0.1</v>
      </c>
      <c r="J59" s="33">
        <v>0.7</v>
      </c>
    </row>
    <row r="60" spans="2:12" x14ac:dyDescent="0.3">
      <c r="B60" s="30" t="s">
        <v>92</v>
      </c>
      <c r="D60" s="2" t="s">
        <v>12</v>
      </c>
      <c r="E60" s="2">
        <f t="array" ref="E60:J60">MMULT(E16:J16,E42:J42*_xlfn.MUNIT(6))</f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</row>
    <row r="61" spans="2:12" x14ac:dyDescent="0.3">
      <c r="B61" s="30" t="s">
        <v>89</v>
      </c>
      <c r="D61" s="2" t="s">
        <v>12</v>
      </c>
      <c r="E61" s="2">
        <f t="array" ref="E61:J61">MMULT(MMULT(E18:J18,E43:J43*_xlfn.MUNIT(6)),AB25:AG30)</f>
        <v>0.37186829371166802</v>
      </c>
      <c r="F61" s="2">
        <v>6.1742218454594114E-2</v>
      </c>
      <c r="G61" s="2">
        <v>0</v>
      </c>
      <c r="H61" s="2">
        <v>0</v>
      </c>
      <c r="I61" s="2">
        <v>0</v>
      </c>
      <c r="J61" s="2">
        <v>0</v>
      </c>
    </row>
    <row r="63" spans="2:12" x14ac:dyDescent="0.3">
      <c r="B63" s="2" t="s">
        <v>115</v>
      </c>
      <c r="D63" s="2" t="s">
        <v>86</v>
      </c>
      <c r="E63" s="2" t="s">
        <v>112</v>
      </c>
      <c r="G63" s="2" t="s">
        <v>113</v>
      </c>
      <c r="I63" s="2" t="s">
        <v>114</v>
      </c>
    </row>
    <row r="64" spans="2:12" x14ac:dyDescent="0.3">
      <c r="B64" s="2" t="s">
        <v>109</v>
      </c>
      <c r="E64" s="1">
        <f t="array" ref="E64:F64">E48:F48</f>
        <v>2.1985605420303869</v>
      </c>
      <c r="F64" s="1">
        <v>1.3707761988889917</v>
      </c>
      <c r="G64" s="2">
        <f t="array" ref="G64:H64">E48:F48+E17:F17*G43:H43</f>
        <v>2.1985605420303869</v>
      </c>
      <c r="H64" s="2">
        <v>1.3707761988889917</v>
      </c>
      <c r="I64" s="2">
        <f t="array" ref="I64:J64">E48:F48+E17:F17*I43:J43</f>
        <v>2.1985605420303869</v>
      </c>
      <c r="J64" s="2">
        <v>1.3707761988889917</v>
      </c>
    </row>
    <row r="65" spans="2:10" x14ac:dyDescent="0.3">
      <c r="B65" s="2" t="s">
        <v>110</v>
      </c>
      <c r="E65" s="2">
        <f t="array" ref="E65:F65">G48:H48+G17:H17*E43:F43</f>
        <v>3.0899161826876589</v>
      </c>
      <c r="F65" s="2">
        <v>1.4849494565673449</v>
      </c>
      <c r="G65" s="1">
        <f t="array" ref="G65:H65">G48:H48</f>
        <v>1.1790112199232525</v>
      </c>
      <c r="H65" s="1">
        <v>1.0658252663908605</v>
      </c>
      <c r="I65" s="2">
        <f t="array" ref="I65:J65">G48:H48+G17:H17*I43:J43</f>
        <v>1.1790112199232525</v>
      </c>
      <c r="J65" s="2">
        <v>1.0658252663908605</v>
      </c>
    </row>
    <row r="66" spans="2:10" x14ac:dyDescent="0.3">
      <c r="B66" s="2" t="s">
        <v>111</v>
      </c>
      <c r="E66" s="2">
        <f t="array" ref="E66:F66">I48:J48+I17:J17*E43:F43</f>
        <v>5.8648648648648649</v>
      </c>
      <c r="F66" s="2">
        <v>2.0810810810810807</v>
      </c>
      <c r="G66" s="2">
        <f t="array" ref="G66:H66">I48:J48+I17:J17*G43:H43</f>
        <v>3.4324324324324325</v>
      </c>
      <c r="H66" s="2">
        <v>1.5405405405405403</v>
      </c>
      <c r="I66" s="1">
        <f t="array" ref="I66:J66">I48:J48</f>
        <v>3.4324324324324325</v>
      </c>
      <c r="J66" s="1">
        <v>1.5405405405405403</v>
      </c>
    </row>
    <row r="68" spans="2:10" x14ac:dyDescent="0.3">
      <c r="B68" s="2" t="s">
        <v>109</v>
      </c>
      <c r="E68" s="44">
        <v>0</v>
      </c>
      <c r="F68" s="44">
        <v>0</v>
      </c>
      <c r="G68" s="13">
        <f t="array" ref="G68:H68">(G64:H64-G65:H65)/G65:H65</f>
        <v>0.86474946538125541</v>
      </c>
      <c r="H68" s="13">
        <v>0.286117192108579</v>
      </c>
      <c r="I68" s="13">
        <f t="array" ref="I68:J68">(I64:J64-I66:J66)/I66:J66</f>
        <v>-0.35947448775492669</v>
      </c>
      <c r="J68" s="13">
        <v>-0.1101979059843386</v>
      </c>
    </row>
    <row r="69" spans="2:10" x14ac:dyDescent="0.3">
      <c r="B69" s="2" t="s">
        <v>110</v>
      </c>
      <c r="E69" s="13">
        <f t="array" ref="E69:F69">(E65:F65-E64:F64)/E64:F64</f>
        <v>0.40542692530727331</v>
      </c>
      <c r="F69" s="13">
        <v>8.3290954257077207E-2</v>
      </c>
      <c r="G69" s="44">
        <v>0</v>
      </c>
      <c r="H69" s="44">
        <v>0</v>
      </c>
      <c r="I69" s="13">
        <f t="array" ref="I69:J69">(I65:J65-I66:J66)/I66:J66</f>
        <v>-0.65650854222708388</v>
      </c>
      <c r="J69" s="13">
        <v>-0.30814851129014309</v>
      </c>
    </row>
    <row r="70" spans="2:10" x14ac:dyDescent="0.3">
      <c r="B70" s="2" t="s">
        <v>111</v>
      </c>
      <c r="E70" s="13">
        <f t="array" ref="E70:F70">(E66:F66-E64:F64)/E64:F64</f>
        <v>1.6675930695311301</v>
      </c>
      <c r="F70" s="13">
        <v>0.51817713407030852</v>
      </c>
      <c r="G70" s="13">
        <f t="array" ref="G70:H70">(G66:H66-G65:H65)/G65:H65</f>
        <v>1.9112805496930436</v>
      </c>
      <c r="H70" s="13">
        <v>0.44539690427604461</v>
      </c>
      <c r="I70" s="44">
        <v>0</v>
      </c>
      <c r="J70" s="44">
        <v>0</v>
      </c>
    </row>
    <row r="82" spans="2:11" x14ac:dyDescent="0.3">
      <c r="B82" s="2" t="s">
        <v>116</v>
      </c>
    </row>
    <row r="85" spans="2:11" x14ac:dyDescent="0.3">
      <c r="F85" s="2" t="s">
        <v>2</v>
      </c>
      <c r="H85" s="2" t="s">
        <v>3</v>
      </c>
      <c r="J85" s="2" t="s">
        <v>51</v>
      </c>
    </row>
    <row r="86" spans="2:11" x14ac:dyDescent="0.3">
      <c r="F86" s="3" t="s">
        <v>0</v>
      </c>
      <c r="G86" s="3" t="s">
        <v>1</v>
      </c>
      <c r="H86" s="3" t="s">
        <v>0</v>
      </c>
      <c r="I86" s="3" t="s">
        <v>1</v>
      </c>
      <c r="J86" s="3" t="s">
        <v>0</v>
      </c>
      <c r="K86" s="3" t="s">
        <v>1</v>
      </c>
    </row>
    <row r="87" spans="2:11" x14ac:dyDescent="0.3">
      <c r="F87" s="2">
        <f t="array" ref="F87:K87">E43:J43</f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</row>
    <row r="88" spans="2:11" x14ac:dyDescent="0.3">
      <c r="C88" s="2" t="s">
        <v>2</v>
      </c>
      <c r="D88" s="2" t="s">
        <v>0</v>
      </c>
      <c r="E88" s="2">
        <f t="array" ref="E88:E93">TRANSPOSE(E42:J42)</f>
        <v>0</v>
      </c>
    </row>
    <row r="89" spans="2:11" x14ac:dyDescent="0.3">
      <c r="D89" s="2" t="s">
        <v>1</v>
      </c>
      <c r="E89" s="2">
        <v>0</v>
      </c>
    </row>
    <row r="90" spans="2:11" x14ac:dyDescent="0.3">
      <c r="C90" s="2" t="s">
        <v>3</v>
      </c>
      <c r="D90" s="2" t="s">
        <v>0</v>
      </c>
      <c r="E90" s="2">
        <v>0</v>
      </c>
    </row>
    <row r="91" spans="2:11" x14ac:dyDescent="0.3">
      <c r="D91" s="2" t="s">
        <v>1</v>
      </c>
      <c r="E91" s="2">
        <v>0</v>
      </c>
    </row>
    <row r="92" spans="2:11" x14ac:dyDescent="0.3">
      <c r="C92" s="2" t="s">
        <v>51</v>
      </c>
      <c r="D92" s="2" t="s">
        <v>0</v>
      </c>
      <c r="E92" s="2">
        <v>1</v>
      </c>
    </row>
    <row r="93" spans="2:11" x14ac:dyDescent="0.3">
      <c r="D93" s="2" t="s">
        <v>1</v>
      </c>
      <c r="E93" s="2">
        <v>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96B6-2171-40AF-98BB-55B6B7A0900D}">
  <dimension ref="A1:BQ70"/>
  <sheetViews>
    <sheetView showGridLines="0" topLeftCell="A25" zoomScale="115" zoomScaleNormal="115" workbookViewId="0">
      <selection activeCell="E65" sqref="E65"/>
    </sheetView>
  </sheetViews>
  <sheetFormatPr defaultColWidth="9.109375" defaultRowHeight="14.4" x14ac:dyDescent="0.3"/>
  <cols>
    <col min="1" max="1" width="7.109375" style="2" customWidth="1"/>
    <col min="2" max="2" width="8.5546875" style="2" customWidth="1"/>
    <col min="3" max="3" width="22" style="2" customWidth="1"/>
    <col min="4" max="4" width="9.109375" style="2"/>
    <col min="5" max="6" width="5.5546875" style="2" customWidth="1"/>
    <col min="7" max="7" width="6" style="2" bestFit="1" customWidth="1"/>
    <col min="8" max="83" width="5.5546875" style="2" customWidth="1"/>
    <col min="84" max="16384" width="9.109375" style="2"/>
  </cols>
  <sheetData>
    <row r="1" spans="1:62" x14ac:dyDescent="0.3">
      <c r="A1" s="2" t="s">
        <v>25</v>
      </c>
      <c r="E1" s="10"/>
    </row>
    <row r="2" spans="1:62" x14ac:dyDescent="0.3">
      <c r="E2" s="10"/>
    </row>
    <row r="3" spans="1:62" x14ac:dyDescent="0.3">
      <c r="E3" s="2" t="s">
        <v>53</v>
      </c>
      <c r="L3" s="2" t="s">
        <v>52</v>
      </c>
      <c r="S3" s="2" t="s">
        <v>60</v>
      </c>
      <c r="Y3" s="2" t="s">
        <v>54</v>
      </c>
      <c r="AD3" s="2" t="s">
        <v>63</v>
      </c>
      <c r="AK3" s="2" t="s">
        <v>118</v>
      </c>
      <c r="AT3" s="2" t="s">
        <v>121</v>
      </c>
      <c r="AX3" s="2" t="s">
        <v>122</v>
      </c>
    </row>
    <row r="4" spans="1:62" x14ac:dyDescent="0.3">
      <c r="A4" s="2" t="s">
        <v>8</v>
      </c>
      <c r="E4" s="2" t="s">
        <v>2</v>
      </c>
      <c r="G4" s="2" t="s">
        <v>3</v>
      </c>
      <c r="I4" s="2" t="s">
        <v>51</v>
      </c>
      <c r="L4" s="2" t="s">
        <v>2</v>
      </c>
      <c r="N4" s="2" t="s">
        <v>3</v>
      </c>
      <c r="P4" s="2" t="s">
        <v>51</v>
      </c>
      <c r="S4" s="3" t="s">
        <v>2</v>
      </c>
      <c r="T4" s="3" t="s">
        <v>3</v>
      </c>
      <c r="U4" s="3" t="s">
        <v>51</v>
      </c>
      <c r="Z4" s="2" t="s">
        <v>2</v>
      </c>
      <c r="AA4" s="2" t="s">
        <v>3</v>
      </c>
      <c r="AB4" s="2" t="s">
        <v>51</v>
      </c>
      <c r="AF4" s="3" t="s">
        <v>2</v>
      </c>
      <c r="AG4" s="3" t="s">
        <v>3</v>
      </c>
      <c r="AH4" s="3" t="s">
        <v>51</v>
      </c>
      <c r="AM4" s="2" t="s">
        <v>2</v>
      </c>
      <c r="AO4" s="2" t="s">
        <v>3</v>
      </c>
      <c r="AQ4" s="2" t="s">
        <v>51</v>
      </c>
      <c r="AT4" s="3" t="s">
        <v>2</v>
      </c>
      <c r="AU4" s="3" t="s">
        <v>3</v>
      </c>
      <c r="AV4" s="3" t="s">
        <v>51</v>
      </c>
    </row>
    <row r="5" spans="1:62" x14ac:dyDescent="0.3">
      <c r="B5" s="2" t="s">
        <v>9</v>
      </c>
      <c r="C5" s="2" t="s">
        <v>10</v>
      </c>
      <c r="D5" s="2" t="s">
        <v>56</v>
      </c>
      <c r="E5" s="3" t="s">
        <v>0</v>
      </c>
      <c r="F5" s="3" t="s">
        <v>1</v>
      </c>
      <c r="G5" s="3" t="s">
        <v>0</v>
      </c>
      <c r="H5" s="3" t="s">
        <v>1</v>
      </c>
      <c r="I5" s="3" t="s">
        <v>0</v>
      </c>
      <c r="J5" s="3" t="s">
        <v>1</v>
      </c>
      <c r="L5" s="3" t="s">
        <v>0</v>
      </c>
      <c r="M5" s="3" t="s">
        <v>1</v>
      </c>
      <c r="N5" s="3" t="s">
        <v>0</v>
      </c>
      <c r="O5" s="3" t="s">
        <v>1</v>
      </c>
      <c r="P5" s="3" t="s">
        <v>0</v>
      </c>
      <c r="Q5" s="3" t="s">
        <v>1</v>
      </c>
      <c r="S5" s="3" t="s">
        <v>4</v>
      </c>
      <c r="T5" s="3" t="s">
        <v>4</v>
      </c>
      <c r="U5" s="3" t="s">
        <v>4</v>
      </c>
      <c r="Y5" s="2" t="s">
        <v>2</v>
      </c>
      <c r="Z5" s="1">
        <f>1-Z6-Z7</f>
        <v>0.5</v>
      </c>
      <c r="AA5" s="19">
        <v>0.05</v>
      </c>
      <c r="AB5" s="19">
        <v>0</v>
      </c>
      <c r="AF5" s="3" t="s">
        <v>4</v>
      </c>
      <c r="AG5" s="3" t="s">
        <v>4</v>
      </c>
      <c r="AH5" s="3" t="s">
        <v>4</v>
      </c>
      <c r="AM5" s="3" t="s">
        <v>0</v>
      </c>
      <c r="AN5" s="3" t="s">
        <v>1</v>
      </c>
      <c r="AO5" s="3" t="s">
        <v>0</v>
      </c>
      <c r="AP5" s="3" t="s">
        <v>1</v>
      </c>
      <c r="AQ5" s="3" t="s">
        <v>0</v>
      </c>
      <c r="AR5" s="3" t="s">
        <v>1</v>
      </c>
      <c r="AT5" s="3" t="s">
        <v>4</v>
      </c>
      <c r="AU5" s="3" t="s">
        <v>4</v>
      </c>
      <c r="AV5" s="3" t="s">
        <v>4</v>
      </c>
      <c r="AX5" s="3" t="s">
        <v>6</v>
      </c>
    </row>
    <row r="6" spans="1:62" x14ac:dyDescent="0.3">
      <c r="A6" s="2" t="s">
        <v>2</v>
      </c>
      <c r="B6" s="2" t="s">
        <v>0</v>
      </c>
      <c r="D6" s="2" t="s">
        <v>12</v>
      </c>
      <c r="E6" s="1">
        <f t="array" ref="E6:F7">L6:M7*Z5</f>
        <v>0.25</v>
      </c>
      <c r="F6" s="1">
        <v>0.1</v>
      </c>
      <c r="G6" s="2">
        <f t="array" ref="G6:H7">N8:O9*AA5</f>
        <v>2.5000000000000001E-2</v>
      </c>
      <c r="H6" s="2">
        <v>1.0000000000000002E-2</v>
      </c>
      <c r="I6" s="2">
        <f t="array" ref="I6:J7">P10:Q11*AB5</f>
        <v>0</v>
      </c>
      <c r="J6" s="2">
        <v>0</v>
      </c>
      <c r="L6" s="9">
        <v>0.5</v>
      </c>
      <c r="M6" s="9">
        <v>0.2</v>
      </c>
      <c r="N6" s="2">
        <v>0</v>
      </c>
      <c r="O6" s="2">
        <v>0</v>
      </c>
      <c r="P6" s="2">
        <v>0</v>
      </c>
      <c r="Q6" s="2">
        <v>0</v>
      </c>
      <c r="S6" s="20">
        <v>100</v>
      </c>
      <c r="T6" s="21"/>
      <c r="U6" s="21"/>
      <c r="Y6" s="2" t="s">
        <v>3</v>
      </c>
      <c r="Z6" s="19">
        <v>0.2</v>
      </c>
      <c r="AA6" s="1">
        <f>1-AA5-AA7</f>
        <v>0.75</v>
      </c>
      <c r="AB6" s="19">
        <v>0</v>
      </c>
      <c r="AD6" s="2" t="s">
        <v>2</v>
      </c>
      <c r="AE6" s="2" t="s">
        <v>0</v>
      </c>
      <c r="AF6" s="22">
        <v>1</v>
      </c>
      <c r="AG6" s="23">
        <v>0</v>
      </c>
      <c r="AH6" s="23">
        <v>0</v>
      </c>
      <c r="AK6" s="2" t="s">
        <v>2</v>
      </c>
      <c r="AL6" s="2" t="s">
        <v>0</v>
      </c>
      <c r="AM6" s="5">
        <f t="array" ref="AM6:AN7">E25:F26+E27:F28+E29:F30</f>
        <v>42.693006758101376</v>
      </c>
      <c r="AN6" s="5">
        <v>6.8035891334652216</v>
      </c>
      <c r="AO6" s="6">
        <v>0</v>
      </c>
      <c r="AP6" s="6">
        <v>0</v>
      </c>
      <c r="AQ6" s="6">
        <v>0</v>
      </c>
      <c r="AR6" s="6">
        <v>0</v>
      </c>
      <c r="AT6" s="22">
        <f t="array" ref="AT6:AT7">L25:L26+L27:L28+L29:L30</f>
        <v>100</v>
      </c>
      <c r="AU6" s="23">
        <v>0</v>
      </c>
      <c r="AV6" s="23">
        <v>0</v>
      </c>
      <c r="AX6" s="5">
        <f>SUM(AM6:AR6,AT6:AV6)</f>
        <v>149.49659589156659</v>
      </c>
      <c r="BJ6" s="6"/>
    </row>
    <row r="7" spans="1:62" x14ac:dyDescent="0.3">
      <c r="B7" s="2" t="s">
        <v>1</v>
      </c>
      <c r="D7" s="2" t="s">
        <v>12</v>
      </c>
      <c r="E7" s="1">
        <v>0.2</v>
      </c>
      <c r="F7" s="1">
        <v>0.05</v>
      </c>
      <c r="G7" s="2">
        <v>2.0000000000000004E-2</v>
      </c>
      <c r="H7" s="2">
        <v>5.000000000000001E-3</v>
      </c>
      <c r="I7" s="2">
        <v>0</v>
      </c>
      <c r="J7" s="2">
        <v>0</v>
      </c>
      <c r="L7" s="9">
        <v>0.4</v>
      </c>
      <c r="M7" s="9">
        <v>0.1</v>
      </c>
      <c r="N7" s="2">
        <v>0</v>
      </c>
      <c r="O7" s="2">
        <v>0</v>
      </c>
      <c r="P7" s="2">
        <v>0</v>
      </c>
      <c r="Q7" s="2">
        <v>0</v>
      </c>
      <c r="S7" s="20">
        <v>20</v>
      </c>
      <c r="T7" s="21"/>
      <c r="U7" s="21"/>
      <c r="Y7" s="2" t="s">
        <v>51</v>
      </c>
      <c r="Z7" s="19">
        <v>0.3</v>
      </c>
      <c r="AA7" s="19">
        <v>0.2</v>
      </c>
      <c r="AB7" s="1">
        <f>1-AB6-AB5</f>
        <v>1</v>
      </c>
      <c r="AE7" s="2" t="s">
        <v>1</v>
      </c>
      <c r="AF7" s="22">
        <v>1</v>
      </c>
      <c r="AG7" s="23">
        <v>0</v>
      </c>
      <c r="AH7" s="23">
        <v>0</v>
      </c>
      <c r="AL7" s="2" t="s">
        <v>1</v>
      </c>
      <c r="AM7" s="5">
        <v>34.154405406481104</v>
      </c>
      <c r="AN7" s="5">
        <v>3.4017945667326108</v>
      </c>
      <c r="AO7" s="6">
        <v>0</v>
      </c>
      <c r="AP7" s="6">
        <v>0</v>
      </c>
      <c r="AQ7" s="6">
        <v>0</v>
      </c>
      <c r="AR7" s="6">
        <v>0</v>
      </c>
      <c r="AT7" s="22">
        <v>20</v>
      </c>
      <c r="AU7" s="23">
        <v>0</v>
      </c>
      <c r="AV7" s="23">
        <v>0</v>
      </c>
      <c r="AX7" s="5">
        <f t="shared" ref="AX7:AX11" si="0">SUM(AM7:AR7,AT7:AV7)</f>
        <v>57.556199973213715</v>
      </c>
      <c r="BJ7" s="6"/>
    </row>
    <row r="8" spans="1:62" x14ac:dyDescent="0.3">
      <c r="A8" s="2" t="s">
        <v>3</v>
      </c>
      <c r="B8" s="2" t="s">
        <v>0</v>
      </c>
      <c r="D8" s="2" t="s">
        <v>12</v>
      </c>
      <c r="E8" s="2">
        <f t="array" ref="E8:F9">L6:M7*Z6</f>
        <v>0.1</v>
      </c>
      <c r="F8" s="2">
        <v>4.0000000000000008E-2</v>
      </c>
      <c r="G8" s="1">
        <f t="array" ref="G8:H9">N8:O9*AA6</f>
        <v>0.375</v>
      </c>
      <c r="H8" s="1">
        <v>0.15000000000000002</v>
      </c>
      <c r="I8" s="2">
        <f t="array" ref="I8:J9">P8:Q9*AB6</f>
        <v>0</v>
      </c>
      <c r="J8" s="2">
        <v>0</v>
      </c>
      <c r="L8" s="2">
        <v>0</v>
      </c>
      <c r="M8" s="2">
        <v>0</v>
      </c>
      <c r="N8" s="9">
        <v>0.5</v>
      </c>
      <c r="O8" s="9">
        <v>0.2</v>
      </c>
      <c r="P8" s="2">
        <v>0</v>
      </c>
      <c r="Q8" s="2">
        <v>0</v>
      </c>
      <c r="R8" s="3"/>
      <c r="S8" s="21"/>
      <c r="T8" s="20">
        <v>100</v>
      </c>
      <c r="U8" s="21"/>
      <c r="AD8" s="2" t="s">
        <v>3</v>
      </c>
      <c r="AE8" s="2" t="s">
        <v>0</v>
      </c>
      <c r="AF8" s="23">
        <v>0</v>
      </c>
      <c r="AG8" s="22">
        <v>1</v>
      </c>
      <c r="AH8" s="23">
        <v>0</v>
      </c>
      <c r="AK8" s="2" t="s">
        <v>3</v>
      </c>
      <c r="AL8" s="2" t="s">
        <v>0</v>
      </c>
      <c r="AM8" s="6">
        <v>0</v>
      </c>
      <c r="AN8" s="6">
        <v>0</v>
      </c>
      <c r="AO8" s="5">
        <f t="array" ref="AO8:AP9">G27:H28+G29:H30+G25:H26</f>
        <v>94.732526367302441</v>
      </c>
      <c r="AP8" s="5">
        <v>18.021785041086318</v>
      </c>
      <c r="AQ8" s="6">
        <v>0</v>
      </c>
      <c r="AR8" s="6">
        <v>0</v>
      </c>
      <c r="AT8" s="23">
        <v>0</v>
      </c>
      <c r="AU8" s="22">
        <f t="array" ref="AU8:AU9">M25:M26+M27:M28+M29:M30</f>
        <v>100</v>
      </c>
      <c r="AV8" s="23">
        <v>0</v>
      </c>
      <c r="AX8" s="5">
        <f t="shared" si="0"/>
        <v>212.75431140838876</v>
      </c>
      <c r="BJ8" s="6"/>
    </row>
    <row r="9" spans="1:62" x14ac:dyDescent="0.3">
      <c r="B9" s="2" t="s">
        <v>1</v>
      </c>
      <c r="D9" s="2" t="s">
        <v>12</v>
      </c>
      <c r="E9" s="2">
        <v>8.0000000000000016E-2</v>
      </c>
      <c r="F9" s="2">
        <v>2.0000000000000004E-2</v>
      </c>
      <c r="G9" s="1">
        <v>0.30000000000000004</v>
      </c>
      <c r="H9" s="1">
        <v>7.5000000000000011E-2</v>
      </c>
      <c r="I9" s="2">
        <v>0</v>
      </c>
      <c r="J9" s="2">
        <v>0</v>
      </c>
      <c r="L9" s="2">
        <v>0</v>
      </c>
      <c r="M9" s="2">
        <v>0</v>
      </c>
      <c r="N9" s="9">
        <v>0.4</v>
      </c>
      <c r="O9" s="9">
        <v>0.1</v>
      </c>
      <c r="P9" s="2">
        <v>0</v>
      </c>
      <c r="Q9" s="2">
        <v>0</v>
      </c>
      <c r="S9" s="21"/>
      <c r="T9" s="20">
        <v>20</v>
      </c>
      <c r="U9" s="21"/>
      <c r="AE9" s="2" t="s">
        <v>1</v>
      </c>
      <c r="AF9" s="23">
        <v>0</v>
      </c>
      <c r="AG9" s="22">
        <v>1</v>
      </c>
      <c r="AH9" s="23">
        <v>0</v>
      </c>
      <c r="AL9" s="2" t="s">
        <v>1</v>
      </c>
      <c r="AM9" s="6">
        <v>0</v>
      </c>
      <c r="AN9" s="6">
        <v>0</v>
      </c>
      <c r="AO9" s="5">
        <v>75.786021093841967</v>
      </c>
      <c r="AP9" s="5">
        <v>9.0108925205431589</v>
      </c>
      <c r="AQ9" s="6">
        <v>0</v>
      </c>
      <c r="AR9" s="6">
        <v>0</v>
      </c>
      <c r="AT9" s="23">
        <v>0</v>
      </c>
      <c r="AU9" s="22">
        <v>20</v>
      </c>
      <c r="AV9" s="23">
        <v>0</v>
      </c>
      <c r="AX9" s="5">
        <f t="shared" si="0"/>
        <v>104.79691361438512</v>
      </c>
      <c r="BJ9" s="6"/>
    </row>
    <row r="10" spans="1:62" x14ac:dyDescent="0.3">
      <c r="A10" s="2" t="s">
        <v>51</v>
      </c>
      <c r="B10" s="2" t="s">
        <v>0</v>
      </c>
      <c r="D10" s="2" t="s">
        <v>12</v>
      </c>
      <c r="E10" s="2">
        <f t="array" ref="E10:F11">L6:M7*Z7</f>
        <v>0.15</v>
      </c>
      <c r="F10" s="2">
        <v>0.06</v>
      </c>
      <c r="G10" s="2">
        <f t="array" ref="G10:H11">N8:O9*AA7</f>
        <v>0.1</v>
      </c>
      <c r="H10" s="2">
        <v>4.0000000000000008E-2</v>
      </c>
      <c r="I10" s="1">
        <f t="array" ref="I10:J11">P10:Q11*AB7</f>
        <v>0.5</v>
      </c>
      <c r="J10" s="1">
        <v>0.2</v>
      </c>
      <c r="L10" s="2">
        <v>0</v>
      </c>
      <c r="M10" s="2">
        <v>0</v>
      </c>
      <c r="N10" s="2">
        <v>0</v>
      </c>
      <c r="O10" s="2">
        <v>0</v>
      </c>
      <c r="P10" s="9">
        <v>0.5</v>
      </c>
      <c r="Q10" s="9">
        <v>0.2</v>
      </c>
      <c r="S10" s="21"/>
      <c r="T10" s="21"/>
      <c r="U10" s="20">
        <v>100</v>
      </c>
      <c r="AD10" s="2" t="s">
        <v>51</v>
      </c>
      <c r="AE10" s="2" t="s">
        <v>0</v>
      </c>
      <c r="AF10" s="23">
        <v>0</v>
      </c>
      <c r="AG10" s="23">
        <v>0</v>
      </c>
      <c r="AH10" s="22">
        <v>1</v>
      </c>
      <c r="AK10" s="2" t="s">
        <v>51</v>
      </c>
      <c r="AL10" s="2" t="s">
        <v>0</v>
      </c>
      <c r="AM10" s="6">
        <v>0</v>
      </c>
      <c r="AN10" s="6">
        <v>0</v>
      </c>
      <c r="AO10" s="6">
        <v>0</v>
      </c>
      <c r="AP10" s="6">
        <v>0</v>
      </c>
      <c r="AQ10" s="5">
        <f t="array" ref="AQ10:AR11">I29:J30+I25:J26+I27:J28</f>
        <v>243.65554795567729</v>
      </c>
      <c r="AR10" s="5">
        <v>56.255706906529554</v>
      </c>
      <c r="AT10" s="23">
        <v>0</v>
      </c>
      <c r="AU10" s="23">
        <v>0</v>
      </c>
      <c r="AV10" s="22">
        <f t="array" ref="AV10:AV11">N25:N26+N27:N28+N29:N30</f>
        <v>100</v>
      </c>
      <c r="AX10" s="5">
        <f t="shared" si="0"/>
        <v>399.91125486220687</v>
      </c>
      <c r="BJ10" s="6"/>
    </row>
    <row r="11" spans="1:62" x14ac:dyDescent="0.3">
      <c r="B11" s="2" t="s">
        <v>1</v>
      </c>
      <c r="D11" s="2" t="s">
        <v>12</v>
      </c>
      <c r="E11" s="2">
        <v>0.12</v>
      </c>
      <c r="F11" s="2">
        <v>0.03</v>
      </c>
      <c r="G11" s="2">
        <v>8.0000000000000016E-2</v>
      </c>
      <c r="H11" s="2">
        <v>2.0000000000000004E-2</v>
      </c>
      <c r="I11" s="1">
        <v>0.4</v>
      </c>
      <c r="J11" s="1">
        <v>0.1</v>
      </c>
      <c r="L11" s="2">
        <v>0</v>
      </c>
      <c r="M11" s="2">
        <v>0</v>
      </c>
      <c r="N11" s="2">
        <v>0</v>
      </c>
      <c r="O11" s="2">
        <v>0</v>
      </c>
      <c r="P11" s="9">
        <v>0.4</v>
      </c>
      <c r="Q11" s="9">
        <v>0.1</v>
      </c>
      <c r="S11" s="21"/>
      <c r="T11" s="21"/>
      <c r="U11" s="20">
        <v>20</v>
      </c>
      <c r="AE11" s="2" t="s">
        <v>1</v>
      </c>
      <c r="AF11" s="23">
        <v>0</v>
      </c>
      <c r="AG11" s="23">
        <v>0</v>
      </c>
      <c r="AH11" s="22">
        <v>1</v>
      </c>
      <c r="AL11" s="2" t="s">
        <v>1</v>
      </c>
      <c r="AM11" s="6">
        <v>0</v>
      </c>
      <c r="AN11" s="6">
        <v>0</v>
      </c>
      <c r="AO11" s="6">
        <v>0</v>
      </c>
      <c r="AP11" s="6">
        <v>0</v>
      </c>
      <c r="AQ11" s="5">
        <v>194.92443836454186</v>
      </c>
      <c r="AR11" s="5">
        <v>28.127853453264777</v>
      </c>
      <c r="AT11" s="23">
        <v>0</v>
      </c>
      <c r="AU11" s="23">
        <v>0</v>
      </c>
      <c r="AV11" s="22">
        <v>20</v>
      </c>
      <c r="AX11" s="5">
        <f t="shared" si="0"/>
        <v>243.05229181780663</v>
      </c>
      <c r="BJ11" s="6"/>
    </row>
    <row r="13" spans="1:62" x14ac:dyDescent="0.3">
      <c r="C13" s="2" t="s">
        <v>57</v>
      </c>
      <c r="D13" s="2" t="s">
        <v>12</v>
      </c>
      <c r="E13" s="1">
        <v>0.1</v>
      </c>
      <c r="F13" s="1">
        <v>0.7</v>
      </c>
      <c r="G13" s="1">
        <v>0.1</v>
      </c>
      <c r="H13" s="1">
        <v>0.7</v>
      </c>
      <c r="I13" s="1">
        <v>0.1</v>
      </c>
      <c r="J13" s="1">
        <v>0.7</v>
      </c>
    </row>
    <row r="14" spans="1:62" x14ac:dyDescent="0.3">
      <c r="AK14" s="2" t="s">
        <v>120</v>
      </c>
    </row>
    <row r="15" spans="1:62" x14ac:dyDescent="0.3">
      <c r="AK15" s="2" t="s">
        <v>2</v>
      </c>
      <c r="AL15" s="2" t="s">
        <v>0</v>
      </c>
      <c r="AM15" s="5">
        <f t="array" ref="AM15:AR20">AM43:AR48*E25:J30</f>
        <v>0</v>
      </c>
      <c r="AN15" s="5">
        <v>0</v>
      </c>
      <c r="AO15" s="6">
        <v>4.736626318365122</v>
      </c>
      <c r="AP15" s="6">
        <v>0.90108925205431589</v>
      </c>
      <c r="AQ15" s="6">
        <v>0</v>
      </c>
      <c r="AR15" s="6">
        <v>0</v>
      </c>
    </row>
    <row r="16" spans="1:62" x14ac:dyDescent="0.3">
      <c r="C16" s="2" t="s">
        <v>58</v>
      </c>
      <c r="D16" s="2" t="s">
        <v>13</v>
      </c>
      <c r="E16" s="4">
        <v>0.5</v>
      </c>
      <c r="F16" s="4">
        <v>0</v>
      </c>
      <c r="G16" s="4">
        <v>0.8</v>
      </c>
      <c r="H16" s="4">
        <v>0</v>
      </c>
      <c r="I16" s="4">
        <v>1</v>
      </c>
      <c r="J16" s="4">
        <v>0</v>
      </c>
      <c r="AL16" s="2" t="s">
        <v>1</v>
      </c>
      <c r="AM16" s="5">
        <v>0</v>
      </c>
      <c r="AN16" s="5">
        <v>0</v>
      </c>
      <c r="AO16" s="6">
        <v>3.7893010546920984</v>
      </c>
      <c r="AP16" s="6">
        <v>0.45054462602715795</v>
      </c>
      <c r="AQ16" s="6">
        <v>0</v>
      </c>
      <c r="AR16" s="6">
        <v>0</v>
      </c>
    </row>
    <row r="17" spans="1:69" x14ac:dyDescent="0.3">
      <c r="C17" s="2" t="s">
        <v>59</v>
      </c>
      <c r="D17" s="2" t="s">
        <v>36</v>
      </c>
      <c r="E17" s="4">
        <f t="array" ref="E17:J17">MMULT(E16:J16,MINVERSE(_xlfn.MUNIT(6)-E6:J11))</f>
        <v>1.6806195202873528</v>
      </c>
      <c r="F17" s="4">
        <v>0.44358198738273313</v>
      </c>
      <c r="G17" s="4">
        <v>2.0449430380259681</v>
      </c>
      <c r="H17" s="4">
        <v>0.46905261508301677</v>
      </c>
      <c r="I17" s="4">
        <v>2.4324324324324325</v>
      </c>
      <c r="J17" s="4">
        <v>0.54054054054054057</v>
      </c>
      <c r="AK17" s="2" t="s">
        <v>3</v>
      </c>
      <c r="AL17" s="2" t="s">
        <v>0</v>
      </c>
      <c r="AM17" s="6">
        <v>8.5386013516202759</v>
      </c>
      <c r="AN17" s="6">
        <v>1.3607178266930446</v>
      </c>
      <c r="AO17" s="5">
        <v>71.049394775476827</v>
      </c>
      <c r="AP17" s="5">
        <v>13.516338780814738</v>
      </c>
      <c r="AQ17" s="6">
        <v>0</v>
      </c>
      <c r="AR17" s="6">
        <v>0</v>
      </c>
    </row>
    <row r="18" spans="1:69" x14ac:dyDescent="0.3">
      <c r="C18" s="2" t="s">
        <v>59</v>
      </c>
      <c r="D18" s="2" t="s">
        <v>13</v>
      </c>
      <c r="E18" s="4">
        <f t="array" ref="E18:J18">E38:J38/TRANSPOSE(V25:V30)</f>
        <v>1.0825434964037082</v>
      </c>
      <c r="F18" s="4">
        <v>0.14343611189598321</v>
      </c>
      <c r="G18" s="4">
        <v>1.0253584278921986</v>
      </c>
      <c r="H18" s="4">
        <v>9.8902518993092187E-2</v>
      </c>
      <c r="I18" s="4">
        <v>0.74873087833656959</v>
      </c>
      <c r="J18" s="4">
        <v>5.7651808529079258E-2</v>
      </c>
      <c r="AL18" s="2" t="s">
        <v>1</v>
      </c>
      <c r="AM18" s="6">
        <v>6.8308810812962211</v>
      </c>
      <c r="AN18" s="6">
        <v>0.68035891334652232</v>
      </c>
      <c r="AO18" s="5">
        <v>56.839515820381472</v>
      </c>
      <c r="AP18" s="5">
        <v>6.7581693904073692</v>
      </c>
      <c r="AQ18" s="6">
        <v>0</v>
      </c>
      <c r="AR18" s="6">
        <v>0</v>
      </c>
    </row>
    <row r="19" spans="1:69" x14ac:dyDescent="0.3">
      <c r="AK19" s="2" t="s">
        <v>51</v>
      </c>
      <c r="AL19" s="2" t="s">
        <v>0</v>
      </c>
      <c r="AM19" s="6">
        <v>12.807902027430412</v>
      </c>
      <c r="AN19" s="6">
        <v>2.0410767400395664</v>
      </c>
      <c r="AO19" s="6">
        <v>18.946505273460488</v>
      </c>
      <c r="AP19" s="6">
        <v>3.6043570082172636</v>
      </c>
      <c r="AQ19" s="5">
        <v>243.65554795567729</v>
      </c>
      <c r="AR19" s="5">
        <v>56.255706906529554</v>
      </c>
    </row>
    <row r="20" spans="1:69" x14ac:dyDescent="0.3">
      <c r="A20" s="2" t="s">
        <v>24</v>
      </c>
      <c r="AF20" s="3"/>
      <c r="AG20" s="3"/>
      <c r="AL20" s="2" t="s">
        <v>1</v>
      </c>
      <c r="AM20" s="6">
        <v>10.246321621944331</v>
      </c>
      <c r="AN20" s="6">
        <v>1.0205383700197832</v>
      </c>
      <c r="AO20" s="6">
        <v>15.157204218768394</v>
      </c>
      <c r="AP20" s="6">
        <v>1.8021785041086318</v>
      </c>
      <c r="AQ20" s="5">
        <v>194.92443836454186</v>
      </c>
      <c r="AR20" s="5">
        <v>28.127853453264777</v>
      </c>
    </row>
    <row r="21" spans="1:69" x14ac:dyDescent="0.3">
      <c r="AF21" s="3"/>
      <c r="AG21" s="3"/>
    </row>
    <row r="22" spans="1:69" x14ac:dyDescent="0.3">
      <c r="E22" s="2" t="s">
        <v>96</v>
      </c>
      <c r="L22" s="2" t="s">
        <v>97</v>
      </c>
      <c r="R22" s="2" t="s">
        <v>98</v>
      </c>
      <c r="AK22" s="2" t="s">
        <v>119</v>
      </c>
      <c r="BE22" s="2" t="s">
        <v>68</v>
      </c>
      <c r="BL22" s="2" t="s">
        <v>69</v>
      </c>
    </row>
    <row r="23" spans="1:69" x14ac:dyDescent="0.3">
      <c r="A23" s="2" t="s">
        <v>8</v>
      </c>
      <c r="E23" s="2" t="s">
        <v>2</v>
      </c>
      <c r="G23" s="2" t="s">
        <v>3</v>
      </c>
      <c r="I23" s="2" t="s">
        <v>51</v>
      </c>
      <c r="L23" s="3" t="s">
        <v>2</v>
      </c>
      <c r="M23" s="3" t="s">
        <v>3</v>
      </c>
      <c r="N23" s="3" t="s">
        <v>51</v>
      </c>
      <c r="P23" s="3" t="s">
        <v>14</v>
      </c>
      <c r="R23" s="3" t="s">
        <v>2</v>
      </c>
      <c r="S23" s="3" t="s">
        <v>3</v>
      </c>
      <c r="T23" s="3" t="s">
        <v>51</v>
      </c>
      <c r="V23" s="3" t="s">
        <v>14</v>
      </c>
      <c r="AK23" s="2" t="s">
        <v>2</v>
      </c>
      <c r="AL23" s="2" t="s">
        <v>0</v>
      </c>
      <c r="AM23" s="5">
        <f t="array" ref="AM23:AN24">AM15:AN16+AM17:AN18+AM19:AN20</f>
        <v>21.346503379050688</v>
      </c>
      <c r="AN23" s="5">
        <v>3.4017945667326108</v>
      </c>
      <c r="AO23" s="6">
        <v>0</v>
      </c>
      <c r="AP23" s="6">
        <v>0</v>
      </c>
      <c r="AQ23" s="6">
        <v>0</v>
      </c>
      <c r="AR23" s="6">
        <v>0</v>
      </c>
    </row>
    <row r="24" spans="1:69" x14ac:dyDescent="0.3">
      <c r="B24" s="2" t="s">
        <v>9</v>
      </c>
      <c r="D24" s="2" t="s">
        <v>10</v>
      </c>
      <c r="E24" s="3" t="s">
        <v>0</v>
      </c>
      <c r="F24" s="3" t="s">
        <v>1</v>
      </c>
      <c r="G24" s="3" t="s">
        <v>0</v>
      </c>
      <c r="H24" s="3" t="s">
        <v>1</v>
      </c>
      <c r="I24" s="3" t="s">
        <v>0</v>
      </c>
      <c r="J24" s="3" t="s">
        <v>1</v>
      </c>
      <c r="K24" s="3"/>
      <c r="L24" s="3" t="s">
        <v>4</v>
      </c>
      <c r="M24" s="3" t="s">
        <v>4</v>
      </c>
      <c r="N24" s="3" t="s">
        <v>4</v>
      </c>
      <c r="P24" s="3" t="s">
        <v>4</v>
      </c>
      <c r="R24" s="3" t="s">
        <v>6</v>
      </c>
      <c r="S24" s="3" t="s">
        <v>6</v>
      </c>
      <c r="T24" s="3" t="s">
        <v>6</v>
      </c>
      <c r="V24" s="3" t="s">
        <v>6</v>
      </c>
      <c r="AL24" s="2" t="s">
        <v>1</v>
      </c>
      <c r="AM24" s="5">
        <v>17.077202703240552</v>
      </c>
      <c r="AN24" s="5">
        <v>1.7008972833663054</v>
      </c>
      <c r="AO24" s="6">
        <v>0</v>
      </c>
      <c r="AP24" s="6">
        <v>0</v>
      </c>
      <c r="AQ24" s="6">
        <v>0</v>
      </c>
      <c r="AR24" s="6">
        <v>0</v>
      </c>
      <c r="BF24" s="2" t="s">
        <v>50</v>
      </c>
      <c r="BG24" s="3" t="s">
        <v>2</v>
      </c>
      <c r="BH24" s="3" t="s">
        <v>3</v>
      </c>
      <c r="BI24" s="3" t="s">
        <v>51</v>
      </c>
      <c r="BJ24" s="3"/>
      <c r="BM24" s="2" t="s">
        <v>50</v>
      </c>
      <c r="BN24" s="3" t="s">
        <v>2</v>
      </c>
      <c r="BO24" s="3" t="s">
        <v>3</v>
      </c>
      <c r="BP24" s="3" t="s">
        <v>51</v>
      </c>
      <c r="BQ24" s="3"/>
    </row>
    <row r="25" spans="1:69" x14ac:dyDescent="0.3">
      <c r="A25" s="2" t="s">
        <v>2</v>
      </c>
      <c r="B25" s="2" t="s">
        <v>0</v>
      </c>
      <c r="D25" s="2" t="s">
        <v>15</v>
      </c>
      <c r="E25" s="5">
        <f t="array" ref="E25:J30">MMULT(E6:J11,V25:V30*_xlfn.MUNIT(6))</f>
        <v>21.346503379050688</v>
      </c>
      <c r="F25" s="5">
        <v>3.4017945667326113</v>
      </c>
      <c r="G25" s="6">
        <v>4.736626318365122</v>
      </c>
      <c r="H25" s="6">
        <v>0.90108925205431589</v>
      </c>
      <c r="I25" s="6">
        <v>0</v>
      </c>
      <c r="J25" s="6">
        <v>0</v>
      </c>
      <c r="K25" s="6"/>
      <c r="L25" s="22">
        <f t="array" ref="L25:L26">S6:S7*Z5</f>
        <v>50</v>
      </c>
      <c r="M25" s="23">
        <f t="array" ref="M25:M26">T8:T9*AA5</f>
        <v>5</v>
      </c>
      <c r="N25" s="23">
        <f t="array" ref="N25:N26">U10:U11*AB5</f>
        <v>0</v>
      </c>
      <c r="P25" s="7">
        <f t="shared" ref="P25:P30" si="1">SUM(L25:N25)</f>
        <v>55</v>
      </c>
      <c r="R25" s="5">
        <f t="array" ref="R25:T30">MMULT(MINVERSE(_xlfn.MUNIT(6)-E6:J11),L25:N30)</f>
        <v>72.376133613902482</v>
      </c>
      <c r="S25" s="6">
        <v>13.009879902300272</v>
      </c>
      <c r="T25" s="6">
        <v>0</v>
      </c>
      <c r="V25" s="7">
        <f t="shared" ref="V25:V30" si="2">SUM(R25:T25)</f>
        <v>85.386013516202752</v>
      </c>
      <c r="AK25" s="2" t="s">
        <v>3</v>
      </c>
      <c r="AL25" s="2" t="s">
        <v>0</v>
      </c>
      <c r="AM25" s="6">
        <v>0</v>
      </c>
      <c r="AN25" s="6">
        <v>0</v>
      </c>
      <c r="AO25" s="5">
        <f t="array" ref="AO25:AP26">AO15:AP16+AO17:AP18+AO19:AP20</f>
        <v>94.732526367302441</v>
      </c>
      <c r="AP25" s="5">
        <v>18.021785041086318</v>
      </c>
      <c r="AQ25" s="6">
        <v>0</v>
      </c>
      <c r="AR25" s="6">
        <v>0</v>
      </c>
      <c r="BF25" s="2" t="s">
        <v>2</v>
      </c>
      <c r="BG25" s="5">
        <f t="array" ref="BG25:BI27">MMULT(TRANSPOSE(AF6:AH11),MMULT(E16:J16*_xlfn.MUNIT(6),R25:T30))</f>
        <v>36.188066806951241</v>
      </c>
      <c r="BH25" s="25">
        <v>6.5049399511501358</v>
      </c>
      <c r="BI25" s="25">
        <v>0</v>
      </c>
      <c r="BJ25" s="26">
        <f>SUM(BG25:BI25)</f>
        <v>42.693006758101376</v>
      </c>
      <c r="BM25" s="2" t="s">
        <v>2</v>
      </c>
      <c r="BN25" s="5">
        <f t="array" ref="BN25:BP27">MMULT(TRANSPOSE(AF6:AH11),MMULT(E13:J13*_xlfn.MUNIT(6),R25:T30))</f>
        <v>26.142214618934293</v>
      </c>
      <c r="BO25" s="25">
        <v>6.2089486998142558</v>
      </c>
      <c r="BP25" s="25">
        <v>0</v>
      </c>
      <c r="BQ25" s="26">
        <f>SUM(BN25:BP25)</f>
        <v>32.351163318748547</v>
      </c>
    </row>
    <row r="26" spans="1:69" x14ac:dyDescent="0.3">
      <c r="B26" s="2" t="s">
        <v>1</v>
      </c>
      <c r="D26" s="2" t="s">
        <v>15</v>
      </c>
      <c r="E26" s="5">
        <v>17.077202703240552</v>
      </c>
      <c r="F26" s="5">
        <v>1.7008972833663056</v>
      </c>
      <c r="G26" s="6">
        <v>3.7893010546920984</v>
      </c>
      <c r="H26" s="6">
        <v>0.45054462602715795</v>
      </c>
      <c r="I26" s="6">
        <v>0</v>
      </c>
      <c r="J26" s="6">
        <v>0</v>
      </c>
      <c r="K26" s="6"/>
      <c r="L26" s="22">
        <v>10</v>
      </c>
      <c r="M26" s="23">
        <v>1</v>
      </c>
      <c r="N26" s="23">
        <v>0</v>
      </c>
      <c r="P26" s="7">
        <f t="shared" si="1"/>
        <v>11</v>
      </c>
      <c r="R26" s="5">
        <v>27.006573225062922</v>
      </c>
      <c r="S26" s="6">
        <v>7.0113724422631849</v>
      </c>
      <c r="T26" s="6">
        <v>0</v>
      </c>
      <c r="V26" s="7">
        <f t="shared" si="2"/>
        <v>34.01794566732611</v>
      </c>
      <c r="AL26" s="2" t="s">
        <v>1</v>
      </c>
      <c r="AM26" s="6">
        <v>0</v>
      </c>
      <c r="AN26" s="6">
        <v>0</v>
      </c>
      <c r="AO26" s="5">
        <v>75.786021093841967</v>
      </c>
      <c r="AP26" s="5">
        <v>9.0108925205431589</v>
      </c>
      <c r="AQ26" s="6">
        <v>0</v>
      </c>
      <c r="AR26" s="6">
        <v>0</v>
      </c>
      <c r="BF26" s="2" t="s">
        <v>3</v>
      </c>
      <c r="BG26" s="6">
        <v>41.631615687360863</v>
      </c>
      <c r="BH26" s="5">
        <v>109.94042650032304</v>
      </c>
      <c r="BI26" s="6">
        <v>0</v>
      </c>
      <c r="BJ26" s="26">
        <f>SUM(BG26:BI26)</f>
        <v>151.57204218768391</v>
      </c>
      <c r="BM26" s="2" t="s">
        <v>3</v>
      </c>
      <c r="BN26" s="6">
        <v>24.83579479925702</v>
      </c>
      <c r="BO26" s="5">
        <v>57.186958118005563</v>
      </c>
      <c r="BP26" s="6">
        <v>0</v>
      </c>
      <c r="BQ26" s="26">
        <f>SUM(BN26:BP26)</f>
        <v>82.022752917262579</v>
      </c>
    </row>
    <row r="27" spans="1:69" x14ac:dyDescent="0.3">
      <c r="A27" s="2" t="s">
        <v>3</v>
      </c>
      <c r="B27" s="2" t="s">
        <v>0</v>
      </c>
      <c r="D27" s="2" t="s">
        <v>15</v>
      </c>
      <c r="E27" s="6">
        <v>8.5386013516202759</v>
      </c>
      <c r="F27" s="6">
        <v>1.3607178266930446</v>
      </c>
      <c r="G27" s="5">
        <v>71.049394775476827</v>
      </c>
      <c r="H27" s="5">
        <v>13.516338780814738</v>
      </c>
      <c r="I27" s="6">
        <v>0</v>
      </c>
      <c r="J27" s="6">
        <v>0</v>
      </c>
      <c r="K27" s="6"/>
      <c r="L27" s="23">
        <f t="array" ref="L27:L28">S6:S7*Z6</f>
        <v>20</v>
      </c>
      <c r="M27" s="22">
        <f t="array" ref="M27:M28">T8:T9*AA6</f>
        <v>75</v>
      </c>
      <c r="N27" s="23">
        <f t="array" ref="N27:N28">U10:U11*AB6</f>
        <v>0</v>
      </c>
      <c r="P27" s="7">
        <f t="shared" si="1"/>
        <v>95</v>
      </c>
      <c r="R27" s="6">
        <v>52.039519609201079</v>
      </c>
      <c r="S27" s="5">
        <v>137.4255331254038</v>
      </c>
      <c r="T27" s="6">
        <v>0</v>
      </c>
      <c r="V27" s="7">
        <f t="shared" si="2"/>
        <v>189.46505273460488</v>
      </c>
      <c r="AK27" s="2" t="s">
        <v>51</v>
      </c>
      <c r="AL27" s="2" t="s">
        <v>0</v>
      </c>
      <c r="AM27" s="6">
        <v>0</v>
      </c>
      <c r="AN27" s="6">
        <v>0</v>
      </c>
      <c r="AO27" s="6">
        <v>0</v>
      </c>
      <c r="AP27" s="6">
        <v>0</v>
      </c>
      <c r="AQ27" s="5">
        <f t="array" ref="AQ27:AR28">AQ15:AR16+AQ17:AR18+AQ19:AR20</f>
        <v>243.65554795567729</v>
      </c>
      <c r="AR27" s="5">
        <v>56.255706906529554</v>
      </c>
      <c r="BF27" s="2" t="s">
        <v>51</v>
      </c>
      <c r="BG27" s="6">
        <v>129.63840083095053</v>
      </c>
      <c r="BH27" s="6">
        <v>103.61864102634998</v>
      </c>
      <c r="BI27" s="5">
        <v>254.05405405405406</v>
      </c>
      <c r="BJ27" s="26">
        <f>SUM(BG27:BI27)</f>
        <v>487.31109591135458</v>
      </c>
      <c r="BM27" s="2" t="s">
        <v>51</v>
      </c>
      <c r="BN27" s="6">
        <v>69.021990581808694</v>
      </c>
      <c r="BO27" s="6">
        <v>56.604093182180172</v>
      </c>
      <c r="BP27" s="5">
        <v>119.99999999999999</v>
      </c>
      <c r="BQ27" s="26">
        <f>SUM(BN27:BP27)</f>
        <v>245.62608376398885</v>
      </c>
    </row>
    <row r="28" spans="1:69" x14ac:dyDescent="0.3">
      <c r="B28" s="2" t="s">
        <v>1</v>
      </c>
      <c r="D28" s="2" t="s">
        <v>15</v>
      </c>
      <c r="E28" s="6">
        <v>6.8308810812962211</v>
      </c>
      <c r="F28" s="6">
        <v>0.68035891334652232</v>
      </c>
      <c r="G28" s="5">
        <v>56.839515820381472</v>
      </c>
      <c r="H28" s="5">
        <v>6.7581693904073692</v>
      </c>
      <c r="I28" s="6">
        <v>0</v>
      </c>
      <c r="J28" s="6">
        <v>0</v>
      </c>
      <c r="K28" s="6"/>
      <c r="L28" s="23">
        <v>4</v>
      </c>
      <c r="M28" s="22">
        <v>15</v>
      </c>
      <c r="N28" s="23">
        <v>0</v>
      </c>
      <c r="P28" s="7">
        <f t="shared" si="1"/>
        <v>19</v>
      </c>
      <c r="R28" s="6">
        <v>28.045489769052732</v>
      </c>
      <c r="S28" s="5">
        <v>62.063435436378839</v>
      </c>
      <c r="T28" s="6">
        <v>0</v>
      </c>
      <c r="V28" s="7">
        <f t="shared" si="2"/>
        <v>90.108925205431575</v>
      </c>
      <c r="AL28" s="2" t="s">
        <v>1</v>
      </c>
      <c r="AM28" s="6">
        <v>0</v>
      </c>
      <c r="AN28" s="6">
        <v>0</v>
      </c>
      <c r="AO28" s="6">
        <v>0</v>
      </c>
      <c r="AP28" s="6">
        <v>0</v>
      </c>
      <c r="AQ28" s="5">
        <v>194.92443836454186</v>
      </c>
      <c r="AR28" s="5">
        <v>28.127853453264777</v>
      </c>
      <c r="BG28" s="26">
        <f>SUM(BG25:BG27)</f>
        <v>207.45808332526263</v>
      </c>
      <c r="BH28" s="26">
        <f>SUM(BH25:BH27)</f>
        <v>220.06400747782317</v>
      </c>
      <c r="BI28" s="26">
        <f>SUM(BI25:BI27)</f>
        <v>254.05405405405406</v>
      </c>
      <c r="BN28" s="26">
        <f>SUM(BN25:BN27)</f>
        <v>120</v>
      </c>
      <c r="BO28" s="26">
        <f>SUM(BO25:BO27)</f>
        <v>120</v>
      </c>
      <c r="BP28" s="26">
        <f>SUM(BP25:BP27)</f>
        <v>119.99999999999999</v>
      </c>
    </row>
    <row r="29" spans="1:69" x14ac:dyDescent="0.3">
      <c r="A29" s="2" t="s">
        <v>51</v>
      </c>
      <c r="B29" s="2" t="s">
        <v>0</v>
      </c>
      <c r="D29" s="2" t="s">
        <v>15</v>
      </c>
      <c r="E29" s="6">
        <v>12.807902027430412</v>
      </c>
      <c r="F29" s="6">
        <v>2.0410767400395664</v>
      </c>
      <c r="G29" s="6">
        <v>18.946505273460488</v>
      </c>
      <c r="H29" s="6">
        <v>3.6043570082172636</v>
      </c>
      <c r="I29" s="5">
        <v>243.65554795567729</v>
      </c>
      <c r="J29" s="5">
        <v>56.255706906529554</v>
      </c>
      <c r="K29" s="6"/>
      <c r="L29" s="23">
        <f t="array" ref="L29:L30">S6:S7*Z7</f>
        <v>30</v>
      </c>
      <c r="M29" s="23">
        <f t="array" ref="M29:M30">T8:T9*AA7</f>
        <v>20</v>
      </c>
      <c r="N29" s="22">
        <f t="array" ref="N29:N30">U10:U11*AB7</f>
        <v>100</v>
      </c>
      <c r="P29" s="7">
        <f t="shared" si="1"/>
        <v>150</v>
      </c>
      <c r="R29" s="6">
        <v>129.63840083095053</v>
      </c>
      <c r="S29" s="6">
        <v>103.61864102634998</v>
      </c>
      <c r="T29" s="5">
        <v>254.05405405405406</v>
      </c>
      <c r="V29" s="7">
        <f t="shared" si="2"/>
        <v>487.31109591135458</v>
      </c>
    </row>
    <row r="30" spans="1:69" x14ac:dyDescent="0.3">
      <c r="B30" s="2" t="s">
        <v>1</v>
      </c>
      <c r="D30" s="2" t="s">
        <v>15</v>
      </c>
      <c r="E30" s="6">
        <v>10.246321621944331</v>
      </c>
      <c r="F30" s="6">
        <v>1.0205383700197832</v>
      </c>
      <c r="G30" s="6">
        <v>15.157204218768394</v>
      </c>
      <c r="H30" s="6">
        <v>1.8021785041086318</v>
      </c>
      <c r="I30" s="5">
        <v>194.92443836454186</v>
      </c>
      <c r="J30" s="5">
        <v>28.127853453264777</v>
      </c>
      <c r="K30" s="6"/>
      <c r="L30" s="23">
        <v>6</v>
      </c>
      <c r="M30" s="23">
        <v>4</v>
      </c>
      <c r="N30" s="22">
        <v>20</v>
      </c>
      <c r="P30" s="7">
        <f t="shared" si="1"/>
        <v>30</v>
      </c>
      <c r="R30" s="6">
        <v>80.083072141019485</v>
      </c>
      <c r="S30" s="6">
        <v>66.06032725649311</v>
      </c>
      <c r="T30" s="5">
        <v>135.13513513513513</v>
      </c>
      <c r="V30" s="7">
        <f t="shared" si="2"/>
        <v>281.27853453264777</v>
      </c>
      <c r="AK30" s="2" t="s">
        <v>117</v>
      </c>
      <c r="AM30" s="3"/>
      <c r="AN30" s="3"/>
      <c r="AO30" s="3"/>
      <c r="AP30" s="3"/>
      <c r="AQ30" s="3"/>
      <c r="AR30" s="3"/>
      <c r="BG30" s="3" t="s">
        <v>2</v>
      </c>
      <c r="BH30" s="3" t="s">
        <v>3</v>
      </c>
      <c r="BI30" s="3" t="s">
        <v>51</v>
      </c>
      <c r="BN30" s="3" t="s">
        <v>2</v>
      </c>
      <c r="BO30" s="3" t="s">
        <v>3</v>
      </c>
      <c r="BP30" s="3" t="s">
        <v>51</v>
      </c>
    </row>
    <row r="31" spans="1:69" x14ac:dyDescent="0.3">
      <c r="AF31" s="3"/>
      <c r="AG31" s="3"/>
      <c r="AK31" s="2" t="s">
        <v>2</v>
      </c>
      <c r="AL31" s="2" t="s">
        <v>0</v>
      </c>
      <c r="AM31" s="1">
        <f t="array" ref="AM31:AR36">MMULT(MINVERSE(AX6:AX11*_xlfn.MUNIT(6)),AM23:AR28)</f>
        <v>0.14278922708403216</v>
      </c>
      <c r="AN31" s="1">
        <v>2.2754996837520053E-2</v>
      </c>
      <c r="AO31" s="2">
        <v>0</v>
      </c>
      <c r="AP31" s="2">
        <v>0</v>
      </c>
      <c r="AQ31" s="2">
        <v>0</v>
      </c>
      <c r="AR31" s="2">
        <v>0</v>
      </c>
      <c r="BF31" s="3" t="s">
        <v>66</v>
      </c>
      <c r="BG31" s="6">
        <f>BG25</f>
        <v>36.188066806951241</v>
      </c>
      <c r="BH31" s="6">
        <f>BH26</f>
        <v>109.94042650032304</v>
      </c>
      <c r="BI31" s="6">
        <f>BI27</f>
        <v>254.05405405405406</v>
      </c>
      <c r="BM31" s="3" t="s">
        <v>66</v>
      </c>
      <c r="BN31" s="6">
        <f>BN25</f>
        <v>26.142214618934293</v>
      </c>
      <c r="BO31" s="6">
        <f>BO26</f>
        <v>57.186958118005563</v>
      </c>
      <c r="BP31" s="6">
        <f>BP27</f>
        <v>119.99999999999999</v>
      </c>
    </row>
    <row r="32" spans="1:69" x14ac:dyDescent="0.3">
      <c r="B32" s="2" t="s">
        <v>7</v>
      </c>
      <c r="D32" s="2" t="s">
        <v>15</v>
      </c>
      <c r="E32" s="5">
        <f t="array" ref="E32:J32">MMULT(E13:J13,V25:V30*_xlfn.MUNIT(6))</f>
        <v>8.5386013516202759</v>
      </c>
      <c r="F32" s="5">
        <v>23.812561967128275</v>
      </c>
      <c r="G32" s="5">
        <v>18.946505273460488</v>
      </c>
      <c r="H32" s="5">
        <v>63.076247643802098</v>
      </c>
      <c r="I32" s="5">
        <v>48.731109591135464</v>
      </c>
      <c r="J32" s="5">
        <v>196.89497417285344</v>
      </c>
      <c r="AF32" s="3"/>
      <c r="AG32" s="3"/>
      <c r="AL32" s="2" t="s">
        <v>1</v>
      </c>
      <c r="AM32" s="1">
        <v>0.2967048330360269</v>
      </c>
      <c r="AN32" s="1">
        <v>2.9551938525439345E-2</v>
      </c>
      <c r="AO32" s="2">
        <v>0</v>
      </c>
      <c r="AP32" s="2">
        <v>0</v>
      </c>
      <c r="AQ32" s="2">
        <v>0</v>
      </c>
      <c r="AR32" s="2">
        <v>0</v>
      </c>
      <c r="BF32" s="3" t="s">
        <v>67</v>
      </c>
      <c r="BG32" s="6">
        <f>-SUM(BG26:BG27)</f>
        <v>-171.27001651831139</v>
      </c>
      <c r="BH32" s="6">
        <f>-SUM(BH25,BH27)</f>
        <v>-110.12358097750011</v>
      </c>
      <c r="BI32" s="6">
        <f>-SUM(BI25:BI26)</f>
        <v>0</v>
      </c>
      <c r="BM32" s="3" t="s">
        <v>67</v>
      </c>
      <c r="BN32" s="6">
        <f>-SUM(BN26:BN27)</f>
        <v>-93.85778538106571</v>
      </c>
      <c r="BO32" s="6">
        <f>-SUM(BO25,BO27)</f>
        <v>-62.81304188199443</v>
      </c>
      <c r="BP32" s="6">
        <f>-SUM(BP25:BP26)</f>
        <v>0</v>
      </c>
    </row>
    <row r="33" spans="2:68" x14ac:dyDescent="0.3">
      <c r="AK33" s="2" t="s">
        <v>3</v>
      </c>
      <c r="AL33" s="2" t="s">
        <v>0</v>
      </c>
      <c r="AM33" s="2">
        <v>0</v>
      </c>
      <c r="AN33" s="2">
        <v>0</v>
      </c>
      <c r="AO33" s="1">
        <v>0.44526724624376846</v>
      </c>
      <c r="AP33" s="1">
        <v>8.4707026249131651E-2</v>
      </c>
      <c r="AQ33" s="2">
        <v>0</v>
      </c>
      <c r="AR33" s="2">
        <v>0</v>
      </c>
      <c r="BE33" s="27"/>
      <c r="BF33" s="28" t="s">
        <v>65</v>
      </c>
      <c r="BG33" s="29">
        <f>SUM(BH25:BI25)</f>
        <v>6.5049399511501358</v>
      </c>
      <c r="BH33" s="29">
        <f>SUM(BG26,BI26)</f>
        <v>41.631615687360863</v>
      </c>
      <c r="BI33" s="29">
        <f>SUM(BG27:BH27)</f>
        <v>233.25704185730052</v>
      </c>
      <c r="BL33" s="27"/>
      <c r="BM33" s="28" t="s">
        <v>65</v>
      </c>
      <c r="BN33" s="29">
        <f>SUM(BO25:BP25)</f>
        <v>6.2089486998142558</v>
      </c>
      <c r="BO33" s="29">
        <f>SUM(BN26,BP26)</f>
        <v>24.83579479925702</v>
      </c>
      <c r="BP33" s="29">
        <f>SUM(BN27:BO27)</f>
        <v>125.62608376398887</v>
      </c>
    </row>
    <row r="34" spans="2:68" x14ac:dyDescent="0.3">
      <c r="B34" s="2" t="s">
        <v>107</v>
      </c>
      <c r="D34" s="2" t="s">
        <v>15</v>
      </c>
      <c r="E34" s="5">
        <f t="array" ref="E34:J34">MMULT(E60:J60,V25:V30*_xlfn.MUNIT(6))</f>
        <v>42.693006758101376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V34" s="7">
        <f>SUM(E34:J34)</f>
        <v>42.693006758101376</v>
      </c>
      <c r="AL34" s="2" t="s">
        <v>1</v>
      </c>
      <c r="AM34" s="2">
        <v>0</v>
      </c>
      <c r="AN34" s="2">
        <v>0</v>
      </c>
      <c r="AO34" s="1">
        <v>0.72317035378262395</v>
      </c>
      <c r="AP34" s="1">
        <v>8.598433111971214E-2</v>
      </c>
      <c r="AQ34" s="2">
        <v>0</v>
      </c>
      <c r="AR34" s="2">
        <v>0</v>
      </c>
      <c r="BF34" s="3" t="s">
        <v>21</v>
      </c>
      <c r="BG34" s="6">
        <f>SUM(BG31:BG33)</f>
        <v>-128.57700976021002</v>
      </c>
      <c r="BH34" s="6">
        <f t="shared" ref="BH34:BI34" si="3">SUM(BH31:BH33)</f>
        <v>41.448461210183794</v>
      </c>
      <c r="BI34" s="6">
        <f t="shared" si="3"/>
        <v>487.31109591135458</v>
      </c>
      <c r="BM34" s="3" t="s">
        <v>21</v>
      </c>
      <c r="BN34" s="6">
        <f>SUM(BN31:BN33)</f>
        <v>-61.506622062317163</v>
      </c>
      <c r="BO34" s="6">
        <f t="shared" ref="BO34:BP34" si="4">SUM(BO31:BO33)</f>
        <v>19.209711035268153</v>
      </c>
      <c r="BP34" s="6">
        <f t="shared" si="4"/>
        <v>245.62608376398885</v>
      </c>
    </row>
    <row r="35" spans="2:68" x14ac:dyDescent="0.3">
      <c r="B35" s="2" t="s">
        <v>108</v>
      </c>
      <c r="D35" s="2" t="s">
        <v>15</v>
      </c>
      <c r="E35" s="5">
        <f t="array" ref="E35:J35">MMULT(E61:J61,AX6:AX11*_xlfn.MUNIT(6))</f>
        <v>29.470822582165145</v>
      </c>
      <c r="F35" s="5">
        <v>1.6617677280261132</v>
      </c>
      <c r="G35" s="5">
        <v>0</v>
      </c>
      <c r="H35" s="5">
        <v>0</v>
      </c>
      <c r="I35" s="5">
        <v>0</v>
      </c>
      <c r="J35" s="5">
        <v>0</v>
      </c>
      <c r="V35" s="7">
        <f>SUM(E35:J35)</f>
        <v>31.132590310191258</v>
      </c>
      <c r="AK35" s="2" t="s">
        <v>51</v>
      </c>
      <c r="AL35" s="2" t="s">
        <v>0</v>
      </c>
      <c r="AM35" s="2">
        <v>0</v>
      </c>
      <c r="AN35" s="2">
        <v>0</v>
      </c>
      <c r="AO35" s="2">
        <v>0</v>
      </c>
      <c r="AP35" s="2">
        <v>0</v>
      </c>
      <c r="AQ35" s="1">
        <v>0.60927404516192241</v>
      </c>
      <c r="AR35" s="1">
        <v>0.14067047681844558</v>
      </c>
      <c r="BF35" s="2" t="s">
        <v>134</v>
      </c>
      <c r="BG35" s="6">
        <f>BG33+BG32</f>
        <v>-164.76507656716126</v>
      </c>
      <c r="BH35" s="6">
        <f t="shared" ref="BH35:BI35" si="5">BH33+BH32</f>
        <v>-68.491965290139248</v>
      </c>
      <c r="BI35" s="6">
        <f t="shared" si="5"/>
        <v>233.25704185730052</v>
      </c>
      <c r="BK35" s="3"/>
    </row>
    <row r="36" spans="2:68" x14ac:dyDescent="0.3">
      <c r="V36" s="6">
        <f>SUM(V34:V35)</f>
        <v>73.825597068292637</v>
      </c>
      <c r="AL36" s="2" t="s">
        <v>1</v>
      </c>
      <c r="AM36" s="2">
        <v>0</v>
      </c>
      <c r="AN36" s="2">
        <v>0</v>
      </c>
      <c r="AO36" s="2">
        <v>0</v>
      </c>
      <c r="AP36" s="2">
        <v>0</v>
      </c>
      <c r="AQ36" s="1">
        <v>0.80198560115062945</v>
      </c>
      <c r="AR36" s="1">
        <v>0.11572757962039533</v>
      </c>
    </row>
    <row r="37" spans="2:68" x14ac:dyDescent="0.3">
      <c r="B37" s="2" t="s">
        <v>18</v>
      </c>
      <c r="D37" s="2" t="s">
        <v>16</v>
      </c>
      <c r="E37" s="5">
        <f t="array" ref="E37:J37">MMULT(E16:J16,V25:V30*_xlfn.MUNIT(6))</f>
        <v>42.693006758101376</v>
      </c>
      <c r="F37" s="5">
        <v>0</v>
      </c>
      <c r="G37" s="5">
        <v>151.57204218768391</v>
      </c>
      <c r="H37" s="5">
        <v>0</v>
      </c>
      <c r="I37" s="5">
        <v>487.31109591135458</v>
      </c>
      <c r="J37" s="5">
        <v>0</v>
      </c>
      <c r="L37" s="12" t="s">
        <v>35</v>
      </c>
      <c r="M37" s="12" t="s">
        <v>35</v>
      </c>
      <c r="N37" s="12" t="s">
        <v>35</v>
      </c>
      <c r="P37" s="6">
        <f>SUM(E37:J37)</f>
        <v>681.57614485713987</v>
      </c>
      <c r="BG37" s="3" t="s">
        <v>2</v>
      </c>
      <c r="BH37" s="3" t="s">
        <v>3</v>
      </c>
      <c r="BI37" s="3" t="s">
        <v>51</v>
      </c>
    </row>
    <row r="38" spans="2:68" x14ac:dyDescent="0.3">
      <c r="B38" s="2" t="s">
        <v>64</v>
      </c>
      <c r="D38" s="2" t="s">
        <v>16</v>
      </c>
      <c r="E38" s="5">
        <f t="array" ref="E38:J38">MMULT(E17:J17,P25:P30*_xlfn.MUNIT(6))</f>
        <v>92.434073615804408</v>
      </c>
      <c r="F38" s="5">
        <v>4.8794018612100647</v>
      </c>
      <c r="G38" s="5">
        <v>194.26958861246698</v>
      </c>
      <c r="H38" s="5">
        <v>8.9119996865773192</v>
      </c>
      <c r="I38" s="5">
        <v>364.86486486486484</v>
      </c>
      <c r="J38" s="5">
        <v>16.216216216216218</v>
      </c>
      <c r="BE38" s="2" t="s">
        <v>2</v>
      </c>
      <c r="BF38" s="2" t="s">
        <v>0</v>
      </c>
      <c r="BG38" s="6">
        <f t="array" ref="BG38:BI43">MMULT(E16:J16*_xlfn.MUNIT(6),R25:T30)</f>
        <v>36.188066806951241</v>
      </c>
      <c r="BH38" s="6">
        <v>6.5049399511501358</v>
      </c>
      <c r="BI38" s="6">
        <v>0</v>
      </c>
    </row>
    <row r="39" spans="2:68" x14ac:dyDescent="0.3">
      <c r="AL39" s="2" t="s">
        <v>123</v>
      </c>
      <c r="BF39" s="2" t="s">
        <v>1</v>
      </c>
      <c r="BG39" s="6">
        <v>0</v>
      </c>
      <c r="BH39" s="6">
        <v>0</v>
      </c>
      <c r="BI39" s="6">
        <v>0</v>
      </c>
    </row>
    <row r="40" spans="2:68" x14ac:dyDescent="0.3">
      <c r="AL40" s="2" t="s">
        <v>49</v>
      </c>
      <c r="AM40" s="2" t="s">
        <v>2</v>
      </c>
      <c r="AO40" s="2" t="s">
        <v>3</v>
      </c>
      <c r="AQ40" s="2" t="s">
        <v>51</v>
      </c>
      <c r="BE40" s="2" t="s">
        <v>3</v>
      </c>
      <c r="BF40" s="2" t="s">
        <v>0</v>
      </c>
      <c r="BG40" s="6">
        <v>41.631615687360863</v>
      </c>
      <c r="BH40" s="6">
        <v>109.94042650032304</v>
      </c>
      <c r="BI40" s="6">
        <v>0</v>
      </c>
    </row>
    <row r="41" spans="2:68" x14ac:dyDescent="0.3">
      <c r="E41" s="2" t="s">
        <v>55</v>
      </c>
      <c r="AM41" s="3" t="s">
        <v>0</v>
      </c>
      <c r="AN41" s="3" t="s">
        <v>1</v>
      </c>
      <c r="AO41" s="3" t="s">
        <v>0</v>
      </c>
      <c r="AP41" s="3" t="s">
        <v>1</v>
      </c>
      <c r="AQ41" s="3" t="s">
        <v>0</v>
      </c>
      <c r="AR41" s="3" t="s">
        <v>1</v>
      </c>
      <c r="BF41" s="2" t="s">
        <v>1</v>
      </c>
      <c r="BG41" s="6">
        <v>0</v>
      </c>
      <c r="BH41" s="6">
        <v>0</v>
      </c>
      <c r="BI41" s="6">
        <v>0</v>
      </c>
    </row>
    <row r="42" spans="2:68" x14ac:dyDescent="0.3">
      <c r="B42" s="2" t="s">
        <v>26</v>
      </c>
      <c r="C42" s="2" t="s">
        <v>100</v>
      </c>
      <c r="D42" s="42" t="s">
        <v>20</v>
      </c>
      <c r="E42" s="9">
        <v>1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P42" s="2" t="s">
        <v>126</v>
      </c>
      <c r="T42" s="2" t="s">
        <v>129</v>
      </c>
      <c r="AJ42" s="2" t="s">
        <v>50</v>
      </c>
      <c r="AM42" s="2">
        <f t="array" ref="AM42:AR42">E43:J43</f>
        <v>1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BE42" s="2" t="s">
        <v>51</v>
      </c>
      <c r="BF42" s="2" t="s">
        <v>0</v>
      </c>
      <c r="BG42" s="6">
        <v>129.63840083095053</v>
      </c>
      <c r="BH42" s="6">
        <v>103.61864102634998</v>
      </c>
      <c r="BI42" s="6">
        <v>254.05405405405406</v>
      </c>
    </row>
    <row r="43" spans="2:68" x14ac:dyDescent="0.3">
      <c r="B43" s="2" t="s">
        <v>27</v>
      </c>
      <c r="C43" s="2" t="s">
        <v>99</v>
      </c>
      <c r="D43" s="42" t="s">
        <v>20</v>
      </c>
      <c r="E43" s="9">
        <v>1</v>
      </c>
      <c r="F43" s="9">
        <v>1</v>
      </c>
      <c r="G43" s="9">
        <v>0</v>
      </c>
      <c r="H43" s="9">
        <v>0</v>
      </c>
      <c r="I43" s="9">
        <v>0</v>
      </c>
      <c r="J43" s="9">
        <v>0</v>
      </c>
      <c r="T43" s="2" t="s">
        <v>128</v>
      </c>
      <c r="AJ43" s="2" t="s">
        <v>2</v>
      </c>
      <c r="AK43" s="2" t="s">
        <v>0</v>
      </c>
      <c r="AL43" s="2">
        <f t="array" ref="AL43:AL48">TRANSPOSE(E42:J42)</f>
        <v>1</v>
      </c>
      <c r="AM43" s="1">
        <f t="shared" ref="AM43:AR48" si="6">IF(AND($AL43&lt;&gt;0,AM$42&lt;&gt;0),AM$42-$AL43,1)</f>
        <v>0</v>
      </c>
      <c r="AN43" s="1">
        <f t="shared" si="6"/>
        <v>0</v>
      </c>
      <c r="AO43" s="1">
        <f t="shared" si="6"/>
        <v>1</v>
      </c>
      <c r="AP43" s="1">
        <f t="shared" si="6"/>
        <v>1</v>
      </c>
      <c r="AQ43" s="1">
        <f t="shared" si="6"/>
        <v>1</v>
      </c>
      <c r="AR43" s="1">
        <f t="shared" si="6"/>
        <v>1</v>
      </c>
      <c r="BF43" s="2" t="s">
        <v>1</v>
      </c>
      <c r="BG43" s="6">
        <v>0</v>
      </c>
      <c r="BH43" s="6">
        <v>0</v>
      </c>
      <c r="BI43" s="6">
        <v>0</v>
      </c>
    </row>
    <row r="44" spans="2:68" x14ac:dyDescent="0.3">
      <c r="T44" s="2" t="s">
        <v>130</v>
      </c>
      <c r="AK44" s="2" t="s">
        <v>1</v>
      </c>
      <c r="AL44" s="2">
        <v>1</v>
      </c>
      <c r="AM44" s="1">
        <f t="shared" si="6"/>
        <v>0</v>
      </c>
      <c r="AN44" s="1">
        <f t="shared" si="6"/>
        <v>0</v>
      </c>
      <c r="AO44" s="1">
        <f t="shared" si="6"/>
        <v>1</v>
      </c>
      <c r="AP44" s="1">
        <f t="shared" si="6"/>
        <v>1</v>
      </c>
      <c r="AQ44" s="1">
        <f t="shared" si="6"/>
        <v>1</v>
      </c>
      <c r="AR44" s="1">
        <f t="shared" si="6"/>
        <v>1</v>
      </c>
    </row>
    <row r="45" spans="2:68" x14ac:dyDescent="0.3">
      <c r="T45" s="2" t="s">
        <v>131</v>
      </c>
      <c r="AJ45" s="2" t="s">
        <v>3</v>
      </c>
      <c r="AK45" s="2" t="s">
        <v>0</v>
      </c>
      <c r="AL45" s="2">
        <v>0</v>
      </c>
      <c r="AM45" s="1">
        <f t="shared" si="6"/>
        <v>1</v>
      </c>
      <c r="AN45" s="1">
        <f t="shared" si="6"/>
        <v>1</v>
      </c>
      <c r="AO45" s="1">
        <f t="shared" si="6"/>
        <v>1</v>
      </c>
      <c r="AP45" s="1">
        <f t="shared" si="6"/>
        <v>1</v>
      </c>
      <c r="AQ45" s="1">
        <f t="shared" si="6"/>
        <v>1</v>
      </c>
      <c r="AR45" s="1">
        <f t="shared" si="6"/>
        <v>1</v>
      </c>
    </row>
    <row r="46" spans="2:68" x14ac:dyDescent="0.3">
      <c r="E46" s="2" t="s">
        <v>2</v>
      </c>
      <c r="G46" s="2" t="s">
        <v>3</v>
      </c>
      <c r="I46" s="2" t="s">
        <v>51</v>
      </c>
      <c r="T46" s="2" t="s">
        <v>132</v>
      </c>
      <c r="AK46" s="2" t="s">
        <v>1</v>
      </c>
      <c r="AL46" s="2">
        <v>0</v>
      </c>
      <c r="AM46" s="1">
        <f t="shared" si="6"/>
        <v>1</v>
      </c>
      <c r="AN46" s="1">
        <f t="shared" si="6"/>
        <v>1</v>
      </c>
      <c r="AO46" s="1">
        <f t="shared" si="6"/>
        <v>1</v>
      </c>
      <c r="AP46" s="1">
        <f t="shared" si="6"/>
        <v>1</v>
      </c>
      <c r="AQ46" s="1">
        <f t="shared" si="6"/>
        <v>1</v>
      </c>
      <c r="AR46" s="1">
        <f t="shared" si="6"/>
        <v>1</v>
      </c>
    </row>
    <row r="47" spans="2:68" x14ac:dyDescent="0.3">
      <c r="E47" s="3" t="s">
        <v>0</v>
      </c>
      <c r="F47" s="3" t="s">
        <v>1</v>
      </c>
      <c r="G47" s="3" t="s">
        <v>0</v>
      </c>
      <c r="H47" s="3" t="s">
        <v>1</v>
      </c>
      <c r="I47" s="3" t="s">
        <v>0</v>
      </c>
      <c r="J47" s="3" t="s">
        <v>1</v>
      </c>
      <c r="T47" s="2" t="s">
        <v>133</v>
      </c>
      <c r="AJ47" s="2" t="s">
        <v>51</v>
      </c>
      <c r="AK47" s="2" t="s">
        <v>0</v>
      </c>
      <c r="AL47" s="2">
        <v>0</v>
      </c>
      <c r="AM47" s="1">
        <f t="shared" si="6"/>
        <v>1</v>
      </c>
      <c r="AN47" s="1">
        <f t="shared" si="6"/>
        <v>1</v>
      </c>
      <c r="AO47" s="1">
        <f t="shared" si="6"/>
        <v>1</v>
      </c>
      <c r="AP47" s="1">
        <f t="shared" si="6"/>
        <v>1</v>
      </c>
      <c r="AQ47" s="1">
        <f t="shared" si="6"/>
        <v>1</v>
      </c>
      <c r="AR47" s="1">
        <f t="shared" si="6"/>
        <v>1</v>
      </c>
    </row>
    <row r="48" spans="2:68" x14ac:dyDescent="0.3">
      <c r="B48" s="2" t="s">
        <v>70</v>
      </c>
      <c r="D48" s="2" t="s">
        <v>71</v>
      </c>
      <c r="E48" s="40">
        <f t="shared" ref="E48:J48" si="7">SUM(E53:E55)</f>
        <v>1.9748499192212343</v>
      </c>
      <c r="F48" s="40">
        <f t="shared" si="7"/>
        <v>1.1356509061536699</v>
      </c>
      <c r="G48" s="40">
        <f t="shared" si="7"/>
        <v>1.0528599714189506</v>
      </c>
      <c r="H48" s="40">
        <f t="shared" si="7"/>
        <v>1.0198440534441331</v>
      </c>
      <c r="I48" s="40">
        <f t="shared" si="7"/>
        <v>1</v>
      </c>
      <c r="J48" s="40">
        <f t="shared" si="7"/>
        <v>0.99999999999999989</v>
      </c>
      <c r="L48" s="2" t="s">
        <v>124</v>
      </c>
      <c r="AK48" s="2" t="s">
        <v>1</v>
      </c>
      <c r="AL48" s="2">
        <v>0</v>
      </c>
      <c r="AM48" s="1">
        <f t="shared" si="6"/>
        <v>1</v>
      </c>
      <c r="AN48" s="1">
        <f t="shared" si="6"/>
        <v>1</v>
      </c>
      <c r="AO48" s="1">
        <f t="shared" si="6"/>
        <v>1</v>
      </c>
      <c r="AP48" s="1">
        <f t="shared" si="6"/>
        <v>1</v>
      </c>
      <c r="AQ48" s="1">
        <f t="shared" si="6"/>
        <v>1</v>
      </c>
      <c r="AR48" s="1">
        <f t="shared" si="6"/>
        <v>1</v>
      </c>
    </row>
    <row r="49" spans="2:17" x14ac:dyDescent="0.3">
      <c r="B49" s="2" t="s">
        <v>125</v>
      </c>
      <c r="D49" s="2" t="s">
        <v>71</v>
      </c>
      <c r="E49" s="43">
        <f t="array" ref="E49:J49">E48:J48*TRANSPOSE(V25:V30)/SUM(V25:V30)</f>
        <v>0.14442381458607781</v>
      </c>
      <c r="F49" s="43">
        <v>3.3088030102677142E-2</v>
      </c>
      <c r="G49" s="43">
        <v>0.17085107153381263</v>
      </c>
      <c r="H49" s="43">
        <v>7.8708122840765213E-2</v>
      </c>
      <c r="I49" s="43">
        <v>0.41737292936852133</v>
      </c>
      <c r="J49" s="43">
        <v>0.24090985596546219</v>
      </c>
      <c r="L49" s="45">
        <f>SUM(E49:J49)</f>
        <v>1.0853538243973162</v>
      </c>
      <c r="O49" s="3" t="s">
        <v>2</v>
      </c>
      <c r="P49" s="3" t="s">
        <v>3</v>
      </c>
      <c r="Q49" s="3" t="s">
        <v>51</v>
      </c>
    </row>
    <row r="50" spans="2:17" x14ac:dyDescent="0.3">
      <c r="B50" s="2" t="s">
        <v>127</v>
      </c>
      <c r="D50" s="2" t="s">
        <v>71</v>
      </c>
      <c r="E50" s="2">
        <f t="array" ref="E50:F50">E48:F48*TRANSPOSE($V$25:$V$26)/SUM($V$25:$V$26)</f>
        <v>1.4122191847584658</v>
      </c>
      <c r="F50" s="2">
        <v>0.32354463860955757</v>
      </c>
      <c r="G50" s="2">
        <f t="array" ref="G50:H50">G48:H48*TRANSPOSE($V$27:$V$28)/SUM($V$27:$V$28)</f>
        <v>0.71351479660897099</v>
      </c>
      <c r="H50" s="2">
        <v>0.32870388084799435</v>
      </c>
      <c r="I50" s="2">
        <f t="array" ref="I50:J50">I48:J48*TRANSPOSE($V$29:$V$30)/SUM($V$29:$V$30)</f>
        <v>0.63403287867654745</v>
      </c>
      <c r="J50" s="2">
        <v>0.36596712132345249</v>
      </c>
      <c r="O50" s="45">
        <f>SUM(E50:F50)</f>
        <v>1.7357638233680233</v>
      </c>
      <c r="P50" s="45">
        <f>SUM(G50:H50)</f>
        <v>1.0422186774569653</v>
      </c>
      <c r="Q50" s="45">
        <f>SUM(I50:J50)</f>
        <v>1</v>
      </c>
    </row>
    <row r="52" spans="2:17" x14ac:dyDescent="0.3">
      <c r="B52" s="2" t="s">
        <v>101</v>
      </c>
      <c r="D52" s="2" t="s">
        <v>83</v>
      </c>
    </row>
    <row r="53" spans="2:17" x14ac:dyDescent="0.3">
      <c r="B53" s="2" t="s">
        <v>77</v>
      </c>
      <c r="D53" s="2" t="s">
        <v>71</v>
      </c>
      <c r="E53" s="2">
        <f t="array" ref="E53:J53">MMULT(E13:J13,MINVERSE(_xlfn.MUNIT(6)-E6:J11))</f>
        <v>1</v>
      </c>
      <c r="F53" s="2">
        <v>0.99999999999999978</v>
      </c>
      <c r="G53" s="2">
        <v>1</v>
      </c>
      <c r="H53" s="2">
        <v>0.99999999999999978</v>
      </c>
      <c r="I53" s="2">
        <v>1</v>
      </c>
      <c r="J53" s="2">
        <v>0.99999999999999989</v>
      </c>
    </row>
    <row r="54" spans="2:17" x14ac:dyDescent="0.3">
      <c r="B54" s="2" t="s">
        <v>80</v>
      </c>
      <c r="D54" s="2" t="s">
        <v>71</v>
      </c>
      <c r="E54" s="2">
        <f t="array" ref="E54:J54">MMULT(MMULT(E16:J16,E42:J42*_xlfn.MUNIT(6)),MINVERSE(_xlfn.MUNIT(6)-E6:J11))</f>
        <v>0.69298970567156626</v>
      </c>
      <c r="F54" s="2">
        <v>7.4786007941264457E-2</v>
      </c>
      <c r="G54" s="2">
        <v>3.6764504045945993E-2</v>
      </c>
      <c r="H54" s="2">
        <v>1.3857840760339335E-2</v>
      </c>
      <c r="I54" s="2">
        <v>0</v>
      </c>
      <c r="J54" s="2">
        <v>0</v>
      </c>
    </row>
    <row r="55" spans="2:17" x14ac:dyDescent="0.3">
      <c r="B55" s="2" t="s">
        <v>81</v>
      </c>
      <c r="D55" s="2" t="s">
        <v>71</v>
      </c>
      <c r="E55" s="2">
        <f t="array" ref="E55:J55">MMULT(MMULT(MMULT(E18:J18,E43:J43*_xlfn.MUNIT(6)),AM31:AR36),MINVERSE(_xlfn.MUNIT(6)-E6:J11))</f>
        <v>0.28186021354966789</v>
      </c>
      <c r="F55" s="2">
        <v>6.0864898212405545E-2</v>
      </c>
      <c r="G55" s="2">
        <v>1.6095467373004803E-2</v>
      </c>
      <c r="H55" s="2">
        <v>5.9862126837939749E-3</v>
      </c>
      <c r="I55" s="2">
        <v>0</v>
      </c>
      <c r="J55" s="2">
        <v>0</v>
      </c>
    </row>
    <row r="57" spans="2:17" x14ac:dyDescent="0.3">
      <c r="B57" s="2" t="s">
        <v>102</v>
      </c>
      <c r="D57" s="2" t="s">
        <v>82</v>
      </c>
    </row>
    <row r="58" spans="2:17" x14ac:dyDescent="0.3">
      <c r="B58" s="2" t="s">
        <v>22</v>
      </c>
      <c r="D58" s="2" t="s">
        <v>12</v>
      </c>
      <c r="E58" s="2">
        <f t="array" ref="E58:J58">MMULT(E48:J48,E6:J11)</f>
        <v>1.1777161824534681</v>
      </c>
      <c r="F58" s="2">
        <v>0.40677881715544761</v>
      </c>
      <c r="G58" s="2">
        <v>0.95285997141895074</v>
      </c>
      <c r="H58" s="2">
        <v>0.31984405344413336</v>
      </c>
      <c r="I58" s="2">
        <v>0.89999999999999991</v>
      </c>
      <c r="J58" s="2">
        <v>0.3</v>
      </c>
    </row>
    <row r="59" spans="2:17" x14ac:dyDescent="0.3">
      <c r="B59" s="2" t="s">
        <v>5</v>
      </c>
      <c r="D59" s="2" t="s">
        <v>12</v>
      </c>
      <c r="E59" s="33">
        <f t="array" ref="E59:J59">E13:J13</f>
        <v>0.1</v>
      </c>
      <c r="F59" s="33">
        <v>0.7</v>
      </c>
      <c r="G59" s="33">
        <v>0.1</v>
      </c>
      <c r="H59" s="33">
        <v>0.7</v>
      </c>
      <c r="I59" s="33">
        <v>0.1</v>
      </c>
      <c r="J59" s="33">
        <v>0.7</v>
      </c>
    </row>
    <row r="60" spans="2:17" x14ac:dyDescent="0.3">
      <c r="B60" s="30" t="s">
        <v>92</v>
      </c>
      <c r="D60" s="2" t="s">
        <v>12</v>
      </c>
      <c r="E60" s="2">
        <f t="array" ref="E60:J60">MMULT(E16:J16,E42:J42*_xlfn.MUNIT(6))</f>
        <v>0.5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2:17" x14ac:dyDescent="0.3">
      <c r="B61" s="30" t="s">
        <v>89</v>
      </c>
      <c r="D61" s="2" t="s">
        <v>12</v>
      </c>
      <c r="E61" s="2">
        <f t="array" ref="E61:J61">MMULT(MMULT(E18:J18,E43:J43*_xlfn.MUNIT(6)),AM31:AR36)</f>
        <v>0.1971337367677658</v>
      </c>
      <c r="F61" s="2">
        <v>2.8872088998222419E-2</v>
      </c>
      <c r="G61" s="2">
        <v>0</v>
      </c>
      <c r="H61" s="2">
        <v>0</v>
      </c>
      <c r="I61" s="2">
        <v>0</v>
      </c>
      <c r="J61" s="2">
        <v>0</v>
      </c>
    </row>
    <row r="63" spans="2:17" x14ac:dyDescent="0.3">
      <c r="B63" s="2" t="s">
        <v>115</v>
      </c>
      <c r="D63" s="2" t="s">
        <v>86</v>
      </c>
      <c r="E63" s="2" t="s">
        <v>112</v>
      </c>
      <c r="G63" s="2" t="s">
        <v>113</v>
      </c>
      <c r="I63" s="2" t="s">
        <v>114</v>
      </c>
    </row>
    <row r="64" spans="2:17" x14ac:dyDescent="0.3">
      <c r="B64" s="2" t="s">
        <v>109</v>
      </c>
      <c r="E64" s="1">
        <f t="array" ref="E64:F64">E48:F48</f>
        <v>1.9748499192212343</v>
      </c>
      <c r="F64" s="1">
        <v>1.1356509061536699</v>
      </c>
      <c r="G64" s="2">
        <f t="array" ref="G64:H64">E48:F48+E17:F17*G43:H43</f>
        <v>1.9748499192212343</v>
      </c>
      <c r="H64" s="2">
        <v>1.1356509061536699</v>
      </c>
      <c r="I64" s="2">
        <f t="array" ref="I64:J64">E48:F48+E17:F17*I43:J43</f>
        <v>1.9748499192212343</v>
      </c>
      <c r="J64" s="2">
        <v>1.1356509061536699</v>
      </c>
    </row>
    <row r="65" spans="2:10" x14ac:dyDescent="0.3">
      <c r="B65" s="2" t="s">
        <v>110</v>
      </c>
      <c r="E65" s="2">
        <f t="array" ref="E65:F65">G48:H48+G17:H17*E43:F43</f>
        <v>3.0978030094449185</v>
      </c>
      <c r="F65" s="2">
        <v>1.4888966685271499</v>
      </c>
      <c r="G65" s="1">
        <f t="array" ref="G65:H65">G48:H48</f>
        <v>1.0528599714189506</v>
      </c>
      <c r="H65" s="1">
        <v>1.0198440534441331</v>
      </c>
      <c r="I65" s="2">
        <f t="array" ref="I65:J65">G48:H48+G17:H17*I43:J43</f>
        <v>1.0528599714189506</v>
      </c>
      <c r="J65" s="2">
        <v>1.0198440534441331</v>
      </c>
    </row>
    <row r="66" spans="2:10" x14ac:dyDescent="0.3">
      <c r="B66" s="2" t="s">
        <v>111</v>
      </c>
      <c r="E66" s="2">
        <f t="array" ref="E66:F66">I48:J48+I17:J17*E43:F43</f>
        <v>3.4324324324324325</v>
      </c>
      <c r="F66" s="2">
        <v>1.5405405405405403</v>
      </c>
      <c r="G66" s="2">
        <f t="array" ref="G66:H66">I48:J48+I17:J17*G43:H43</f>
        <v>1</v>
      </c>
      <c r="H66" s="2">
        <v>0.99999999999999989</v>
      </c>
      <c r="I66" s="1">
        <f t="array" ref="I66:J66">I48:J48</f>
        <v>1</v>
      </c>
      <c r="J66" s="1">
        <v>0.99999999999999989</v>
      </c>
    </row>
    <row r="68" spans="2:10" x14ac:dyDescent="0.3">
      <c r="B68" s="2" t="s">
        <v>109</v>
      </c>
      <c r="E68" s="44">
        <v>0</v>
      </c>
      <c r="F68" s="44">
        <v>0</v>
      </c>
      <c r="G68" s="13">
        <f t="array" ref="G68:H68">(G64:H64-G65:H65)/G65:H65</f>
        <v>0.87570044719214468</v>
      </c>
      <c r="H68" s="13">
        <v>0.11355349116214729</v>
      </c>
      <c r="I68" s="13">
        <f t="array" ref="I68:J68">(I64:J64-I66:J66)/I66:J66</f>
        <v>0.97484991922123432</v>
      </c>
      <c r="J68" s="13">
        <v>0.13565090615367006</v>
      </c>
    </row>
    <row r="69" spans="2:10" x14ac:dyDescent="0.3">
      <c r="B69" s="2" t="s">
        <v>110</v>
      </c>
      <c r="E69" s="13">
        <f t="array" ref="E69:F69">(E65:F65-E64:F64)/E64:F64</f>
        <v>0.56862705327324892</v>
      </c>
      <c r="F69" s="13">
        <v>0.31105136310759979</v>
      </c>
      <c r="G69" s="44">
        <v>0</v>
      </c>
      <c r="H69" s="44">
        <v>0</v>
      </c>
      <c r="I69" s="13">
        <f t="array" ref="I69:J69">(I65:J65-I66:J66)/I66:J66</f>
        <v>5.2859971418950602E-2</v>
      </c>
      <c r="J69" s="13">
        <v>1.9844053444133206E-2</v>
      </c>
    </row>
    <row r="70" spans="2:10" x14ac:dyDescent="0.3">
      <c r="B70" s="2" t="s">
        <v>111</v>
      </c>
      <c r="E70" s="13">
        <f t="array" ref="E70:F70">(E66:F66-E64:F64)/E64:F64</f>
        <v>0.73807254871599748</v>
      </c>
      <c r="F70" s="13">
        <v>0.35652649259814267</v>
      </c>
      <c r="G70" s="13">
        <f t="array" ref="G70:H70">(G66:H66-G65:H65)/G65:H65</f>
        <v>-5.0206079491948635E-2</v>
      </c>
      <c r="H70" s="13">
        <v>-1.9457929256063714E-2</v>
      </c>
      <c r="I70" s="44">
        <v>0</v>
      </c>
      <c r="J70" s="44">
        <v>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0A04-6216-434E-B8CD-2521AC19D942}">
  <dimension ref="A1:BQ103"/>
  <sheetViews>
    <sheetView showGridLines="0" tabSelected="1" topLeftCell="A34" zoomScale="130" zoomScaleNormal="130" workbookViewId="0">
      <selection activeCell="E34" sqref="E34"/>
    </sheetView>
  </sheetViews>
  <sheetFormatPr defaultColWidth="9.109375" defaultRowHeight="14.4" x14ac:dyDescent="0.3"/>
  <cols>
    <col min="1" max="1" width="7.109375" style="2" customWidth="1"/>
    <col min="2" max="2" width="8.5546875" style="2" customWidth="1"/>
    <col min="3" max="3" width="22" style="2" customWidth="1"/>
    <col min="4" max="4" width="9.109375" style="2"/>
    <col min="5" max="6" width="5.5546875" style="2" customWidth="1"/>
    <col min="7" max="7" width="6" style="2" bestFit="1" customWidth="1"/>
    <col min="8" max="21" width="5.5546875" style="2" customWidth="1"/>
    <col min="22" max="22" width="11.5546875" style="2" bestFit="1" customWidth="1"/>
    <col min="23" max="25" width="5.5546875" style="2" customWidth="1"/>
    <col min="26" max="26" width="7.109375" style="2" bestFit="1" customWidth="1"/>
    <col min="27" max="27" width="7.5546875" style="2" customWidth="1"/>
    <col min="28" max="83" width="5.5546875" style="2" customWidth="1"/>
    <col min="84" max="16384" width="9.109375" style="2"/>
  </cols>
  <sheetData>
    <row r="1" spans="1:62" x14ac:dyDescent="0.3">
      <c r="A1" s="2" t="s">
        <v>25</v>
      </c>
      <c r="E1" s="10"/>
    </row>
    <row r="2" spans="1:62" x14ac:dyDescent="0.3">
      <c r="E2" s="10"/>
      <c r="AL2" s="2" t="s">
        <v>123</v>
      </c>
    </row>
    <row r="3" spans="1:62" x14ac:dyDescent="0.3">
      <c r="E3" s="2" t="s">
        <v>53</v>
      </c>
      <c r="L3" s="2" t="s">
        <v>52</v>
      </c>
      <c r="S3" s="2" t="s">
        <v>60</v>
      </c>
      <c r="Y3" s="2" t="s">
        <v>54</v>
      </c>
      <c r="AD3" s="2" t="s">
        <v>63</v>
      </c>
      <c r="AL3" s="2" t="s">
        <v>49</v>
      </c>
      <c r="AM3" s="2" t="s">
        <v>2</v>
      </c>
      <c r="AO3" s="2" t="s">
        <v>3</v>
      </c>
      <c r="AQ3" s="2" t="s">
        <v>51</v>
      </c>
    </row>
    <row r="4" spans="1:62" x14ac:dyDescent="0.3">
      <c r="A4" s="2" t="s">
        <v>8</v>
      </c>
      <c r="E4" s="2" t="s">
        <v>2</v>
      </c>
      <c r="G4" s="2" t="s">
        <v>3</v>
      </c>
      <c r="I4" s="2" t="s">
        <v>51</v>
      </c>
      <c r="L4" s="2" t="s">
        <v>2</v>
      </c>
      <c r="N4" s="2" t="s">
        <v>3</v>
      </c>
      <c r="P4" s="2" t="s">
        <v>51</v>
      </c>
      <c r="S4" s="3" t="s">
        <v>2</v>
      </c>
      <c r="T4" s="3" t="s">
        <v>3</v>
      </c>
      <c r="U4" s="3" t="s">
        <v>51</v>
      </c>
      <c r="Z4" s="2" t="s">
        <v>2</v>
      </c>
      <c r="AA4" s="2" t="s">
        <v>3</v>
      </c>
      <c r="AB4" s="2" t="s">
        <v>51</v>
      </c>
      <c r="AF4" s="3" t="s">
        <v>2</v>
      </c>
      <c r="AG4" s="3" t="s">
        <v>3</v>
      </c>
      <c r="AH4" s="3" t="s">
        <v>51</v>
      </c>
      <c r="AM4" s="3" t="s">
        <v>0</v>
      </c>
      <c r="AN4" s="3" t="s">
        <v>1</v>
      </c>
      <c r="AO4" s="3" t="s">
        <v>0</v>
      </c>
      <c r="AP4" s="3" t="s">
        <v>1</v>
      </c>
      <c r="AQ4" s="3" t="s">
        <v>0</v>
      </c>
      <c r="AR4" s="3" t="s">
        <v>1</v>
      </c>
    </row>
    <row r="5" spans="1:62" x14ac:dyDescent="0.3">
      <c r="B5" s="2" t="s">
        <v>9</v>
      </c>
      <c r="C5" s="2" t="s">
        <v>10</v>
      </c>
      <c r="D5" s="2" t="s">
        <v>56</v>
      </c>
      <c r="E5" s="3" t="s">
        <v>0</v>
      </c>
      <c r="F5" s="3" t="s">
        <v>1</v>
      </c>
      <c r="G5" s="3" t="s">
        <v>0</v>
      </c>
      <c r="H5" s="3" t="s">
        <v>1</v>
      </c>
      <c r="I5" s="3" t="s">
        <v>0</v>
      </c>
      <c r="J5" s="3" t="s">
        <v>1</v>
      </c>
      <c r="L5" s="3" t="s">
        <v>0</v>
      </c>
      <c r="M5" s="3" t="s">
        <v>1</v>
      </c>
      <c r="N5" s="3" t="s">
        <v>0</v>
      </c>
      <c r="O5" s="3" t="s">
        <v>1</v>
      </c>
      <c r="P5" s="3" t="s">
        <v>0</v>
      </c>
      <c r="Q5" s="3" t="s">
        <v>1</v>
      </c>
      <c r="S5" s="3" t="s">
        <v>4</v>
      </c>
      <c r="T5" s="3" t="s">
        <v>4</v>
      </c>
      <c r="U5" s="3" t="s">
        <v>4</v>
      </c>
      <c r="Y5" s="2" t="s">
        <v>2</v>
      </c>
      <c r="Z5" s="1">
        <f>1-Z6-Z7</f>
        <v>0.7</v>
      </c>
      <c r="AA5" s="19">
        <v>0</v>
      </c>
      <c r="AB5" s="19">
        <v>0</v>
      </c>
      <c r="AF5" s="3" t="s">
        <v>4</v>
      </c>
      <c r="AG5" s="3" t="s">
        <v>4</v>
      </c>
      <c r="AH5" s="3" t="s">
        <v>4</v>
      </c>
      <c r="AJ5" s="2" t="s">
        <v>50</v>
      </c>
      <c r="AM5" s="2">
        <f t="array" ref="AM5:AR5">E43:J43</f>
        <v>0</v>
      </c>
      <c r="AN5" s="2">
        <v>0</v>
      </c>
      <c r="AO5" s="2">
        <v>1</v>
      </c>
      <c r="AP5" s="2">
        <v>1</v>
      </c>
      <c r="AQ5" s="2">
        <v>0</v>
      </c>
      <c r="AR5" s="2">
        <v>0</v>
      </c>
    </row>
    <row r="6" spans="1:62" x14ac:dyDescent="0.3">
      <c r="A6" s="2" t="s">
        <v>2</v>
      </c>
      <c r="B6" s="2" t="s">
        <v>0</v>
      </c>
      <c r="D6" s="2" t="s">
        <v>12</v>
      </c>
      <c r="E6" s="1">
        <f t="array" ref="E6:F7">L6:M7*Z5</f>
        <v>0.35</v>
      </c>
      <c r="F6" s="1">
        <v>0.13999999999999999</v>
      </c>
      <c r="G6" s="2">
        <f t="array" ref="G6:H7">N8:O9*AA5</f>
        <v>0</v>
      </c>
      <c r="H6" s="2">
        <v>0</v>
      </c>
      <c r="I6" s="2">
        <f t="array" ref="I6:J7">P10:Q11*AB5</f>
        <v>0</v>
      </c>
      <c r="J6" s="2">
        <v>0</v>
      </c>
      <c r="L6" s="9">
        <v>0.5</v>
      </c>
      <c r="M6" s="9">
        <v>0.2</v>
      </c>
      <c r="N6" s="2">
        <v>0</v>
      </c>
      <c r="O6" s="2">
        <v>0</v>
      </c>
      <c r="P6" s="2">
        <v>0</v>
      </c>
      <c r="Q6" s="2">
        <v>0</v>
      </c>
      <c r="S6" s="20">
        <v>100</v>
      </c>
      <c r="T6" s="21"/>
      <c r="U6" s="21"/>
      <c r="Y6" s="2" t="s">
        <v>3</v>
      </c>
      <c r="Z6" s="19">
        <v>0</v>
      </c>
      <c r="AA6" s="1">
        <f>1-AA5-AA7</f>
        <v>1</v>
      </c>
      <c r="AB6" s="19">
        <v>0</v>
      </c>
      <c r="AD6" s="2" t="s">
        <v>2</v>
      </c>
      <c r="AE6" s="2" t="s">
        <v>0</v>
      </c>
      <c r="AF6" s="22">
        <v>1</v>
      </c>
      <c r="AG6" s="23">
        <v>0</v>
      </c>
      <c r="AH6" s="23">
        <v>0</v>
      </c>
      <c r="AJ6" s="2" t="s">
        <v>2</v>
      </c>
      <c r="AK6" s="2" t="s">
        <v>0</v>
      </c>
      <c r="AL6" s="2">
        <f t="array" ref="AL6:AL11">TRANSPOSE(E42:J42)</f>
        <v>1</v>
      </c>
      <c r="AM6" s="1">
        <f t="shared" ref="AM6:AR11" si="0">IF(AND($AL6&lt;&gt;0,AM$5&lt;&gt;0),AM$5-$AL6,1)</f>
        <v>1</v>
      </c>
      <c r="AN6" s="1">
        <f t="shared" si="0"/>
        <v>1</v>
      </c>
      <c r="AO6" s="1">
        <f t="shared" si="0"/>
        <v>0</v>
      </c>
      <c r="AP6" s="1">
        <f t="shared" si="0"/>
        <v>0</v>
      </c>
      <c r="AQ6" s="1">
        <f t="shared" si="0"/>
        <v>1</v>
      </c>
      <c r="AR6" s="1">
        <f t="shared" si="0"/>
        <v>1</v>
      </c>
      <c r="BJ6" s="6"/>
    </row>
    <row r="7" spans="1:62" x14ac:dyDescent="0.3">
      <c r="B7" s="2" t="s">
        <v>1</v>
      </c>
      <c r="D7" s="2" t="s">
        <v>12</v>
      </c>
      <c r="E7" s="1">
        <v>0.27999999999999997</v>
      </c>
      <c r="F7" s="1">
        <v>6.9999999999999993E-2</v>
      </c>
      <c r="G7" s="2">
        <v>0</v>
      </c>
      <c r="H7" s="2">
        <v>0</v>
      </c>
      <c r="I7" s="2">
        <v>0</v>
      </c>
      <c r="J7" s="2">
        <v>0</v>
      </c>
      <c r="L7" s="9">
        <v>0.4</v>
      </c>
      <c r="M7" s="9">
        <v>0.1</v>
      </c>
      <c r="N7" s="2">
        <v>0</v>
      </c>
      <c r="O7" s="2">
        <v>0</v>
      </c>
      <c r="P7" s="2">
        <v>0</v>
      </c>
      <c r="Q7" s="2">
        <v>0</v>
      </c>
      <c r="S7" s="20">
        <v>20</v>
      </c>
      <c r="T7" s="21"/>
      <c r="U7" s="21"/>
      <c r="Y7" s="2" t="s">
        <v>51</v>
      </c>
      <c r="Z7" s="19">
        <v>0.3</v>
      </c>
      <c r="AA7" s="19">
        <v>0</v>
      </c>
      <c r="AB7" s="1">
        <f>1-AB6-AB5</f>
        <v>1</v>
      </c>
      <c r="AE7" s="2" t="s">
        <v>1</v>
      </c>
      <c r="AF7" s="22">
        <v>1</v>
      </c>
      <c r="AG7" s="23">
        <v>0</v>
      </c>
      <c r="AH7" s="23">
        <v>0</v>
      </c>
      <c r="AK7" s="2" t="s">
        <v>1</v>
      </c>
      <c r="AL7" s="2">
        <v>1</v>
      </c>
      <c r="AM7" s="1">
        <f t="shared" si="0"/>
        <v>1</v>
      </c>
      <c r="AN7" s="1">
        <f t="shared" si="0"/>
        <v>1</v>
      </c>
      <c r="AO7" s="1">
        <f t="shared" si="0"/>
        <v>0</v>
      </c>
      <c r="AP7" s="1">
        <f t="shared" si="0"/>
        <v>0</v>
      </c>
      <c r="AQ7" s="1">
        <f t="shared" si="0"/>
        <v>1</v>
      </c>
      <c r="AR7" s="1">
        <f t="shared" si="0"/>
        <v>1</v>
      </c>
      <c r="BJ7" s="6"/>
    </row>
    <row r="8" spans="1:62" x14ac:dyDescent="0.3">
      <c r="A8" s="2" t="s">
        <v>3</v>
      </c>
      <c r="B8" s="2" t="s">
        <v>0</v>
      </c>
      <c r="D8" s="2" t="s">
        <v>12</v>
      </c>
      <c r="E8" s="2">
        <f t="array" ref="E8:F9">L6:M7*Z6</f>
        <v>0</v>
      </c>
      <c r="F8" s="2">
        <v>0</v>
      </c>
      <c r="G8" s="1">
        <f t="array" ref="G8:H9">N8:O9*AA6</f>
        <v>0.5</v>
      </c>
      <c r="H8" s="1">
        <v>0.2</v>
      </c>
      <c r="I8" s="2">
        <f t="array" ref="I8:J9">P8:Q9*AB6</f>
        <v>0</v>
      </c>
      <c r="J8" s="2">
        <v>0</v>
      </c>
      <c r="L8" s="2">
        <v>0</v>
      </c>
      <c r="M8" s="2">
        <v>0</v>
      </c>
      <c r="N8" s="9">
        <v>0.5</v>
      </c>
      <c r="O8" s="9">
        <v>0.2</v>
      </c>
      <c r="P8" s="2">
        <v>0</v>
      </c>
      <c r="Q8" s="2">
        <v>0</v>
      </c>
      <c r="R8" s="3"/>
      <c r="S8" s="21"/>
      <c r="T8" s="20">
        <v>100</v>
      </c>
      <c r="U8" s="21"/>
      <c r="AD8" s="2" t="s">
        <v>3</v>
      </c>
      <c r="AE8" s="2" t="s">
        <v>0</v>
      </c>
      <c r="AF8" s="23">
        <v>0</v>
      </c>
      <c r="AG8" s="22">
        <v>1</v>
      </c>
      <c r="AH8" s="23">
        <v>0</v>
      </c>
      <c r="AJ8" s="2" t="s">
        <v>3</v>
      </c>
      <c r="AK8" s="2" t="s">
        <v>0</v>
      </c>
      <c r="AL8" s="2">
        <v>1</v>
      </c>
      <c r="AM8" s="1">
        <f t="shared" si="0"/>
        <v>1</v>
      </c>
      <c r="AN8" s="1">
        <f t="shared" si="0"/>
        <v>1</v>
      </c>
      <c r="AO8" s="1">
        <f t="shared" si="0"/>
        <v>0</v>
      </c>
      <c r="AP8" s="1">
        <f t="shared" si="0"/>
        <v>0</v>
      </c>
      <c r="AQ8" s="1">
        <f t="shared" si="0"/>
        <v>1</v>
      </c>
      <c r="AR8" s="1">
        <f t="shared" si="0"/>
        <v>1</v>
      </c>
      <c r="BJ8" s="6"/>
    </row>
    <row r="9" spans="1:62" x14ac:dyDescent="0.3">
      <c r="B9" s="2" t="s">
        <v>1</v>
      </c>
      <c r="D9" s="2" t="s">
        <v>12</v>
      </c>
      <c r="E9" s="2">
        <v>0</v>
      </c>
      <c r="F9" s="2">
        <v>0</v>
      </c>
      <c r="G9" s="1">
        <v>0.4</v>
      </c>
      <c r="H9" s="1">
        <v>0.1</v>
      </c>
      <c r="I9" s="2">
        <v>0</v>
      </c>
      <c r="J9" s="2">
        <v>0</v>
      </c>
      <c r="L9" s="2">
        <v>0</v>
      </c>
      <c r="M9" s="2">
        <v>0</v>
      </c>
      <c r="N9" s="9">
        <v>0.4</v>
      </c>
      <c r="O9" s="9">
        <v>0.1</v>
      </c>
      <c r="P9" s="2">
        <v>0</v>
      </c>
      <c r="Q9" s="2">
        <v>0</v>
      </c>
      <c r="S9" s="21"/>
      <c r="T9" s="20">
        <v>20</v>
      </c>
      <c r="U9" s="21"/>
      <c r="AE9" s="2" t="s">
        <v>1</v>
      </c>
      <c r="AF9" s="23">
        <v>0</v>
      </c>
      <c r="AG9" s="22">
        <v>1</v>
      </c>
      <c r="AH9" s="23">
        <v>0</v>
      </c>
      <c r="AK9" s="2" t="s">
        <v>1</v>
      </c>
      <c r="AL9" s="2">
        <v>1</v>
      </c>
      <c r="AM9" s="1">
        <f t="shared" si="0"/>
        <v>1</v>
      </c>
      <c r="AN9" s="1">
        <f t="shared" si="0"/>
        <v>1</v>
      </c>
      <c r="AO9" s="1">
        <f t="shared" si="0"/>
        <v>0</v>
      </c>
      <c r="AP9" s="1">
        <f t="shared" si="0"/>
        <v>0</v>
      </c>
      <c r="AQ9" s="1">
        <f t="shared" si="0"/>
        <v>1</v>
      </c>
      <c r="AR9" s="1">
        <f t="shared" si="0"/>
        <v>1</v>
      </c>
      <c r="BJ9" s="6"/>
    </row>
    <row r="10" spans="1:62" x14ac:dyDescent="0.3">
      <c r="A10" s="2" t="s">
        <v>51</v>
      </c>
      <c r="B10" s="2" t="s">
        <v>0</v>
      </c>
      <c r="D10" s="2" t="s">
        <v>12</v>
      </c>
      <c r="E10" s="2">
        <f t="array" ref="E10:F11">L6:M7*Z7</f>
        <v>0.15</v>
      </c>
      <c r="F10" s="2">
        <v>0.06</v>
      </c>
      <c r="G10" s="2">
        <f t="array" ref="G10:H11">N8:O9*AA7</f>
        <v>0</v>
      </c>
      <c r="H10" s="2">
        <v>0</v>
      </c>
      <c r="I10" s="1">
        <f t="array" ref="I10:J11">P10:Q11*AB7</f>
        <v>0.5</v>
      </c>
      <c r="J10" s="1">
        <v>0.2</v>
      </c>
      <c r="L10" s="2">
        <v>0</v>
      </c>
      <c r="M10" s="2">
        <v>0</v>
      </c>
      <c r="N10" s="2">
        <v>0</v>
      </c>
      <c r="O10" s="2">
        <v>0</v>
      </c>
      <c r="P10" s="9">
        <v>0.5</v>
      </c>
      <c r="Q10" s="9">
        <v>0.2</v>
      </c>
      <c r="S10" s="21"/>
      <c r="T10" s="21"/>
      <c r="U10" s="20">
        <v>100</v>
      </c>
      <c r="AD10" s="2" t="s">
        <v>51</v>
      </c>
      <c r="AE10" s="2" t="s">
        <v>0</v>
      </c>
      <c r="AF10" s="23">
        <v>0</v>
      </c>
      <c r="AG10" s="23">
        <v>0</v>
      </c>
      <c r="AH10" s="22">
        <v>1</v>
      </c>
      <c r="AJ10" s="2" t="s">
        <v>51</v>
      </c>
      <c r="AK10" s="2" t="s">
        <v>0</v>
      </c>
      <c r="AL10" s="2">
        <v>0</v>
      </c>
      <c r="AM10" s="1">
        <f t="shared" si="0"/>
        <v>1</v>
      </c>
      <c r="AN10" s="1">
        <f t="shared" si="0"/>
        <v>1</v>
      </c>
      <c r="AO10" s="1">
        <f t="shared" si="0"/>
        <v>1</v>
      </c>
      <c r="AP10" s="1">
        <f t="shared" si="0"/>
        <v>1</v>
      </c>
      <c r="AQ10" s="1">
        <f t="shared" si="0"/>
        <v>1</v>
      </c>
      <c r="AR10" s="1">
        <f t="shared" si="0"/>
        <v>1</v>
      </c>
      <c r="BJ10" s="6"/>
    </row>
    <row r="11" spans="1:62" x14ac:dyDescent="0.3">
      <c r="B11" s="2" t="s">
        <v>1</v>
      </c>
      <c r="D11" s="2" t="s">
        <v>12</v>
      </c>
      <c r="E11" s="2">
        <v>0.12</v>
      </c>
      <c r="F11" s="2">
        <v>0.03</v>
      </c>
      <c r="G11" s="2">
        <v>0</v>
      </c>
      <c r="H11" s="2">
        <v>0</v>
      </c>
      <c r="I11" s="1">
        <v>0.4</v>
      </c>
      <c r="J11" s="1">
        <v>0.1</v>
      </c>
      <c r="L11" s="2">
        <v>0</v>
      </c>
      <c r="M11" s="2">
        <v>0</v>
      </c>
      <c r="N11" s="2">
        <v>0</v>
      </c>
      <c r="O11" s="2">
        <v>0</v>
      </c>
      <c r="P11" s="9">
        <v>0.4</v>
      </c>
      <c r="Q11" s="9">
        <v>0.1</v>
      </c>
      <c r="S11" s="21"/>
      <c r="T11" s="21"/>
      <c r="U11" s="20">
        <v>20</v>
      </c>
      <c r="AE11" s="2" t="s">
        <v>1</v>
      </c>
      <c r="AF11" s="23">
        <v>0</v>
      </c>
      <c r="AG11" s="23">
        <v>0</v>
      </c>
      <c r="AH11" s="22">
        <v>1</v>
      </c>
      <c r="AK11" s="2" t="s">
        <v>1</v>
      </c>
      <c r="AL11" s="2">
        <v>0</v>
      </c>
      <c r="AM11" s="1">
        <f t="shared" si="0"/>
        <v>1</v>
      </c>
      <c r="AN11" s="1">
        <f t="shared" si="0"/>
        <v>1</v>
      </c>
      <c r="AO11" s="1">
        <f t="shared" si="0"/>
        <v>1</v>
      </c>
      <c r="AP11" s="1">
        <f t="shared" si="0"/>
        <v>1</v>
      </c>
      <c r="AQ11" s="1">
        <f t="shared" si="0"/>
        <v>1</v>
      </c>
      <c r="AR11" s="1">
        <f t="shared" si="0"/>
        <v>1</v>
      </c>
      <c r="BJ11" s="6"/>
    </row>
    <row r="13" spans="1:62" x14ac:dyDescent="0.3">
      <c r="C13" s="2" t="s">
        <v>57</v>
      </c>
      <c r="D13" s="2" t="s">
        <v>12</v>
      </c>
      <c r="E13" s="1">
        <f>1-SUM(E6:E11)</f>
        <v>0.10000000000000009</v>
      </c>
      <c r="F13" s="1">
        <f t="shared" ref="F13:J13" si="1">1-SUM(F6:F11)</f>
        <v>0.70000000000000007</v>
      </c>
      <c r="G13" s="1">
        <f t="shared" si="1"/>
        <v>9.9999999999999978E-2</v>
      </c>
      <c r="H13" s="1">
        <f t="shared" si="1"/>
        <v>0.7</v>
      </c>
      <c r="I13" s="1">
        <f t="shared" si="1"/>
        <v>9.9999999999999978E-2</v>
      </c>
      <c r="J13" s="1">
        <f t="shared" si="1"/>
        <v>0.7</v>
      </c>
      <c r="AM13" s="6"/>
      <c r="AN13" s="6"/>
      <c r="AO13" s="6"/>
      <c r="AP13" s="6"/>
      <c r="AQ13" s="6"/>
      <c r="AR13" s="6"/>
    </row>
    <row r="14" spans="1:62" x14ac:dyDescent="0.3">
      <c r="AK14" s="2" t="s">
        <v>120</v>
      </c>
    </row>
    <row r="15" spans="1:62" x14ac:dyDescent="0.3">
      <c r="AK15" s="2" t="s">
        <v>2</v>
      </c>
      <c r="AL15" s="2" t="s">
        <v>0</v>
      </c>
      <c r="AM15" s="5">
        <f t="array" ref="AM15:AR20">AM6:AR11*E25:J30</f>
        <v>41.519547143109854</v>
      </c>
      <c r="AN15" s="5">
        <v>7.1077304086325821</v>
      </c>
      <c r="AO15" s="6">
        <v>0</v>
      </c>
      <c r="AP15" s="6">
        <v>0</v>
      </c>
      <c r="AQ15" s="6">
        <v>0</v>
      </c>
      <c r="AR15" s="6">
        <v>0</v>
      </c>
    </row>
    <row r="16" spans="1:62" x14ac:dyDescent="0.3">
      <c r="C16" s="2" t="s">
        <v>58</v>
      </c>
      <c r="D16" s="2" t="s">
        <v>13</v>
      </c>
      <c r="E16" s="1">
        <v>0.5</v>
      </c>
      <c r="F16" s="1">
        <v>0</v>
      </c>
      <c r="G16" s="1">
        <v>0.5</v>
      </c>
      <c r="H16" s="1">
        <v>0</v>
      </c>
      <c r="I16" s="1">
        <v>0.5</v>
      </c>
      <c r="J16" s="1">
        <v>0</v>
      </c>
      <c r="AL16" s="2" t="s">
        <v>1</v>
      </c>
      <c r="AM16" s="5">
        <v>33.215637714487876</v>
      </c>
      <c r="AN16" s="5">
        <v>3.553865204316291</v>
      </c>
      <c r="AO16" s="6">
        <v>0</v>
      </c>
      <c r="AP16" s="6">
        <v>0</v>
      </c>
      <c r="AQ16" s="6">
        <v>0</v>
      </c>
      <c r="AR16" s="6">
        <v>0</v>
      </c>
    </row>
    <row r="17" spans="1:69" x14ac:dyDescent="0.3">
      <c r="C17" s="2" t="s">
        <v>59</v>
      </c>
      <c r="D17" s="2" t="s">
        <v>36</v>
      </c>
      <c r="E17" s="1">
        <f t="array" ref="E17:J17">MMULT(E16:J16,MINVERSE(_xlfn.MUNIT(6)-E6:J11))</f>
        <v>1.2162162162162162</v>
      </c>
      <c r="F17" s="1">
        <v>0.27027027027027023</v>
      </c>
      <c r="G17" s="1">
        <v>1.2162162162162162</v>
      </c>
      <c r="H17" s="1">
        <v>0.27027027027027029</v>
      </c>
      <c r="I17" s="1">
        <v>1.2162162162162162</v>
      </c>
      <c r="J17" s="1">
        <v>0.27027027027027029</v>
      </c>
      <c r="AK17" s="2" t="s">
        <v>3</v>
      </c>
      <c r="AL17" s="2" t="s">
        <v>0</v>
      </c>
      <c r="AM17" s="6">
        <v>0</v>
      </c>
      <c r="AN17" s="6">
        <v>0</v>
      </c>
      <c r="AO17" s="5">
        <v>0</v>
      </c>
      <c r="AP17" s="5">
        <v>0</v>
      </c>
      <c r="AQ17" s="6">
        <v>0</v>
      </c>
      <c r="AR17" s="6">
        <v>0</v>
      </c>
    </row>
    <row r="18" spans="1:69" x14ac:dyDescent="0.3">
      <c r="AL18" s="2" t="s">
        <v>1</v>
      </c>
      <c r="AM18" s="6">
        <v>0</v>
      </c>
      <c r="AN18" s="6">
        <v>0</v>
      </c>
      <c r="AO18" s="5">
        <v>0</v>
      </c>
      <c r="AP18" s="5">
        <v>0</v>
      </c>
      <c r="AQ18" s="6">
        <v>0</v>
      </c>
      <c r="AR18" s="6">
        <v>0</v>
      </c>
    </row>
    <row r="19" spans="1:69" x14ac:dyDescent="0.3">
      <c r="AK19" s="2" t="s">
        <v>51</v>
      </c>
      <c r="AL19" s="2" t="s">
        <v>0</v>
      </c>
      <c r="AM19" s="6">
        <v>17.794091632761365</v>
      </c>
      <c r="AN19" s="6">
        <v>3.0461701751282497</v>
      </c>
      <c r="AO19" s="6">
        <v>0</v>
      </c>
      <c r="AP19" s="6">
        <v>0</v>
      </c>
      <c r="AQ19" s="5">
        <v>194.74041527818287</v>
      </c>
      <c r="AR19" s="5">
        <v>43.900153470293219</v>
      </c>
    </row>
    <row r="20" spans="1:69" x14ac:dyDescent="0.3">
      <c r="A20" s="2" t="s">
        <v>24</v>
      </c>
      <c r="AF20" s="3"/>
      <c r="AG20" s="3"/>
      <c r="AL20" s="2" t="s">
        <v>1</v>
      </c>
      <c r="AM20" s="6">
        <v>14.235273306209091</v>
      </c>
      <c r="AN20" s="6">
        <v>1.5230850875641249</v>
      </c>
      <c r="AO20" s="6">
        <v>0</v>
      </c>
      <c r="AP20" s="6">
        <v>0</v>
      </c>
      <c r="AQ20" s="5">
        <v>155.79233222254629</v>
      </c>
      <c r="AR20" s="5">
        <v>21.95007673514661</v>
      </c>
    </row>
    <row r="21" spans="1:69" x14ac:dyDescent="0.3">
      <c r="AF21" s="3"/>
      <c r="AG21" s="3"/>
    </row>
    <row r="22" spans="1:69" x14ac:dyDescent="0.3">
      <c r="E22" s="2" t="s">
        <v>96</v>
      </c>
      <c r="L22" s="2" t="s">
        <v>97</v>
      </c>
      <c r="R22" s="2" t="s">
        <v>98</v>
      </c>
      <c r="AE22" s="2">
        <f>I25*AQ23</f>
        <v>0</v>
      </c>
      <c r="AF22" s="2">
        <f>J25*AR23</f>
        <v>0</v>
      </c>
      <c r="AG22" s="49"/>
      <c r="AK22" s="2" t="s">
        <v>137</v>
      </c>
      <c r="AM22" s="3"/>
      <c r="AN22" s="3"/>
      <c r="AO22" s="3"/>
      <c r="AP22" s="3"/>
      <c r="AQ22" s="3"/>
      <c r="AR22" s="3"/>
      <c r="BE22" s="2" t="s">
        <v>68</v>
      </c>
      <c r="BL22" s="2" t="s">
        <v>69</v>
      </c>
    </row>
    <row r="23" spans="1:69" x14ac:dyDescent="0.3">
      <c r="A23" s="2" t="s">
        <v>8</v>
      </c>
      <c r="E23" s="2" t="s">
        <v>2</v>
      </c>
      <c r="G23" s="2" t="s">
        <v>3</v>
      </c>
      <c r="I23" s="2" t="s">
        <v>51</v>
      </c>
      <c r="L23" s="3" t="s">
        <v>2</v>
      </c>
      <c r="M23" s="3" t="s">
        <v>3</v>
      </c>
      <c r="N23" s="3" t="s">
        <v>51</v>
      </c>
      <c r="P23" s="3" t="s">
        <v>14</v>
      </c>
      <c r="R23" s="3" t="s">
        <v>2</v>
      </c>
      <c r="S23" s="3" t="s">
        <v>3</v>
      </c>
      <c r="T23" s="3" t="s">
        <v>51</v>
      </c>
      <c r="V23" s="3" t="s">
        <v>14</v>
      </c>
      <c r="AK23" s="2" t="s">
        <v>2</v>
      </c>
      <c r="AL23" s="2" t="s">
        <v>0</v>
      </c>
      <c r="AM23" s="1">
        <f t="array" ref="AM23:AR28">MMULT(AM15:AR20,MINVERSE(V25:V30*_xlfn.MUNIT(6)))</f>
        <v>0.35000000000000003</v>
      </c>
      <c r="AN23" s="1">
        <v>0.13999999999999999</v>
      </c>
      <c r="AO23" s="2">
        <v>0</v>
      </c>
      <c r="AP23" s="2">
        <v>0</v>
      </c>
      <c r="AQ23" s="2">
        <v>0</v>
      </c>
      <c r="AR23" s="2">
        <v>0</v>
      </c>
    </row>
    <row r="24" spans="1:69" x14ac:dyDescent="0.3">
      <c r="B24" s="2" t="s">
        <v>9</v>
      </c>
      <c r="D24" s="2" t="s">
        <v>10</v>
      </c>
      <c r="E24" s="3" t="s">
        <v>0</v>
      </c>
      <c r="F24" s="3" t="s">
        <v>1</v>
      </c>
      <c r="G24" s="3" t="s">
        <v>0</v>
      </c>
      <c r="H24" s="3" t="s">
        <v>1</v>
      </c>
      <c r="I24" s="3" t="s">
        <v>0</v>
      </c>
      <c r="J24" s="3" t="s">
        <v>1</v>
      </c>
      <c r="K24" s="3"/>
      <c r="L24" s="3" t="s">
        <v>4</v>
      </c>
      <c r="M24" s="3" t="s">
        <v>4</v>
      </c>
      <c r="N24" s="3" t="s">
        <v>4</v>
      </c>
      <c r="P24" s="3" t="s">
        <v>4</v>
      </c>
      <c r="R24" s="3" t="s">
        <v>6</v>
      </c>
      <c r="S24" s="3" t="s">
        <v>6</v>
      </c>
      <c r="T24" s="3" t="s">
        <v>6</v>
      </c>
      <c r="V24" s="3" t="s">
        <v>6</v>
      </c>
      <c r="AL24" s="2" t="s">
        <v>1</v>
      </c>
      <c r="AM24" s="1">
        <v>0.27999999999999997</v>
      </c>
      <c r="AN24" s="1">
        <v>6.9999999999999993E-2</v>
      </c>
      <c r="AO24" s="2">
        <v>0</v>
      </c>
      <c r="AP24" s="2">
        <v>0</v>
      </c>
      <c r="AQ24" s="2">
        <v>0</v>
      </c>
      <c r="AR24" s="2">
        <v>0</v>
      </c>
      <c r="BF24" s="2" t="s">
        <v>50</v>
      </c>
      <c r="BG24" s="3" t="s">
        <v>2</v>
      </c>
      <c r="BH24" s="3" t="s">
        <v>3</v>
      </c>
      <c r="BI24" s="3" t="s">
        <v>51</v>
      </c>
      <c r="BJ24" s="3"/>
      <c r="BM24" s="2" t="s">
        <v>50</v>
      </c>
      <c r="BN24" s="3" t="s">
        <v>2</v>
      </c>
      <c r="BO24" s="3" t="s">
        <v>3</v>
      </c>
      <c r="BP24" s="3" t="s">
        <v>51</v>
      </c>
      <c r="BQ24" s="3"/>
    </row>
    <row r="25" spans="1:69" x14ac:dyDescent="0.3">
      <c r="A25" s="2" t="s">
        <v>2</v>
      </c>
      <c r="B25" s="2" t="s">
        <v>0</v>
      </c>
      <c r="D25" s="2" t="s">
        <v>15</v>
      </c>
      <c r="E25" s="5">
        <f t="array" ref="E25:J30">MMULT(E6:J11,V25:V30*_xlfn.MUNIT(6))</f>
        <v>41.519547143109854</v>
      </c>
      <c r="F25" s="5">
        <v>7.1077304086325821</v>
      </c>
      <c r="G25" s="6">
        <v>0</v>
      </c>
      <c r="H25" s="6">
        <v>0</v>
      </c>
      <c r="I25" s="6">
        <v>0</v>
      </c>
      <c r="J25" s="6">
        <v>0</v>
      </c>
      <c r="K25" s="6"/>
      <c r="L25" s="22">
        <f t="array" ref="L25:L26">S6:S7*Z5</f>
        <v>70</v>
      </c>
      <c r="M25" s="23">
        <f t="array" ref="M25:M26">T8:T9*AA5</f>
        <v>0</v>
      </c>
      <c r="N25" s="23">
        <f t="array" ref="N25:N26">U10:U11*AB5</f>
        <v>0</v>
      </c>
      <c r="P25" s="7">
        <f t="shared" ref="P25:P30" si="2">SUM(L25:N25)</f>
        <v>70</v>
      </c>
      <c r="R25" s="5">
        <f t="array" ref="R25:T30">MMULT(MINVERSE(_xlfn.MUNIT(6)-E6:J11),L25:N30)</f>
        <v>118.62727755174244</v>
      </c>
      <c r="S25" s="6">
        <v>0</v>
      </c>
      <c r="T25" s="6">
        <v>0</v>
      </c>
      <c r="V25" s="7">
        <f t="shared" ref="V25:V30" si="3">SUM(R25:T25)</f>
        <v>118.62727755174244</v>
      </c>
      <c r="X25" s="6">
        <f>SUM(E25:J25)</f>
        <v>48.627277551742438</v>
      </c>
      <c r="Z25" s="6"/>
      <c r="AK25" s="2" t="s">
        <v>3</v>
      </c>
      <c r="AL25" s="2" t="s">
        <v>0</v>
      </c>
      <c r="AM25" s="2">
        <v>0</v>
      </c>
      <c r="AN25" s="2">
        <v>0</v>
      </c>
      <c r="AO25" s="1">
        <v>0</v>
      </c>
      <c r="AP25" s="1">
        <v>0</v>
      </c>
      <c r="AQ25" s="2">
        <v>0</v>
      </c>
      <c r="AR25" s="2">
        <v>0</v>
      </c>
      <c r="BF25" s="2" t="s">
        <v>2</v>
      </c>
      <c r="BG25" s="5">
        <f t="array" ref="BG25:BI27">MMULT(TRANSPOSE(AF6:AH11),MMULT(E16:J16*_xlfn.MUNIT(6),R25:T30))</f>
        <v>59.313638775871219</v>
      </c>
      <c r="BH25" s="25">
        <v>0</v>
      </c>
      <c r="BI25" s="25">
        <v>0</v>
      </c>
      <c r="BJ25" s="26">
        <f>SUM(BG25:BI25)</f>
        <v>59.313638775871219</v>
      </c>
      <c r="BM25" s="2" t="s">
        <v>2</v>
      </c>
      <c r="BN25" s="5">
        <f t="array" ref="BN25:BP27">MMULT(TRANSPOSE(AF6:AH11),MMULT(E13:J13*_xlfn.MUNIT(6),R25:T30))</f>
        <v>47.401379798337175</v>
      </c>
      <c r="BO25" s="25">
        <v>0</v>
      </c>
      <c r="BP25" s="25">
        <v>0</v>
      </c>
      <c r="BQ25" s="26">
        <f>SUM(BN25:BP25)</f>
        <v>47.401379798337175</v>
      </c>
    </row>
    <row r="26" spans="1:69" x14ac:dyDescent="0.3">
      <c r="B26" s="2" t="s">
        <v>1</v>
      </c>
      <c r="D26" s="2" t="s">
        <v>15</v>
      </c>
      <c r="E26" s="5">
        <v>33.215637714487876</v>
      </c>
      <c r="F26" s="5">
        <v>3.553865204316291</v>
      </c>
      <c r="G26" s="6">
        <v>0</v>
      </c>
      <c r="H26" s="6">
        <v>0</v>
      </c>
      <c r="I26" s="6">
        <v>0</v>
      </c>
      <c r="J26" s="6">
        <v>0</v>
      </c>
      <c r="K26" s="6"/>
      <c r="L26" s="22">
        <v>14</v>
      </c>
      <c r="M26" s="23">
        <v>0</v>
      </c>
      <c r="N26" s="23">
        <v>0</v>
      </c>
      <c r="P26" s="7">
        <f t="shared" si="2"/>
        <v>14</v>
      </c>
      <c r="R26" s="5">
        <v>50.769502918804164</v>
      </c>
      <c r="S26" s="6">
        <v>0</v>
      </c>
      <c r="T26" s="6">
        <v>0</v>
      </c>
      <c r="V26" s="7">
        <f t="shared" si="3"/>
        <v>50.769502918804164</v>
      </c>
      <c r="X26" s="6">
        <f t="shared" ref="X26:X30" si="4">SUM(E26:J26)</f>
        <v>36.769502918804164</v>
      </c>
      <c r="Z26" s="6"/>
      <c r="AL26" s="2" t="s">
        <v>1</v>
      </c>
      <c r="AM26" s="2">
        <v>0</v>
      </c>
      <c r="AN26" s="2">
        <v>0</v>
      </c>
      <c r="AO26" s="1">
        <v>0</v>
      </c>
      <c r="AP26" s="1">
        <v>0</v>
      </c>
      <c r="AQ26" s="2">
        <v>0</v>
      </c>
      <c r="AR26" s="2">
        <v>0</v>
      </c>
      <c r="BF26" s="2" t="s">
        <v>3</v>
      </c>
      <c r="BG26" s="6">
        <v>0</v>
      </c>
      <c r="BH26" s="5">
        <v>127.02702702702703</v>
      </c>
      <c r="BI26" s="6">
        <v>0</v>
      </c>
      <c r="BJ26" s="26">
        <f>SUM(BG26:BI26)</f>
        <v>127.02702702702703</v>
      </c>
      <c r="BM26" s="2" t="s">
        <v>3</v>
      </c>
      <c r="BN26" s="6">
        <v>0</v>
      </c>
      <c r="BO26" s="5">
        <v>119.99999999999999</v>
      </c>
      <c r="BP26" s="6">
        <v>0</v>
      </c>
      <c r="BQ26" s="26">
        <f>SUM(BN26:BP26)</f>
        <v>119.99999999999999</v>
      </c>
    </row>
    <row r="27" spans="1:69" x14ac:dyDescent="0.3">
      <c r="A27" s="2" t="s">
        <v>3</v>
      </c>
      <c r="B27" s="2" t="s">
        <v>0</v>
      </c>
      <c r="D27" s="2" t="s">
        <v>15</v>
      </c>
      <c r="E27" s="6">
        <v>0</v>
      </c>
      <c r="F27" s="6">
        <v>0</v>
      </c>
      <c r="G27" s="5">
        <v>127.02702702702703</v>
      </c>
      <c r="H27" s="5">
        <v>27.027027027027028</v>
      </c>
      <c r="I27" s="6">
        <v>0</v>
      </c>
      <c r="J27" s="6">
        <v>0</v>
      </c>
      <c r="K27" s="6"/>
      <c r="L27" s="23">
        <f t="array" ref="L27:L28">S6:S7*Z6</f>
        <v>0</v>
      </c>
      <c r="M27" s="22">
        <f t="array" ref="M27:M28">T8:T9*AA6</f>
        <v>100</v>
      </c>
      <c r="N27" s="23">
        <f t="array" ref="N27:N28">U10:U11*AB6</f>
        <v>0</v>
      </c>
      <c r="P27" s="7">
        <f t="shared" si="2"/>
        <v>100</v>
      </c>
      <c r="R27" s="6">
        <v>0</v>
      </c>
      <c r="S27" s="5">
        <v>254.05405405405406</v>
      </c>
      <c r="T27" s="6">
        <v>0</v>
      </c>
      <c r="V27" s="7">
        <f t="shared" si="3"/>
        <v>254.05405405405406</v>
      </c>
      <c r="X27" s="6">
        <f t="shared" si="4"/>
        <v>154.05405405405406</v>
      </c>
      <c r="Z27" s="6"/>
      <c r="AK27" s="2" t="s">
        <v>51</v>
      </c>
      <c r="AL27" s="2" t="s">
        <v>0</v>
      </c>
      <c r="AM27" s="2">
        <v>0.15</v>
      </c>
      <c r="AN27" s="2">
        <v>6.0000000000000005E-2</v>
      </c>
      <c r="AO27" s="2">
        <v>0</v>
      </c>
      <c r="AP27" s="2">
        <v>0</v>
      </c>
      <c r="AQ27" s="1">
        <v>0.5</v>
      </c>
      <c r="AR27" s="1">
        <v>0.2</v>
      </c>
      <c r="BF27" s="2" t="s">
        <v>51</v>
      </c>
      <c r="BG27" s="6">
        <v>67.71338825115582</v>
      </c>
      <c r="BH27" s="6">
        <v>0</v>
      </c>
      <c r="BI27" s="5">
        <v>127.02702702702703</v>
      </c>
      <c r="BJ27" s="26">
        <f>SUM(BG27:BI27)</f>
        <v>194.74041527818287</v>
      </c>
      <c r="BM27" s="2" t="s">
        <v>51</v>
      </c>
      <c r="BN27" s="6">
        <v>72.598620201662825</v>
      </c>
      <c r="BO27" s="6">
        <v>0</v>
      </c>
      <c r="BP27" s="5">
        <v>119.99999999999999</v>
      </c>
      <c r="BQ27" s="26">
        <f>SUM(BN27:BP27)</f>
        <v>192.59862020166281</v>
      </c>
    </row>
    <row r="28" spans="1:69" x14ac:dyDescent="0.3">
      <c r="B28" s="2" t="s">
        <v>1</v>
      </c>
      <c r="D28" s="2" t="s">
        <v>15</v>
      </c>
      <c r="E28" s="6">
        <v>0</v>
      </c>
      <c r="F28" s="6">
        <v>0</v>
      </c>
      <c r="G28" s="5">
        <v>101.62162162162163</v>
      </c>
      <c r="H28" s="5">
        <v>13.513513513513514</v>
      </c>
      <c r="I28" s="6">
        <v>0</v>
      </c>
      <c r="J28" s="6">
        <v>0</v>
      </c>
      <c r="K28" s="6"/>
      <c r="L28" s="23">
        <v>0</v>
      </c>
      <c r="M28" s="22">
        <v>20</v>
      </c>
      <c r="N28" s="23">
        <v>0</v>
      </c>
      <c r="P28" s="7">
        <f t="shared" si="2"/>
        <v>20</v>
      </c>
      <c r="R28" s="6">
        <v>0</v>
      </c>
      <c r="S28" s="5">
        <v>135.13513513513513</v>
      </c>
      <c r="T28" s="6">
        <v>0</v>
      </c>
      <c r="V28" s="7">
        <f t="shared" si="3"/>
        <v>135.13513513513513</v>
      </c>
      <c r="X28" s="6">
        <f>SUM(E28:J28)</f>
        <v>115.13513513513514</v>
      </c>
      <c r="Z28" s="6"/>
      <c r="AL28" s="2" t="s">
        <v>1</v>
      </c>
      <c r="AM28" s="2">
        <v>0.12</v>
      </c>
      <c r="AN28" s="2">
        <v>3.0000000000000002E-2</v>
      </c>
      <c r="AO28" s="2">
        <v>0</v>
      </c>
      <c r="AP28" s="2">
        <v>0</v>
      </c>
      <c r="AQ28" s="1">
        <v>0.39999999999999997</v>
      </c>
      <c r="AR28" s="1">
        <v>0.1</v>
      </c>
      <c r="BG28" s="26">
        <f>SUM(BG25:BG27)</f>
        <v>127.02702702702703</v>
      </c>
      <c r="BH28" s="26">
        <f>SUM(BH25:BH27)</f>
        <v>127.02702702702703</v>
      </c>
      <c r="BI28" s="26">
        <f>SUM(BI25:BI27)</f>
        <v>127.02702702702703</v>
      </c>
      <c r="BN28" s="26">
        <f>SUM(BN25:BN27)</f>
        <v>120</v>
      </c>
      <c r="BO28" s="26">
        <f>SUM(BO25:BO27)</f>
        <v>119.99999999999999</v>
      </c>
      <c r="BP28" s="26">
        <f>SUM(BP25:BP27)</f>
        <v>119.99999999999999</v>
      </c>
    </row>
    <row r="29" spans="1:69" x14ac:dyDescent="0.3">
      <c r="A29" s="2" t="s">
        <v>51</v>
      </c>
      <c r="B29" s="2" t="s">
        <v>0</v>
      </c>
      <c r="D29" s="2" t="s">
        <v>15</v>
      </c>
      <c r="E29" s="6">
        <v>17.794091632761365</v>
      </c>
      <c r="F29" s="6">
        <v>3.0461701751282497</v>
      </c>
      <c r="G29" s="6">
        <v>0</v>
      </c>
      <c r="H29" s="6">
        <v>0</v>
      </c>
      <c r="I29" s="5">
        <v>194.74041527818287</v>
      </c>
      <c r="J29" s="5">
        <v>43.900153470293219</v>
      </c>
      <c r="K29" s="6"/>
      <c r="L29" s="23">
        <f t="array" ref="L29:L30">S6:S7*Z7</f>
        <v>30</v>
      </c>
      <c r="M29" s="23">
        <f t="array" ref="M29:M30">T8:T9*AA7</f>
        <v>0</v>
      </c>
      <c r="N29" s="22">
        <f t="array" ref="N29:N30">U10:U11*AB7</f>
        <v>100</v>
      </c>
      <c r="P29" s="7">
        <f t="shared" si="2"/>
        <v>130</v>
      </c>
      <c r="R29" s="6">
        <v>135.42677650231164</v>
      </c>
      <c r="S29" s="6">
        <v>0</v>
      </c>
      <c r="T29" s="5">
        <v>254.05405405405406</v>
      </c>
      <c r="V29" s="7">
        <f t="shared" si="3"/>
        <v>389.48083055636573</v>
      </c>
      <c r="X29" s="6">
        <f t="shared" si="4"/>
        <v>259.48083055636573</v>
      </c>
      <c r="Z29" s="6"/>
    </row>
    <row r="30" spans="1:69" x14ac:dyDescent="0.3">
      <c r="B30" s="2" t="s">
        <v>1</v>
      </c>
      <c r="D30" s="2" t="s">
        <v>15</v>
      </c>
      <c r="E30" s="6">
        <v>14.235273306209091</v>
      </c>
      <c r="F30" s="6">
        <v>1.5230850875641249</v>
      </c>
      <c r="G30" s="6">
        <v>0</v>
      </c>
      <c r="H30" s="6">
        <v>0</v>
      </c>
      <c r="I30" s="5">
        <v>155.79233222254629</v>
      </c>
      <c r="J30" s="5">
        <v>21.95007673514661</v>
      </c>
      <c r="K30" s="6"/>
      <c r="L30" s="23">
        <v>6</v>
      </c>
      <c r="M30" s="23">
        <v>0</v>
      </c>
      <c r="N30" s="22">
        <v>20</v>
      </c>
      <c r="P30" s="7">
        <f t="shared" si="2"/>
        <v>26</v>
      </c>
      <c r="R30" s="6">
        <v>84.365632216330965</v>
      </c>
      <c r="S30" s="6">
        <v>0</v>
      </c>
      <c r="T30" s="5">
        <v>135.13513513513513</v>
      </c>
      <c r="V30" s="7">
        <f t="shared" si="3"/>
        <v>219.5007673514661</v>
      </c>
      <c r="X30" s="6">
        <f t="shared" si="4"/>
        <v>193.50076735146612</v>
      </c>
      <c r="Z30" s="6"/>
      <c r="BG30" s="3" t="s">
        <v>2</v>
      </c>
      <c r="BH30" s="3" t="s">
        <v>3</v>
      </c>
      <c r="BI30" s="3" t="s">
        <v>51</v>
      </c>
      <c r="BN30" s="3" t="s">
        <v>2</v>
      </c>
      <c r="BO30" s="3" t="s">
        <v>3</v>
      </c>
      <c r="BP30" s="3" t="s">
        <v>51</v>
      </c>
    </row>
    <row r="31" spans="1:69" x14ac:dyDescent="0.3">
      <c r="V31" s="48">
        <f>SUM(V25:V30)</f>
        <v>1167.5675675675677</v>
      </c>
      <c r="BF31" s="3" t="s">
        <v>66</v>
      </c>
      <c r="BG31" s="6">
        <f>BG25</f>
        <v>59.313638775871219</v>
      </c>
      <c r="BH31" s="6">
        <f>BH26</f>
        <v>127.02702702702703</v>
      </c>
      <c r="BI31" s="6">
        <f>BI27</f>
        <v>127.02702702702703</v>
      </c>
      <c r="BM31" s="3" t="s">
        <v>66</v>
      </c>
      <c r="BN31" s="6">
        <f>BN25</f>
        <v>47.401379798337175</v>
      </c>
      <c r="BO31" s="6">
        <f>BO26</f>
        <v>119.99999999999999</v>
      </c>
      <c r="BP31" s="6">
        <f>BP27</f>
        <v>119.99999999999999</v>
      </c>
    </row>
    <row r="32" spans="1:69" x14ac:dyDescent="0.3">
      <c r="B32" s="2" t="s">
        <v>7</v>
      </c>
      <c r="D32" s="2" t="s">
        <v>15</v>
      </c>
      <c r="E32" s="5">
        <f t="array" ref="E32:J32">MMULT(E13:J13,V25:V30*_xlfn.MUNIT(6))</f>
        <v>11.862727755174255</v>
      </c>
      <c r="F32" s="5">
        <v>35.538652043162919</v>
      </c>
      <c r="G32" s="5">
        <v>25.4054054054054</v>
      </c>
      <c r="H32" s="5">
        <v>94.594594594594582</v>
      </c>
      <c r="I32" s="5">
        <v>38.948083055636566</v>
      </c>
      <c r="J32" s="5">
        <v>153.65053714602627</v>
      </c>
      <c r="BF32" s="3" t="s">
        <v>67</v>
      </c>
      <c r="BG32" s="6">
        <f>-SUM(BG26:BG27)</f>
        <v>-67.71338825115582</v>
      </c>
      <c r="BH32" s="6">
        <f>-SUM(BH25,BH27)</f>
        <v>0</v>
      </c>
      <c r="BI32" s="6">
        <f>-SUM(BI25:BI26)</f>
        <v>0</v>
      </c>
      <c r="BM32" s="3" t="s">
        <v>67</v>
      </c>
      <c r="BN32" s="6">
        <f>-SUM(BN26:BN27)</f>
        <v>-72.598620201662825</v>
      </c>
      <c r="BO32" s="6">
        <f>-SUM(BO25,BO27)</f>
        <v>0</v>
      </c>
      <c r="BP32" s="6">
        <f>-SUM(BP25:BP26)</f>
        <v>0</v>
      </c>
    </row>
    <row r="33" spans="2:68" x14ac:dyDescent="0.3">
      <c r="BE33" s="27"/>
      <c r="BF33" s="28" t="s">
        <v>65</v>
      </c>
      <c r="BG33" s="29">
        <f>SUM(BH25:BI25)</f>
        <v>0</v>
      </c>
      <c r="BH33" s="29">
        <f>SUM(BG26,BI26)</f>
        <v>0</v>
      </c>
      <c r="BI33" s="29">
        <f>SUM(BG27:BH27)</f>
        <v>67.71338825115582</v>
      </c>
      <c r="BL33" s="27"/>
      <c r="BM33" s="28" t="s">
        <v>65</v>
      </c>
      <c r="BN33" s="29">
        <f>SUM(BO25:BP25)</f>
        <v>0</v>
      </c>
      <c r="BO33" s="29">
        <f>SUM(BN26,BP26)</f>
        <v>0</v>
      </c>
      <c r="BP33" s="29">
        <f>SUM(BN27:BO27)</f>
        <v>72.598620201662825</v>
      </c>
    </row>
    <row r="34" spans="2:68" x14ac:dyDescent="0.3">
      <c r="B34" s="2" t="s">
        <v>107</v>
      </c>
      <c r="D34" s="2" t="s">
        <v>15</v>
      </c>
      <c r="E34" s="5">
        <f t="array" ref="E34:J34">MMULT(E60:J60,V25:V30*_xlfn.MUNIT(6))</f>
        <v>59.313638775871219</v>
      </c>
      <c r="F34" s="5">
        <v>0</v>
      </c>
      <c r="G34" s="5">
        <v>127.02702702702703</v>
      </c>
      <c r="H34" s="5">
        <v>0</v>
      </c>
      <c r="I34" s="5">
        <v>0</v>
      </c>
      <c r="J34" s="5">
        <v>0</v>
      </c>
      <c r="V34" s="7">
        <f>SUM(E34:J34)</f>
        <v>186.34066580289826</v>
      </c>
      <c r="X34" s="6"/>
      <c r="BF34" s="3" t="s">
        <v>21</v>
      </c>
      <c r="BG34" s="6">
        <f>SUM(BG31:BG33)</f>
        <v>-8.3997494752846009</v>
      </c>
      <c r="BH34" s="6">
        <f t="shared" ref="BH34:BI34" si="5">SUM(BH31:BH33)</f>
        <v>127.02702702702703</v>
      </c>
      <c r="BI34" s="6">
        <f t="shared" si="5"/>
        <v>194.74041527818287</v>
      </c>
      <c r="BM34" s="3" t="s">
        <v>21</v>
      </c>
      <c r="BN34" s="6">
        <f>SUM(BN31:BN33)</f>
        <v>-25.197240403325651</v>
      </c>
      <c r="BO34" s="6">
        <f t="shared" ref="BO34:BP34" si="6">SUM(BO31:BO33)</f>
        <v>119.99999999999999</v>
      </c>
      <c r="BP34" s="6">
        <f t="shared" si="6"/>
        <v>192.59862020166281</v>
      </c>
    </row>
    <row r="35" spans="2:68" x14ac:dyDescent="0.3">
      <c r="B35" s="2" t="s">
        <v>108</v>
      </c>
      <c r="D35" s="2" t="s">
        <v>15</v>
      </c>
      <c r="E35" s="5">
        <f t="array" ref="E35:J35">MMULT(E61:J61,V25:V30*_xlfn.MUNIT(6))</f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L35" s="6">
        <f>E16*P25*E43+F16*P26*F43</f>
        <v>0</v>
      </c>
      <c r="M35" s="6">
        <f>G16*P27*G43+H16*P28*H43</f>
        <v>50</v>
      </c>
      <c r="N35" s="6">
        <f>I16*I43*P29+J16*P30*J43</f>
        <v>0</v>
      </c>
      <c r="V35" s="7">
        <f>SUM(E35:J35)</f>
        <v>0</v>
      </c>
      <c r="W35" s="6">
        <f>SUM(E35:N35)</f>
        <v>50</v>
      </c>
      <c r="X35" s="6"/>
      <c r="Y35" s="6"/>
      <c r="Z35" s="6"/>
      <c r="BF35" s="2" t="s">
        <v>134</v>
      </c>
      <c r="BG35" s="6">
        <f>BG33+BG32</f>
        <v>-67.71338825115582</v>
      </c>
      <c r="BH35" s="6">
        <f t="shared" ref="BH35:BI35" si="7">BH33+BH32</f>
        <v>0</v>
      </c>
      <c r="BI35" s="6">
        <f t="shared" si="7"/>
        <v>67.71338825115582</v>
      </c>
      <c r="BK35" s="3"/>
    </row>
    <row r="36" spans="2:68" x14ac:dyDescent="0.3">
      <c r="V36" s="6">
        <f>SUM(V34:V35)</f>
        <v>186.34066580289826</v>
      </c>
    </row>
    <row r="37" spans="2:68" x14ac:dyDescent="0.3">
      <c r="B37" s="2" t="s">
        <v>18</v>
      </c>
      <c r="D37" s="2" t="s">
        <v>16</v>
      </c>
      <c r="E37" s="5">
        <f t="array" ref="E37:J37">MMULT(E16:J16,V25:V30*_xlfn.MUNIT(6))</f>
        <v>59.313638775871219</v>
      </c>
      <c r="F37" s="5">
        <v>0</v>
      </c>
      <c r="G37" s="5">
        <v>127.02702702702703</v>
      </c>
      <c r="H37" s="5">
        <v>0</v>
      </c>
      <c r="I37" s="5">
        <v>194.74041527818287</v>
      </c>
      <c r="J37" s="5">
        <v>0</v>
      </c>
      <c r="L37" s="12" t="s">
        <v>35</v>
      </c>
      <c r="M37" s="12" t="s">
        <v>35</v>
      </c>
      <c r="N37" s="12" t="s">
        <v>35</v>
      </c>
      <c r="P37" s="6">
        <f>SUM(E37:J37)</f>
        <v>381.08108108108115</v>
      </c>
      <c r="BG37" s="3" t="s">
        <v>2</v>
      </c>
      <c r="BH37" s="3" t="s">
        <v>3</v>
      </c>
      <c r="BI37" s="3" t="s">
        <v>51</v>
      </c>
    </row>
    <row r="38" spans="2:68" x14ac:dyDescent="0.3">
      <c r="B38" s="2" t="s">
        <v>64</v>
      </c>
      <c r="D38" s="2" t="s">
        <v>16</v>
      </c>
      <c r="E38" s="5">
        <f t="array" ref="E38:J38">MMULT(E17:J17,P25:P30*_xlfn.MUNIT(6))</f>
        <v>85.13513513513513</v>
      </c>
      <c r="F38" s="5">
        <v>3.7837837837837833</v>
      </c>
      <c r="G38" s="5">
        <v>121.62162162162163</v>
      </c>
      <c r="H38" s="5">
        <v>5.4054054054054053</v>
      </c>
      <c r="I38" s="5">
        <v>158.1081081081081</v>
      </c>
      <c r="J38" s="5">
        <v>7.0270270270270272</v>
      </c>
      <c r="P38" s="6">
        <f>SUM(E38:J38)</f>
        <v>381.08108108108109</v>
      </c>
      <c r="V38" s="50">
        <f>SUM(V31,V36)</f>
        <v>1353.908233370466</v>
      </c>
      <c r="BE38" s="2" t="s">
        <v>2</v>
      </c>
      <c r="BF38" s="2" t="s">
        <v>0</v>
      </c>
      <c r="BG38" s="6">
        <f t="array" ref="BG38:BI43">MMULT(E16:J16*_xlfn.MUNIT(6),R25:T30)</f>
        <v>59.313638775871219</v>
      </c>
      <c r="BH38" s="6">
        <v>0</v>
      </c>
      <c r="BI38" s="6">
        <v>0</v>
      </c>
    </row>
    <row r="39" spans="2:68" x14ac:dyDescent="0.3">
      <c r="BF39" s="2" t="s">
        <v>1</v>
      </c>
      <c r="BG39" s="6">
        <v>0</v>
      </c>
      <c r="BH39" s="6">
        <v>0</v>
      </c>
      <c r="BI39" s="6">
        <v>0</v>
      </c>
    </row>
    <row r="40" spans="2:68" x14ac:dyDescent="0.3">
      <c r="BE40" s="2" t="s">
        <v>3</v>
      </c>
      <c r="BF40" s="2" t="s">
        <v>0</v>
      </c>
      <c r="BG40" s="6">
        <v>0</v>
      </c>
      <c r="BH40" s="6">
        <v>127.02702702702703</v>
      </c>
      <c r="BI40" s="6">
        <v>0</v>
      </c>
    </row>
    <row r="41" spans="2:68" x14ac:dyDescent="0.3">
      <c r="E41" s="2" t="s">
        <v>55</v>
      </c>
      <c r="BF41" s="2" t="s">
        <v>1</v>
      </c>
      <c r="BG41" s="6">
        <v>0</v>
      </c>
      <c r="BH41" s="6">
        <v>0</v>
      </c>
      <c r="BI41" s="6">
        <v>0</v>
      </c>
    </row>
    <row r="42" spans="2:68" x14ac:dyDescent="0.3">
      <c r="B42" s="2" t="s">
        <v>26</v>
      </c>
      <c r="C42" s="2" t="s">
        <v>100</v>
      </c>
      <c r="D42" s="42" t="s">
        <v>20</v>
      </c>
      <c r="E42" s="9">
        <v>1</v>
      </c>
      <c r="F42" s="9">
        <v>1</v>
      </c>
      <c r="G42" s="9">
        <v>1</v>
      </c>
      <c r="H42" s="9">
        <v>1</v>
      </c>
      <c r="I42" s="9">
        <v>0</v>
      </c>
      <c r="J42" s="9">
        <v>0</v>
      </c>
      <c r="BE42" s="2" t="s">
        <v>51</v>
      </c>
      <c r="BF42" s="2" t="s">
        <v>0</v>
      </c>
      <c r="BG42" s="6">
        <v>67.71338825115582</v>
      </c>
      <c r="BH42" s="6">
        <v>0</v>
      </c>
      <c r="BI42" s="6">
        <v>127.02702702702703</v>
      </c>
    </row>
    <row r="43" spans="2:68" x14ac:dyDescent="0.3">
      <c r="B43" s="2" t="s">
        <v>27</v>
      </c>
      <c r="C43" s="2" t="s">
        <v>99</v>
      </c>
      <c r="D43" s="42" t="s">
        <v>20</v>
      </c>
      <c r="E43" s="9"/>
      <c r="F43" s="9"/>
      <c r="G43" s="9">
        <v>1</v>
      </c>
      <c r="H43" s="9">
        <v>1</v>
      </c>
      <c r="I43" s="9">
        <v>0</v>
      </c>
      <c r="J43" s="9">
        <v>0</v>
      </c>
      <c r="BF43" s="2" t="s">
        <v>1</v>
      </c>
      <c r="BG43" s="6">
        <v>0</v>
      </c>
      <c r="BH43" s="6">
        <v>0</v>
      </c>
      <c r="BI43" s="6">
        <v>0</v>
      </c>
    </row>
    <row r="46" spans="2:68" x14ac:dyDescent="0.3">
      <c r="E46" s="2" t="s">
        <v>2</v>
      </c>
      <c r="G46" s="2" t="s">
        <v>3</v>
      </c>
      <c r="I46" s="2" t="s">
        <v>51</v>
      </c>
    </row>
    <row r="47" spans="2:68" x14ac:dyDescent="0.3">
      <c r="E47" s="3" t="s">
        <v>0</v>
      </c>
      <c r="F47" s="3" t="s">
        <v>1</v>
      </c>
      <c r="G47" s="3" t="s">
        <v>0</v>
      </c>
      <c r="H47" s="3" t="s">
        <v>1</v>
      </c>
      <c r="I47" s="3" t="s">
        <v>0</v>
      </c>
      <c r="J47" s="3" t="s">
        <v>1</v>
      </c>
    </row>
    <row r="48" spans="2:68" x14ac:dyDescent="0.3">
      <c r="B48" s="2" t="s">
        <v>70</v>
      </c>
      <c r="D48" s="2" t="s">
        <v>71</v>
      </c>
      <c r="E48" s="40">
        <f>SUM(E53:E55)</f>
        <v>1.8225720856182557</v>
      </c>
      <c r="F48" s="40">
        <f t="shared" ref="F48:J48" si="8">SUM(F53:F55)</f>
        <v>1.1238280558995224</v>
      </c>
      <c r="G48" s="40">
        <f t="shared" si="8"/>
        <v>2.2162162162162162</v>
      </c>
      <c r="H48" s="40">
        <f t="shared" si="8"/>
        <v>1.2702702702702702</v>
      </c>
      <c r="I48" s="40">
        <f t="shared" si="8"/>
        <v>1</v>
      </c>
      <c r="J48" s="40">
        <f t="shared" si="8"/>
        <v>0.99999999999999989</v>
      </c>
      <c r="L48" s="2" t="s">
        <v>124</v>
      </c>
    </row>
    <row r="49" spans="2:17" x14ac:dyDescent="0.3">
      <c r="B49" s="2" t="s">
        <v>125</v>
      </c>
      <c r="D49" s="2" t="s">
        <v>71</v>
      </c>
      <c r="E49" s="46">
        <f t="array" ref="E49:J49">E48:J48*TRANSPOSE(V25:V30)/SUM(V25:V30)</f>
        <v>0.18517709010119701</v>
      </c>
      <c r="F49" s="46">
        <v>4.8867571649914766E-2</v>
      </c>
      <c r="G49" s="46">
        <v>0.48223223223223222</v>
      </c>
      <c r="H49" s="46">
        <v>0.14702202202202197</v>
      </c>
      <c r="I49" s="46">
        <v>0.33358311876355395</v>
      </c>
      <c r="J49" s="46">
        <v>0.18799834240750563</v>
      </c>
      <c r="L49" s="45">
        <f>SUM(E49:J49)</f>
        <v>1.3848803771764253</v>
      </c>
      <c r="O49" s="3" t="s">
        <v>2</v>
      </c>
      <c r="P49" s="3" t="s">
        <v>3</v>
      </c>
      <c r="Q49" s="3" t="s">
        <v>51</v>
      </c>
    </row>
    <row r="50" spans="2:17" x14ac:dyDescent="0.3">
      <c r="B50" s="2" t="s">
        <v>127</v>
      </c>
      <c r="D50" s="2" t="s">
        <v>71</v>
      </c>
      <c r="E50" s="2">
        <f t="array" ref="E50:F50">E48:F48*TRANSPOSE($V$25:$V$26)/SUM($V$25:$V$26)</f>
        <v>1.2763333757472872</v>
      </c>
      <c r="F50" s="2">
        <v>0.33681981207514916</v>
      </c>
      <c r="G50" s="2">
        <f t="array" ref="G50:H50">G48:H48*TRANSPOSE($V$27:$V$28)/SUM($V$27:$V$28)</f>
        <v>1.446696696696697</v>
      </c>
      <c r="H50" s="2">
        <v>0.44106606606606602</v>
      </c>
      <c r="I50" s="2">
        <f t="array" ref="I50:J50">I48:J48*TRANSPOSE($V$29:$V$30)/SUM($V$29:$V$30)</f>
        <v>0.63956091923702574</v>
      </c>
      <c r="J50" s="2">
        <v>0.36043908076297415</v>
      </c>
      <c r="O50" s="45">
        <f>SUM(E50:F50)</f>
        <v>1.6131531878224363</v>
      </c>
      <c r="P50" s="45">
        <f>SUM(G50:H50)</f>
        <v>1.8877627627627631</v>
      </c>
      <c r="Q50" s="45">
        <f>SUM(I50:J50)</f>
        <v>0.99999999999999989</v>
      </c>
    </row>
    <row r="52" spans="2:17" x14ac:dyDescent="0.3">
      <c r="B52" s="2" t="s">
        <v>101</v>
      </c>
      <c r="D52" s="2" t="s">
        <v>83</v>
      </c>
    </row>
    <row r="53" spans="2:17" x14ac:dyDescent="0.3">
      <c r="B53" s="2" t="s">
        <v>77</v>
      </c>
      <c r="D53" s="2" t="s">
        <v>71</v>
      </c>
      <c r="E53" s="2">
        <f t="array" ref="E53:J53">MMULT(E13:J13,MINVERSE(_xlfn.MUNIT(6)-E6:J11))</f>
        <v>1</v>
      </c>
      <c r="F53" s="2">
        <v>1</v>
      </c>
      <c r="G53" s="2">
        <v>1</v>
      </c>
      <c r="H53" s="2">
        <v>0.99999999999999989</v>
      </c>
      <c r="I53" s="2">
        <v>1</v>
      </c>
      <c r="J53" s="2">
        <v>0.99999999999999989</v>
      </c>
    </row>
    <row r="54" spans="2:17" x14ac:dyDescent="0.3">
      <c r="B54" s="2" t="s">
        <v>80</v>
      </c>
      <c r="D54" s="2" t="s">
        <v>71</v>
      </c>
      <c r="E54" s="2">
        <f t="array" ref="E54:J54">MMULT(MMULT(E16:J16,E42:J42*_xlfn.MUNIT(6)),MINVERSE(_xlfn.MUNIT(6)-E6:J11))</f>
        <v>0.82257208561825579</v>
      </c>
      <c r="F54" s="2">
        <v>0.12382805589952235</v>
      </c>
      <c r="G54" s="2">
        <v>1.2162162162162162</v>
      </c>
      <c r="H54" s="2">
        <v>0.27027027027027029</v>
      </c>
      <c r="I54" s="2">
        <v>0</v>
      </c>
      <c r="J54" s="2">
        <v>0</v>
      </c>
    </row>
    <row r="55" spans="2:17" x14ac:dyDescent="0.3">
      <c r="B55" s="2" t="s">
        <v>81</v>
      </c>
      <c r="D55" s="2" t="s">
        <v>71</v>
      </c>
      <c r="E55" s="2">
        <f t="array" ref="E55:J55">MMULT(MMULT(E16:J16,AM23:AR28)*E43:J43,MINVERSE(_xlfn.MUNIT(6)-E6:J11))</f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7" spans="2:17" x14ac:dyDescent="0.3">
      <c r="B57" s="2" t="s">
        <v>102</v>
      </c>
      <c r="D57" s="2" t="s">
        <v>82</v>
      </c>
    </row>
    <row r="58" spans="2:17" x14ac:dyDescent="0.3">
      <c r="B58" s="2" t="s">
        <v>22</v>
      </c>
      <c r="D58" s="2" t="s">
        <v>12</v>
      </c>
      <c r="E58" s="2">
        <f t="array" ref="E58:J58">MMULT(E48:J48,E6:J11)</f>
        <v>1.2225720856182554</v>
      </c>
      <c r="F58" s="2">
        <v>0.42382805589952227</v>
      </c>
      <c r="G58" s="2">
        <v>1.6162162162162161</v>
      </c>
      <c r="H58" s="2">
        <v>0.57027027027027033</v>
      </c>
      <c r="I58" s="2">
        <v>0.89999999999999991</v>
      </c>
      <c r="J58" s="2">
        <v>0.3</v>
      </c>
    </row>
    <row r="59" spans="2:17" x14ac:dyDescent="0.3">
      <c r="B59" s="2" t="s">
        <v>5</v>
      </c>
      <c r="D59" s="2" t="s">
        <v>12</v>
      </c>
      <c r="E59" s="33">
        <f t="array" ref="E59:J59">E13:J13</f>
        <v>0.10000000000000009</v>
      </c>
      <c r="F59" s="33">
        <v>0.70000000000000007</v>
      </c>
      <c r="G59" s="33">
        <v>9.9999999999999978E-2</v>
      </c>
      <c r="H59" s="33">
        <v>0.7</v>
      </c>
      <c r="I59" s="33">
        <v>9.9999999999999978E-2</v>
      </c>
      <c r="J59" s="33">
        <v>0.7</v>
      </c>
    </row>
    <row r="60" spans="2:17" x14ac:dyDescent="0.3">
      <c r="B60" s="30" t="s">
        <v>92</v>
      </c>
      <c r="D60" s="2" t="s">
        <v>12</v>
      </c>
      <c r="E60" s="2">
        <f t="array" ref="E60:J60">MMULT(E16:J16,E42:J42*_xlfn.MUNIT(6))</f>
        <v>0.5</v>
      </c>
      <c r="F60" s="2">
        <v>0</v>
      </c>
      <c r="G60" s="2">
        <v>0.5</v>
      </c>
      <c r="H60" s="2">
        <v>0</v>
      </c>
      <c r="I60" s="2">
        <v>0</v>
      </c>
      <c r="J60" s="2">
        <v>0</v>
      </c>
    </row>
    <row r="61" spans="2:17" x14ac:dyDescent="0.3">
      <c r="B61" s="30" t="s">
        <v>89</v>
      </c>
      <c r="D61" s="2" t="s">
        <v>12</v>
      </c>
      <c r="E61" s="2">
        <f t="array" ref="E61:J61">MMULT(E16:J16,AM23:AR28)*E43:J43</f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3" spans="2:17" x14ac:dyDescent="0.3">
      <c r="E63" s="2" t="s">
        <v>138</v>
      </c>
    </row>
    <row r="64" spans="2:17" x14ac:dyDescent="0.3">
      <c r="B64" s="2" t="s">
        <v>115</v>
      </c>
      <c r="D64" s="2" t="s">
        <v>86</v>
      </c>
      <c r="E64" s="2" t="s">
        <v>112</v>
      </c>
      <c r="G64" s="2" t="s">
        <v>113</v>
      </c>
      <c r="I64" s="2" t="s">
        <v>114</v>
      </c>
    </row>
    <row r="65" spans="2:10" x14ac:dyDescent="0.3">
      <c r="B65" s="2" t="s">
        <v>109</v>
      </c>
      <c r="E65" s="1">
        <f t="array" ref="E65:F65">E48:F48</f>
        <v>1.8225720856182557</v>
      </c>
      <c r="F65" s="1">
        <v>1.1238280558995224</v>
      </c>
      <c r="G65" s="2">
        <f t="array" ref="G65:H65">1+E16:F16*G43:H43-E42:F42*E16:F16</f>
        <v>1</v>
      </c>
      <c r="H65" s="2">
        <v>1</v>
      </c>
      <c r="I65" s="2">
        <f t="array" ref="I65:J65">1+E16:F16*I43:J43-E16:F16*E42:F42</f>
        <v>0.5</v>
      </c>
      <c r="J65" s="2">
        <v>1</v>
      </c>
    </row>
    <row r="66" spans="2:10" x14ac:dyDescent="0.3">
      <c r="B66" s="2" t="s">
        <v>110</v>
      </c>
      <c r="E66" s="2">
        <f t="array" ref="E66:F66">1+G16:H16*E43:F43-G42:H42*G16:H16</f>
        <v>0.5</v>
      </c>
      <c r="F66" s="2">
        <v>1</v>
      </c>
      <c r="G66" s="1">
        <f t="array" ref="G66:H66">G48:H48</f>
        <v>2.2162162162162162</v>
      </c>
      <c r="H66" s="1">
        <v>1.2702702702702702</v>
      </c>
      <c r="I66" s="2">
        <f t="array" ref="I66:J66">1+G16:H16*I43:J43-G42:H42*G16:H16</f>
        <v>0.5</v>
      </c>
      <c r="J66" s="2">
        <v>1</v>
      </c>
    </row>
    <row r="67" spans="2:10" x14ac:dyDescent="0.3">
      <c r="B67" s="2" t="s">
        <v>111</v>
      </c>
      <c r="E67" s="2">
        <f t="array" ref="E67:F67">1+I16:J16*E43:F43-I42:J42*I16:J16</f>
        <v>1</v>
      </c>
      <c r="F67" s="2">
        <v>1</v>
      </c>
      <c r="G67" s="2">
        <f t="array" ref="G67:H67">1+I16:J16*G43:H43-I42:J42*I16:J16</f>
        <v>1.5</v>
      </c>
      <c r="H67" s="2">
        <v>1</v>
      </c>
      <c r="I67" s="1">
        <f t="array" ref="I67:J67">I48:J48</f>
        <v>1</v>
      </c>
      <c r="J67" s="1">
        <v>0.99999999999999989</v>
      </c>
    </row>
    <row r="69" spans="2:10" x14ac:dyDescent="0.3">
      <c r="B69" s="2" t="s">
        <v>109</v>
      </c>
      <c r="E69" s="44">
        <v>0</v>
      </c>
      <c r="F69" s="44">
        <v>0</v>
      </c>
      <c r="G69" s="13">
        <f t="array" ref="G69:H69">(G65:H65-G66:H66)/G66:H66</f>
        <v>-0.54878048780487809</v>
      </c>
      <c r="H69" s="13">
        <v>-0.21276595744680846</v>
      </c>
      <c r="I69" s="13">
        <f t="array" ref="I69:J69">(I65:J65-I67:J67)/I67:J67</f>
        <v>-0.5</v>
      </c>
      <c r="J69" s="13">
        <v>1.1102230246251565E-16</v>
      </c>
    </row>
    <row r="70" spans="2:10" x14ac:dyDescent="0.3">
      <c r="B70" s="2" t="s">
        <v>110</v>
      </c>
      <c r="E70" s="13">
        <f t="array" ref="E70:F70">(E66:F66-E65:F65)/E65:F65</f>
        <v>-0.72566242841890705</v>
      </c>
      <c r="F70" s="13">
        <v>-0.11018416496143556</v>
      </c>
      <c r="G70" s="44">
        <v>0</v>
      </c>
      <c r="H70" s="44">
        <v>0</v>
      </c>
      <c r="I70" s="13">
        <f t="array" ref="I70:J70">(I66:J66-I67:J67)/I67:J67</f>
        <v>-0.5</v>
      </c>
      <c r="J70" s="13">
        <v>1.1102230246251565E-16</v>
      </c>
    </row>
    <row r="71" spans="2:10" x14ac:dyDescent="0.3">
      <c r="B71" s="2" t="s">
        <v>111</v>
      </c>
      <c r="E71" s="13">
        <f t="array" ref="E71:F71">(E67:F67-E65:F65)/E65:F65</f>
        <v>-0.4513248568378142</v>
      </c>
      <c r="F71" s="13">
        <v>-0.11018416496143556</v>
      </c>
      <c r="G71" s="13">
        <f t="array" ref="G71:H71">(G67:H67-G66:H66)/G66:H66</f>
        <v>-0.32317073170731708</v>
      </c>
      <c r="H71" s="13">
        <v>-0.21276595744680846</v>
      </c>
      <c r="I71" s="44">
        <v>0</v>
      </c>
      <c r="J71" s="44">
        <v>0</v>
      </c>
    </row>
    <row r="74" spans="2:10" x14ac:dyDescent="0.3">
      <c r="E74" s="47" t="s">
        <v>112</v>
      </c>
      <c r="F74" s="47"/>
      <c r="G74" s="47" t="s">
        <v>113</v>
      </c>
      <c r="H74" s="47"/>
      <c r="I74" s="47" t="s">
        <v>114</v>
      </c>
      <c r="J74" s="47"/>
    </row>
    <row r="75" spans="2:10" x14ac:dyDescent="0.3">
      <c r="E75" s="3" t="s">
        <v>0</v>
      </c>
      <c r="F75" s="3" t="s">
        <v>1</v>
      </c>
      <c r="G75" s="3" t="s">
        <v>0</v>
      </c>
      <c r="H75" s="3" t="s">
        <v>1</v>
      </c>
      <c r="I75" s="3" t="s">
        <v>0</v>
      </c>
      <c r="J75" s="3" t="s">
        <v>1</v>
      </c>
    </row>
    <row r="76" spans="2:10" x14ac:dyDescent="0.3">
      <c r="D76" s="2" t="s">
        <v>135</v>
      </c>
      <c r="E76" s="2">
        <f t="array" ref="E76:F76">E65:F65</f>
        <v>1.8225720856182557</v>
      </c>
      <c r="F76" s="2">
        <v>1.1238280558995224</v>
      </c>
      <c r="G76" s="2">
        <f t="array" ref="G76:H76">G66:H66</f>
        <v>2.2162162162162162</v>
      </c>
      <c r="H76" s="2">
        <v>1.2702702702702702</v>
      </c>
      <c r="I76" s="2">
        <f t="array" ref="I76:J76">I67:J67</f>
        <v>1</v>
      </c>
      <c r="J76" s="2">
        <v>0.99999999999999989</v>
      </c>
    </row>
    <row r="77" spans="2:10" x14ac:dyDescent="0.3">
      <c r="D77" s="2" t="s">
        <v>136</v>
      </c>
      <c r="E77" s="2">
        <f t="array" ref="E77:F77">(E66:F66+E67:F67)/2</f>
        <v>0.75</v>
      </c>
      <c r="F77" s="2">
        <v>1</v>
      </c>
      <c r="G77" s="2">
        <f t="array" ref="G77:H77">(G65:H65+G67:H67)/2</f>
        <v>1.25</v>
      </c>
      <c r="H77" s="2">
        <v>1</v>
      </c>
      <c r="I77" s="2">
        <f t="array" ref="I77:J77">(I65:J65+I66:J66)/2</f>
        <v>0.5</v>
      </c>
      <c r="J77" s="2">
        <v>1</v>
      </c>
    </row>
    <row r="80" spans="2:10" x14ac:dyDescent="0.3">
      <c r="B80" s="2" t="s">
        <v>115</v>
      </c>
      <c r="D80" s="2" t="s">
        <v>86</v>
      </c>
      <c r="E80" s="2" t="s">
        <v>112</v>
      </c>
      <c r="G80" s="2" t="s">
        <v>113</v>
      </c>
      <c r="I80" s="2" t="s">
        <v>114</v>
      </c>
    </row>
    <row r="81" spans="2:46" x14ac:dyDescent="0.3">
      <c r="B81" s="2" t="s">
        <v>109</v>
      </c>
      <c r="E81" s="1">
        <f t="array" ref="E81:F81">E48:F48</f>
        <v>1.8225720856182557</v>
      </c>
      <c r="F81" s="1">
        <v>1.1238280558995224</v>
      </c>
      <c r="G81" s="2">
        <f t="array" ref="G81:H81">E48:F48+E16:F16*G43:H43</f>
        <v>2.3225720856182557</v>
      </c>
      <c r="H81" s="2">
        <v>1.1238280558995224</v>
      </c>
      <c r="I81" s="2">
        <f t="array" ref="I81:J81">E48:F48+E16:F16*I43:J43</f>
        <v>1.8225720856182557</v>
      </c>
      <c r="J81" s="2">
        <v>1.1238280558995224</v>
      </c>
    </row>
    <row r="82" spans="2:46" x14ac:dyDescent="0.3">
      <c r="B82" s="2" t="s">
        <v>110</v>
      </c>
      <c r="E82" s="2">
        <f t="array" ref="E82:F82">G48:H48+G16:H16*E43:F43</f>
        <v>2.2162162162162162</v>
      </c>
      <c r="F82" s="2">
        <v>1.2702702702702702</v>
      </c>
      <c r="G82" s="1">
        <f t="array" ref="G82:H82">G48:H48</f>
        <v>2.2162162162162162</v>
      </c>
      <c r="H82" s="1">
        <v>1.2702702702702702</v>
      </c>
      <c r="I82" s="2">
        <f t="array" ref="I82:J82">G48:H48+G16:H16*I43:J43</f>
        <v>2.2162162162162162</v>
      </c>
      <c r="J82" s="2">
        <v>1.2702702702702702</v>
      </c>
    </row>
    <row r="83" spans="2:46" x14ac:dyDescent="0.3">
      <c r="B83" s="2" t="s">
        <v>111</v>
      </c>
      <c r="E83" s="2">
        <f t="array" ref="E83:F83">I48:J48+I16:J16*E43:F43</f>
        <v>1</v>
      </c>
      <c r="F83" s="2">
        <v>0.99999999999999989</v>
      </c>
      <c r="G83" s="2">
        <f t="array" ref="G83:H83">I48:J48+I16:J16*G43:H43</f>
        <v>1.5</v>
      </c>
      <c r="H83" s="2">
        <v>0.99999999999999989</v>
      </c>
      <c r="I83" s="1">
        <f t="array" ref="I83:J83">I48:J48</f>
        <v>1</v>
      </c>
      <c r="J83" s="1">
        <v>0.99999999999999989</v>
      </c>
    </row>
    <row r="85" spans="2:46" x14ac:dyDescent="0.3">
      <c r="B85" s="2" t="s">
        <v>109</v>
      </c>
      <c r="E85" s="44">
        <v>0</v>
      </c>
      <c r="F85" s="44">
        <v>0</v>
      </c>
      <c r="G85" s="13">
        <f t="array" ref="G85:H85">(G81:H81-G82:H82)/G82:H82</f>
        <v>4.7989843510676339E-2</v>
      </c>
      <c r="H85" s="13">
        <v>-0.11528429641952485</v>
      </c>
      <c r="I85" s="13">
        <f t="array" ref="I85:J85">(I81:J81-I83:J83)/I83:J83</f>
        <v>0.82257208561825568</v>
      </c>
      <c r="J85" s="13">
        <v>0.12382805589952252</v>
      </c>
    </row>
    <row r="86" spans="2:46" x14ac:dyDescent="0.3">
      <c r="B86" s="2" t="s">
        <v>110</v>
      </c>
      <c r="E86" s="13">
        <f t="array" ref="E86:F86">(E82:F82-E81:F81)/E81:F81</f>
        <v>0.21598274971079018</v>
      </c>
      <c r="F86" s="13">
        <v>0.13030660126520341</v>
      </c>
      <c r="G86" s="44">
        <v>0</v>
      </c>
      <c r="H86" s="44">
        <v>0</v>
      </c>
      <c r="I86" s="13">
        <f t="array" ref="I86:J86">(I82:J82-I83:J83)/I83:J83</f>
        <v>1.2162162162162162</v>
      </c>
      <c r="J86" s="13">
        <v>0.27027027027027034</v>
      </c>
    </row>
    <row r="87" spans="2:46" x14ac:dyDescent="0.3">
      <c r="B87" s="2" t="s">
        <v>111</v>
      </c>
      <c r="E87" s="13">
        <f t="array" ref="E87:F87">(E83:F83-E81:F81)/E81:F81</f>
        <v>-0.4513248568378142</v>
      </c>
      <c r="F87" s="13">
        <v>-0.11018416496143565</v>
      </c>
      <c r="G87" s="13">
        <f t="array" ref="G87:H87">(G83:H83-G82:H82)/G82:H82</f>
        <v>-0.32317073170731708</v>
      </c>
      <c r="H87" s="13">
        <v>-0.21276595744680854</v>
      </c>
      <c r="I87" s="44">
        <v>0</v>
      </c>
      <c r="J87" s="44">
        <v>0</v>
      </c>
    </row>
    <row r="89" spans="2:46" x14ac:dyDescent="0.3">
      <c r="O89" s="2" t="s">
        <v>2</v>
      </c>
      <c r="Q89" s="2" t="s">
        <v>3</v>
      </c>
      <c r="S89" s="2" t="s">
        <v>51</v>
      </c>
      <c r="AI89" s="2" t="s">
        <v>2</v>
      </c>
      <c r="AK89" s="2" t="s">
        <v>3</v>
      </c>
      <c r="AM89" s="2" t="s">
        <v>51</v>
      </c>
    </row>
    <row r="90" spans="2:46" x14ac:dyDescent="0.3">
      <c r="E90" s="47" t="s">
        <v>112</v>
      </c>
      <c r="F90" s="47"/>
      <c r="G90" s="47" t="s">
        <v>113</v>
      </c>
      <c r="H90" s="47"/>
      <c r="I90" s="47" t="s">
        <v>114</v>
      </c>
      <c r="J90" s="47"/>
      <c r="O90" s="3" t="s">
        <v>0</v>
      </c>
      <c r="P90" s="3" t="s">
        <v>1</v>
      </c>
      <c r="Q90" s="3" t="s">
        <v>0</v>
      </c>
      <c r="R90" s="3" t="s">
        <v>1</v>
      </c>
      <c r="S90" s="3" t="s">
        <v>0</v>
      </c>
      <c r="T90" s="3" t="s">
        <v>1</v>
      </c>
      <c r="V90" s="3" t="s">
        <v>2</v>
      </c>
      <c r="W90" s="3" t="s">
        <v>3</v>
      </c>
      <c r="X90" s="3" t="s">
        <v>51</v>
      </c>
      <c r="Z90" s="2" t="s">
        <v>139</v>
      </c>
      <c r="AI90" s="3" t="s">
        <v>0</v>
      </c>
      <c r="AJ90" s="3" t="s">
        <v>1</v>
      </c>
      <c r="AK90" s="3" t="s">
        <v>0</v>
      </c>
      <c r="AL90" s="3" t="s">
        <v>1</v>
      </c>
      <c r="AM90" s="3" t="s">
        <v>0</v>
      </c>
      <c r="AN90" s="3" t="s">
        <v>1</v>
      </c>
      <c r="AP90" s="3" t="s">
        <v>2</v>
      </c>
      <c r="AQ90" s="3" t="s">
        <v>3</v>
      </c>
      <c r="AR90" s="3" t="s">
        <v>51</v>
      </c>
      <c r="AT90" s="2" t="s">
        <v>139</v>
      </c>
    </row>
    <row r="91" spans="2:46" x14ac:dyDescent="0.3">
      <c r="E91" s="3" t="s">
        <v>0</v>
      </c>
      <c r="F91" s="3" t="s">
        <v>1</v>
      </c>
      <c r="G91" s="3" t="s">
        <v>0</v>
      </c>
      <c r="H91" s="3" t="s">
        <v>1</v>
      </c>
      <c r="I91" s="3" t="s">
        <v>0</v>
      </c>
      <c r="J91" s="3" t="s">
        <v>1</v>
      </c>
      <c r="M91" s="2" t="s">
        <v>2</v>
      </c>
      <c r="N91" s="2" t="s">
        <v>0</v>
      </c>
      <c r="O91" s="6">
        <f t="array" ref="O91:T96">E25:J30</f>
        <v>41.519547143109854</v>
      </c>
      <c r="P91" s="6">
        <v>7.1077304086325821</v>
      </c>
      <c r="Q91" s="6">
        <v>0</v>
      </c>
      <c r="R91" s="6">
        <v>0</v>
      </c>
      <c r="S91" s="6">
        <v>0</v>
      </c>
      <c r="T91" s="6">
        <v>0</v>
      </c>
      <c r="V91" s="6">
        <f t="array" ref="V91:X96">V98:X103*L25:N30</f>
        <v>127.58004599327789</v>
      </c>
      <c r="W91" s="6">
        <v>0</v>
      </c>
      <c r="X91" s="6">
        <v>0</v>
      </c>
      <c r="Z91" s="6">
        <f t="shared" ref="Z91:Z96" si="9">SUM(O91:X91)</f>
        <v>176.20732354502033</v>
      </c>
      <c r="AA91" s="2">
        <f>SUM(V91:X91)</f>
        <v>127.58004599327789</v>
      </c>
      <c r="AB91" s="6">
        <f t="shared" ref="AB91:AB96" si="10">V25</f>
        <v>118.62727755174244</v>
      </c>
      <c r="AD91" s="6">
        <f t="shared" ref="AD91:AD96" si="11">Z91-AB91</f>
        <v>57.580045993277892</v>
      </c>
      <c r="AG91" s="2" t="s">
        <v>2</v>
      </c>
      <c r="AH91" s="2" t="s">
        <v>0</v>
      </c>
      <c r="AI91" s="6">
        <f t="array" ref="AI91:AN96">E25:J30</f>
        <v>41.519547143109854</v>
      </c>
      <c r="AJ91" s="6">
        <v>7.1077304086325821</v>
      </c>
      <c r="AK91" s="6">
        <v>0</v>
      </c>
      <c r="AL91" s="6">
        <v>0</v>
      </c>
      <c r="AM91" s="6">
        <v>0</v>
      </c>
      <c r="AN91" s="6">
        <v>0</v>
      </c>
      <c r="AP91" s="6">
        <f t="array" ref="AP91:AR96">AP98:AR103*L25:N30</f>
        <v>127.58004599327789</v>
      </c>
      <c r="AQ91" s="6">
        <v>0</v>
      </c>
      <c r="AR91" s="6">
        <v>0</v>
      </c>
      <c r="AT91" s="6">
        <f t="shared" ref="AT91:AT96" si="12">SUM(AI91:AR91)</f>
        <v>176.20732354502033</v>
      </c>
    </row>
    <row r="92" spans="2:46" x14ac:dyDescent="0.3">
      <c r="D92" s="2" t="s">
        <v>135</v>
      </c>
      <c r="E92" s="2">
        <f t="array" ref="E92:F92">E81:F81</f>
        <v>1.8225720856182557</v>
      </c>
      <c r="F92" s="2">
        <v>1.1238280558995224</v>
      </c>
      <c r="G92" s="2">
        <f t="array" ref="G92:H92">G82:H82</f>
        <v>2.2162162162162162</v>
      </c>
      <c r="H92" s="2">
        <v>1.2702702702702702</v>
      </c>
      <c r="I92" s="2">
        <f t="array" ref="I92:J92">I83:J83</f>
        <v>1</v>
      </c>
      <c r="J92" s="2">
        <v>0.99999999999999989</v>
      </c>
      <c r="N92" s="2" t="s">
        <v>1</v>
      </c>
      <c r="O92" s="6">
        <v>33.215637714487876</v>
      </c>
      <c r="P92" s="6">
        <v>3.553865204316291</v>
      </c>
      <c r="Q92" s="6">
        <v>0</v>
      </c>
      <c r="R92" s="6">
        <v>0</v>
      </c>
      <c r="S92" s="6">
        <v>0</v>
      </c>
      <c r="T92" s="6">
        <v>0</v>
      </c>
      <c r="V92" s="6">
        <v>15.733592782593313</v>
      </c>
      <c r="W92" s="6">
        <v>0</v>
      </c>
      <c r="X92" s="6">
        <v>0</v>
      </c>
      <c r="Z92" s="6">
        <f t="shared" si="9"/>
        <v>52.503095701397477</v>
      </c>
      <c r="AA92" s="2">
        <f t="shared" ref="AA92:AA96" si="13">SUM(V92:X92)</f>
        <v>15.733592782593313</v>
      </c>
      <c r="AB92" s="6">
        <f t="shared" si="10"/>
        <v>50.769502918804164</v>
      </c>
      <c r="AD92" s="6">
        <f t="shared" si="11"/>
        <v>1.7335927825933126</v>
      </c>
      <c r="AH92" s="2" t="s">
        <v>1</v>
      </c>
      <c r="AI92" s="6">
        <v>33.215637714487876</v>
      </c>
      <c r="AJ92" s="6">
        <v>3.553865204316291</v>
      </c>
      <c r="AK92" s="6">
        <v>0</v>
      </c>
      <c r="AL92" s="6">
        <v>0</v>
      </c>
      <c r="AM92" s="6">
        <v>0</v>
      </c>
      <c r="AN92" s="6">
        <v>0</v>
      </c>
      <c r="AP92" s="6">
        <v>15.733592782593313</v>
      </c>
      <c r="AQ92" s="6">
        <v>0</v>
      </c>
      <c r="AR92" s="6">
        <v>0</v>
      </c>
      <c r="AT92" s="6">
        <f t="shared" si="12"/>
        <v>52.503095701397477</v>
      </c>
    </row>
    <row r="93" spans="2:46" x14ac:dyDescent="0.3">
      <c r="D93" s="2" t="s">
        <v>136</v>
      </c>
      <c r="E93" s="2">
        <f t="array" ref="E93:F93">(E82:F82+E83:F83)/2</f>
        <v>1.6081081081081081</v>
      </c>
      <c r="F93" s="2">
        <v>1.1351351351351351</v>
      </c>
      <c r="G93" s="2">
        <f t="array" ref="G93:H93">(G81:H81+G83:H83)/2</f>
        <v>1.9112860428091278</v>
      </c>
      <c r="H93" s="2">
        <v>1.0619140279497612</v>
      </c>
      <c r="I93" s="2">
        <f t="array" ref="I93:J93">(I81:J81+I82:J82)/2</f>
        <v>2.0193941509172362</v>
      </c>
      <c r="J93" s="2">
        <v>1.1970491630848963</v>
      </c>
      <c r="M93" s="2" t="s">
        <v>3</v>
      </c>
      <c r="N93" s="2" t="s">
        <v>0</v>
      </c>
      <c r="O93" s="6">
        <v>0</v>
      </c>
      <c r="P93" s="6">
        <v>0</v>
      </c>
      <c r="Q93" s="6">
        <v>127.02702702702703</v>
      </c>
      <c r="R93" s="6">
        <v>27.027027027027028</v>
      </c>
      <c r="S93" s="6">
        <v>0</v>
      </c>
      <c r="T93" s="6">
        <v>0</v>
      </c>
      <c r="V93" s="6">
        <v>0</v>
      </c>
      <c r="W93" s="6">
        <v>221.62162162162161</v>
      </c>
      <c r="X93" s="6">
        <v>0</v>
      </c>
      <c r="Z93" s="6">
        <f t="shared" si="9"/>
        <v>375.67567567567568</v>
      </c>
      <c r="AA93" s="2">
        <f t="shared" si="13"/>
        <v>221.62162162162161</v>
      </c>
      <c r="AB93" s="6">
        <f t="shared" si="10"/>
        <v>254.05405405405406</v>
      </c>
      <c r="AD93" s="6">
        <f t="shared" si="11"/>
        <v>121.62162162162161</v>
      </c>
      <c r="AG93" s="2" t="s">
        <v>3</v>
      </c>
      <c r="AH93" s="2" t="s">
        <v>0</v>
      </c>
      <c r="AI93" s="6">
        <v>0</v>
      </c>
      <c r="AJ93" s="6">
        <v>0</v>
      </c>
      <c r="AK93" s="6">
        <v>127.02702702702703</v>
      </c>
      <c r="AL93" s="6">
        <v>27.027027027027028</v>
      </c>
      <c r="AM93" s="6">
        <v>0</v>
      </c>
      <c r="AN93" s="6">
        <v>0</v>
      </c>
      <c r="AP93" s="6">
        <v>0</v>
      </c>
      <c r="AQ93" s="6">
        <v>221.62162162162161</v>
      </c>
      <c r="AR93" s="6">
        <v>0</v>
      </c>
      <c r="AT93" s="6">
        <f t="shared" si="12"/>
        <v>375.67567567567568</v>
      </c>
    </row>
    <row r="94" spans="2:46" x14ac:dyDescent="0.3">
      <c r="E94" s="6"/>
      <c r="F94" s="6"/>
      <c r="G94" s="6"/>
      <c r="H94" s="6"/>
      <c r="I94" s="6"/>
      <c r="J94" s="6"/>
      <c r="N94" s="2" t="s">
        <v>1</v>
      </c>
      <c r="O94" s="6">
        <v>0</v>
      </c>
      <c r="P94" s="6">
        <v>0</v>
      </c>
      <c r="Q94" s="6">
        <v>101.62162162162163</v>
      </c>
      <c r="R94" s="6">
        <v>13.513513513513514</v>
      </c>
      <c r="S94" s="6">
        <v>0</v>
      </c>
      <c r="T94" s="6">
        <v>0</v>
      </c>
      <c r="V94" s="6">
        <v>0</v>
      </c>
      <c r="W94" s="6">
        <v>25.405405405405403</v>
      </c>
      <c r="X94" s="6">
        <v>0</v>
      </c>
      <c r="Z94" s="6">
        <f t="shared" si="9"/>
        <v>140.54054054054055</v>
      </c>
      <c r="AA94" s="2">
        <f t="shared" si="13"/>
        <v>25.405405405405403</v>
      </c>
      <c r="AB94" s="6">
        <f t="shared" si="10"/>
        <v>135.13513513513513</v>
      </c>
      <c r="AD94" s="6">
        <f t="shared" si="11"/>
        <v>5.4054054054054177</v>
      </c>
      <c r="AH94" s="2" t="s">
        <v>1</v>
      </c>
      <c r="AI94" s="6">
        <v>0</v>
      </c>
      <c r="AJ94" s="6">
        <v>0</v>
      </c>
      <c r="AK94" s="6">
        <v>101.62162162162163</v>
      </c>
      <c r="AL94" s="6">
        <v>13.513513513513514</v>
      </c>
      <c r="AM94" s="6">
        <v>0</v>
      </c>
      <c r="AN94" s="6">
        <v>0</v>
      </c>
      <c r="AP94" s="6">
        <v>0</v>
      </c>
      <c r="AQ94" s="6">
        <v>25.405405405405403</v>
      </c>
      <c r="AR94" s="6">
        <v>0</v>
      </c>
      <c r="AT94" s="6">
        <f t="shared" si="12"/>
        <v>140.54054054054055</v>
      </c>
    </row>
    <row r="95" spans="2:46" x14ac:dyDescent="0.3">
      <c r="E95" s="6"/>
      <c r="F95" s="6"/>
      <c r="G95" s="6"/>
      <c r="H95" s="6"/>
      <c r="I95" s="6"/>
      <c r="J95" s="6"/>
      <c r="M95" s="2" t="s">
        <v>51</v>
      </c>
      <c r="N95" s="2" t="s">
        <v>0</v>
      </c>
      <c r="O95" s="6">
        <v>17.794091632761365</v>
      </c>
      <c r="P95" s="6">
        <v>3.0461701751282497</v>
      </c>
      <c r="Q95" s="6">
        <v>0</v>
      </c>
      <c r="R95" s="6">
        <v>0</v>
      </c>
      <c r="S95" s="6">
        <v>194.74041527818287</v>
      </c>
      <c r="T95" s="6">
        <v>43.900153470293219</v>
      </c>
      <c r="V95" s="6">
        <v>30</v>
      </c>
      <c r="W95" s="6">
        <v>0</v>
      </c>
      <c r="X95" s="6">
        <v>100</v>
      </c>
      <c r="Z95" s="6">
        <f t="shared" si="9"/>
        <v>389.48083055636573</v>
      </c>
      <c r="AA95" s="2">
        <f t="shared" si="13"/>
        <v>130</v>
      </c>
      <c r="AB95" s="6">
        <f t="shared" si="10"/>
        <v>389.48083055636573</v>
      </c>
      <c r="AD95" s="6">
        <f t="shared" si="11"/>
        <v>0</v>
      </c>
      <c r="AG95" s="2" t="s">
        <v>51</v>
      </c>
      <c r="AH95" s="2" t="s">
        <v>0</v>
      </c>
      <c r="AI95" s="6">
        <v>17.794091632761365</v>
      </c>
      <c r="AJ95" s="6">
        <v>3.0461701751282497</v>
      </c>
      <c r="AK95" s="6">
        <v>0</v>
      </c>
      <c r="AL95" s="6">
        <v>0</v>
      </c>
      <c r="AM95" s="6">
        <v>194.74041527818287</v>
      </c>
      <c r="AN95" s="6">
        <v>43.900153470293219</v>
      </c>
      <c r="AP95" s="6">
        <v>30</v>
      </c>
      <c r="AQ95" s="6">
        <v>0</v>
      </c>
      <c r="AR95" s="6">
        <v>100</v>
      </c>
      <c r="AT95" s="6">
        <f t="shared" si="12"/>
        <v>389.48083055636573</v>
      </c>
    </row>
    <row r="96" spans="2:46" x14ac:dyDescent="0.3">
      <c r="E96" s="6"/>
      <c r="F96" s="6"/>
      <c r="G96" s="6"/>
      <c r="H96" s="6"/>
      <c r="I96" s="6"/>
      <c r="J96" s="6"/>
      <c r="N96" s="2" t="s">
        <v>1</v>
      </c>
      <c r="O96" s="6">
        <v>14.235273306209091</v>
      </c>
      <c r="P96" s="6">
        <v>1.5230850875641249</v>
      </c>
      <c r="Q96" s="6">
        <v>0</v>
      </c>
      <c r="R96" s="6">
        <v>0</v>
      </c>
      <c r="S96" s="6">
        <v>155.79233222254629</v>
      </c>
      <c r="T96" s="6">
        <v>21.95007673514661</v>
      </c>
      <c r="V96" s="6">
        <v>5.9999999999999991</v>
      </c>
      <c r="W96" s="6">
        <v>0</v>
      </c>
      <c r="X96" s="6">
        <v>19.999999999999996</v>
      </c>
      <c r="Z96" s="6">
        <f t="shared" si="9"/>
        <v>219.50076735146612</v>
      </c>
      <c r="AA96" s="2">
        <f t="shared" si="13"/>
        <v>25.999999999999996</v>
      </c>
      <c r="AB96" s="6">
        <f t="shared" si="10"/>
        <v>219.5007673514661</v>
      </c>
      <c r="AD96" s="6">
        <f t="shared" si="11"/>
        <v>0</v>
      </c>
      <c r="AH96" s="2" t="s">
        <v>1</v>
      </c>
      <c r="AI96" s="6">
        <v>14.235273306209091</v>
      </c>
      <c r="AJ96" s="6">
        <v>1.5230850875641249</v>
      </c>
      <c r="AK96" s="6">
        <v>0</v>
      </c>
      <c r="AL96" s="6">
        <v>0</v>
      </c>
      <c r="AM96" s="6">
        <v>155.79233222254629</v>
      </c>
      <c r="AN96" s="6">
        <v>21.95007673514661</v>
      </c>
      <c r="AP96" s="6">
        <v>6</v>
      </c>
      <c r="AQ96" s="6">
        <v>0</v>
      </c>
      <c r="AR96" s="6">
        <v>19.999999999999996</v>
      </c>
      <c r="AT96" s="6">
        <f t="shared" si="12"/>
        <v>219.50076735146612</v>
      </c>
    </row>
    <row r="97" spans="5:46" x14ac:dyDescent="0.3">
      <c r="E97" s="6"/>
      <c r="F97" s="6"/>
      <c r="G97" s="6"/>
      <c r="H97" s="6"/>
      <c r="I97" s="6"/>
      <c r="J97" s="6"/>
      <c r="M97" s="24"/>
      <c r="N97" s="6"/>
      <c r="O97" s="6"/>
      <c r="AG97" s="24"/>
      <c r="AH97" s="6"/>
      <c r="AI97" s="6"/>
    </row>
    <row r="98" spans="5:46" x14ac:dyDescent="0.3">
      <c r="E98" s="6"/>
      <c r="F98" s="6"/>
      <c r="G98" s="6"/>
      <c r="H98" s="6"/>
      <c r="I98" s="6"/>
      <c r="J98" s="6"/>
      <c r="M98" s="24"/>
      <c r="N98" s="6"/>
      <c r="O98" s="19"/>
      <c r="P98" s="19"/>
      <c r="Q98" s="19"/>
      <c r="R98" s="19"/>
      <c r="S98" s="19"/>
      <c r="T98" s="19"/>
      <c r="V98" s="2">
        <f>E81</f>
        <v>1.8225720856182557</v>
      </c>
      <c r="W98" s="2">
        <f>G81</f>
        <v>2.3225720856182557</v>
      </c>
      <c r="X98" s="2">
        <f>I81</f>
        <v>1.8225720856182557</v>
      </c>
      <c r="Z98" s="21">
        <f>SUM(Z91:Z96)</f>
        <v>1353.9082333704657</v>
      </c>
      <c r="AA98" s="21">
        <f>SUM(AA91:AA96)</f>
        <v>546.34066580289823</v>
      </c>
      <c r="AD98" s="6">
        <f>SUM(AD91:AD97)</f>
        <v>186.34066580289823</v>
      </c>
      <c r="AG98" s="24"/>
      <c r="AH98" s="6"/>
      <c r="AI98" s="19">
        <f>E65</f>
        <v>1.8225720856182557</v>
      </c>
      <c r="AJ98" s="19">
        <f t="shared" ref="AJ98:AJ103" si="14">AI98</f>
        <v>1.8225720856182557</v>
      </c>
      <c r="AK98" s="19">
        <f>G65</f>
        <v>1</v>
      </c>
      <c r="AL98" s="19">
        <f t="shared" ref="AL98:AL103" si="15">AK98</f>
        <v>1</v>
      </c>
      <c r="AM98" s="19">
        <f>I65</f>
        <v>0.5</v>
      </c>
      <c r="AN98" s="19">
        <f t="shared" ref="AN98:AN103" si="16">AM98</f>
        <v>0.5</v>
      </c>
      <c r="AP98" s="2">
        <f t="shared" ref="AP98:AP103" si="17">AI98</f>
        <v>1.8225720856182557</v>
      </c>
      <c r="AQ98" s="2">
        <f t="shared" ref="AQ98:AQ103" si="18">AK98</f>
        <v>1</v>
      </c>
      <c r="AR98" s="2">
        <f t="shared" ref="AR98:AR103" si="19">AM98</f>
        <v>0.5</v>
      </c>
      <c r="AT98" s="21">
        <f>SUM(AT91:AT96)</f>
        <v>1353.9082333704657</v>
      </c>
    </row>
    <row r="99" spans="5:46" x14ac:dyDescent="0.3">
      <c r="E99" s="6"/>
      <c r="F99" s="6"/>
      <c r="G99" s="6"/>
      <c r="H99" s="6"/>
      <c r="I99" s="6"/>
      <c r="J99" s="6"/>
      <c r="M99" s="24"/>
      <c r="N99" s="6"/>
      <c r="O99" s="19"/>
      <c r="P99" s="19"/>
      <c r="Q99" s="19"/>
      <c r="R99" s="19"/>
      <c r="S99" s="19"/>
      <c r="T99" s="19"/>
      <c r="V99" s="2">
        <f>F81</f>
        <v>1.1238280558995224</v>
      </c>
      <c r="W99" s="2">
        <f>H81</f>
        <v>1.1238280558995224</v>
      </c>
      <c r="X99" s="2">
        <f>J81</f>
        <v>1.1238280558995224</v>
      </c>
      <c r="AG99" s="24"/>
      <c r="AH99" s="6"/>
      <c r="AI99" s="19">
        <f>F65</f>
        <v>1.1238280558995224</v>
      </c>
      <c r="AJ99" s="19">
        <f t="shared" si="14"/>
        <v>1.1238280558995224</v>
      </c>
      <c r="AK99" s="19">
        <f>H65</f>
        <v>1</v>
      </c>
      <c r="AL99" s="19">
        <f t="shared" si="15"/>
        <v>1</v>
      </c>
      <c r="AM99" s="19">
        <f>J65</f>
        <v>1</v>
      </c>
      <c r="AN99" s="19">
        <f t="shared" si="16"/>
        <v>1</v>
      </c>
      <c r="AP99" s="2">
        <f t="shared" si="17"/>
        <v>1.1238280558995224</v>
      </c>
      <c r="AQ99" s="2">
        <f t="shared" si="18"/>
        <v>1</v>
      </c>
      <c r="AR99" s="2">
        <f t="shared" si="19"/>
        <v>1</v>
      </c>
    </row>
    <row r="100" spans="5:46" x14ac:dyDescent="0.3">
      <c r="E100" s="6"/>
      <c r="F100" s="6"/>
      <c r="G100" s="6"/>
      <c r="H100" s="6"/>
      <c r="I100" s="6"/>
      <c r="J100" s="6"/>
      <c r="M100" s="24"/>
      <c r="N100" s="6"/>
      <c r="O100" s="19"/>
      <c r="P100" s="19"/>
      <c r="Q100" s="19"/>
      <c r="R100" s="19"/>
      <c r="S100" s="19"/>
      <c r="T100" s="19"/>
      <c r="V100" s="2">
        <f>E82</f>
        <v>2.2162162162162162</v>
      </c>
      <c r="W100" s="2">
        <f>G82</f>
        <v>2.2162162162162162</v>
      </c>
      <c r="X100" s="2">
        <f>I82</f>
        <v>2.2162162162162162</v>
      </c>
      <c r="AG100" s="24"/>
      <c r="AH100" s="6"/>
      <c r="AI100" s="19">
        <f>E66</f>
        <v>0.5</v>
      </c>
      <c r="AJ100" s="19">
        <f t="shared" si="14"/>
        <v>0.5</v>
      </c>
      <c r="AK100" s="19">
        <f>G66</f>
        <v>2.2162162162162162</v>
      </c>
      <c r="AL100" s="19">
        <f t="shared" si="15"/>
        <v>2.2162162162162162</v>
      </c>
      <c r="AM100" s="19">
        <f>I66</f>
        <v>0.5</v>
      </c>
      <c r="AN100" s="19">
        <f t="shared" si="16"/>
        <v>0.5</v>
      </c>
      <c r="AP100" s="2">
        <f t="shared" si="17"/>
        <v>0.5</v>
      </c>
      <c r="AQ100" s="2">
        <f t="shared" si="18"/>
        <v>2.2162162162162162</v>
      </c>
      <c r="AR100" s="2">
        <f t="shared" si="19"/>
        <v>0.5</v>
      </c>
    </row>
    <row r="101" spans="5:46" x14ac:dyDescent="0.3">
      <c r="E101" s="6"/>
      <c r="F101" s="6"/>
      <c r="G101" s="6"/>
      <c r="H101" s="6"/>
      <c r="I101" s="6"/>
      <c r="J101" s="6"/>
      <c r="M101" s="24"/>
      <c r="N101" s="6"/>
      <c r="O101" s="19"/>
      <c r="P101" s="19"/>
      <c r="Q101" s="19"/>
      <c r="R101" s="19"/>
      <c r="S101" s="19"/>
      <c r="T101" s="19"/>
      <c r="V101" s="2">
        <f>F82</f>
        <v>1.2702702702702702</v>
      </c>
      <c r="W101" s="2">
        <f>H82</f>
        <v>1.2702702702702702</v>
      </c>
      <c r="X101" s="2">
        <f>J82</f>
        <v>1.2702702702702702</v>
      </c>
      <c r="AG101" s="24"/>
      <c r="AH101" s="6"/>
      <c r="AI101" s="19">
        <f>F66</f>
        <v>1</v>
      </c>
      <c r="AJ101" s="19">
        <f t="shared" si="14"/>
        <v>1</v>
      </c>
      <c r="AK101" s="19">
        <f>H66</f>
        <v>1.2702702702702702</v>
      </c>
      <c r="AL101" s="19">
        <f t="shared" si="15"/>
        <v>1.2702702702702702</v>
      </c>
      <c r="AM101" s="19">
        <f>J66</f>
        <v>1</v>
      </c>
      <c r="AN101" s="19">
        <f t="shared" si="16"/>
        <v>1</v>
      </c>
      <c r="AP101" s="2">
        <f t="shared" si="17"/>
        <v>1</v>
      </c>
      <c r="AQ101" s="2">
        <f t="shared" si="18"/>
        <v>1.2702702702702702</v>
      </c>
      <c r="AR101" s="2">
        <f t="shared" si="19"/>
        <v>1</v>
      </c>
    </row>
    <row r="102" spans="5:46" x14ac:dyDescent="0.3">
      <c r="E102" s="6"/>
      <c r="F102" s="6"/>
      <c r="G102" s="6"/>
      <c r="H102" s="6"/>
      <c r="I102" s="6"/>
      <c r="J102" s="6"/>
      <c r="M102" s="24"/>
      <c r="N102" s="6"/>
      <c r="O102" s="19"/>
      <c r="P102" s="19"/>
      <c r="Q102" s="19"/>
      <c r="R102" s="19"/>
      <c r="S102" s="19"/>
      <c r="T102" s="19"/>
      <c r="V102" s="2">
        <f>E83</f>
        <v>1</v>
      </c>
      <c r="W102" s="2">
        <f>G83</f>
        <v>1.5</v>
      </c>
      <c r="X102" s="2">
        <f>I83</f>
        <v>1</v>
      </c>
      <c r="AG102" s="24"/>
      <c r="AH102" s="6"/>
      <c r="AI102" s="19">
        <f>E67</f>
        <v>1</v>
      </c>
      <c r="AJ102" s="19">
        <f t="shared" si="14"/>
        <v>1</v>
      </c>
      <c r="AK102" s="19">
        <f>G67</f>
        <v>1.5</v>
      </c>
      <c r="AL102" s="19">
        <f t="shared" si="15"/>
        <v>1.5</v>
      </c>
      <c r="AM102" s="19">
        <f>I67</f>
        <v>1</v>
      </c>
      <c r="AN102" s="19">
        <f t="shared" si="16"/>
        <v>1</v>
      </c>
      <c r="AP102" s="2">
        <f t="shared" si="17"/>
        <v>1</v>
      </c>
      <c r="AQ102" s="2">
        <f t="shared" si="18"/>
        <v>1.5</v>
      </c>
      <c r="AR102" s="2">
        <f t="shared" si="19"/>
        <v>1</v>
      </c>
    </row>
    <row r="103" spans="5:46" x14ac:dyDescent="0.3">
      <c r="E103" s="6"/>
      <c r="F103" s="6"/>
      <c r="G103" s="6"/>
      <c r="H103" s="6"/>
      <c r="I103" s="6"/>
      <c r="J103" s="6"/>
      <c r="M103" s="24"/>
      <c r="N103" s="6"/>
      <c r="O103" s="19"/>
      <c r="P103" s="19"/>
      <c r="Q103" s="19"/>
      <c r="R103" s="19"/>
      <c r="S103" s="19"/>
      <c r="T103" s="19"/>
      <c r="V103" s="2">
        <f>F83</f>
        <v>0.99999999999999989</v>
      </c>
      <c r="W103" s="2">
        <f>H83</f>
        <v>0.99999999999999989</v>
      </c>
      <c r="X103" s="2">
        <f>J83</f>
        <v>0.99999999999999989</v>
      </c>
      <c r="AG103" s="24"/>
      <c r="AH103" s="6"/>
      <c r="AI103" s="19">
        <f>F67</f>
        <v>1</v>
      </c>
      <c r="AJ103" s="19">
        <f t="shared" si="14"/>
        <v>1</v>
      </c>
      <c r="AK103" s="19">
        <f>H67</f>
        <v>1</v>
      </c>
      <c r="AL103" s="19">
        <f t="shared" si="15"/>
        <v>1</v>
      </c>
      <c r="AM103" s="19">
        <f>J67</f>
        <v>0.99999999999999989</v>
      </c>
      <c r="AN103" s="19">
        <f t="shared" si="16"/>
        <v>0.99999999999999989</v>
      </c>
      <c r="AP103" s="2">
        <f t="shared" si="17"/>
        <v>1</v>
      </c>
      <c r="AQ103" s="2">
        <f t="shared" si="18"/>
        <v>1</v>
      </c>
      <c r="AR103" s="2">
        <f t="shared" si="19"/>
        <v>0.99999999999999989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EBB1-1475-4278-8810-A43C9A6FCBCA}">
  <dimension ref="A1:BH91"/>
  <sheetViews>
    <sheetView showGridLines="0" topLeftCell="A16" zoomScale="85" zoomScaleNormal="85" workbookViewId="0">
      <selection activeCell="AA42" sqref="AA42"/>
    </sheetView>
  </sheetViews>
  <sheetFormatPr defaultColWidth="9.109375" defaultRowHeight="14.4" x14ac:dyDescent="0.3"/>
  <cols>
    <col min="1" max="1" width="7.109375" style="2" customWidth="1"/>
    <col min="2" max="2" width="8.5546875" style="2" customWidth="1"/>
    <col min="3" max="3" width="22" style="2" customWidth="1"/>
    <col min="4" max="4" width="9.109375" style="2"/>
    <col min="5" max="83" width="5.5546875" style="2" customWidth="1"/>
    <col min="84" max="16384" width="9.109375" style="2"/>
  </cols>
  <sheetData>
    <row r="1" spans="1:60" x14ac:dyDescent="0.3">
      <c r="A1" s="2" t="s">
        <v>25</v>
      </c>
      <c r="E1" s="10">
        <v>1</v>
      </c>
    </row>
    <row r="2" spans="1:60" x14ac:dyDescent="0.3">
      <c r="E2" s="10"/>
    </row>
    <row r="3" spans="1:60" x14ac:dyDescent="0.3">
      <c r="E3" s="2" t="s">
        <v>53</v>
      </c>
      <c r="L3" s="2" t="s">
        <v>52</v>
      </c>
      <c r="S3" s="2" t="s">
        <v>60</v>
      </c>
      <c r="Y3" s="2" t="s">
        <v>54</v>
      </c>
      <c r="AD3" s="2" t="s">
        <v>63</v>
      </c>
      <c r="AJ3" s="2" t="s">
        <v>87</v>
      </c>
      <c r="AK3" s="2" t="s">
        <v>49</v>
      </c>
    </row>
    <row r="4" spans="1:60" x14ac:dyDescent="0.3">
      <c r="A4" s="2" t="s">
        <v>8</v>
      </c>
      <c r="E4" s="2" t="s">
        <v>2</v>
      </c>
      <c r="G4" s="2" t="s">
        <v>3</v>
      </c>
      <c r="I4" s="2" t="s">
        <v>51</v>
      </c>
      <c r="L4" s="2" t="s">
        <v>2</v>
      </c>
      <c r="N4" s="2" t="s">
        <v>3</v>
      </c>
      <c r="P4" s="2" t="s">
        <v>51</v>
      </c>
      <c r="S4" s="3" t="s">
        <v>2</v>
      </c>
      <c r="T4" s="3" t="s">
        <v>3</v>
      </c>
      <c r="U4" s="3" t="s">
        <v>51</v>
      </c>
      <c r="Z4" s="2" t="s">
        <v>2</v>
      </c>
      <c r="AA4" s="2" t="s">
        <v>3</v>
      </c>
      <c r="AB4" s="2" t="s">
        <v>51</v>
      </c>
      <c r="AF4" s="3" t="s">
        <v>2</v>
      </c>
      <c r="AG4" s="3" t="s">
        <v>3</v>
      </c>
      <c r="AH4" s="3" t="s">
        <v>51</v>
      </c>
      <c r="AJ4" s="31">
        <v>1</v>
      </c>
      <c r="AK4" s="31">
        <v>1</v>
      </c>
      <c r="AL4" s="31">
        <v>1</v>
      </c>
      <c r="AM4" s="31">
        <v>1</v>
      </c>
      <c r="AN4" s="31">
        <v>1</v>
      </c>
      <c r="AO4" s="31">
        <v>1</v>
      </c>
    </row>
    <row r="5" spans="1:60" x14ac:dyDescent="0.3">
      <c r="B5" s="2" t="s">
        <v>9</v>
      </c>
      <c r="C5" s="2" t="s">
        <v>10</v>
      </c>
      <c r="D5" s="2" t="s">
        <v>56</v>
      </c>
      <c r="E5" s="3" t="s">
        <v>0</v>
      </c>
      <c r="F5" s="3" t="s">
        <v>1</v>
      </c>
      <c r="G5" s="3" t="s">
        <v>0</v>
      </c>
      <c r="H5" s="3" t="s">
        <v>1</v>
      </c>
      <c r="I5" s="3" t="s">
        <v>0</v>
      </c>
      <c r="J5" s="3" t="s">
        <v>1</v>
      </c>
      <c r="L5" s="3" t="s">
        <v>0</v>
      </c>
      <c r="M5" s="3" t="s">
        <v>1</v>
      </c>
      <c r="N5" s="3" t="s">
        <v>0</v>
      </c>
      <c r="O5" s="3" t="s">
        <v>1</v>
      </c>
      <c r="P5" s="3" t="s">
        <v>0</v>
      </c>
      <c r="Q5" s="3" t="s">
        <v>1</v>
      </c>
      <c r="S5" s="3" t="s">
        <v>4</v>
      </c>
      <c r="T5" s="3" t="s">
        <v>4</v>
      </c>
      <c r="U5" s="3" t="s">
        <v>4</v>
      </c>
      <c r="Y5" s="2" t="s">
        <v>2</v>
      </c>
      <c r="Z5" s="1">
        <f>1-Z6-Z7</f>
        <v>0.60000000000000009</v>
      </c>
      <c r="AA5" s="19">
        <v>0.1</v>
      </c>
      <c r="AB5" s="19">
        <v>0</v>
      </c>
      <c r="AF5" s="3" t="s">
        <v>4</v>
      </c>
      <c r="AG5" s="3" t="s">
        <v>4</v>
      </c>
      <c r="AH5" s="3" t="s">
        <v>4</v>
      </c>
    </row>
    <row r="6" spans="1:60" x14ac:dyDescent="0.3">
      <c r="A6" s="2" t="s">
        <v>2</v>
      </c>
      <c r="B6" s="2" t="s">
        <v>0</v>
      </c>
      <c r="D6" s="2" t="s">
        <v>12</v>
      </c>
      <c r="E6" s="1">
        <f t="array" ref="E6:F7">L6:M7*Z5</f>
        <v>0.30000000000000004</v>
      </c>
      <c r="F6" s="1">
        <v>0.12000000000000002</v>
      </c>
      <c r="G6" s="2">
        <f t="array" ref="G6:H7">N8:O9*AA5</f>
        <v>0.05</v>
      </c>
      <c r="H6" s="2">
        <v>2.0000000000000004E-2</v>
      </c>
      <c r="I6" s="2">
        <f t="array" ref="I6:J7">P10:Q11*AB5</f>
        <v>0</v>
      </c>
      <c r="J6" s="2">
        <v>0</v>
      </c>
      <c r="L6" s="9">
        <v>0.5</v>
      </c>
      <c r="M6" s="9">
        <v>0.2</v>
      </c>
      <c r="S6" s="20">
        <v>100</v>
      </c>
      <c r="T6" s="21"/>
      <c r="U6" s="21"/>
      <c r="Y6" s="2" t="s">
        <v>3</v>
      </c>
      <c r="Z6" s="19">
        <v>0.2</v>
      </c>
      <c r="AA6" s="1">
        <f>1-AA5-AA7</f>
        <v>0.9</v>
      </c>
      <c r="AB6" s="19">
        <v>0</v>
      </c>
      <c r="AD6" s="2" t="s">
        <v>2</v>
      </c>
      <c r="AE6" s="2" t="s">
        <v>0</v>
      </c>
      <c r="AF6" s="22">
        <v>1</v>
      </c>
      <c r="AG6" s="23">
        <v>0</v>
      </c>
      <c r="AH6" s="23">
        <v>0</v>
      </c>
      <c r="AJ6" s="22">
        <f t="array" ref="AJ6:AK7">IF($AK$3="cba",1,0)</f>
        <v>1</v>
      </c>
      <c r="AK6" s="22">
        <v>1</v>
      </c>
      <c r="AL6" s="23">
        <f t="array" ref="AL6:AM7">IF(P52&lt;&gt;0,1,0)</f>
        <v>0</v>
      </c>
      <c r="AM6" s="23">
        <v>0</v>
      </c>
      <c r="AN6" s="23">
        <f t="array" ref="AN6:AO9">IF(Q52&lt;&gt;0,1,0)</f>
        <v>0</v>
      </c>
      <c r="AO6" s="23">
        <v>0</v>
      </c>
      <c r="BH6" s="6"/>
    </row>
    <row r="7" spans="1:60" x14ac:dyDescent="0.3">
      <c r="B7" s="2" t="s">
        <v>1</v>
      </c>
      <c r="D7" s="2" t="s">
        <v>12</v>
      </c>
      <c r="E7" s="1">
        <v>0.24000000000000005</v>
      </c>
      <c r="F7" s="1">
        <v>6.0000000000000012E-2</v>
      </c>
      <c r="G7" s="2">
        <v>4.0000000000000008E-2</v>
      </c>
      <c r="H7" s="2">
        <v>1.0000000000000002E-2</v>
      </c>
      <c r="I7" s="2">
        <v>0</v>
      </c>
      <c r="J7" s="2">
        <v>0</v>
      </c>
      <c r="L7" s="9">
        <v>0.4</v>
      </c>
      <c r="M7" s="9">
        <v>0.1</v>
      </c>
      <c r="S7" s="20">
        <v>20</v>
      </c>
      <c r="T7" s="21"/>
      <c r="U7" s="21"/>
      <c r="Y7" s="2" t="s">
        <v>51</v>
      </c>
      <c r="Z7" s="19">
        <v>0.2</v>
      </c>
      <c r="AA7" s="19">
        <v>0</v>
      </c>
      <c r="AB7" s="1">
        <f>1-AB6-AB5</f>
        <v>1</v>
      </c>
      <c r="AE7" s="2" t="s">
        <v>1</v>
      </c>
      <c r="AF7" s="22">
        <v>1</v>
      </c>
      <c r="AG7" s="23">
        <v>0</v>
      </c>
      <c r="AH7" s="23">
        <v>0</v>
      </c>
      <c r="AJ7" s="22">
        <v>1</v>
      </c>
      <c r="AK7" s="22">
        <v>1</v>
      </c>
      <c r="AL7" s="23">
        <v>0</v>
      </c>
      <c r="AM7" s="23">
        <v>0</v>
      </c>
      <c r="AN7" s="23">
        <v>0</v>
      </c>
      <c r="AO7" s="23">
        <v>0</v>
      </c>
      <c r="BH7" s="6"/>
    </row>
    <row r="8" spans="1:60" x14ac:dyDescent="0.3">
      <c r="A8" s="2" t="s">
        <v>3</v>
      </c>
      <c r="B8" s="2" t="s">
        <v>0</v>
      </c>
      <c r="D8" s="2" t="s">
        <v>12</v>
      </c>
      <c r="E8" s="2">
        <f t="array" ref="E8:F9">L6:M7*Z6</f>
        <v>0.1</v>
      </c>
      <c r="F8" s="2">
        <v>4.0000000000000008E-2</v>
      </c>
      <c r="G8" s="1">
        <f t="array" ref="G8:H9">N8:O9*AA6</f>
        <v>0.45</v>
      </c>
      <c r="H8" s="1">
        <v>0.18000000000000002</v>
      </c>
      <c r="I8" s="2">
        <f t="array" ref="I8:J9">P8:Q9*AB6</f>
        <v>0</v>
      </c>
      <c r="J8" s="2">
        <v>0</v>
      </c>
      <c r="N8" s="9">
        <v>0.5</v>
      </c>
      <c r="O8" s="9">
        <v>0.2</v>
      </c>
      <c r="R8" s="3"/>
      <c r="S8" s="21"/>
      <c r="T8" s="20">
        <v>100</v>
      </c>
      <c r="U8" s="21"/>
      <c r="AD8" s="2" t="s">
        <v>3</v>
      </c>
      <c r="AE8" s="2" t="s">
        <v>0</v>
      </c>
      <c r="AF8" s="23">
        <v>0</v>
      </c>
      <c r="AG8" s="22">
        <v>1</v>
      </c>
      <c r="AH8" s="23">
        <v>0</v>
      </c>
      <c r="AJ8" s="23">
        <f t="array" ref="AJ8:AK11">IF(O52&lt;&gt;0,1,0)</f>
        <v>1</v>
      </c>
      <c r="AK8" s="23">
        <v>1</v>
      </c>
      <c r="AL8" s="22">
        <f t="array" ref="AL8:AM9">IF($AK$3="cba",1,0)</f>
        <v>1</v>
      </c>
      <c r="AM8" s="22">
        <v>1</v>
      </c>
      <c r="AN8" s="23">
        <v>0</v>
      </c>
      <c r="AO8" s="23">
        <v>0</v>
      </c>
      <c r="BH8" s="6"/>
    </row>
    <row r="9" spans="1:60" x14ac:dyDescent="0.3">
      <c r="B9" s="2" t="s">
        <v>1</v>
      </c>
      <c r="D9" s="2" t="s">
        <v>12</v>
      </c>
      <c r="E9" s="2">
        <v>8.0000000000000016E-2</v>
      </c>
      <c r="F9" s="2">
        <v>2.0000000000000004E-2</v>
      </c>
      <c r="G9" s="1">
        <v>0.36000000000000004</v>
      </c>
      <c r="H9" s="1">
        <v>9.0000000000000011E-2</v>
      </c>
      <c r="I9" s="2">
        <v>0</v>
      </c>
      <c r="J9" s="2">
        <v>0</v>
      </c>
      <c r="N9" s="9">
        <v>0.4</v>
      </c>
      <c r="O9" s="9">
        <v>0.1</v>
      </c>
      <c r="S9" s="21"/>
      <c r="T9" s="20">
        <v>20</v>
      </c>
      <c r="U9" s="21"/>
      <c r="AE9" s="2" t="s">
        <v>1</v>
      </c>
      <c r="AF9" s="23">
        <v>0</v>
      </c>
      <c r="AG9" s="22">
        <v>1</v>
      </c>
      <c r="AH9" s="23">
        <v>0</v>
      </c>
      <c r="AJ9" s="23">
        <v>1</v>
      </c>
      <c r="AK9" s="23">
        <v>1</v>
      </c>
      <c r="AL9" s="22">
        <v>1</v>
      </c>
      <c r="AM9" s="22">
        <v>1</v>
      </c>
      <c r="AN9" s="23">
        <v>0</v>
      </c>
      <c r="AO9" s="23">
        <v>0</v>
      </c>
      <c r="BH9" s="6"/>
    </row>
    <row r="10" spans="1:60" x14ac:dyDescent="0.3">
      <c r="A10" s="2" t="s">
        <v>51</v>
      </c>
      <c r="B10" s="2" t="s">
        <v>0</v>
      </c>
      <c r="D10" s="2" t="s">
        <v>12</v>
      </c>
      <c r="E10" s="2">
        <f t="array" ref="E10:F11">L6:M7*Z7</f>
        <v>0.1</v>
      </c>
      <c r="F10" s="2">
        <v>4.0000000000000008E-2</v>
      </c>
      <c r="G10" s="2">
        <f t="array" ref="G10:H11">N8:O9*AA7</f>
        <v>0</v>
      </c>
      <c r="H10" s="2">
        <v>0</v>
      </c>
      <c r="I10" s="1">
        <f t="array" ref="I10:J11">P10:Q11*AB7</f>
        <v>0.5</v>
      </c>
      <c r="J10" s="1">
        <v>0.2</v>
      </c>
      <c r="P10" s="9">
        <v>0.5</v>
      </c>
      <c r="Q10" s="9">
        <v>0.2</v>
      </c>
      <c r="S10" s="21"/>
      <c r="T10" s="21"/>
      <c r="U10" s="20">
        <v>100</v>
      </c>
      <c r="AD10" s="2" t="s">
        <v>51</v>
      </c>
      <c r="AE10" s="2" t="s">
        <v>0</v>
      </c>
      <c r="AF10" s="23">
        <v>0</v>
      </c>
      <c r="AG10" s="23">
        <v>0</v>
      </c>
      <c r="AH10" s="22">
        <v>1</v>
      </c>
      <c r="AJ10" s="23">
        <v>1</v>
      </c>
      <c r="AK10" s="23">
        <v>1</v>
      </c>
      <c r="AL10" s="23">
        <f t="array" ref="AL10:AM11">IF(P52&lt;&gt;0,1,0)</f>
        <v>0</v>
      </c>
      <c r="AM10" s="23">
        <v>0</v>
      </c>
      <c r="AN10" s="22">
        <f t="array" ref="AN10:AO11">IF($AK$3="cba",1,0)</f>
        <v>1</v>
      </c>
      <c r="AO10" s="22">
        <v>1</v>
      </c>
      <c r="BH10" s="6"/>
    </row>
    <row r="11" spans="1:60" x14ac:dyDescent="0.3">
      <c r="B11" s="2" t="s">
        <v>1</v>
      </c>
      <c r="D11" s="2" t="s">
        <v>12</v>
      </c>
      <c r="E11" s="2">
        <v>8.0000000000000016E-2</v>
      </c>
      <c r="F11" s="2">
        <v>2.0000000000000004E-2</v>
      </c>
      <c r="G11" s="2">
        <v>0</v>
      </c>
      <c r="H11" s="2">
        <v>0</v>
      </c>
      <c r="I11" s="1">
        <v>0.4</v>
      </c>
      <c r="J11" s="1">
        <v>0.1</v>
      </c>
      <c r="P11" s="9">
        <v>0.4</v>
      </c>
      <c r="Q11" s="9">
        <v>0.1</v>
      </c>
      <c r="S11" s="21"/>
      <c r="T11" s="21"/>
      <c r="U11" s="20">
        <v>20</v>
      </c>
      <c r="AE11" s="2" t="s">
        <v>1</v>
      </c>
      <c r="AF11" s="23">
        <v>0</v>
      </c>
      <c r="AG11" s="23">
        <v>0</v>
      </c>
      <c r="AH11" s="22">
        <v>1</v>
      </c>
      <c r="AJ11" s="23">
        <v>1</v>
      </c>
      <c r="AK11" s="23">
        <v>1</v>
      </c>
      <c r="AL11" s="23">
        <v>0</v>
      </c>
      <c r="AM11" s="23">
        <v>0</v>
      </c>
      <c r="AN11" s="22">
        <v>1</v>
      </c>
      <c r="AO11" s="22">
        <v>1</v>
      </c>
      <c r="BH11" s="6"/>
    </row>
    <row r="13" spans="1:60" x14ac:dyDescent="0.3">
      <c r="C13" s="2" t="s">
        <v>57</v>
      </c>
      <c r="D13" s="2" t="s">
        <v>12</v>
      </c>
      <c r="E13" s="1">
        <v>0.1</v>
      </c>
      <c r="F13" s="1">
        <v>0.7</v>
      </c>
      <c r="G13" s="1">
        <v>0.1</v>
      </c>
      <c r="H13" s="1">
        <v>0.7</v>
      </c>
      <c r="I13" s="1">
        <v>0.1</v>
      </c>
      <c r="J13" s="1">
        <v>0.7</v>
      </c>
    </row>
    <row r="16" spans="1:60" x14ac:dyDescent="0.3">
      <c r="C16" s="2" t="s">
        <v>58</v>
      </c>
      <c r="D16" s="2" t="s">
        <v>13</v>
      </c>
      <c r="E16" s="4">
        <v>0.5</v>
      </c>
      <c r="F16" s="4">
        <v>0</v>
      </c>
      <c r="G16" s="4">
        <v>0.8</v>
      </c>
      <c r="H16" s="4">
        <v>0</v>
      </c>
      <c r="I16" s="4">
        <v>1</v>
      </c>
      <c r="J16" s="4">
        <v>0</v>
      </c>
    </row>
    <row r="17" spans="1:60" x14ac:dyDescent="0.3">
      <c r="C17" s="2" t="s">
        <v>59</v>
      </c>
      <c r="D17" s="2" t="s">
        <v>36</v>
      </c>
      <c r="E17" s="4">
        <f t="array" ref="E17:J17">MMULT(E16:J16,MINVERSE(_xlfn.MUNIT(6)-E6:J11))</f>
        <v>1.5817395382779882</v>
      </c>
      <c r="F17" s="4">
        <v>0.40659246778062086</v>
      </c>
      <c r="G17" s="4">
        <v>1.8995211668085259</v>
      </c>
      <c r="H17" s="4">
        <v>0.41496101699879195</v>
      </c>
      <c r="I17" s="4">
        <v>2.4324324324324325</v>
      </c>
      <c r="J17" s="4">
        <v>0.54054054054054057</v>
      </c>
    </row>
    <row r="18" spans="1:60" x14ac:dyDescent="0.3">
      <c r="C18" s="2" t="s">
        <v>59</v>
      </c>
      <c r="D18" s="2" t="s">
        <v>13</v>
      </c>
      <c r="E18" s="4">
        <f t="array" ref="E18:J18">E34:J34/TRANSPOSE(V24:V29)</f>
        <v>0.82173774070865768</v>
      </c>
      <c r="F18" s="4">
        <v>9.0851529373061679E-2</v>
      </c>
      <c r="G18" s="4">
        <v>0.75382905807458134</v>
      </c>
      <c r="H18" s="4">
        <v>6.2080895004406847E-2</v>
      </c>
      <c r="I18" s="4">
        <v>0.83340572373209054</v>
      </c>
      <c r="J18" s="4">
        <v>6.6290735613357771E-2</v>
      </c>
    </row>
    <row r="20" spans="1:60" x14ac:dyDescent="0.3">
      <c r="A20" s="2" t="s">
        <v>24</v>
      </c>
      <c r="AF20" s="3"/>
      <c r="AG20" s="3"/>
    </row>
    <row r="21" spans="1:60" x14ac:dyDescent="0.3">
      <c r="AV21" s="2" t="s">
        <v>68</v>
      </c>
      <c r="BC21" s="2" t="s">
        <v>69</v>
      </c>
    </row>
    <row r="22" spans="1:60" x14ac:dyDescent="0.3">
      <c r="A22" s="2" t="s">
        <v>8</v>
      </c>
      <c r="E22" s="2" t="s">
        <v>2</v>
      </c>
      <c r="G22" s="2" t="s">
        <v>3</v>
      </c>
      <c r="I22" s="2" t="s">
        <v>51</v>
      </c>
      <c r="L22" s="3" t="s">
        <v>2</v>
      </c>
      <c r="M22" s="3" t="s">
        <v>3</v>
      </c>
      <c r="N22" s="3" t="s">
        <v>51</v>
      </c>
      <c r="P22" s="3" t="s">
        <v>14</v>
      </c>
      <c r="R22" s="3" t="s">
        <v>2</v>
      </c>
      <c r="S22" s="3" t="s">
        <v>3</v>
      </c>
      <c r="T22" s="3" t="s">
        <v>51</v>
      </c>
      <c r="V22" s="3" t="s">
        <v>14</v>
      </c>
    </row>
    <row r="23" spans="1:60" x14ac:dyDescent="0.3">
      <c r="B23" s="2" t="s">
        <v>9</v>
      </c>
      <c r="D23" s="2" t="s">
        <v>10</v>
      </c>
      <c r="E23" s="3" t="s">
        <v>0</v>
      </c>
      <c r="F23" s="3" t="s">
        <v>1</v>
      </c>
      <c r="G23" s="3" t="s">
        <v>0</v>
      </c>
      <c r="H23" s="3" t="s">
        <v>1</v>
      </c>
      <c r="I23" s="3" t="s">
        <v>0</v>
      </c>
      <c r="J23" s="3" t="s">
        <v>1</v>
      </c>
      <c r="K23" s="3"/>
      <c r="L23" s="3" t="s">
        <v>4</v>
      </c>
      <c r="M23" s="3" t="s">
        <v>4</v>
      </c>
      <c r="N23" s="3" t="s">
        <v>4</v>
      </c>
      <c r="P23" s="3" t="s">
        <v>4</v>
      </c>
      <c r="R23" s="3" t="s">
        <v>6</v>
      </c>
      <c r="S23" s="3" t="s">
        <v>6</v>
      </c>
      <c r="T23" s="3" t="s">
        <v>6</v>
      </c>
      <c r="V23" s="3" t="s">
        <v>6</v>
      </c>
      <c r="AW23" s="2" t="s">
        <v>50</v>
      </c>
      <c r="AX23" s="3" t="s">
        <v>2</v>
      </c>
      <c r="AY23" s="3" t="s">
        <v>3</v>
      </c>
      <c r="AZ23" s="3" t="s">
        <v>51</v>
      </c>
      <c r="BA23" s="3"/>
      <c r="BD23" s="2" t="s">
        <v>50</v>
      </c>
      <c r="BE23" s="3" t="s">
        <v>2</v>
      </c>
      <c r="BF23" s="3" t="s">
        <v>3</v>
      </c>
      <c r="BG23" s="3" t="s">
        <v>51</v>
      </c>
      <c r="BH23" s="3"/>
    </row>
    <row r="24" spans="1:60" x14ac:dyDescent="0.3">
      <c r="A24" s="2" t="s">
        <v>2</v>
      </c>
      <c r="B24" s="2" t="s">
        <v>0</v>
      </c>
      <c r="D24" s="2" t="s">
        <v>15</v>
      </c>
      <c r="E24" s="5">
        <f t="array" ref="E24:J29">MMULT(E6:J11,V24:V29*_xlfn.MUNIT(6))</f>
        <v>40.42230100712203</v>
      </c>
      <c r="F24" s="5">
        <v>7.5185894016879526</v>
      </c>
      <c r="G24" s="6">
        <v>13.859065666865371</v>
      </c>
      <c r="H24" s="6">
        <v>2.9410472813980495</v>
      </c>
      <c r="I24" s="6">
        <v>0</v>
      </c>
      <c r="J24" s="6">
        <v>0</v>
      </c>
      <c r="L24" s="22">
        <f t="array" ref="L24:L25">S6:S7*Z5</f>
        <v>60.000000000000007</v>
      </c>
      <c r="M24" s="23">
        <f t="array" ref="M24:M25">T8:T9*AA5</f>
        <v>10</v>
      </c>
      <c r="N24" s="23">
        <f t="array" ref="N24:N25">U10:U11*AB5</f>
        <v>0</v>
      </c>
      <c r="P24" s="7">
        <f t="shared" ref="P24:P29" si="0">SUM(L24:N24)</f>
        <v>70</v>
      </c>
      <c r="R24" s="5">
        <f t="array" ref="R24:T29">MMULT(MINVERSE(_xlfn.MUNIT(6)-E6:J11),L24:N29)</f>
        <v>99.130925862014905</v>
      </c>
      <c r="S24" s="6">
        <v>35.610077495058519</v>
      </c>
      <c r="T24" s="6">
        <v>0</v>
      </c>
      <c r="V24" s="7">
        <f t="shared" ref="V24:V29" si="1">SUM(R24:T24)</f>
        <v>134.74100335707342</v>
      </c>
      <c r="X24" s="6">
        <f t="array" ref="X24:Y29">E24:F29+G24:H29+I24:J29</f>
        <v>54.281366673987399</v>
      </c>
      <c r="Y24" s="6">
        <v>10.459636683086002</v>
      </c>
      <c r="Z24" s="6">
        <f t="array" ref="Z24:Z29">L24:L29+M24:M29+N24:N29</f>
        <v>70</v>
      </c>
      <c r="AB24" s="2">
        <f t="array" ref="AB24:AD29">X24:Z29/V24:V29</f>
        <v>0.40285707632841239</v>
      </c>
      <c r="AC24" s="2">
        <v>7.7627718530247289E-2</v>
      </c>
      <c r="AD24" s="2">
        <v>0.51951520514134009</v>
      </c>
      <c r="AQ24" s="22">
        <f t="array" ref="AQ24:AS28">MMULT(E16:J16*_xlfn.MUNIT(6),R24:T29)</f>
        <v>49.565462931007453</v>
      </c>
      <c r="AR24" s="23">
        <v>17.80503874752926</v>
      </c>
      <c r="AS24" s="23">
        <v>0</v>
      </c>
      <c r="AW24" s="2" t="s">
        <v>2</v>
      </c>
      <c r="AX24" s="5">
        <f t="array" ref="AX24:AZ26">MMULT(TRANSPOSE(AF6:AH11),MMULT(E16:J16*_xlfn.MUNIT(6),R24:T29))</f>
        <v>49.565462931007453</v>
      </c>
      <c r="AY24" s="25">
        <v>17.80503874752926</v>
      </c>
      <c r="AZ24" s="25">
        <v>0</v>
      </c>
      <c r="BA24" s="26">
        <f>SUM(AX24:AZ24)</f>
        <v>67.370501678536712</v>
      </c>
      <c r="BD24" s="2" t="s">
        <v>2</v>
      </c>
      <c r="BE24" s="5">
        <f t="array" ref="BE24:BG26">MMULT(TRANSPOSE(AF6:AH11),MMULT(E13:J13*_xlfn.MUNIT(6),R24:T29))</f>
        <v>39.001976594609872</v>
      </c>
      <c r="BF24" s="25">
        <v>18.33056191761052</v>
      </c>
      <c r="BG24" s="25">
        <v>0</v>
      </c>
      <c r="BH24" s="26">
        <f>SUM(BE24:BG24)</f>
        <v>57.332538512220395</v>
      </c>
    </row>
    <row r="25" spans="1:60" x14ac:dyDescent="0.3">
      <c r="B25" s="2" t="s">
        <v>1</v>
      </c>
      <c r="D25" s="2" t="s">
        <v>15</v>
      </c>
      <c r="E25" s="5">
        <v>32.337840805697631</v>
      </c>
      <c r="F25" s="5">
        <v>3.7592947008439763</v>
      </c>
      <c r="G25" s="6">
        <v>11.087252533492299</v>
      </c>
      <c r="H25" s="6">
        <v>1.4705236406990247</v>
      </c>
      <c r="I25" s="6">
        <v>0</v>
      </c>
      <c r="J25" s="6">
        <v>0</v>
      </c>
      <c r="L25" s="22">
        <v>12.000000000000002</v>
      </c>
      <c r="M25" s="23">
        <v>2</v>
      </c>
      <c r="N25" s="23">
        <v>0</v>
      </c>
      <c r="P25" s="7">
        <f t="shared" si="0"/>
        <v>14.000000000000002</v>
      </c>
      <c r="R25" s="5">
        <v>41.555548583440547</v>
      </c>
      <c r="S25" s="6">
        <v>21.099363097292382</v>
      </c>
      <c r="T25" s="6">
        <v>0</v>
      </c>
      <c r="V25" s="7">
        <f t="shared" si="1"/>
        <v>62.65491168073293</v>
      </c>
      <c r="X25" s="6">
        <v>43.425093339189928</v>
      </c>
      <c r="Y25" s="6">
        <v>5.2298183415430008</v>
      </c>
      <c r="Z25" s="6">
        <v>14.000000000000002</v>
      </c>
      <c r="AB25" s="2">
        <v>0.69308362543815727</v>
      </c>
      <c r="AC25" s="2">
        <v>8.3470205307961953E-2</v>
      </c>
      <c r="AD25" s="2">
        <v>0.22344616925388078</v>
      </c>
      <c r="AQ25" s="22">
        <v>0</v>
      </c>
      <c r="AR25" s="23">
        <v>0</v>
      </c>
      <c r="AS25" s="23">
        <v>0</v>
      </c>
      <c r="AW25" s="2" t="s">
        <v>3</v>
      </c>
      <c r="AX25" s="6">
        <v>56.976123992093619</v>
      </c>
      <c r="AY25" s="5">
        <v>164.76892667775232</v>
      </c>
      <c r="AZ25" s="6">
        <v>0</v>
      </c>
      <c r="BA25" s="26">
        <f>SUM(AX25:AZ25)</f>
        <v>221.74505066984594</v>
      </c>
      <c r="BD25" s="2" t="s">
        <v>3</v>
      </c>
      <c r="BE25" s="6">
        <v>36.661123835221041</v>
      </c>
      <c r="BF25" s="5">
        <v>93.993662347441415</v>
      </c>
      <c r="BG25" s="6">
        <v>0</v>
      </c>
      <c r="BH25" s="26">
        <f>SUM(BE25:BG25)</f>
        <v>130.65478618266246</v>
      </c>
    </row>
    <row r="26" spans="1:60" x14ac:dyDescent="0.3">
      <c r="A26" s="2" t="s">
        <v>3</v>
      </c>
      <c r="B26" s="2" t="s">
        <v>0</v>
      </c>
      <c r="D26" s="2" t="s">
        <v>15</v>
      </c>
      <c r="E26" s="6">
        <v>13.474100335707343</v>
      </c>
      <c r="F26" s="6">
        <v>2.5061964672293175</v>
      </c>
      <c r="G26" s="5">
        <v>124.73159100178835</v>
      </c>
      <c r="H26" s="5">
        <v>26.469425532582441</v>
      </c>
      <c r="I26" s="6">
        <v>0</v>
      </c>
      <c r="J26" s="6">
        <v>0</v>
      </c>
      <c r="L26" s="23">
        <f t="array" ref="L26:L27">S6:S7*Z6</f>
        <v>20</v>
      </c>
      <c r="M26" s="22">
        <f t="array" ref="M26:M27">T8:T9*AA6</f>
        <v>90</v>
      </c>
      <c r="N26" s="23">
        <f t="array" ref="N26:N27">U10:U11*AB6</f>
        <v>0</v>
      </c>
      <c r="P26" s="7">
        <f t="shared" si="0"/>
        <v>110</v>
      </c>
      <c r="R26" s="6">
        <v>71.220154990117024</v>
      </c>
      <c r="S26" s="5">
        <v>205.96115834719038</v>
      </c>
      <c r="T26" s="6">
        <v>0</v>
      </c>
      <c r="V26" s="7">
        <f t="shared" si="1"/>
        <v>277.18131333730742</v>
      </c>
      <c r="X26" s="6">
        <v>138.20569133749569</v>
      </c>
      <c r="Y26" s="6">
        <v>28.975621999811757</v>
      </c>
      <c r="Z26" s="6">
        <v>110</v>
      </c>
      <c r="AB26" s="2">
        <v>0.49861114255314337</v>
      </c>
      <c r="AC26" s="2">
        <v>0.10453670794376659</v>
      </c>
      <c r="AD26" s="2">
        <v>0.39685214950309017</v>
      </c>
      <c r="AQ26" s="23">
        <v>56.976123992093619</v>
      </c>
      <c r="AR26" s="22">
        <v>164.76892667775232</v>
      </c>
      <c r="AS26" s="23">
        <v>0</v>
      </c>
      <c r="AW26" s="2" t="s">
        <v>51</v>
      </c>
      <c r="AX26" s="6">
        <v>83.702973201922163</v>
      </c>
      <c r="AY26" s="6">
        <v>12.482818211805132</v>
      </c>
      <c r="AZ26" s="5">
        <v>254.05405405405406</v>
      </c>
      <c r="BA26" s="26">
        <f>SUM(AX26:AZ26)</f>
        <v>350.23984546778138</v>
      </c>
      <c r="BD26" s="2" t="s">
        <v>51</v>
      </c>
      <c r="BE26" s="6">
        <v>44.336899570169116</v>
      </c>
      <c r="BF26" s="6">
        <v>7.6757757349480773</v>
      </c>
      <c r="BG26" s="5">
        <v>119.99999999999999</v>
      </c>
      <c r="BH26" s="26">
        <f>SUM(BE26:BG26)</f>
        <v>172.01267530511717</v>
      </c>
    </row>
    <row r="27" spans="1:60" x14ac:dyDescent="0.3">
      <c r="B27" s="2" t="s">
        <v>1</v>
      </c>
      <c r="D27" s="2" t="s">
        <v>15</v>
      </c>
      <c r="E27" s="6">
        <v>10.779280268565875</v>
      </c>
      <c r="F27" s="6">
        <v>1.2530982336146588</v>
      </c>
      <c r="G27" s="5">
        <v>99.785272801430679</v>
      </c>
      <c r="H27" s="5">
        <v>13.234712766291221</v>
      </c>
      <c r="I27" s="6">
        <v>0</v>
      </c>
      <c r="J27" s="6">
        <v>0</v>
      </c>
      <c r="L27" s="23">
        <v>4</v>
      </c>
      <c r="M27" s="22">
        <v>18</v>
      </c>
      <c r="N27" s="23">
        <v>0</v>
      </c>
      <c r="P27" s="7">
        <f t="shared" si="0"/>
        <v>22</v>
      </c>
      <c r="R27" s="6">
        <v>42.198726194584772</v>
      </c>
      <c r="S27" s="5">
        <v>104.85363787531767</v>
      </c>
      <c r="T27" s="6">
        <v>0</v>
      </c>
      <c r="V27" s="7">
        <f t="shared" si="1"/>
        <v>147.05236406990244</v>
      </c>
      <c r="X27" s="6">
        <v>110.56455306999655</v>
      </c>
      <c r="Y27" s="6">
        <v>14.487810999905879</v>
      </c>
      <c r="Z27" s="6">
        <v>22</v>
      </c>
      <c r="AB27" s="2">
        <v>0.75187198634521013</v>
      </c>
      <c r="AC27" s="2">
        <v>9.852144228717731E-2</v>
      </c>
      <c r="AD27" s="2">
        <v>0.14960657136761255</v>
      </c>
      <c r="AQ27" s="23">
        <v>0</v>
      </c>
      <c r="AR27" s="22">
        <v>0</v>
      </c>
      <c r="AS27" s="23">
        <v>0</v>
      </c>
      <c r="AX27" s="26">
        <f>SUM(AX24:AX26)</f>
        <v>190.24456012502324</v>
      </c>
      <c r="AY27" s="26">
        <f>SUM(AY24:AY26)</f>
        <v>195.05678363708671</v>
      </c>
      <c r="AZ27" s="26">
        <f>SUM(AZ24:AZ26)</f>
        <v>254.05405405405406</v>
      </c>
      <c r="BE27" s="26">
        <f>SUM(BE24:BE26)</f>
        <v>120.00000000000003</v>
      </c>
      <c r="BF27" s="26">
        <f>SUM(BF24:BF26)</f>
        <v>120.00000000000001</v>
      </c>
      <c r="BG27" s="26">
        <f>SUM(BG24:BG26)</f>
        <v>119.99999999999999</v>
      </c>
    </row>
    <row r="28" spans="1:60" x14ac:dyDescent="0.3">
      <c r="A28" s="2" t="s">
        <v>51</v>
      </c>
      <c r="B28" s="2" t="s">
        <v>0</v>
      </c>
      <c r="D28" s="2" t="s">
        <v>15</v>
      </c>
      <c r="E28" s="6">
        <v>13.474100335707343</v>
      </c>
      <c r="F28" s="6">
        <v>2.5061964672293175</v>
      </c>
      <c r="G28" s="6">
        <v>0</v>
      </c>
      <c r="H28" s="6">
        <v>0</v>
      </c>
      <c r="I28" s="5">
        <v>175.11992273389069</v>
      </c>
      <c r="J28" s="5">
        <v>39.139625930954018</v>
      </c>
      <c r="L28" s="23">
        <f t="array" ref="L28:L29">S6:S7*Z7</f>
        <v>20</v>
      </c>
      <c r="M28" s="23">
        <f t="array" ref="M28:M29">T8:T9*AA7</f>
        <v>0</v>
      </c>
      <c r="N28" s="22">
        <f t="array" ref="N28:N29">U10:U11*AB7</f>
        <v>100</v>
      </c>
      <c r="P28" s="7">
        <f t="shared" si="0"/>
        <v>120</v>
      </c>
      <c r="R28" s="6">
        <v>83.702973201922163</v>
      </c>
      <c r="S28" s="6">
        <v>12.482818211805132</v>
      </c>
      <c r="T28" s="5">
        <v>254.05405405405406</v>
      </c>
      <c r="V28" s="7">
        <f t="shared" si="1"/>
        <v>350.23984546778138</v>
      </c>
      <c r="X28" s="6">
        <v>188.59402306959802</v>
      </c>
      <c r="Y28" s="6">
        <v>41.645822398183334</v>
      </c>
      <c r="Z28" s="6">
        <v>120</v>
      </c>
      <c r="AB28" s="2">
        <v>0.53847106635657427</v>
      </c>
      <c r="AC28" s="2">
        <v>0.11890658055356623</v>
      </c>
      <c r="AD28" s="2">
        <v>0.34262235308985944</v>
      </c>
      <c r="AQ28" s="23">
        <v>83.702973201922163</v>
      </c>
      <c r="AR28" s="23">
        <v>12.482818211805132</v>
      </c>
      <c r="AS28" s="22">
        <v>254.05405405405406</v>
      </c>
    </row>
    <row r="29" spans="1:60" x14ac:dyDescent="0.3">
      <c r="B29" s="2" t="s">
        <v>1</v>
      </c>
      <c r="D29" s="2" t="s">
        <v>15</v>
      </c>
      <c r="E29" s="6">
        <v>10.779280268565875</v>
      </c>
      <c r="F29" s="6">
        <v>1.2530982336146588</v>
      </c>
      <c r="G29" s="6">
        <v>0</v>
      </c>
      <c r="H29" s="6">
        <v>0</v>
      </c>
      <c r="I29" s="5">
        <v>140.09593818711255</v>
      </c>
      <c r="J29" s="5">
        <v>19.569812965477009</v>
      </c>
      <c r="L29" s="23">
        <v>4</v>
      </c>
      <c r="M29" s="23">
        <v>0</v>
      </c>
      <c r="N29" s="22">
        <v>20</v>
      </c>
      <c r="P29" s="7">
        <f t="shared" si="0"/>
        <v>24</v>
      </c>
      <c r="R29" s="6">
        <v>51.38086035710986</v>
      </c>
      <c r="S29" s="6">
        <v>9.1821341625250916</v>
      </c>
      <c r="T29" s="5">
        <v>135.13513513513513</v>
      </c>
      <c r="V29" s="7">
        <f t="shared" si="1"/>
        <v>195.69812965477007</v>
      </c>
      <c r="X29" s="6">
        <v>150.87521845567844</v>
      </c>
      <c r="Y29" s="6">
        <v>20.822911199091667</v>
      </c>
      <c r="Z29" s="6">
        <v>24</v>
      </c>
      <c r="AB29" s="2">
        <v>0.77095891882991696</v>
      </c>
      <c r="AC29" s="2">
        <v>0.10640322028537137</v>
      </c>
      <c r="AD29" s="2">
        <v>0.12263786088471187</v>
      </c>
      <c r="AQ29" s="23"/>
      <c r="AR29" s="23"/>
      <c r="AS29" s="22"/>
      <c r="AX29" s="3" t="s">
        <v>2</v>
      </c>
      <c r="AY29" s="3" t="s">
        <v>3</v>
      </c>
      <c r="AZ29" s="3" t="s">
        <v>51</v>
      </c>
      <c r="BE29" s="3" t="s">
        <v>2</v>
      </c>
      <c r="BF29" s="3" t="s">
        <v>3</v>
      </c>
      <c r="BG29" s="3" t="s">
        <v>51</v>
      </c>
    </row>
    <row r="30" spans="1:60" x14ac:dyDescent="0.3">
      <c r="AW30" s="3" t="s">
        <v>66</v>
      </c>
      <c r="AX30" s="6">
        <f>AX24</f>
        <v>49.565462931007453</v>
      </c>
      <c r="AY30" s="6">
        <f>AY25</f>
        <v>164.76892667775232</v>
      </c>
      <c r="AZ30" s="6">
        <f>AZ26</f>
        <v>254.05405405405406</v>
      </c>
      <c r="BD30" s="3" t="s">
        <v>66</v>
      </c>
      <c r="BE30" s="6">
        <f>BE24</f>
        <v>39.001976594609872</v>
      </c>
      <c r="BF30" s="6">
        <f>BF25</f>
        <v>93.993662347441415</v>
      </c>
      <c r="BG30" s="6">
        <f>BG26</f>
        <v>119.99999999999999</v>
      </c>
    </row>
    <row r="31" spans="1:60" x14ac:dyDescent="0.3">
      <c r="B31" s="2" t="s">
        <v>7</v>
      </c>
      <c r="D31" s="2" t="s">
        <v>15</v>
      </c>
      <c r="E31" s="5">
        <f t="array" ref="E31:J31">MMULT(E13:J13,V24:V29*_xlfn.MUNIT(6))</f>
        <v>13.474100335707343</v>
      </c>
      <c r="F31" s="5">
        <v>43.858438176513047</v>
      </c>
      <c r="G31" s="5">
        <v>27.718131333730742</v>
      </c>
      <c r="H31" s="5">
        <v>102.9366548489317</v>
      </c>
      <c r="I31" s="5">
        <v>35.023984546778138</v>
      </c>
      <c r="J31" s="5">
        <v>136.98869075833903</v>
      </c>
      <c r="AW31" s="3" t="s">
        <v>67</v>
      </c>
      <c r="AX31" s="6">
        <f>-SUM(AX25:AX26)</f>
        <v>-140.67909719401578</v>
      </c>
      <c r="AY31" s="6">
        <f>-SUM(AY24,AY26)</f>
        <v>-30.287856959334391</v>
      </c>
      <c r="AZ31" s="6">
        <f>-SUM(AZ24:AZ25)</f>
        <v>0</v>
      </c>
      <c r="BD31" s="3" t="s">
        <v>67</v>
      </c>
      <c r="BE31" s="6">
        <f>-SUM(BE25:BE26)</f>
        <v>-80.998023405390157</v>
      </c>
      <c r="BF31" s="6">
        <f>-SUM(BF24,BF26)</f>
        <v>-26.006337652558599</v>
      </c>
      <c r="BG31" s="6">
        <f>-SUM(BG24:BG25)</f>
        <v>0</v>
      </c>
    </row>
    <row r="32" spans="1:60" x14ac:dyDescent="0.3">
      <c r="AV32" s="27"/>
      <c r="AW32" s="28" t="s">
        <v>65</v>
      </c>
      <c r="AX32" s="29">
        <f>SUM(AY24:AZ24)</f>
        <v>17.80503874752926</v>
      </c>
      <c r="AY32" s="29">
        <f>SUM(AX25,AZ25)</f>
        <v>56.976123992093619</v>
      </c>
      <c r="AZ32" s="29">
        <f>SUM(AX26:AY26)</f>
        <v>96.185791413727287</v>
      </c>
      <c r="BC32" s="27"/>
      <c r="BD32" s="28" t="s">
        <v>65</v>
      </c>
      <c r="BE32" s="29">
        <f>SUM(BF24:BG24)</f>
        <v>18.33056191761052</v>
      </c>
      <c r="BF32" s="29">
        <f>SUM(BE25,BG25)</f>
        <v>36.661123835221041</v>
      </c>
      <c r="BG32" s="29">
        <f>SUM(BE26:BF26)</f>
        <v>52.012675305117192</v>
      </c>
    </row>
    <row r="33" spans="2:59" x14ac:dyDescent="0.3">
      <c r="B33" s="2" t="s">
        <v>18</v>
      </c>
      <c r="D33" s="2" t="s">
        <v>16</v>
      </c>
      <c r="E33" s="5">
        <f t="array" ref="E33:J33">MMULT(E16:J16,V24:V29*_xlfn.MUNIT(6))</f>
        <v>67.370501678536712</v>
      </c>
      <c r="F33" s="5">
        <v>0</v>
      </c>
      <c r="G33" s="5">
        <v>221.74505066984594</v>
      </c>
      <c r="H33" s="5">
        <v>0</v>
      </c>
      <c r="I33" s="5">
        <v>350.23984546778138</v>
      </c>
      <c r="J33" s="5">
        <v>0</v>
      </c>
      <c r="L33" s="12" t="s">
        <v>35</v>
      </c>
      <c r="M33" s="12" t="s">
        <v>35</v>
      </c>
      <c r="N33" s="12" t="s">
        <v>35</v>
      </c>
      <c r="AW33" s="3" t="s">
        <v>21</v>
      </c>
      <c r="AX33" s="6">
        <f>SUM(AX30:AX32)</f>
        <v>-73.308595515479055</v>
      </c>
      <c r="AY33" s="6">
        <f>SUM(AY30:AY32)</f>
        <v>191.45719371051155</v>
      </c>
      <c r="AZ33" s="6">
        <f>SUM(AZ30:AZ32)</f>
        <v>350.23984546778138</v>
      </c>
      <c r="BD33" s="3" t="s">
        <v>21</v>
      </c>
      <c r="BE33" s="6">
        <f>SUM(BE30:BE32)</f>
        <v>-23.665484893169765</v>
      </c>
      <c r="BF33" s="6">
        <f>SUM(BF30:BF32)</f>
        <v>104.64844853010385</v>
      </c>
      <c r="BG33" s="6">
        <f>SUM(BG30:BG32)</f>
        <v>172.01267530511717</v>
      </c>
    </row>
    <row r="34" spans="2:59" x14ac:dyDescent="0.3">
      <c r="B34" s="2" t="s">
        <v>64</v>
      </c>
      <c r="D34" s="2" t="s">
        <v>16</v>
      </c>
      <c r="E34" s="5">
        <f t="array" ref="E34:J34">MMULT(E17:J17,P24:P29*_xlfn.MUNIT(6))</f>
        <v>110.72176767945918</v>
      </c>
      <c r="F34" s="5">
        <v>5.6922945489286931</v>
      </c>
      <c r="G34" s="5">
        <v>208.94732834893784</v>
      </c>
      <c r="H34" s="5">
        <v>9.1291423739734228</v>
      </c>
      <c r="I34" s="5">
        <v>291.89189189189187</v>
      </c>
      <c r="J34" s="5">
        <v>12.972972972972974</v>
      </c>
    </row>
    <row r="37" spans="2:59" x14ac:dyDescent="0.3">
      <c r="B37" s="2" t="s">
        <v>94</v>
      </c>
      <c r="E37" s="2">
        <f t="array" ref="E37:J42">MMULT(MINVERSE(V24:V29*_xlfn.MUNIT(6)),E24:J29)</f>
        <v>0.30000000000000004</v>
      </c>
      <c r="F37" s="2">
        <v>5.5800307362734607E-2</v>
      </c>
      <c r="G37" s="2">
        <v>0.10285707632841239</v>
      </c>
      <c r="H37" s="2">
        <v>2.1827411167512693E-2</v>
      </c>
      <c r="I37" s="2">
        <v>0</v>
      </c>
      <c r="J37" s="2">
        <v>0</v>
      </c>
      <c r="AL37" s="3"/>
    </row>
    <row r="38" spans="2:59" x14ac:dyDescent="0.3">
      <c r="E38" s="2">
        <v>0.51612618928392606</v>
      </c>
      <c r="F38" s="2">
        <v>6.0000000000000012E-2</v>
      </c>
      <c r="G38" s="2">
        <v>0.17695743615423132</v>
      </c>
      <c r="H38" s="2">
        <v>2.3470205307961945E-2</v>
      </c>
      <c r="I38" s="2">
        <v>0</v>
      </c>
      <c r="J38" s="2">
        <v>0</v>
      </c>
      <c r="AL38" s="3"/>
    </row>
    <row r="39" spans="2:59" x14ac:dyDescent="0.3">
      <c r="E39" s="2">
        <v>4.861114255314334E-2</v>
      </c>
      <c r="F39" s="2">
        <v>9.0417223190636872E-3</v>
      </c>
      <c r="G39" s="2">
        <v>0.45</v>
      </c>
      <c r="H39" s="2">
        <v>9.5494985624702891E-2</v>
      </c>
      <c r="I39" s="2">
        <v>0</v>
      </c>
      <c r="J39" s="2">
        <v>0</v>
      </c>
      <c r="AL39" s="3"/>
    </row>
    <row r="40" spans="2:59" x14ac:dyDescent="0.3">
      <c r="E40" s="2">
        <v>7.3302325581395364E-2</v>
      </c>
      <c r="F40" s="2">
        <v>8.5214422871773016E-3</v>
      </c>
      <c r="G40" s="2">
        <v>0.67856966076381475</v>
      </c>
      <c r="H40" s="2">
        <v>9.0000000000000011E-2</v>
      </c>
      <c r="I40" s="2">
        <v>0</v>
      </c>
      <c r="J40" s="2">
        <v>0</v>
      </c>
      <c r="AL40" s="3"/>
    </row>
    <row r="41" spans="2:59" x14ac:dyDescent="0.3">
      <c r="E41" s="2">
        <v>3.8471066356574289E-2</v>
      </c>
      <c r="F41" s="2">
        <v>7.1556577575633464E-3</v>
      </c>
      <c r="G41" s="2">
        <v>0</v>
      </c>
      <c r="H41" s="2">
        <v>0</v>
      </c>
      <c r="I41" s="2">
        <v>0.5</v>
      </c>
      <c r="J41" s="2">
        <v>0.11175092279600289</v>
      </c>
      <c r="AL41" s="3"/>
    </row>
    <row r="42" spans="2:59" x14ac:dyDescent="0.3">
      <c r="E42" s="2">
        <v>5.508116141723756E-2</v>
      </c>
      <c r="F42" s="2">
        <v>6.4032202853713622E-3</v>
      </c>
      <c r="G42" s="2">
        <v>0</v>
      </c>
      <c r="H42" s="2">
        <v>0</v>
      </c>
      <c r="I42" s="2">
        <v>0.71587775741267923</v>
      </c>
      <c r="J42" s="2">
        <v>0.1</v>
      </c>
      <c r="AL42" s="3"/>
    </row>
    <row r="43" spans="2:59" x14ac:dyDescent="0.3">
      <c r="AL43" s="3"/>
    </row>
    <row r="44" spans="2:59" x14ac:dyDescent="0.3">
      <c r="D44" s="2" t="s">
        <v>95</v>
      </c>
      <c r="E44" s="2">
        <f t="array" ref="E44:J44">MMULT(O52:Q52,TRANSPOSE(AF6:AH11))*E16:J16</f>
        <v>0.5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2:59" x14ac:dyDescent="0.3">
      <c r="E45" s="2">
        <f t="array" ref="E45:J45">MMULT(E44:J44,E37:J42)</f>
        <v>0.15000000000000002</v>
      </c>
      <c r="F45" s="2">
        <v>2.7900153681367303E-2</v>
      </c>
      <c r="G45" s="2">
        <v>5.1428538164206193E-2</v>
      </c>
      <c r="H45" s="2">
        <v>1.0913705583756346E-2</v>
      </c>
      <c r="I45" s="2">
        <v>0</v>
      </c>
      <c r="J45" s="2">
        <v>0</v>
      </c>
    </row>
    <row r="49" spans="2:22" x14ac:dyDescent="0.3">
      <c r="B49" s="2" t="s">
        <v>79</v>
      </c>
      <c r="E49" s="2" t="s">
        <v>83</v>
      </c>
      <c r="M49" s="2" t="s">
        <v>55</v>
      </c>
    </row>
    <row r="50" spans="2:22" x14ac:dyDescent="0.3">
      <c r="B50" s="2" t="s">
        <v>70</v>
      </c>
      <c r="D50" s="2" t="s">
        <v>71</v>
      </c>
      <c r="E50" s="40">
        <f>SUM(E51:E53)</f>
        <v>2.5817395382779882</v>
      </c>
      <c r="F50" s="40">
        <f t="shared" ref="F50:J50" si="2">SUM(F51:F53)</f>
        <v>1.4065924677806207</v>
      </c>
      <c r="G50" s="40">
        <f t="shared" si="2"/>
        <v>1</v>
      </c>
      <c r="H50" s="40">
        <f t="shared" si="2"/>
        <v>1</v>
      </c>
      <c r="I50" s="40">
        <f t="shared" si="2"/>
        <v>1</v>
      </c>
      <c r="J50" s="40">
        <f t="shared" si="2"/>
        <v>0.99999999999999989</v>
      </c>
      <c r="O50" s="3" t="s">
        <v>2</v>
      </c>
      <c r="P50" s="3" t="s">
        <v>3</v>
      </c>
      <c r="Q50" s="3" t="s">
        <v>51</v>
      </c>
    </row>
    <row r="51" spans="2:22" x14ac:dyDescent="0.3">
      <c r="B51" s="2" t="s">
        <v>77</v>
      </c>
      <c r="D51" s="2" t="s">
        <v>71</v>
      </c>
      <c r="E51" s="2">
        <f t="array" ref="E51:J51">MMULT(E13:J13,MINVERSE(_xlfn.MUNIT(6)-E6:J11))</f>
        <v>1.0000000000000002</v>
      </c>
      <c r="F51" s="2">
        <v>1</v>
      </c>
      <c r="G51" s="2">
        <v>1</v>
      </c>
      <c r="H51" s="2">
        <v>1</v>
      </c>
      <c r="I51" s="2">
        <v>1</v>
      </c>
      <c r="J51" s="2">
        <v>0.99999999999999989</v>
      </c>
      <c r="M51" s="2" t="s">
        <v>26</v>
      </c>
      <c r="N51" s="3" t="s">
        <v>20</v>
      </c>
      <c r="O51" s="9">
        <v>0</v>
      </c>
      <c r="P51" s="9">
        <v>0</v>
      </c>
      <c r="Q51" s="9">
        <v>0</v>
      </c>
    </row>
    <row r="52" spans="2:22" x14ac:dyDescent="0.3">
      <c r="B52" s="2" t="s">
        <v>80</v>
      </c>
      <c r="D52" s="2" t="s">
        <v>71</v>
      </c>
      <c r="E52" s="2">
        <f t="array" ref="E52:J52">MMULT(MMULT(E16:J16,MMULT(O51:Q51,TRANSPOSE(AF6:AH11))*_xlfn.MUNIT(6)),MINVERSE(_xlfn.MUNIT(6)-E6:J11))</f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M52" s="2" t="s">
        <v>27</v>
      </c>
      <c r="N52" s="3" t="s">
        <v>20</v>
      </c>
      <c r="O52" s="9">
        <v>1</v>
      </c>
      <c r="P52" s="9">
        <v>0</v>
      </c>
      <c r="Q52" s="9">
        <v>0</v>
      </c>
    </row>
    <row r="53" spans="2:22" x14ac:dyDescent="0.3">
      <c r="B53" s="2" t="s">
        <v>81</v>
      </c>
      <c r="D53" s="2" t="s">
        <v>71</v>
      </c>
      <c r="E53" s="2">
        <f t="array" ref="E53:J53">MMULT(AJ4:AO4,MMULT(O52:Q52,TRANSPOSE(AF6:AH11))*AJ6:AO11*TRANSPOSE(E16:J16)*MINVERSE(_xlfn.MUNIT(6)-E6:J11))</f>
        <v>1.5817395382779882</v>
      </c>
      <c r="F53" s="2">
        <v>0.40659246778062086</v>
      </c>
      <c r="G53" s="2">
        <v>0</v>
      </c>
      <c r="H53" s="2">
        <v>0</v>
      </c>
      <c r="I53" s="2">
        <v>0</v>
      </c>
      <c r="J53" s="2">
        <v>0</v>
      </c>
    </row>
    <row r="55" spans="2:22" x14ac:dyDescent="0.3">
      <c r="B55" s="41" t="s">
        <v>88</v>
      </c>
      <c r="C55" s="41"/>
      <c r="D55" s="41" t="s">
        <v>71</v>
      </c>
      <c r="E55" s="41">
        <f t="array" ref="E55:J55">MMULT(O52:Q52,TRANSPOSE(AF6:AH11))*E17:J17</f>
        <v>1.5817395382779882</v>
      </c>
      <c r="F55" s="41">
        <v>0.40659246778062086</v>
      </c>
      <c r="G55" s="41">
        <v>0</v>
      </c>
      <c r="H55" s="41">
        <v>0</v>
      </c>
      <c r="I55" s="41">
        <v>0</v>
      </c>
      <c r="J55" s="41">
        <v>0</v>
      </c>
    </row>
    <row r="56" spans="2:22" x14ac:dyDescent="0.3">
      <c r="B56" s="41" t="s">
        <v>91</v>
      </c>
      <c r="D56" s="41" t="s">
        <v>71</v>
      </c>
      <c r="E56" s="41">
        <f t="array" ref="E56:J56">MMULT(AJ4:AO4,MMULT(O52:Q52,TRANSPOSE(AF6:AH11))*AJ6:AO11*TRANSPOSE(E16:J16)*MINVERSE(_xlfn.MUNIT(6)-E6:J11))</f>
        <v>1.5817395382779882</v>
      </c>
      <c r="F56" s="41">
        <v>0.40659246778062086</v>
      </c>
      <c r="G56" s="41">
        <v>0</v>
      </c>
      <c r="H56" s="41">
        <v>0</v>
      </c>
      <c r="I56" s="41">
        <v>0</v>
      </c>
      <c r="J56" s="41">
        <v>0</v>
      </c>
    </row>
    <row r="57" spans="2:22" x14ac:dyDescent="0.3">
      <c r="B57" s="41" t="s">
        <v>90</v>
      </c>
      <c r="C57" s="41"/>
      <c r="D57" s="41" t="s">
        <v>71</v>
      </c>
      <c r="E57" s="41">
        <f t="array" ref="E57:J57">MMULT(E18:J18*MMULT(O52:Q52,TRANSPOSE(AF6:AH11)),MINVERSE(_xlfn.MUNIT(6)-E6:J11))</f>
        <v>1.300917364621597</v>
      </c>
      <c r="F57" s="41">
        <v>0.2719224623506013</v>
      </c>
      <c r="G57" s="41">
        <v>0.1823163727555249</v>
      </c>
      <c r="H57" s="41">
        <v>6.7642328584541153E-2</v>
      </c>
      <c r="I57" s="41">
        <v>0</v>
      </c>
      <c r="J57" s="41">
        <v>0</v>
      </c>
    </row>
    <row r="58" spans="2:22" x14ac:dyDescent="0.3">
      <c r="O58" s="2" t="s">
        <v>93</v>
      </c>
    </row>
    <row r="59" spans="2:22" x14ac:dyDescent="0.3">
      <c r="O59" s="2" t="s">
        <v>70</v>
      </c>
      <c r="Q59" s="2">
        <v>1.7687209333194969</v>
      </c>
      <c r="R59" s="2">
        <v>1.1033096495949068</v>
      </c>
      <c r="S59" s="2">
        <v>1.1024649510436855</v>
      </c>
      <c r="T59" s="2">
        <v>1.0382980289562664</v>
      </c>
      <c r="U59" s="2">
        <v>1</v>
      </c>
      <c r="V59" s="2">
        <v>0.99999999999999989</v>
      </c>
    </row>
    <row r="60" spans="2:22" x14ac:dyDescent="0.3">
      <c r="O60" s="2" t="s">
        <v>77</v>
      </c>
      <c r="Q60" s="2">
        <v>1.0000000000000002</v>
      </c>
      <c r="R60" s="2">
        <v>1</v>
      </c>
      <c r="S60" s="2">
        <v>1</v>
      </c>
      <c r="T60" s="2">
        <v>1</v>
      </c>
      <c r="U60" s="2">
        <v>1</v>
      </c>
      <c r="V60" s="2">
        <v>0.99999999999999989</v>
      </c>
    </row>
    <row r="61" spans="2:22" x14ac:dyDescent="0.3">
      <c r="O61" s="2" t="s">
        <v>80</v>
      </c>
      <c r="Q61" s="2">
        <v>0.76872093331949654</v>
      </c>
      <c r="R61" s="2">
        <v>0.10330964959490677</v>
      </c>
      <c r="S61" s="2">
        <v>0.1024649510436854</v>
      </c>
      <c r="T61" s="2">
        <v>3.8298028956266349E-2</v>
      </c>
      <c r="U61" s="2">
        <v>0</v>
      </c>
      <c r="V61" s="2">
        <v>0</v>
      </c>
    </row>
    <row r="62" spans="2:22" x14ac:dyDescent="0.3">
      <c r="O62" s="2" t="s">
        <v>81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5" spans="5:10" x14ac:dyDescent="0.3">
      <c r="E65" s="2" t="s">
        <v>72</v>
      </c>
    </row>
    <row r="67" spans="5:10" x14ac:dyDescent="0.3">
      <c r="E67" s="2" t="s">
        <v>73</v>
      </c>
    </row>
    <row r="68" spans="5:10" x14ac:dyDescent="0.3">
      <c r="E68" s="2">
        <f t="array" ref="E68:J68">MMULT(O52:Q52,TRANSPOSE(AF6:AH11))</f>
        <v>1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</row>
    <row r="70" spans="5:10" x14ac:dyDescent="0.3">
      <c r="E70" s="2">
        <f t="array" ref="E70:J75">E68:J68*AJ6:AO11*TRANSPOSE(E16:J16)</f>
        <v>0.5</v>
      </c>
      <c r="F70" s="2">
        <v>0.5</v>
      </c>
      <c r="G70" s="2">
        <v>0</v>
      </c>
      <c r="H70" s="2">
        <v>0</v>
      </c>
      <c r="I70" s="2">
        <v>0</v>
      </c>
      <c r="J70" s="2">
        <v>0</v>
      </c>
    </row>
    <row r="71" spans="5:10" x14ac:dyDescent="0.3"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5:10" x14ac:dyDescent="0.3">
      <c r="E72" s="2">
        <v>0.8</v>
      </c>
      <c r="F72" s="2">
        <v>0.8</v>
      </c>
      <c r="G72" s="2">
        <v>0</v>
      </c>
      <c r="H72" s="2">
        <v>0</v>
      </c>
      <c r="I72" s="2">
        <v>0</v>
      </c>
      <c r="J72" s="2">
        <v>0</v>
      </c>
    </row>
    <row r="73" spans="5:10" x14ac:dyDescent="0.3"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5:10" x14ac:dyDescent="0.3"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</row>
    <row r="75" spans="5:10" x14ac:dyDescent="0.3"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7" spans="5:10" x14ac:dyDescent="0.3">
      <c r="E77" s="2" t="s">
        <v>74</v>
      </c>
    </row>
    <row r="78" spans="5:10" x14ac:dyDescent="0.3">
      <c r="E78" s="2">
        <f t="array" ref="E78:J83">MINVERSE(_xlfn.MUNIT(6)-E6:J11)</f>
        <v>1.5374418666389931</v>
      </c>
      <c r="F78" s="2">
        <v>0.20661929918981353</v>
      </c>
      <c r="G78" s="2">
        <v>0.2049299020873708</v>
      </c>
      <c r="H78" s="2">
        <v>7.6596057912532697E-2</v>
      </c>
      <c r="I78" s="2">
        <v>0</v>
      </c>
      <c r="J78" s="2">
        <v>0</v>
      </c>
    </row>
    <row r="79" spans="5:10" x14ac:dyDescent="0.3">
      <c r="E79" s="2">
        <v>0.41323859837962701</v>
      </c>
      <c r="F79" s="2">
        <v>1.1242032682593661</v>
      </c>
      <c r="G79" s="2">
        <v>0.15319211582506537</v>
      </c>
      <c r="H79" s="2">
        <v>5.173778626230547E-2</v>
      </c>
      <c r="I79" s="2">
        <v>0</v>
      </c>
      <c r="J79" s="2">
        <v>0</v>
      </c>
    </row>
    <row r="80" spans="5:10" x14ac:dyDescent="0.3">
      <c r="E80" s="2">
        <v>0.40985980417474166</v>
      </c>
      <c r="F80" s="2">
        <v>0.15319211582506534</v>
      </c>
      <c r="G80" s="2">
        <v>2.1522315729011048</v>
      </c>
      <c r="H80" s="2">
        <v>0.43640747292741144</v>
      </c>
      <c r="I80" s="2">
        <v>0</v>
      </c>
      <c r="J80" s="2">
        <v>0</v>
      </c>
    </row>
    <row r="81" spans="5:10" x14ac:dyDescent="0.3">
      <c r="E81" s="2">
        <v>0.30638423165013079</v>
      </c>
      <c r="F81" s="2">
        <v>0.10347557252461093</v>
      </c>
      <c r="G81" s="2">
        <v>0.87281494585482289</v>
      </c>
      <c r="H81" s="2">
        <v>1.2794166270462823</v>
      </c>
      <c r="I81" s="2">
        <v>0</v>
      </c>
      <c r="J81" s="2">
        <v>0</v>
      </c>
    </row>
    <row r="82" spans="5:10" x14ac:dyDescent="0.3">
      <c r="E82" s="2">
        <v>0.48513076161869823</v>
      </c>
      <c r="F82" s="2">
        <v>0.18072912552566181</v>
      </c>
      <c r="G82" s="2">
        <v>7.5270957443956538E-2</v>
      </c>
      <c r="H82" s="2">
        <v>2.753700970059645E-2</v>
      </c>
      <c r="I82" s="2">
        <v>2.4324324324324325</v>
      </c>
      <c r="J82" s="2">
        <v>0.54054054054054057</v>
      </c>
    </row>
    <row r="83" spans="5:10" x14ac:dyDescent="0.3">
      <c r="E83" s="2">
        <v>0.36145825105132368</v>
      </c>
      <c r="F83" s="2">
        <v>0.12367251056737459</v>
      </c>
      <c r="G83" s="2">
        <v>5.5074019401192879E-2</v>
      </c>
      <c r="H83" s="2">
        <v>2.0196938042763676E-2</v>
      </c>
      <c r="I83" s="2">
        <v>1.0810810810810811</v>
      </c>
      <c r="J83" s="2">
        <v>1.3513513513513513</v>
      </c>
    </row>
    <row r="85" spans="5:10" x14ac:dyDescent="0.3">
      <c r="E85" s="2" t="s">
        <v>75</v>
      </c>
    </row>
    <row r="86" spans="5:10" x14ac:dyDescent="0.3">
      <c r="E86" s="2">
        <f t="array" ref="E86:J91">E70:J75*E78:J83</f>
        <v>0.76872093331949654</v>
      </c>
      <c r="F86" s="2">
        <v>0.10330964959490677</v>
      </c>
      <c r="G86" s="2">
        <v>0</v>
      </c>
      <c r="H86" s="2">
        <v>0</v>
      </c>
      <c r="I86" s="2">
        <v>0</v>
      </c>
      <c r="J86" s="2">
        <v>0</v>
      </c>
    </row>
    <row r="87" spans="5:10" x14ac:dyDescent="0.3"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5:10" x14ac:dyDescent="0.3">
      <c r="E88" s="2">
        <v>0.32788784333979337</v>
      </c>
      <c r="F88" s="2">
        <v>0.12255369266005228</v>
      </c>
      <c r="G88" s="2">
        <v>0</v>
      </c>
      <c r="H88" s="2">
        <v>0</v>
      </c>
      <c r="I88" s="2">
        <v>0</v>
      </c>
      <c r="J88" s="2">
        <v>0</v>
      </c>
    </row>
    <row r="89" spans="5:10" x14ac:dyDescent="0.3"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5:10" x14ac:dyDescent="0.3">
      <c r="E90" s="2">
        <v>0.48513076161869823</v>
      </c>
      <c r="F90" s="2">
        <v>0.18072912552566181</v>
      </c>
      <c r="G90" s="2">
        <v>0</v>
      </c>
      <c r="H90" s="2">
        <v>0</v>
      </c>
      <c r="I90" s="2">
        <v>0</v>
      </c>
      <c r="J90" s="2">
        <v>0</v>
      </c>
    </row>
    <row r="91" spans="5:10" x14ac:dyDescent="0.3"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4A5D-E2B9-4759-A077-2B67FC7B06B6}">
  <dimension ref="A1:BH85"/>
  <sheetViews>
    <sheetView showGridLines="0" zoomScaleNormal="100" workbookViewId="0">
      <selection activeCell="M49" sqref="M49"/>
    </sheetView>
  </sheetViews>
  <sheetFormatPr defaultColWidth="9.109375" defaultRowHeight="14.4" x14ac:dyDescent="0.3"/>
  <cols>
    <col min="1" max="1" width="7.109375" style="2" customWidth="1"/>
    <col min="2" max="2" width="8.5546875" style="2" customWidth="1"/>
    <col min="3" max="3" width="22" style="2" customWidth="1"/>
    <col min="4" max="4" width="9.109375" style="2"/>
    <col min="5" max="83" width="5.5546875" style="2" customWidth="1"/>
    <col min="84" max="16384" width="9.109375" style="2"/>
  </cols>
  <sheetData>
    <row r="1" spans="1:60" x14ac:dyDescent="0.3">
      <c r="A1" s="2" t="s">
        <v>25</v>
      </c>
      <c r="E1" s="10">
        <v>1</v>
      </c>
    </row>
    <row r="2" spans="1:60" x14ac:dyDescent="0.3">
      <c r="E2" s="10"/>
    </row>
    <row r="3" spans="1:60" x14ac:dyDescent="0.3">
      <c r="E3" s="2" t="s">
        <v>53</v>
      </c>
      <c r="L3" s="2" t="s">
        <v>52</v>
      </c>
      <c r="S3" s="2" t="s">
        <v>60</v>
      </c>
      <c r="Y3" s="2" t="s">
        <v>54</v>
      </c>
      <c r="AD3" s="2" t="s">
        <v>55</v>
      </c>
      <c r="AJ3" s="2" t="s">
        <v>63</v>
      </c>
      <c r="AP3" s="2" t="s">
        <v>87</v>
      </c>
      <c r="AQ3" s="2" t="s">
        <v>49</v>
      </c>
    </row>
    <row r="4" spans="1:60" x14ac:dyDescent="0.3">
      <c r="A4" s="2" t="s">
        <v>8</v>
      </c>
      <c r="E4" s="2" t="s">
        <v>2</v>
      </c>
      <c r="G4" s="2" t="s">
        <v>3</v>
      </c>
      <c r="I4" s="2" t="s">
        <v>51</v>
      </c>
      <c r="L4" s="2" t="s">
        <v>2</v>
      </c>
      <c r="N4" s="2" t="s">
        <v>3</v>
      </c>
      <c r="P4" s="2" t="s">
        <v>51</v>
      </c>
      <c r="S4" s="3" t="s">
        <v>2</v>
      </c>
      <c r="T4" s="3" t="s">
        <v>3</v>
      </c>
      <c r="U4" s="3" t="s">
        <v>51</v>
      </c>
      <c r="Z4" s="2" t="s">
        <v>2</v>
      </c>
      <c r="AA4" s="2" t="s">
        <v>3</v>
      </c>
      <c r="AB4" s="2" t="s">
        <v>51</v>
      </c>
      <c r="AF4" s="3" t="s">
        <v>2</v>
      </c>
      <c r="AG4" s="3" t="s">
        <v>3</v>
      </c>
      <c r="AH4" s="3" t="s">
        <v>51</v>
      </c>
      <c r="AL4" s="3" t="s">
        <v>2</v>
      </c>
      <c r="AM4" s="3" t="s">
        <v>3</v>
      </c>
      <c r="AN4" s="3" t="s">
        <v>51</v>
      </c>
      <c r="AP4" s="31">
        <v>1</v>
      </c>
      <c r="AQ4" s="31">
        <v>1</v>
      </c>
      <c r="AR4" s="31">
        <v>1</v>
      </c>
      <c r="AS4" s="31">
        <v>1</v>
      </c>
      <c r="AT4" s="31">
        <v>1</v>
      </c>
      <c r="AU4" s="31">
        <v>1</v>
      </c>
    </row>
    <row r="5" spans="1:60" x14ac:dyDescent="0.3">
      <c r="B5" s="2" t="s">
        <v>9</v>
      </c>
      <c r="C5" s="2" t="s">
        <v>10</v>
      </c>
      <c r="D5" s="2" t="s">
        <v>56</v>
      </c>
      <c r="E5" s="3" t="s">
        <v>0</v>
      </c>
      <c r="F5" s="3" t="s">
        <v>1</v>
      </c>
      <c r="G5" s="3" t="s">
        <v>0</v>
      </c>
      <c r="H5" s="3" t="s">
        <v>1</v>
      </c>
      <c r="I5" s="3" t="s">
        <v>0</v>
      </c>
      <c r="J5" s="3" t="s">
        <v>1</v>
      </c>
      <c r="L5" s="3" t="s">
        <v>0</v>
      </c>
      <c r="M5" s="3" t="s">
        <v>1</v>
      </c>
      <c r="N5" s="3" t="s">
        <v>0</v>
      </c>
      <c r="O5" s="3" t="s">
        <v>1</v>
      </c>
      <c r="P5" s="3" t="s">
        <v>0</v>
      </c>
      <c r="Q5" s="3" t="s">
        <v>1</v>
      </c>
      <c r="S5" s="3" t="s">
        <v>4</v>
      </c>
      <c r="T5" s="3" t="s">
        <v>4</v>
      </c>
      <c r="U5" s="3" t="s">
        <v>4</v>
      </c>
      <c r="Y5" s="2" t="s">
        <v>2</v>
      </c>
      <c r="Z5" s="1">
        <f>1-Z6-Z7</f>
        <v>0.60000000000000009</v>
      </c>
      <c r="AA5" s="19">
        <v>0.1</v>
      </c>
      <c r="AB5" s="19">
        <v>0</v>
      </c>
      <c r="AD5" s="2" t="s">
        <v>26</v>
      </c>
      <c r="AE5" s="3" t="s">
        <v>20</v>
      </c>
      <c r="AF5" s="9">
        <v>0</v>
      </c>
      <c r="AG5" s="9">
        <v>0</v>
      </c>
      <c r="AH5" s="9">
        <v>0</v>
      </c>
      <c r="AL5" s="3" t="s">
        <v>4</v>
      </c>
      <c r="AM5" s="3" t="s">
        <v>4</v>
      </c>
      <c r="AN5" s="3" t="s">
        <v>4</v>
      </c>
    </row>
    <row r="6" spans="1:60" x14ac:dyDescent="0.3">
      <c r="A6" s="2" t="s">
        <v>2</v>
      </c>
      <c r="B6" s="2" t="s">
        <v>0</v>
      </c>
      <c r="D6" s="2" t="s">
        <v>12</v>
      </c>
      <c r="E6" s="1">
        <f t="array" ref="E6:F7">L6:M7*Z5</f>
        <v>0.30000000000000004</v>
      </c>
      <c r="F6" s="1">
        <v>0.12000000000000002</v>
      </c>
      <c r="G6" s="2">
        <f t="array" ref="G6:H7">N8:O9*AA5</f>
        <v>0.05</v>
      </c>
      <c r="H6" s="2">
        <v>2.0000000000000004E-2</v>
      </c>
      <c r="I6" s="2">
        <f t="array" ref="I6:J7">P10:Q11*AB5</f>
        <v>0</v>
      </c>
      <c r="J6" s="2">
        <v>0</v>
      </c>
      <c r="L6" s="9">
        <v>0.5</v>
      </c>
      <c r="M6" s="9">
        <v>0.2</v>
      </c>
      <c r="S6" s="20">
        <v>100</v>
      </c>
      <c r="T6" s="21"/>
      <c r="U6" s="21"/>
      <c r="Y6" s="2" t="s">
        <v>3</v>
      </c>
      <c r="Z6" s="19">
        <v>0.2</v>
      </c>
      <c r="AA6" s="1">
        <f>1-AA5-AA7</f>
        <v>0.9</v>
      </c>
      <c r="AB6" s="19">
        <v>0</v>
      </c>
      <c r="AD6" s="2" t="s">
        <v>27</v>
      </c>
      <c r="AE6" s="3" t="s">
        <v>20</v>
      </c>
      <c r="AF6" s="9">
        <v>1</v>
      </c>
      <c r="AG6" s="9">
        <v>1</v>
      </c>
      <c r="AH6" s="9">
        <v>1</v>
      </c>
      <c r="AJ6" s="2" t="s">
        <v>2</v>
      </c>
      <c r="AK6" s="2" t="s">
        <v>0</v>
      </c>
      <c r="AL6" s="22">
        <v>1</v>
      </c>
      <c r="AM6" s="23">
        <v>0</v>
      </c>
      <c r="AN6" s="23">
        <v>0</v>
      </c>
      <c r="AP6" s="22">
        <f t="array" ref="AP6:AQ7">IF($AQ$3="cba",1,0)</f>
        <v>1</v>
      </c>
      <c r="AQ6" s="22">
        <v>1</v>
      </c>
      <c r="AR6" s="23">
        <f t="array" ref="AR6:AS7">IF(AG6&lt;&gt;0,1,0)</f>
        <v>1</v>
      </c>
      <c r="AS6" s="23">
        <v>1</v>
      </c>
      <c r="AT6" s="23">
        <f t="array" ref="AT6:AU9">IF(AH6&lt;&gt;0,1,0)</f>
        <v>1</v>
      </c>
      <c r="AU6" s="23">
        <v>1</v>
      </c>
      <c r="BH6" s="6"/>
    </row>
    <row r="7" spans="1:60" x14ac:dyDescent="0.3">
      <c r="B7" s="2" t="s">
        <v>1</v>
      </c>
      <c r="D7" s="2" t="s">
        <v>12</v>
      </c>
      <c r="E7" s="1">
        <v>0.24000000000000005</v>
      </c>
      <c r="F7" s="1">
        <v>6.0000000000000012E-2</v>
      </c>
      <c r="G7" s="2">
        <v>4.0000000000000008E-2</v>
      </c>
      <c r="H7" s="2">
        <v>1.0000000000000002E-2</v>
      </c>
      <c r="I7" s="2">
        <v>0</v>
      </c>
      <c r="J7" s="2">
        <v>0</v>
      </c>
      <c r="L7" s="9">
        <v>0.4</v>
      </c>
      <c r="M7" s="9">
        <v>0.1</v>
      </c>
      <c r="S7" s="20">
        <v>20</v>
      </c>
      <c r="T7" s="21"/>
      <c r="U7" s="21"/>
      <c r="Y7" s="2" t="s">
        <v>51</v>
      </c>
      <c r="Z7" s="19">
        <v>0.2</v>
      </c>
      <c r="AA7" s="19">
        <v>0</v>
      </c>
      <c r="AB7" s="1">
        <f>1-AB6-AB5</f>
        <v>1</v>
      </c>
      <c r="AK7" s="2" t="s">
        <v>1</v>
      </c>
      <c r="AL7" s="22">
        <v>1</v>
      </c>
      <c r="AM7" s="23">
        <v>0</v>
      </c>
      <c r="AN7" s="23">
        <v>0</v>
      </c>
      <c r="AP7" s="22">
        <v>1</v>
      </c>
      <c r="AQ7" s="22">
        <v>1</v>
      </c>
      <c r="AR7" s="23">
        <v>1</v>
      </c>
      <c r="AS7" s="23">
        <v>1</v>
      </c>
      <c r="AT7" s="23">
        <v>1</v>
      </c>
      <c r="AU7" s="23">
        <v>1</v>
      </c>
      <c r="BH7" s="6"/>
    </row>
    <row r="8" spans="1:60" x14ac:dyDescent="0.3">
      <c r="A8" s="2" t="s">
        <v>3</v>
      </c>
      <c r="B8" s="2" t="s">
        <v>0</v>
      </c>
      <c r="D8" s="2" t="s">
        <v>12</v>
      </c>
      <c r="E8" s="2">
        <f t="array" ref="E8:F9">L6:M7*Z6</f>
        <v>0.1</v>
      </c>
      <c r="F8" s="2">
        <v>4.0000000000000008E-2</v>
      </c>
      <c r="G8" s="1">
        <f t="array" ref="G8:H9">N8:O9*AA6</f>
        <v>0.45</v>
      </c>
      <c r="H8" s="1">
        <v>0.18000000000000002</v>
      </c>
      <c r="I8" s="2">
        <f t="array" ref="I8:J9">P8:Q9*AB6</f>
        <v>0</v>
      </c>
      <c r="J8" s="2">
        <v>0</v>
      </c>
      <c r="N8" s="9">
        <v>0.5</v>
      </c>
      <c r="O8" s="9">
        <v>0.2</v>
      </c>
      <c r="R8" s="3"/>
      <c r="S8" s="21"/>
      <c r="T8" s="20">
        <v>100</v>
      </c>
      <c r="U8" s="21"/>
      <c r="AJ8" s="2" t="s">
        <v>3</v>
      </c>
      <c r="AK8" s="2" t="s">
        <v>0</v>
      </c>
      <c r="AL8" s="23">
        <v>0</v>
      </c>
      <c r="AM8" s="22">
        <v>1</v>
      </c>
      <c r="AN8" s="23">
        <v>0</v>
      </c>
      <c r="AP8" s="23">
        <f t="array" ref="AP8:AQ11">IF(AF6&lt;&gt;0,1,0)</f>
        <v>1</v>
      </c>
      <c r="AQ8" s="23">
        <v>1</v>
      </c>
      <c r="AR8" s="22">
        <f t="array" ref="AR8:AS9">IF($AQ$3="cba",1,0)</f>
        <v>1</v>
      </c>
      <c r="AS8" s="22">
        <v>1</v>
      </c>
      <c r="AT8" s="23">
        <v>1</v>
      </c>
      <c r="AU8" s="23">
        <v>1</v>
      </c>
      <c r="BH8" s="6"/>
    </row>
    <row r="9" spans="1:60" x14ac:dyDescent="0.3">
      <c r="B9" s="2" t="s">
        <v>1</v>
      </c>
      <c r="D9" s="2" t="s">
        <v>12</v>
      </c>
      <c r="E9" s="2">
        <v>8.0000000000000016E-2</v>
      </c>
      <c r="F9" s="2">
        <v>2.0000000000000004E-2</v>
      </c>
      <c r="G9" s="1">
        <v>0.36000000000000004</v>
      </c>
      <c r="H9" s="1">
        <v>9.0000000000000011E-2</v>
      </c>
      <c r="I9" s="2">
        <v>0</v>
      </c>
      <c r="J9" s="2">
        <v>0</v>
      </c>
      <c r="N9" s="9">
        <v>0.4</v>
      </c>
      <c r="O9" s="9">
        <v>0.1</v>
      </c>
      <c r="S9" s="21"/>
      <c r="T9" s="20">
        <v>20</v>
      </c>
      <c r="U9" s="21"/>
      <c r="Z9" s="2">
        <v>0.3</v>
      </c>
      <c r="AK9" s="2" t="s">
        <v>1</v>
      </c>
      <c r="AL9" s="23">
        <v>0</v>
      </c>
      <c r="AM9" s="22">
        <v>1</v>
      </c>
      <c r="AN9" s="23">
        <v>0</v>
      </c>
      <c r="AP9" s="23">
        <v>1</v>
      </c>
      <c r="AQ9" s="23">
        <v>1</v>
      </c>
      <c r="AR9" s="22">
        <v>1</v>
      </c>
      <c r="AS9" s="22">
        <v>1</v>
      </c>
      <c r="AT9" s="23">
        <v>1</v>
      </c>
      <c r="AU9" s="23">
        <v>1</v>
      </c>
      <c r="BH9" s="6"/>
    </row>
    <row r="10" spans="1:60" x14ac:dyDescent="0.3">
      <c r="A10" s="2" t="s">
        <v>51</v>
      </c>
      <c r="B10" s="2" t="s">
        <v>0</v>
      </c>
      <c r="D10" s="2" t="s">
        <v>12</v>
      </c>
      <c r="E10" s="2">
        <f t="array" ref="E10:F11">L6:M7*Z7</f>
        <v>0.1</v>
      </c>
      <c r="F10" s="2">
        <v>4.0000000000000008E-2</v>
      </c>
      <c r="G10" s="2">
        <f t="array" ref="G10:H11">N8:O9*AA7</f>
        <v>0</v>
      </c>
      <c r="H10" s="2">
        <v>0</v>
      </c>
      <c r="I10" s="1">
        <f t="array" ref="I10:J11">P10:Q11*AB7</f>
        <v>0.5</v>
      </c>
      <c r="J10" s="1">
        <v>0.2</v>
      </c>
      <c r="P10" s="9">
        <v>0.5</v>
      </c>
      <c r="Q10" s="9">
        <v>0.2</v>
      </c>
      <c r="S10" s="21"/>
      <c r="T10" s="21"/>
      <c r="U10" s="20">
        <v>100</v>
      </c>
      <c r="Z10" s="2">
        <v>0.1</v>
      </c>
      <c r="AA10" s="2">
        <v>0.2</v>
      </c>
      <c r="AJ10" s="2" t="s">
        <v>51</v>
      </c>
      <c r="AK10" s="2" t="s">
        <v>0</v>
      </c>
      <c r="AL10" s="23">
        <v>0</v>
      </c>
      <c r="AM10" s="23">
        <v>0</v>
      </c>
      <c r="AN10" s="22">
        <v>1</v>
      </c>
      <c r="AP10" s="23">
        <v>1</v>
      </c>
      <c r="AQ10" s="23">
        <v>1</v>
      </c>
      <c r="AR10" s="23">
        <f t="array" ref="AR10:AS11">IF(AG6&lt;&gt;0,1,0)</f>
        <v>1</v>
      </c>
      <c r="AS10" s="23">
        <v>1</v>
      </c>
      <c r="AT10" s="22">
        <f t="array" ref="AT10:AU11">IF($AQ$3="cba",1,0)</f>
        <v>1</v>
      </c>
      <c r="AU10" s="22">
        <v>1</v>
      </c>
      <c r="BH10" s="6"/>
    </row>
    <row r="11" spans="1:60" x14ac:dyDescent="0.3">
      <c r="B11" s="2" t="s">
        <v>1</v>
      </c>
      <c r="D11" s="2" t="s">
        <v>12</v>
      </c>
      <c r="E11" s="2">
        <v>8.0000000000000016E-2</v>
      </c>
      <c r="F11" s="2">
        <v>2.0000000000000004E-2</v>
      </c>
      <c r="G11" s="2">
        <v>0</v>
      </c>
      <c r="H11" s="2">
        <v>0</v>
      </c>
      <c r="I11" s="1">
        <v>0.4</v>
      </c>
      <c r="J11" s="1">
        <v>0.1</v>
      </c>
      <c r="P11" s="9">
        <v>0.4</v>
      </c>
      <c r="Q11" s="9">
        <v>0.1</v>
      </c>
      <c r="S11" s="21"/>
      <c r="T11" s="21"/>
      <c r="U11" s="20">
        <v>20</v>
      </c>
      <c r="AK11" s="2" t="s">
        <v>1</v>
      </c>
      <c r="AL11" s="23">
        <v>0</v>
      </c>
      <c r="AM11" s="23">
        <v>0</v>
      </c>
      <c r="AN11" s="22">
        <v>1</v>
      </c>
      <c r="AP11" s="23">
        <v>1</v>
      </c>
      <c r="AQ11" s="23">
        <v>1</v>
      </c>
      <c r="AR11" s="23">
        <v>1</v>
      </c>
      <c r="AS11" s="23">
        <v>1</v>
      </c>
      <c r="AT11" s="22">
        <v>1</v>
      </c>
      <c r="AU11" s="22">
        <v>1</v>
      </c>
      <c r="BH11" s="6"/>
    </row>
    <row r="13" spans="1:60" x14ac:dyDescent="0.3">
      <c r="C13" s="2" t="s">
        <v>57</v>
      </c>
      <c r="D13" s="2" t="s">
        <v>12</v>
      </c>
      <c r="E13" s="1">
        <v>0.1</v>
      </c>
      <c r="F13" s="1">
        <v>0.7</v>
      </c>
      <c r="G13" s="1">
        <v>0.1</v>
      </c>
      <c r="H13" s="1">
        <v>0.7</v>
      </c>
      <c r="I13" s="1">
        <v>0.1</v>
      </c>
      <c r="J13" s="1">
        <v>0.7</v>
      </c>
    </row>
    <row r="16" spans="1:60" x14ac:dyDescent="0.3">
      <c r="C16" s="2" t="s">
        <v>58</v>
      </c>
      <c r="D16" s="2" t="s">
        <v>13</v>
      </c>
      <c r="E16" s="4">
        <v>0.5</v>
      </c>
      <c r="F16" s="4">
        <v>0</v>
      </c>
      <c r="G16" s="4">
        <v>0.8</v>
      </c>
      <c r="H16" s="4">
        <v>0</v>
      </c>
      <c r="I16" s="4">
        <v>1</v>
      </c>
      <c r="J16" s="4">
        <v>0</v>
      </c>
    </row>
    <row r="17" spans="1:39" x14ac:dyDescent="0.3">
      <c r="C17" s="2" t="s">
        <v>59</v>
      </c>
      <c r="D17" s="2" t="s">
        <v>36</v>
      </c>
      <c r="E17" s="4">
        <f t="array" ref="E17:J17">MMULT(E16:J16,MINVERSE(_xlfn.MUNIT(6)-E6:J11))</f>
        <v>1.5817395382779882</v>
      </c>
      <c r="F17" s="4">
        <v>0.40659246778062086</v>
      </c>
      <c r="G17" s="4">
        <v>1.8995211668085259</v>
      </c>
      <c r="H17" s="4">
        <v>0.41496101699879195</v>
      </c>
      <c r="I17" s="4">
        <v>2.4324324324324325</v>
      </c>
      <c r="J17" s="4">
        <v>0.54054054054054057</v>
      </c>
    </row>
    <row r="18" spans="1:39" x14ac:dyDescent="0.3">
      <c r="C18" s="2" t="s">
        <v>59</v>
      </c>
      <c r="D18" s="2" t="s">
        <v>13</v>
      </c>
      <c r="E18" s="4">
        <f t="array" ref="E18:J18">E37:J37/TRANSPOSE(V24:V29)</f>
        <v>0.82173774070865768</v>
      </c>
      <c r="F18" s="4">
        <v>9.0851529373061679E-2</v>
      </c>
      <c r="G18" s="4">
        <v>0.75382905807458134</v>
      </c>
      <c r="H18" s="4">
        <v>6.2080895004406847E-2</v>
      </c>
      <c r="I18" s="4">
        <v>0.83340572373209054</v>
      </c>
      <c r="J18" s="4">
        <v>6.6290735613357771E-2</v>
      </c>
    </row>
    <row r="20" spans="1:39" x14ac:dyDescent="0.3">
      <c r="A20" s="2" t="s">
        <v>24</v>
      </c>
      <c r="AF20" s="3"/>
      <c r="AG20" s="3"/>
    </row>
    <row r="21" spans="1:39" x14ac:dyDescent="0.3">
      <c r="AA21" s="2" t="s">
        <v>68</v>
      </c>
      <c r="AH21" s="2" t="s">
        <v>69</v>
      </c>
    </row>
    <row r="22" spans="1:39" x14ac:dyDescent="0.3">
      <c r="A22" s="2" t="s">
        <v>8</v>
      </c>
      <c r="E22" s="2" t="s">
        <v>2</v>
      </c>
      <c r="G22" s="2" t="s">
        <v>3</v>
      </c>
      <c r="I22" s="2" t="s">
        <v>51</v>
      </c>
      <c r="L22" s="3" t="s">
        <v>2</v>
      </c>
      <c r="M22" s="3" t="s">
        <v>3</v>
      </c>
      <c r="N22" s="3" t="s">
        <v>51</v>
      </c>
      <c r="P22" s="3" t="s">
        <v>14</v>
      </c>
      <c r="R22" s="3" t="s">
        <v>2</v>
      </c>
      <c r="S22" s="3" t="s">
        <v>3</v>
      </c>
      <c r="T22" s="3" t="s">
        <v>51</v>
      </c>
      <c r="V22" s="3" t="s">
        <v>14</v>
      </c>
    </row>
    <row r="23" spans="1:39" x14ac:dyDescent="0.3">
      <c r="B23" s="2" t="s">
        <v>9</v>
      </c>
      <c r="D23" s="2" t="s">
        <v>10</v>
      </c>
      <c r="E23" s="3" t="s">
        <v>0</v>
      </c>
      <c r="F23" s="3" t="s">
        <v>1</v>
      </c>
      <c r="G23" s="3" t="s">
        <v>0</v>
      </c>
      <c r="H23" s="3" t="s">
        <v>1</v>
      </c>
      <c r="I23" s="3" t="s">
        <v>0</v>
      </c>
      <c r="J23" s="3" t="s">
        <v>1</v>
      </c>
      <c r="K23" s="3"/>
      <c r="L23" s="3" t="s">
        <v>4</v>
      </c>
      <c r="M23" s="3" t="s">
        <v>4</v>
      </c>
      <c r="N23" s="3" t="s">
        <v>4</v>
      </c>
      <c r="P23" s="3" t="s">
        <v>4</v>
      </c>
      <c r="R23" s="3" t="s">
        <v>6</v>
      </c>
      <c r="S23" s="3" t="s">
        <v>6</v>
      </c>
      <c r="T23" s="3" t="s">
        <v>6</v>
      </c>
      <c r="V23" s="3" t="s">
        <v>6</v>
      </c>
      <c r="AB23" s="2" t="s">
        <v>50</v>
      </c>
      <c r="AC23" s="3" t="s">
        <v>2</v>
      </c>
      <c r="AD23" s="3" t="s">
        <v>3</v>
      </c>
      <c r="AE23" s="3" t="s">
        <v>51</v>
      </c>
      <c r="AF23" s="3"/>
      <c r="AI23" s="2" t="s">
        <v>50</v>
      </c>
      <c r="AJ23" s="3" t="s">
        <v>2</v>
      </c>
      <c r="AK23" s="3" t="s">
        <v>3</v>
      </c>
      <c r="AL23" s="3" t="s">
        <v>51</v>
      </c>
      <c r="AM23" s="3"/>
    </row>
    <row r="24" spans="1:39" x14ac:dyDescent="0.3">
      <c r="A24" s="2" t="s">
        <v>2</v>
      </c>
      <c r="B24" s="2" t="s">
        <v>0</v>
      </c>
      <c r="D24" s="2" t="s">
        <v>15</v>
      </c>
      <c r="E24" s="5">
        <f t="array" ref="E24:J29">MMULT(E6:J11,V24:V29*_xlfn.MUNIT(6))</f>
        <v>40.42230100712203</v>
      </c>
      <c r="F24" s="5">
        <v>7.5185894016879526</v>
      </c>
      <c r="G24" s="6">
        <v>13.859065666865371</v>
      </c>
      <c r="H24" s="6">
        <v>2.9410472813980495</v>
      </c>
      <c r="I24" s="6">
        <v>0</v>
      </c>
      <c r="J24" s="6">
        <v>0</v>
      </c>
      <c r="L24" s="22">
        <f t="array" ref="L24:L25">S6:S7*Z5</f>
        <v>60.000000000000007</v>
      </c>
      <c r="M24" s="23">
        <f t="array" ref="M24:M25">T8:T9*AA5</f>
        <v>10</v>
      </c>
      <c r="N24" s="23">
        <f t="array" ref="N24:N25">U10:U11*AB5</f>
        <v>0</v>
      </c>
      <c r="P24" s="7">
        <f t="shared" ref="P24:P29" si="0">SUM(L24:N24)</f>
        <v>70</v>
      </c>
      <c r="R24" s="5">
        <f t="array" ref="R24:T29">MMULT(MINVERSE(_xlfn.MUNIT(6)-E6:J11),L24:N29)</f>
        <v>99.130925862014905</v>
      </c>
      <c r="S24" s="6">
        <v>35.610077495058519</v>
      </c>
      <c r="T24" s="6">
        <v>0</v>
      </c>
      <c r="V24" s="7">
        <f t="shared" ref="V24:V29" si="1">SUM(R24:T24)</f>
        <v>134.74100335707342</v>
      </c>
      <c r="AB24" s="2" t="s">
        <v>2</v>
      </c>
      <c r="AC24" s="5">
        <f t="array" ref="AC24:AE26">MMULT(TRANSPOSE(AL6:AN11),MMULT(E16:J16*_xlfn.MUNIT(6),R24:T29))</f>
        <v>49.565462931007453</v>
      </c>
      <c r="AD24" s="25">
        <v>17.80503874752926</v>
      </c>
      <c r="AE24" s="25">
        <v>0</v>
      </c>
      <c r="AF24" s="26">
        <f>SUM(AC24:AE24)</f>
        <v>67.370501678536712</v>
      </c>
      <c r="AI24" s="2" t="s">
        <v>2</v>
      </c>
      <c r="AJ24" s="5">
        <f t="array" ref="AJ24:AL26">MMULT(TRANSPOSE(AL6:AN11),MMULT(E13:J13*_xlfn.MUNIT(6),R24:T29))</f>
        <v>39.001976594609872</v>
      </c>
      <c r="AK24" s="25">
        <v>18.33056191761052</v>
      </c>
      <c r="AL24" s="25">
        <v>0</v>
      </c>
      <c r="AM24" s="26">
        <f>SUM(AJ24:AL24)</f>
        <v>57.332538512220395</v>
      </c>
    </row>
    <row r="25" spans="1:39" x14ac:dyDescent="0.3">
      <c r="B25" s="2" t="s">
        <v>1</v>
      </c>
      <c r="D25" s="2" t="s">
        <v>15</v>
      </c>
      <c r="E25" s="5">
        <v>32.337840805697631</v>
      </c>
      <c r="F25" s="5">
        <v>3.7592947008439763</v>
      </c>
      <c r="G25" s="6">
        <v>11.087252533492299</v>
      </c>
      <c r="H25" s="6">
        <v>1.4705236406990247</v>
      </c>
      <c r="I25" s="6">
        <v>0</v>
      </c>
      <c r="J25" s="6">
        <v>0</v>
      </c>
      <c r="L25" s="22">
        <v>12.000000000000002</v>
      </c>
      <c r="M25" s="23">
        <v>2</v>
      </c>
      <c r="N25" s="23">
        <v>0</v>
      </c>
      <c r="P25" s="7">
        <f t="shared" si="0"/>
        <v>14.000000000000002</v>
      </c>
      <c r="R25" s="5">
        <v>41.555548583440547</v>
      </c>
      <c r="S25" s="6">
        <v>21.099363097292382</v>
      </c>
      <c r="T25" s="6">
        <v>0</v>
      </c>
      <c r="V25" s="7">
        <f t="shared" si="1"/>
        <v>62.65491168073293</v>
      </c>
      <c r="AB25" s="2" t="s">
        <v>3</v>
      </c>
      <c r="AC25" s="6">
        <v>56.976123992093619</v>
      </c>
      <c r="AD25" s="5">
        <v>164.76892667775232</v>
      </c>
      <c r="AE25" s="6">
        <v>0</v>
      </c>
      <c r="AF25" s="26">
        <f>SUM(AC25:AE25)</f>
        <v>221.74505066984594</v>
      </c>
      <c r="AI25" s="2" t="s">
        <v>3</v>
      </c>
      <c r="AJ25" s="6">
        <v>36.661123835221041</v>
      </c>
      <c r="AK25" s="5">
        <v>93.993662347441415</v>
      </c>
      <c r="AL25" s="6">
        <v>0</v>
      </c>
      <c r="AM25" s="26">
        <f>SUM(AJ25:AL25)</f>
        <v>130.65478618266246</v>
      </c>
    </row>
    <row r="26" spans="1:39" x14ac:dyDescent="0.3">
      <c r="A26" s="2" t="s">
        <v>3</v>
      </c>
      <c r="B26" s="2" t="s">
        <v>0</v>
      </c>
      <c r="D26" s="2" t="s">
        <v>15</v>
      </c>
      <c r="E26" s="6">
        <v>13.474100335707343</v>
      </c>
      <c r="F26" s="6">
        <v>2.5061964672293175</v>
      </c>
      <c r="G26" s="5">
        <v>124.73159100178835</v>
      </c>
      <c r="H26" s="5">
        <v>26.469425532582441</v>
      </c>
      <c r="I26" s="6">
        <v>0</v>
      </c>
      <c r="J26" s="6">
        <v>0</v>
      </c>
      <c r="L26" s="23">
        <f t="array" ref="L26:L27">S6:S7*Z6</f>
        <v>20</v>
      </c>
      <c r="M26" s="22">
        <f t="array" ref="M26:M27">T8:T9*AA6</f>
        <v>90</v>
      </c>
      <c r="N26" s="23">
        <f t="array" ref="N26:N27">U10:U11*AB6</f>
        <v>0</v>
      </c>
      <c r="P26" s="7">
        <f t="shared" si="0"/>
        <v>110</v>
      </c>
      <c r="R26" s="6">
        <v>71.220154990117024</v>
      </c>
      <c r="S26" s="5">
        <v>205.96115834719038</v>
      </c>
      <c r="T26" s="6">
        <v>0</v>
      </c>
      <c r="V26" s="7">
        <f t="shared" si="1"/>
        <v>277.18131333730742</v>
      </c>
      <c r="AB26" s="2" t="s">
        <v>51</v>
      </c>
      <c r="AC26" s="6">
        <v>83.702973201922163</v>
      </c>
      <c r="AD26" s="6">
        <v>12.482818211805132</v>
      </c>
      <c r="AE26" s="5">
        <v>254.05405405405406</v>
      </c>
      <c r="AF26" s="26">
        <f>SUM(AC26:AE26)</f>
        <v>350.23984546778138</v>
      </c>
      <c r="AI26" s="2" t="s">
        <v>51</v>
      </c>
      <c r="AJ26" s="6">
        <v>44.336899570169116</v>
      </c>
      <c r="AK26" s="6">
        <v>7.6757757349480773</v>
      </c>
      <c r="AL26" s="5">
        <v>119.99999999999999</v>
      </c>
      <c r="AM26" s="26">
        <f>SUM(AJ26:AL26)</f>
        <v>172.01267530511717</v>
      </c>
    </row>
    <row r="27" spans="1:39" x14ac:dyDescent="0.3">
      <c r="B27" s="2" t="s">
        <v>1</v>
      </c>
      <c r="D27" s="2" t="s">
        <v>15</v>
      </c>
      <c r="E27" s="6">
        <v>10.779280268565875</v>
      </c>
      <c r="F27" s="6">
        <v>1.2530982336146588</v>
      </c>
      <c r="G27" s="5">
        <v>99.785272801430679</v>
      </c>
      <c r="H27" s="5">
        <v>13.234712766291221</v>
      </c>
      <c r="I27" s="6">
        <v>0</v>
      </c>
      <c r="J27" s="6">
        <v>0</v>
      </c>
      <c r="L27" s="23">
        <v>4</v>
      </c>
      <c r="M27" s="22">
        <v>18</v>
      </c>
      <c r="N27" s="23">
        <v>0</v>
      </c>
      <c r="P27" s="7">
        <f t="shared" si="0"/>
        <v>22</v>
      </c>
      <c r="R27" s="6">
        <v>42.198726194584772</v>
      </c>
      <c r="S27" s="5">
        <v>104.85363787531767</v>
      </c>
      <c r="T27" s="6">
        <v>0</v>
      </c>
      <c r="V27" s="7">
        <f t="shared" si="1"/>
        <v>147.05236406990244</v>
      </c>
      <c r="AC27" s="26">
        <f>SUM(AC24:AC26)</f>
        <v>190.24456012502324</v>
      </c>
      <c r="AD27" s="26">
        <f>SUM(AD24:AD26)</f>
        <v>195.05678363708671</v>
      </c>
      <c r="AE27" s="26">
        <f>SUM(AE24:AE26)</f>
        <v>254.05405405405406</v>
      </c>
      <c r="AJ27" s="26">
        <f>SUM(AJ24:AJ26)</f>
        <v>120.00000000000003</v>
      </c>
      <c r="AK27" s="26">
        <f>SUM(AK24:AK26)</f>
        <v>120.00000000000001</v>
      </c>
      <c r="AL27" s="26">
        <f>SUM(AL24:AL26)</f>
        <v>119.99999999999999</v>
      </c>
    </row>
    <row r="28" spans="1:39" x14ac:dyDescent="0.3">
      <c r="A28" s="2" t="s">
        <v>51</v>
      </c>
      <c r="B28" s="2" t="s">
        <v>0</v>
      </c>
      <c r="D28" s="2" t="s">
        <v>15</v>
      </c>
      <c r="E28" s="6">
        <v>13.474100335707343</v>
      </c>
      <c r="F28" s="6">
        <v>2.5061964672293175</v>
      </c>
      <c r="G28" s="6">
        <v>0</v>
      </c>
      <c r="H28" s="6">
        <v>0</v>
      </c>
      <c r="I28" s="5">
        <v>175.11992273389069</v>
      </c>
      <c r="J28" s="5">
        <v>39.139625930954018</v>
      </c>
      <c r="L28" s="23">
        <f t="array" ref="L28:L29">S6:S7*Z7</f>
        <v>20</v>
      </c>
      <c r="M28" s="23">
        <f t="array" ref="M28:M29">T8:T9*AA7</f>
        <v>0</v>
      </c>
      <c r="N28" s="22">
        <f t="array" ref="N28:N29">U10:U11*AB7</f>
        <v>100</v>
      </c>
      <c r="P28" s="7">
        <f t="shared" si="0"/>
        <v>120</v>
      </c>
      <c r="R28" s="6">
        <v>83.702973201922163</v>
      </c>
      <c r="S28" s="6">
        <v>12.482818211805132</v>
      </c>
      <c r="T28" s="5">
        <v>254.05405405405406</v>
      </c>
      <c r="V28" s="7">
        <f t="shared" si="1"/>
        <v>350.23984546778138</v>
      </c>
    </row>
    <row r="29" spans="1:39" x14ac:dyDescent="0.3">
      <c r="B29" s="2" t="s">
        <v>1</v>
      </c>
      <c r="D29" s="2" t="s">
        <v>15</v>
      </c>
      <c r="E29" s="6">
        <v>10.779280268565875</v>
      </c>
      <c r="F29" s="6">
        <v>1.2530982336146588</v>
      </c>
      <c r="G29" s="6">
        <v>0</v>
      </c>
      <c r="H29" s="6">
        <v>0</v>
      </c>
      <c r="I29" s="5">
        <v>140.09593818711255</v>
      </c>
      <c r="J29" s="5">
        <v>19.569812965477009</v>
      </c>
      <c r="L29" s="23">
        <v>4</v>
      </c>
      <c r="M29" s="23">
        <v>0</v>
      </c>
      <c r="N29" s="22">
        <v>20</v>
      </c>
      <c r="P29" s="7">
        <f t="shared" si="0"/>
        <v>24</v>
      </c>
      <c r="R29" s="6">
        <v>51.38086035710986</v>
      </c>
      <c r="S29" s="6">
        <v>9.1821341625250916</v>
      </c>
      <c r="T29" s="5">
        <v>135.13513513513513</v>
      </c>
      <c r="V29" s="7">
        <f t="shared" si="1"/>
        <v>195.69812965477007</v>
      </c>
      <c r="AC29" s="3" t="s">
        <v>2</v>
      </c>
      <c r="AD29" s="3" t="s">
        <v>3</v>
      </c>
      <c r="AE29" s="3" t="s">
        <v>51</v>
      </c>
      <c r="AJ29" s="3" t="s">
        <v>2</v>
      </c>
      <c r="AK29" s="3" t="s">
        <v>3</v>
      </c>
      <c r="AL29" s="3" t="s">
        <v>51</v>
      </c>
    </row>
    <row r="30" spans="1:39" x14ac:dyDescent="0.3">
      <c r="AB30" s="3" t="s">
        <v>66</v>
      </c>
      <c r="AC30" s="6">
        <f>AC24</f>
        <v>49.565462931007453</v>
      </c>
      <c r="AD30" s="6">
        <f>AD25</f>
        <v>164.76892667775232</v>
      </c>
      <c r="AE30" s="6">
        <f>AE26</f>
        <v>254.05405405405406</v>
      </c>
      <c r="AI30" s="3" t="s">
        <v>66</v>
      </c>
      <c r="AJ30" s="6">
        <f>AJ24</f>
        <v>39.001976594609872</v>
      </c>
      <c r="AK30" s="6">
        <f>AK25</f>
        <v>93.993662347441415</v>
      </c>
      <c r="AL30" s="6">
        <f>AL26</f>
        <v>119.99999999999999</v>
      </c>
    </row>
    <row r="31" spans="1:39" x14ac:dyDescent="0.3">
      <c r="B31" s="2" t="s">
        <v>7</v>
      </c>
      <c r="D31" s="2" t="s">
        <v>15</v>
      </c>
      <c r="E31" s="5">
        <f t="array" ref="E31:J31">MMULT(E13:J13,V24:V29*_xlfn.MUNIT(6))</f>
        <v>13.474100335707343</v>
      </c>
      <c r="F31" s="5">
        <v>43.858438176513047</v>
      </c>
      <c r="G31" s="5">
        <v>27.718131333730742</v>
      </c>
      <c r="H31" s="5">
        <v>102.9366548489317</v>
      </c>
      <c r="I31" s="5">
        <v>35.023984546778138</v>
      </c>
      <c r="J31" s="5">
        <v>136.98869075833903</v>
      </c>
      <c r="AB31" s="3" t="s">
        <v>67</v>
      </c>
      <c r="AC31" s="6">
        <f>-SUM(AC25:AC26)</f>
        <v>-140.67909719401578</v>
      </c>
      <c r="AD31" s="6">
        <f>-SUM(AD24,AD26)</f>
        <v>-30.287856959334391</v>
      </c>
      <c r="AE31" s="6">
        <f>-SUM(AE24:AE25)</f>
        <v>0</v>
      </c>
      <c r="AI31" s="3" t="s">
        <v>67</v>
      </c>
      <c r="AJ31" s="6">
        <f>-SUM(AJ25:AJ26)</f>
        <v>-80.998023405390157</v>
      </c>
      <c r="AK31" s="6">
        <f>-SUM(AK24,AK26)</f>
        <v>-26.006337652558599</v>
      </c>
      <c r="AL31" s="6">
        <f>-SUM(AL24:AL25)</f>
        <v>0</v>
      </c>
    </row>
    <row r="32" spans="1:39" x14ac:dyDescent="0.3">
      <c r="AA32" s="27"/>
      <c r="AB32" s="28" t="s">
        <v>65</v>
      </c>
      <c r="AC32" s="29">
        <f>SUM(AD24:AE24)</f>
        <v>17.80503874752926</v>
      </c>
      <c r="AD32" s="29">
        <f>SUM(AC25,AE25)</f>
        <v>56.976123992093619</v>
      </c>
      <c r="AE32" s="29">
        <f>SUM(AC26:AD26)</f>
        <v>96.185791413727287</v>
      </c>
      <c r="AH32" s="27"/>
      <c r="AI32" s="28" t="s">
        <v>65</v>
      </c>
      <c r="AJ32" s="29">
        <f>SUM(AK24:AL24)</f>
        <v>18.33056191761052</v>
      </c>
      <c r="AK32" s="29">
        <f>SUM(AJ25,AL25)</f>
        <v>36.661123835221041</v>
      </c>
      <c r="AL32" s="29">
        <f>SUM(AJ26:AK26)</f>
        <v>52.012675305117192</v>
      </c>
    </row>
    <row r="33" spans="2:38" x14ac:dyDescent="0.3">
      <c r="B33" s="2" t="s">
        <v>61</v>
      </c>
      <c r="D33" s="2" t="s">
        <v>15</v>
      </c>
      <c r="E33" s="5">
        <f t="array" ref="E33:J33">MMULT(MMULT(E16:J16,MMULT(AF5:AH5,TRANSPOSE(AL6:AN11))*_xlfn.MUNIT(6)),V24:V29*_xlfn.MUNIT(6))</f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AB33" s="3" t="s">
        <v>21</v>
      </c>
      <c r="AC33" s="6">
        <f>SUM(AC30:AC32)</f>
        <v>-73.308595515479055</v>
      </c>
      <c r="AD33" s="6">
        <f t="shared" ref="AD33:AE33" si="2">SUM(AD30:AD32)</f>
        <v>191.45719371051155</v>
      </c>
      <c r="AE33" s="6">
        <f t="shared" si="2"/>
        <v>350.23984546778138</v>
      </c>
      <c r="AI33" s="3" t="s">
        <v>21</v>
      </c>
      <c r="AJ33" s="6">
        <f>SUM(AJ30:AJ32)</f>
        <v>-23.665484893169765</v>
      </c>
      <c r="AK33" s="6">
        <f t="shared" ref="AK33:AL33" si="3">SUM(AK30:AK32)</f>
        <v>104.64844853010385</v>
      </c>
      <c r="AL33" s="6">
        <f t="shared" si="3"/>
        <v>172.01267530511717</v>
      </c>
    </row>
    <row r="34" spans="2:38" x14ac:dyDescent="0.3">
      <c r="B34" s="2" t="s">
        <v>62</v>
      </c>
      <c r="D34" s="2" t="s">
        <v>15</v>
      </c>
      <c r="AG34" s="3"/>
    </row>
    <row r="36" spans="2:38" x14ac:dyDescent="0.3">
      <c r="B36" s="2" t="s">
        <v>18</v>
      </c>
      <c r="D36" s="2" t="s">
        <v>16</v>
      </c>
      <c r="E36" s="5">
        <f t="array" ref="E36:J36">MMULT(E16:J16,V24:V29*_xlfn.MUNIT(6))</f>
        <v>67.370501678536712</v>
      </c>
      <c r="F36" s="5">
        <v>0</v>
      </c>
      <c r="G36" s="5">
        <v>221.74505066984594</v>
      </c>
      <c r="H36" s="5">
        <v>0</v>
      </c>
      <c r="I36" s="5">
        <v>350.23984546778138</v>
      </c>
      <c r="J36" s="5">
        <v>0</v>
      </c>
      <c r="L36" s="12" t="s">
        <v>35</v>
      </c>
      <c r="M36" s="12" t="s">
        <v>35</v>
      </c>
      <c r="N36" s="12" t="s">
        <v>35</v>
      </c>
    </row>
    <row r="37" spans="2:38" x14ac:dyDescent="0.3">
      <c r="B37" s="2" t="s">
        <v>64</v>
      </c>
      <c r="D37" s="2" t="s">
        <v>16</v>
      </c>
      <c r="E37" s="5">
        <f t="array" ref="E37:J37">MMULT(E17:J17,P24:P29*_xlfn.MUNIT(6))</f>
        <v>110.72176767945918</v>
      </c>
      <c r="F37" s="5">
        <v>5.6922945489286931</v>
      </c>
      <c r="G37" s="5">
        <v>208.94732834893784</v>
      </c>
      <c r="H37" s="5">
        <v>9.1291423739734228</v>
      </c>
      <c r="I37" s="5">
        <v>291.89189189189187</v>
      </c>
      <c r="J37" s="5">
        <v>12.972972972972974</v>
      </c>
    </row>
    <row r="40" spans="2:38" x14ac:dyDescent="0.3">
      <c r="B40" s="2" t="s">
        <v>78</v>
      </c>
      <c r="E40" s="2" t="s">
        <v>82</v>
      </c>
    </row>
    <row r="41" spans="2:38" x14ac:dyDescent="0.3">
      <c r="B41" s="2" t="s">
        <v>70</v>
      </c>
      <c r="D41" s="2" t="s">
        <v>71</v>
      </c>
      <c r="E41" s="40">
        <v>2.5817394999999999</v>
      </c>
      <c r="F41" s="40">
        <v>1.4065924999999999</v>
      </c>
      <c r="G41" s="40">
        <v>2.8995212000000001</v>
      </c>
      <c r="H41" s="40">
        <v>1.4149609999999999</v>
      </c>
      <c r="I41" s="40">
        <v>3.4324324000000002</v>
      </c>
      <c r="J41" s="40">
        <v>1.5405405000000001</v>
      </c>
    </row>
    <row r="42" spans="2:38" x14ac:dyDescent="0.3">
      <c r="B42" s="2" t="s">
        <v>22</v>
      </c>
      <c r="D42" s="2" t="s">
        <v>12</v>
      </c>
      <c r="E42" s="32">
        <f t="array" ref="E42:J42">MMULT(E41:J41,E6:J11)</f>
        <v>1.9817395300000005</v>
      </c>
      <c r="F42" s="32">
        <v>0.70659246399999998</v>
      </c>
      <c r="G42" s="32">
        <v>1.9995211749999999</v>
      </c>
      <c r="H42" s="32">
        <v>0.71496102100000003</v>
      </c>
      <c r="I42" s="32">
        <v>2.3324324000000001</v>
      </c>
      <c r="J42" s="32">
        <v>0.84054053000000017</v>
      </c>
    </row>
    <row r="43" spans="2:38" x14ac:dyDescent="0.3">
      <c r="B43" s="2" t="s">
        <v>5</v>
      </c>
      <c r="D43" s="2" t="s">
        <v>12</v>
      </c>
      <c r="E43" s="33">
        <f t="array" ref="E43:J43">E13:J13</f>
        <v>0.1</v>
      </c>
      <c r="F43" s="33">
        <v>0.7</v>
      </c>
      <c r="G43" s="33">
        <v>0.1</v>
      </c>
      <c r="H43" s="33">
        <v>0.7</v>
      </c>
      <c r="I43" s="33">
        <v>0.1</v>
      </c>
      <c r="J43" s="33">
        <v>0.7</v>
      </c>
    </row>
    <row r="44" spans="2:38" x14ac:dyDescent="0.3">
      <c r="B44" s="30" t="s">
        <v>76</v>
      </c>
      <c r="D44" s="2" t="s">
        <v>12</v>
      </c>
      <c r="E44" s="32">
        <f t="array" ref="E44:J44">MMULT(E16:J16,MMULT(AF5:AH5,TRANSPOSE(AL6:AN11))*_xlfn.MUNIT(6))</f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</row>
    <row r="45" spans="2:38" x14ac:dyDescent="0.3">
      <c r="B45" s="30" t="s">
        <v>89</v>
      </c>
      <c r="D45" s="2" t="s">
        <v>12</v>
      </c>
      <c r="E45" s="33">
        <f t="array" ref="E45:J45">MMULT(MMULT(AP4:AU4,MMULT(AF6:AH6,TRANSPOSE(AL6:AN11))*AP6:AU11*TRANSPOSE(E16:J16)*MINVERSE(_xlfn.MUNIT(6)-E6:J11)),_xlfn.MUNIT(6)-E6:J11)</f>
        <v>0.5</v>
      </c>
      <c r="F45" s="33">
        <v>-1.5612511283791264E-17</v>
      </c>
      <c r="G45" s="33">
        <v>0.79999999999999993</v>
      </c>
      <c r="H45" s="33">
        <v>-5.5511151231257827E-17</v>
      </c>
      <c r="I45" s="33">
        <v>1</v>
      </c>
      <c r="J45" s="33">
        <v>0</v>
      </c>
    </row>
    <row r="46" spans="2:38" x14ac:dyDescent="0.3">
      <c r="E46" s="17">
        <f>E41-SUM(E42:E45)</f>
        <v>-3.0000000705854291E-8</v>
      </c>
      <c r="F46" s="17">
        <f t="shared" ref="F46:J46" si="4">F41-SUM(F42:F45)</f>
        <v>3.5999999870028887E-8</v>
      </c>
      <c r="G46" s="17">
        <f t="shared" si="4"/>
        <v>2.5000000292152436E-8</v>
      </c>
      <c r="H46" s="17">
        <f t="shared" si="4"/>
        <v>-2.0999999961190952E-8</v>
      </c>
      <c r="I46" s="17">
        <f t="shared" si="4"/>
        <v>0</v>
      </c>
      <c r="J46" s="17">
        <f t="shared" si="4"/>
        <v>-3.0000000039720476E-8</v>
      </c>
    </row>
    <row r="47" spans="2:38" x14ac:dyDescent="0.3">
      <c r="E47" s="17"/>
      <c r="F47" s="17"/>
      <c r="G47" s="17"/>
      <c r="H47" s="17"/>
      <c r="I47" s="17"/>
      <c r="J47" s="17"/>
    </row>
    <row r="48" spans="2:38" x14ac:dyDescent="0.3">
      <c r="B48" s="2" t="s">
        <v>79</v>
      </c>
      <c r="E48" s="2" t="s">
        <v>83</v>
      </c>
      <c r="AA48" s="2" t="s">
        <v>84</v>
      </c>
      <c r="AF48" s="3"/>
      <c r="AG48" s="3"/>
    </row>
    <row r="49" spans="2:34" x14ac:dyDescent="0.3">
      <c r="B49" s="2" t="s">
        <v>70</v>
      </c>
      <c r="D49" s="2" t="s">
        <v>71</v>
      </c>
      <c r="E49" s="40">
        <f>SUM(E50:E52)</f>
        <v>2.5817395382779882</v>
      </c>
      <c r="F49" s="40">
        <f t="shared" ref="F49:J49" si="5">SUM(F50:F52)</f>
        <v>1.4065924677806207</v>
      </c>
      <c r="G49" s="40">
        <f t="shared" si="5"/>
        <v>2.8995211668085261</v>
      </c>
      <c r="H49" s="40">
        <f t="shared" si="5"/>
        <v>1.4149610169987921</v>
      </c>
      <c r="I49" s="40">
        <f t="shared" si="5"/>
        <v>3.4324324324324325</v>
      </c>
      <c r="J49" s="40">
        <f t="shared" si="5"/>
        <v>1.5405405405405403</v>
      </c>
      <c r="AF49" s="3"/>
      <c r="AG49" s="3"/>
    </row>
    <row r="50" spans="2:34" x14ac:dyDescent="0.3">
      <c r="B50" s="2" t="s">
        <v>77</v>
      </c>
      <c r="D50" s="2" t="s">
        <v>71</v>
      </c>
      <c r="E50" s="2">
        <f t="array" ref="E50:J50">MMULT(E13:J13,MINVERSE(_xlfn.MUNIT(6)-E6:J11))</f>
        <v>1.0000000000000002</v>
      </c>
      <c r="F50" s="2">
        <v>1</v>
      </c>
      <c r="G50" s="2">
        <v>1</v>
      </c>
      <c r="H50" s="2">
        <v>1</v>
      </c>
      <c r="I50" s="2">
        <v>1</v>
      </c>
      <c r="J50" s="2">
        <v>0.99999999999999989</v>
      </c>
      <c r="AC50" s="35"/>
      <c r="AD50" s="2" t="s">
        <v>86</v>
      </c>
      <c r="AF50" s="3"/>
      <c r="AG50" s="3"/>
    </row>
    <row r="51" spans="2:34" x14ac:dyDescent="0.3">
      <c r="B51" s="2" t="s">
        <v>80</v>
      </c>
      <c r="D51" s="2" t="s">
        <v>71</v>
      </c>
      <c r="E51" s="2">
        <f t="array" ref="E51:J51">MMULT(MMULT(E16:J16,MMULT(AF5:AH5,TRANSPOSE(AL6:AN11))*_xlfn.MUNIT(6)),MINVERSE(_xlfn.MUNIT(6)-E6:J11))</f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AC51" s="35"/>
      <c r="AD51" s="3" t="s">
        <v>2</v>
      </c>
      <c r="AF51" s="3" t="s">
        <v>3</v>
      </c>
      <c r="AH51" s="3" t="s">
        <v>51</v>
      </c>
    </row>
    <row r="52" spans="2:34" x14ac:dyDescent="0.3">
      <c r="B52" s="2" t="s">
        <v>81</v>
      </c>
      <c r="D52" s="2" t="s">
        <v>71</v>
      </c>
      <c r="E52" s="2">
        <f t="array" ref="E52:J52">MMULT(AP4:AU4,MMULT(AF6:AH6,TRANSPOSE(AL6:AN11))*AP6:AU11*TRANSPOSE(E16:J16)*MINVERSE(_xlfn.MUNIT(6)-E6:J11))</f>
        <v>1.5817395382779882</v>
      </c>
      <c r="F52" s="2">
        <v>0.40659246778062086</v>
      </c>
      <c r="G52" s="2">
        <v>1.8995211668085259</v>
      </c>
      <c r="H52" s="2">
        <v>0.41496101699879195</v>
      </c>
      <c r="I52" s="2">
        <v>2.4324324324324325</v>
      </c>
      <c r="J52" s="2">
        <v>0.54054054054054057</v>
      </c>
      <c r="AA52" s="34" t="s">
        <v>85</v>
      </c>
      <c r="AB52" s="34" t="s">
        <v>2</v>
      </c>
      <c r="AC52" s="36" t="s">
        <v>0</v>
      </c>
      <c r="AD52" s="37">
        <f t="array" ref="AD52:AD53">TRANSPOSE(E49:F49)</f>
        <v>2.5817395382779882</v>
      </c>
      <c r="AE52" s="34"/>
      <c r="AF52" s="39">
        <f t="array" ref="AF52:AF53">(AD52:AD53-AF55:AF56)/AF55:AF56</f>
        <v>-0.10959796816393549</v>
      </c>
      <c r="AG52" s="34"/>
      <c r="AH52" s="39">
        <f t="array" ref="AH52:AH53">(AD52:AD53-AH58:AH59)/AH58:AH59</f>
        <v>-0.24783966207649163</v>
      </c>
    </row>
    <row r="53" spans="2:34" x14ac:dyDescent="0.3">
      <c r="AC53" s="35" t="s">
        <v>1</v>
      </c>
      <c r="AD53" s="24">
        <v>1.4065924677806207</v>
      </c>
      <c r="AF53" s="38">
        <v>-5.9143319975849635E-3</v>
      </c>
      <c r="AH53" s="38">
        <v>-8.694874898450923E-2</v>
      </c>
    </row>
    <row r="54" spans="2:34" x14ac:dyDescent="0.3">
      <c r="B54" s="41" t="s">
        <v>88</v>
      </c>
      <c r="C54" s="41"/>
      <c r="D54" s="41" t="s">
        <v>71</v>
      </c>
      <c r="E54" s="41">
        <f t="array" ref="E54:J54">MMULT(AF6:AH6,TRANSPOSE(AL6:AN11))*E17:J17</f>
        <v>1.5817395382779882</v>
      </c>
      <c r="F54" s="41">
        <v>0.40659246778062086</v>
      </c>
      <c r="G54" s="41">
        <v>1.8995211668085259</v>
      </c>
      <c r="H54" s="41">
        <v>0.41496101699879195</v>
      </c>
      <c r="I54" s="41">
        <v>2.4324324324324325</v>
      </c>
      <c r="J54" s="41">
        <v>0.54054054054054057</v>
      </c>
      <c r="AC54" s="35"/>
    </row>
    <row r="55" spans="2:34" x14ac:dyDescent="0.3">
      <c r="B55" s="41" t="s">
        <v>91</v>
      </c>
      <c r="D55" s="41" t="s">
        <v>71</v>
      </c>
      <c r="E55" s="41">
        <f t="array" ref="E55:J55">MMULT(AP4:AU4,MMULT(AF6:AH6,TRANSPOSE(AL6:AN11))*AP6:AU11*TRANSPOSE(E16:J16)*MINVERSE(_xlfn.MUNIT(6)-E6:J11))</f>
        <v>1.5817395382779882</v>
      </c>
      <c r="F55" s="41">
        <v>0.40659246778062086</v>
      </c>
      <c r="G55" s="41">
        <v>1.8995211668085259</v>
      </c>
      <c r="H55" s="41">
        <v>0.41496101699879195</v>
      </c>
      <c r="I55" s="41">
        <v>2.4324324324324325</v>
      </c>
      <c r="J55" s="41">
        <v>0.54054054054054057</v>
      </c>
      <c r="AB55" s="2" t="s">
        <v>3</v>
      </c>
      <c r="AC55" s="35" t="s">
        <v>0</v>
      </c>
      <c r="AD55" s="38">
        <f t="array" ref="AD55:AD56">(AF55:AF56-AD52:AD53)/AD52:AD53</f>
        <v>0.12308818291658392</v>
      </c>
      <c r="AF55" s="24">
        <f t="array" ref="AF55:AF56">TRANSPOSE(G49:H49)</f>
        <v>2.8995211668085261</v>
      </c>
      <c r="AH55" s="38">
        <f t="array" ref="AH55:AH56">(AF55:AF56-AH58:AH59)/AH58:AH59</f>
        <v>-0.15525761281956327</v>
      </c>
    </row>
    <row r="56" spans="2:34" x14ac:dyDescent="0.3">
      <c r="B56" s="41" t="s">
        <v>90</v>
      </c>
      <c r="C56" s="41"/>
      <c r="D56" s="41" t="s">
        <v>71</v>
      </c>
      <c r="E56" s="41">
        <f t="array" ref="E56:J56">MMULT(E18:J18*MMULT(AF6:AH6,TRANSPOSE(AL6:AN11)),MINVERSE(_xlfn.MUNIT(6)-E6:J11))</f>
        <v>2.0571742889085942</v>
      </c>
      <c r="F56" s="41">
        <v>0.55264601623972776</v>
      </c>
      <c r="G56" s="41">
        <v>1.9252983491497071</v>
      </c>
      <c r="H56" s="41">
        <v>0.50033466350760814</v>
      </c>
      <c r="I56" s="41">
        <v>2.0988687719033097</v>
      </c>
      <c r="J56" s="41">
        <v>0.54007165554891079</v>
      </c>
      <c r="AC56" s="35" t="s">
        <v>1</v>
      </c>
      <c r="AD56" s="38">
        <v>5.9495194307243498E-3</v>
      </c>
      <c r="AF56" s="24">
        <v>1.4149610169987921</v>
      </c>
      <c r="AH56" s="38">
        <v>-8.1516532825345392E-2</v>
      </c>
    </row>
    <row r="57" spans="2:34" x14ac:dyDescent="0.3">
      <c r="AC57" s="35"/>
    </row>
    <row r="58" spans="2:34" x14ac:dyDescent="0.3">
      <c r="AB58" s="2" t="s">
        <v>51</v>
      </c>
      <c r="AC58" s="35" t="s">
        <v>0</v>
      </c>
      <c r="AD58" s="38">
        <f t="array" ref="AD58:AD59">(AH58:AH59-AD52:AD53)/AD52:AD53</f>
        <v>0.32950376346711319</v>
      </c>
      <c r="AF58" s="38">
        <f t="array" ref="AF58:AF59">(AH58:AH59-AF55:AF56)/AF55:AF56</f>
        <v>0.1837928523248121</v>
      </c>
      <c r="AH58" s="24">
        <f t="array" ref="AH58:AH59">TRANSPOSE(I49:J49)</f>
        <v>3.4324324324324325</v>
      </c>
    </row>
    <row r="59" spans="2:34" x14ac:dyDescent="0.3">
      <c r="E59" s="2" t="s">
        <v>72</v>
      </c>
      <c r="AC59" s="35" t="s">
        <v>1</v>
      </c>
      <c r="AD59" s="38">
        <v>9.5228771536981394E-2</v>
      </c>
      <c r="AF59" s="38">
        <v>8.8751224968804554E-2</v>
      </c>
      <c r="AH59" s="24">
        <v>1.5405405405405403</v>
      </c>
    </row>
    <row r="61" spans="2:34" x14ac:dyDescent="0.3">
      <c r="E61" s="2" t="s">
        <v>73</v>
      </c>
    </row>
    <row r="62" spans="2:34" x14ac:dyDescent="0.3">
      <c r="E62" s="2">
        <f t="array" ref="E62:J62">MMULT(AF6:AH6,TRANSPOSE(AL6:AN11))</f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</row>
    <row r="64" spans="2:34" x14ac:dyDescent="0.3">
      <c r="E64" s="2">
        <f t="array" ref="E64:J69">E62:J62*AP6:AU11*TRANSPOSE(E16:J16)</f>
        <v>0.5</v>
      </c>
      <c r="F64" s="2">
        <v>0.5</v>
      </c>
      <c r="G64" s="2">
        <v>0.5</v>
      </c>
      <c r="H64" s="2">
        <v>0.5</v>
      </c>
      <c r="I64" s="2">
        <v>0.5</v>
      </c>
      <c r="J64" s="2">
        <v>0.5</v>
      </c>
    </row>
    <row r="65" spans="5:10" x14ac:dyDescent="0.3"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5:10" x14ac:dyDescent="0.3">
      <c r="E66" s="2">
        <v>0.8</v>
      </c>
      <c r="F66" s="2">
        <v>0.8</v>
      </c>
      <c r="G66" s="2">
        <v>0.8</v>
      </c>
      <c r="H66" s="2">
        <v>0.8</v>
      </c>
      <c r="I66" s="2">
        <v>0.8</v>
      </c>
      <c r="J66" s="2">
        <v>0.8</v>
      </c>
    </row>
    <row r="67" spans="5:10" x14ac:dyDescent="0.3"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5:10" x14ac:dyDescent="0.3"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</row>
    <row r="69" spans="5:10" x14ac:dyDescent="0.3"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1" spans="5:10" x14ac:dyDescent="0.3">
      <c r="E71" s="2" t="s">
        <v>74</v>
      </c>
    </row>
    <row r="72" spans="5:10" x14ac:dyDescent="0.3">
      <c r="E72" s="2">
        <f t="array" ref="E72:J77">MINVERSE(_xlfn.MUNIT(6)-E6:J11)</f>
        <v>1.5374418666389931</v>
      </c>
      <c r="F72" s="2">
        <v>0.20661929918981353</v>
      </c>
      <c r="G72" s="2">
        <v>0.2049299020873708</v>
      </c>
      <c r="H72" s="2">
        <v>7.6596057912532697E-2</v>
      </c>
      <c r="I72" s="2">
        <v>0</v>
      </c>
      <c r="J72" s="2">
        <v>0</v>
      </c>
    </row>
    <row r="73" spans="5:10" x14ac:dyDescent="0.3">
      <c r="E73" s="2">
        <v>0.41323859837962701</v>
      </c>
      <c r="F73" s="2">
        <v>1.1242032682593661</v>
      </c>
      <c r="G73" s="2">
        <v>0.15319211582506537</v>
      </c>
      <c r="H73" s="2">
        <v>5.173778626230547E-2</v>
      </c>
      <c r="I73" s="2">
        <v>0</v>
      </c>
      <c r="J73" s="2">
        <v>0</v>
      </c>
    </row>
    <row r="74" spans="5:10" x14ac:dyDescent="0.3">
      <c r="E74" s="2">
        <v>0.40985980417474166</v>
      </c>
      <c r="F74" s="2">
        <v>0.15319211582506534</v>
      </c>
      <c r="G74" s="2">
        <v>2.1522315729011048</v>
      </c>
      <c r="H74" s="2">
        <v>0.43640747292741144</v>
      </c>
      <c r="I74" s="2">
        <v>0</v>
      </c>
      <c r="J74" s="2">
        <v>0</v>
      </c>
    </row>
    <row r="75" spans="5:10" x14ac:dyDescent="0.3">
      <c r="E75" s="2">
        <v>0.30638423165013079</v>
      </c>
      <c r="F75" s="2">
        <v>0.10347557252461093</v>
      </c>
      <c r="G75" s="2">
        <v>0.87281494585482289</v>
      </c>
      <c r="H75" s="2">
        <v>1.2794166270462823</v>
      </c>
      <c r="I75" s="2">
        <v>0</v>
      </c>
      <c r="J75" s="2">
        <v>0</v>
      </c>
    </row>
    <row r="76" spans="5:10" x14ac:dyDescent="0.3">
      <c r="E76" s="2">
        <v>0.48513076161869823</v>
      </c>
      <c r="F76" s="2">
        <v>0.18072912552566181</v>
      </c>
      <c r="G76" s="2">
        <v>7.5270957443956538E-2</v>
      </c>
      <c r="H76" s="2">
        <v>2.753700970059645E-2</v>
      </c>
      <c r="I76" s="2">
        <v>2.4324324324324325</v>
      </c>
      <c r="J76" s="2">
        <v>0.54054054054054057</v>
      </c>
    </row>
    <row r="77" spans="5:10" x14ac:dyDescent="0.3">
      <c r="E77" s="2">
        <v>0.36145825105132368</v>
      </c>
      <c r="F77" s="2">
        <v>0.12367251056737459</v>
      </c>
      <c r="G77" s="2">
        <v>5.5074019401192879E-2</v>
      </c>
      <c r="H77" s="2">
        <v>2.0196938042763676E-2</v>
      </c>
      <c r="I77" s="2">
        <v>1.0810810810810811</v>
      </c>
      <c r="J77" s="2">
        <v>1.3513513513513513</v>
      </c>
    </row>
    <row r="79" spans="5:10" x14ac:dyDescent="0.3">
      <c r="E79" s="2" t="s">
        <v>75</v>
      </c>
    </row>
    <row r="80" spans="5:10" x14ac:dyDescent="0.3">
      <c r="E80" s="2">
        <f t="array" ref="E80:J85">E64:J69*E72:J77</f>
        <v>0.76872093331949654</v>
      </c>
      <c r="F80" s="2">
        <v>0.10330964959490677</v>
      </c>
      <c r="G80" s="2">
        <v>0.1024649510436854</v>
      </c>
      <c r="H80" s="2">
        <v>3.8298028956266349E-2</v>
      </c>
      <c r="I80" s="2">
        <v>0</v>
      </c>
      <c r="J80" s="2">
        <v>0</v>
      </c>
    </row>
    <row r="81" spans="5:10" x14ac:dyDescent="0.3"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5:10" x14ac:dyDescent="0.3">
      <c r="E82" s="2">
        <v>0.32788784333979337</v>
      </c>
      <c r="F82" s="2">
        <v>0.12255369266005228</v>
      </c>
      <c r="G82" s="2">
        <v>1.7217852583208839</v>
      </c>
      <c r="H82" s="2">
        <v>0.34912597834192916</v>
      </c>
      <c r="I82" s="2">
        <v>0</v>
      </c>
      <c r="J82" s="2">
        <v>0</v>
      </c>
    </row>
    <row r="83" spans="5:10" x14ac:dyDescent="0.3"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5:10" x14ac:dyDescent="0.3">
      <c r="E84" s="2">
        <v>0.48513076161869823</v>
      </c>
      <c r="F84" s="2">
        <v>0.18072912552566181</v>
      </c>
      <c r="G84" s="2">
        <v>7.5270957443956538E-2</v>
      </c>
      <c r="H84" s="2">
        <v>2.753700970059645E-2</v>
      </c>
      <c r="I84" s="2">
        <v>2.4324324324324325</v>
      </c>
      <c r="J84" s="2">
        <v>0.54054054054054057</v>
      </c>
    </row>
    <row r="85" spans="5:10" x14ac:dyDescent="0.3"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Foglio1</vt:lpstr>
      <vt:lpstr>Foglio1 (2)</vt:lpstr>
      <vt:lpstr>c_tax_production</vt:lpstr>
      <vt:lpstr>c_tax_production (2)_deprecated</vt:lpstr>
      <vt:lpstr>c_tax_production_final</vt:lpstr>
      <vt:lpstr>c_tax_production (4)</vt:lpstr>
      <vt:lpstr>c_tax_production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Lorenzo Rinaldi</cp:lastModifiedBy>
  <dcterms:created xsi:type="dcterms:W3CDTF">2021-11-11T13:04:49Z</dcterms:created>
  <dcterms:modified xsi:type="dcterms:W3CDTF">2022-07-01T14:45:09Z</dcterms:modified>
</cp:coreProperties>
</file>