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5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16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m\Documents\GitHub\ESM-Italy\concepts\"/>
    </mc:Choice>
  </mc:AlternateContent>
  <xr:revisionPtr revIDLastSave="0" documentId="13_ncr:1_{7E2D1606-B4B3-45D8-A836-66F877059155}" xr6:coauthVersionLast="47" xr6:coauthVersionMax="47" xr10:uidLastSave="{00000000-0000-0000-0000-000000000000}"/>
  <bookViews>
    <workbookView xWindow="-108" yWindow="-108" windowWidth="23256" windowHeight="12456" tabRatio="887" firstSheet="30" activeTab="37" xr2:uid="{733323CC-DD6E-4C5A-B506-953B855ACB18}"/>
  </bookViews>
  <sheets>
    <sheet name="by-products" sheetId="9" r:id="rId1"/>
    <sheet name="by-products_a-c" sheetId="11" r:id="rId2"/>
    <sheet name="blending" sheetId="10" r:id="rId3"/>
    <sheet name="distribution" sheetId="3" r:id="rId4"/>
    <sheet name="trades_1r-3p" sheetId="14" r:id="rId5"/>
    <sheet name="trades_3r-1p" sheetId="13" r:id="rId6"/>
    <sheet name="trades_mr(sim)_IOT DEPRECATED" sheetId="20" state="hidden" r:id="rId7"/>
    <sheet name="trades_mr(sim)_IOT_2 DEPRECATED" sheetId="22" state="hidden" r:id="rId8"/>
    <sheet name="trades_2r-2p" sheetId="16" r:id="rId9"/>
    <sheet name="emissions_DEPRECATED" sheetId="12" state="hidden" r:id="rId10"/>
    <sheet name="time_h_1r-3p_DEPRECATED" sheetId="18" state="hidden" r:id="rId11"/>
    <sheet name="trades_2r-2p_2problems" sheetId="64" r:id="rId12"/>
    <sheet name="emissions_1r-3p" sheetId="36" r:id="rId13"/>
    <sheet name="emissions_1r-3p_blending" sheetId="63" r:id="rId14"/>
    <sheet name="emissions_1r-3p_tax" sheetId="53" r:id="rId15"/>
    <sheet name="emissions_1r-3p_bioV1" sheetId="60" state="hidden" r:id="rId16"/>
    <sheet name="emissions_1r-3p_bioV2" sheetId="61" r:id="rId17"/>
    <sheet name="emissions_1r-3p_dual" sheetId="58" r:id="rId18"/>
    <sheet name="emissions_2r-3p" sheetId="37" r:id="rId19"/>
    <sheet name="time_h_general_supCurves" sheetId="45" state="hidden" r:id="rId20"/>
    <sheet name="time_h_general" sheetId="51" r:id="rId21"/>
    <sheet name="time_h_1r-3p" sheetId="26" r:id="rId22"/>
    <sheet name="time_h_2r-2p" sheetId="24" r:id="rId23"/>
    <sheet name="time_y_1r" sheetId="38" r:id="rId24"/>
    <sheet name="time_hy_1r-1p" sheetId="52" r:id="rId25"/>
    <sheet name="time_h_1r-3p_storage_c-d_DEP" sheetId="39" state="hidden" r:id="rId26"/>
    <sheet name="storage1_1r-1p" sheetId="40" r:id="rId27"/>
    <sheet name="storage2_1r-1p-st2_DEPRECATED" sheetId="41" state="hidden" r:id="rId28"/>
    <sheet name="storage2_1r-2p" sheetId="42" r:id="rId29"/>
    <sheet name="storage2_1r-2p_TEST" sheetId="62" r:id="rId30"/>
    <sheet name="storage3_1r-4p" sheetId="44" r:id="rId31"/>
    <sheet name="economics_base" sheetId="55" r:id="rId32"/>
    <sheet name="economics_base (2)" sheetId="56" r:id="rId33"/>
    <sheet name="economics_y20_capNew" sheetId="48" r:id="rId34"/>
    <sheet name="economics_y15_DEPR" sheetId="54" state="hidden" r:id="rId35"/>
    <sheet name="economics_y20_delay T" sheetId="66" r:id="rId36"/>
    <sheet name="economics_y20_delay T (2)" sheetId="67" r:id="rId37"/>
    <sheet name="economics_y20 (2)" sheetId="57" r:id="rId38"/>
    <sheet name="balances_alleq" sheetId="49" r:id="rId39"/>
    <sheet name="balances_sim_q" sheetId="50" r:id="rId40"/>
    <sheet name="emissions_1r-3p_primal" sheetId="59" r:id="rId41"/>
    <sheet name="DB_tot-coeff _SRIO_FULL_DPC" sheetId="32" state="hidden" r:id="rId42"/>
    <sheet name="iot_first-attempt" sheetId="29" state="hidden" r:id="rId43"/>
  </sheets>
  <definedNames>
    <definedName name="OpenSolver_ChosenSolver" localSheetId="38" hidden="1">CBC</definedName>
    <definedName name="OpenSolver_ChosenSolver" localSheetId="39" hidden="1">CBC</definedName>
    <definedName name="OpenSolver_ChosenSolver" localSheetId="2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31" hidden="1">CBC</definedName>
    <definedName name="OpenSolver_ChosenSolver" localSheetId="32" hidden="1">CBC</definedName>
    <definedName name="OpenSolver_ChosenSolver" localSheetId="34" hidden="1">Gurobi</definedName>
    <definedName name="OpenSolver_ChosenSolver" localSheetId="37" hidden="1">CBC</definedName>
    <definedName name="OpenSolver_ChosenSolver" localSheetId="33" hidden="1">Gurobi</definedName>
    <definedName name="OpenSolver_ChosenSolver" localSheetId="12" hidden="1">CBC</definedName>
    <definedName name="OpenSolver_ChosenSolver" localSheetId="15" hidden="1">CBC</definedName>
    <definedName name="OpenSolver_ChosenSolver" localSheetId="16" hidden="1">CBC</definedName>
    <definedName name="OpenSolver_ChosenSolver" localSheetId="13" hidden="1">CBC</definedName>
    <definedName name="OpenSolver_ChosenSolver" localSheetId="17" hidden="1">CBC</definedName>
    <definedName name="OpenSolver_ChosenSolver" localSheetId="40" hidden="1">CBC</definedName>
    <definedName name="OpenSolver_ChosenSolver" localSheetId="14" hidden="1">CBC</definedName>
    <definedName name="OpenSolver_ChosenSolver" localSheetId="18" hidden="1">CBC</definedName>
    <definedName name="OpenSolver_ChosenSolver" localSheetId="9" hidden="1">CBC</definedName>
    <definedName name="OpenSolver_ChosenSolver" localSheetId="42" hidden="1">CBC</definedName>
    <definedName name="OpenSolver_ChosenSolver" localSheetId="26" hidden="1">CBC</definedName>
    <definedName name="OpenSolver_ChosenSolver" localSheetId="27" hidden="1">CBC</definedName>
    <definedName name="OpenSolver_ChosenSolver" localSheetId="28" hidden="1">CBC</definedName>
    <definedName name="OpenSolver_ChosenSolver" localSheetId="29" hidden="1">CBC</definedName>
    <definedName name="OpenSolver_ChosenSolver" localSheetId="30" hidden="1">CBC</definedName>
    <definedName name="OpenSolver_ChosenSolver" localSheetId="21" hidden="1">CBC</definedName>
    <definedName name="OpenSolver_ChosenSolver" localSheetId="10" hidden="1">CBC</definedName>
    <definedName name="OpenSolver_ChosenSolver" localSheetId="25" hidden="1">CBC</definedName>
    <definedName name="OpenSolver_ChosenSolver" localSheetId="22" hidden="1">CBC</definedName>
    <definedName name="OpenSolver_ChosenSolver" localSheetId="20" hidden="1">CBC</definedName>
    <definedName name="OpenSolver_ChosenSolver" localSheetId="19" hidden="1">CBC</definedName>
    <definedName name="OpenSolver_ChosenSolver" localSheetId="23" hidden="1">Gurobi</definedName>
    <definedName name="OpenSolver_ChosenSolver" localSheetId="4" hidden="1">CBC</definedName>
    <definedName name="OpenSolver_ChosenSolver" localSheetId="8" hidden="1">CBC</definedName>
    <definedName name="OpenSolver_ChosenSolver" localSheetId="11" hidden="1">CBC</definedName>
    <definedName name="OpenSolver_ChosenSolver" localSheetId="5" hidden="1">CBC</definedName>
    <definedName name="OpenSolver_ChosenSolver" localSheetId="6" hidden="1">CBC</definedName>
    <definedName name="OpenSolver_ChosenSolver" localSheetId="7" hidden="1">CBC</definedName>
    <definedName name="OpenSolver_DualsNewSheet" localSheetId="38" hidden="1">0</definedName>
    <definedName name="OpenSolver_DualsNewSheet" localSheetId="39" hidden="1">0</definedName>
    <definedName name="OpenSolver_DualsNewSheet" localSheetId="2" hidden="1">0</definedName>
    <definedName name="OpenSolver_DualsNewSheet" localSheetId="0" hidden="1">0</definedName>
    <definedName name="OpenSolver_DualsNewSheet" localSheetId="1" hidden="1">0</definedName>
    <definedName name="OpenSolver_DualsNewSheet" localSheetId="3" hidden="1">0</definedName>
    <definedName name="OpenSolver_DualsNewSheet" localSheetId="31" hidden="1">0</definedName>
    <definedName name="OpenSolver_DualsNewSheet" localSheetId="32" hidden="1">0</definedName>
    <definedName name="OpenSolver_DualsNewSheet" localSheetId="34" hidden="1">0</definedName>
    <definedName name="OpenSolver_DualsNewSheet" localSheetId="37" hidden="1">0</definedName>
    <definedName name="OpenSolver_DualsNewSheet" localSheetId="33" hidden="1">0</definedName>
    <definedName name="OpenSolver_DualsNewSheet" localSheetId="12" hidden="1">0</definedName>
    <definedName name="OpenSolver_DualsNewSheet" localSheetId="15" hidden="1">0</definedName>
    <definedName name="OpenSolver_DualsNewSheet" localSheetId="16" hidden="1">0</definedName>
    <definedName name="OpenSolver_DualsNewSheet" localSheetId="13" hidden="1">0</definedName>
    <definedName name="OpenSolver_DualsNewSheet" localSheetId="17" hidden="1">0</definedName>
    <definedName name="OpenSolver_DualsNewSheet" localSheetId="40" hidden="1">0</definedName>
    <definedName name="OpenSolver_DualsNewSheet" localSheetId="14" hidden="1">0</definedName>
    <definedName name="OpenSolver_DualsNewSheet" localSheetId="18" hidden="1">0</definedName>
    <definedName name="OpenSolver_DualsNewSheet" localSheetId="9" hidden="1">0</definedName>
    <definedName name="OpenSolver_DualsNewSheet" localSheetId="42" hidden="1">0</definedName>
    <definedName name="OpenSolver_DualsNewSheet" localSheetId="26" hidden="1">0</definedName>
    <definedName name="OpenSolver_DualsNewSheet" localSheetId="27" hidden="1">0</definedName>
    <definedName name="OpenSolver_DualsNewSheet" localSheetId="28" hidden="1">0</definedName>
    <definedName name="OpenSolver_DualsNewSheet" localSheetId="29" hidden="1">0</definedName>
    <definedName name="OpenSolver_DualsNewSheet" localSheetId="30" hidden="1">0</definedName>
    <definedName name="OpenSolver_DualsNewSheet" localSheetId="21" hidden="1">0</definedName>
    <definedName name="OpenSolver_DualsNewSheet" localSheetId="10" hidden="1">0</definedName>
    <definedName name="OpenSolver_DualsNewSheet" localSheetId="25" hidden="1">0</definedName>
    <definedName name="OpenSolver_DualsNewSheet" localSheetId="22" hidden="1">0</definedName>
    <definedName name="OpenSolver_DualsNewSheet" localSheetId="20" hidden="1">0</definedName>
    <definedName name="OpenSolver_DualsNewSheet" localSheetId="19" hidden="1">0</definedName>
    <definedName name="OpenSolver_DualsNewSheet" localSheetId="23" hidden="1">0</definedName>
    <definedName name="OpenSolver_DualsNewSheet" localSheetId="4" hidden="1">0</definedName>
    <definedName name="OpenSolver_DualsNewSheet" localSheetId="8" hidden="1">0</definedName>
    <definedName name="OpenSolver_DualsNewSheet" localSheetId="11" hidden="1">0</definedName>
    <definedName name="OpenSolver_DualsNewSheet" localSheetId="5" hidden="1">0</definedName>
    <definedName name="OpenSolver_DualsNewSheet" localSheetId="6" hidden="1">0</definedName>
    <definedName name="OpenSolver_DualsNewSheet" localSheetId="7" hidden="1">0</definedName>
    <definedName name="OpenSolver_LinearityCheck" localSheetId="38" hidden="1">1</definedName>
    <definedName name="OpenSolver_LinearityCheck" localSheetId="39" hidden="1">1</definedName>
    <definedName name="OpenSolver_LinearityCheck" localSheetId="2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3" hidden="1">1</definedName>
    <definedName name="OpenSolver_LinearityCheck" localSheetId="31" hidden="1">1</definedName>
    <definedName name="OpenSolver_LinearityCheck" localSheetId="32" hidden="1">1</definedName>
    <definedName name="OpenSolver_LinearityCheck" localSheetId="34" hidden="1">0</definedName>
    <definedName name="OpenSolver_LinearityCheck" localSheetId="37" hidden="1">0</definedName>
    <definedName name="OpenSolver_LinearityCheck" localSheetId="33" hidden="1">0</definedName>
    <definedName name="OpenSolver_LinearityCheck" localSheetId="12" hidden="1">1</definedName>
    <definedName name="OpenSolver_LinearityCheck" localSheetId="15" hidden="1">1</definedName>
    <definedName name="OpenSolver_LinearityCheck" localSheetId="16" hidden="1">1</definedName>
    <definedName name="OpenSolver_LinearityCheck" localSheetId="13" hidden="1">1</definedName>
    <definedName name="OpenSolver_LinearityCheck" localSheetId="17" hidden="1">1</definedName>
    <definedName name="OpenSolver_LinearityCheck" localSheetId="40" hidden="1">1</definedName>
    <definedName name="OpenSolver_LinearityCheck" localSheetId="14" hidden="1">1</definedName>
    <definedName name="OpenSolver_LinearityCheck" localSheetId="18" hidden="1">1</definedName>
    <definedName name="OpenSolver_LinearityCheck" localSheetId="9" hidden="1">1</definedName>
    <definedName name="OpenSolver_LinearityCheck" localSheetId="26" hidden="1">1</definedName>
    <definedName name="OpenSolver_LinearityCheck" localSheetId="27" hidden="1">1</definedName>
    <definedName name="OpenSolver_LinearityCheck" localSheetId="28" hidden="1">1</definedName>
    <definedName name="OpenSolver_LinearityCheck" localSheetId="29" hidden="1">1</definedName>
    <definedName name="OpenSolver_LinearityCheck" localSheetId="30" hidden="1">1</definedName>
    <definedName name="OpenSolver_LinearityCheck" localSheetId="21" hidden="1">1</definedName>
    <definedName name="OpenSolver_LinearityCheck" localSheetId="10" hidden="1">1</definedName>
    <definedName name="OpenSolver_LinearityCheck" localSheetId="25" hidden="1">1</definedName>
    <definedName name="OpenSolver_LinearityCheck" localSheetId="22" hidden="1">1</definedName>
    <definedName name="OpenSolver_LinearityCheck" localSheetId="20" hidden="1">1</definedName>
    <definedName name="OpenSolver_LinearityCheck" localSheetId="19" hidden="1">1</definedName>
    <definedName name="OpenSolver_LinearityCheck" localSheetId="23" hidden="1">1</definedName>
    <definedName name="OpenSolver_LinearityCheck" localSheetId="4" hidden="1">1</definedName>
    <definedName name="OpenSolver_LinearityCheck" localSheetId="8" hidden="1">1</definedName>
    <definedName name="OpenSolver_LinearityCheck" localSheetId="11" hidden="1">1</definedName>
    <definedName name="OpenSolver_LinearityCheck" localSheetId="5" hidden="1">1</definedName>
    <definedName name="OpenSolver_LinearityCheck" localSheetId="6" hidden="1">1</definedName>
    <definedName name="OpenSolver_LinearityCheck" localSheetId="7" hidden="1">1</definedName>
    <definedName name="OpenSolver_UpdateSensitivity" localSheetId="38" hidden="1">1</definedName>
    <definedName name="OpenSolver_UpdateSensitivity" localSheetId="39" hidden="1">1</definedName>
    <definedName name="OpenSolver_UpdateSensitivity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31" hidden="1">1</definedName>
    <definedName name="OpenSolver_UpdateSensitivity" localSheetId="32" hidden="1">1</definedName>
    <definedName name="OpenSolver_UpdateSensitivity" localSheetId="34" hidden="1">1</definedName>
    <definedName name="OpenSolver_UpdateSensitivity" localSheetId="37" hidden="1">1</definedName>
    <definedName name="OpenSolver_UpdateSensitivity" localSheetId="33" hidden="1">1</definedName>
    <definedName name="OpenSolver_UpdateSensitivity" localSheetId="12" hidden="1">1</definedName>
    <definedName name="OpenSolver_UpdateSensitivity" localSheetId="15" hidden="1">1</definedName>
    <definedName name="OpenSolver_UpdateSensitivity" localSheetId="16" hidden="1">1</definedName>
    <definedName name="OpenSolver_UpdateSensitivity" localSheetId="13" hidden="1">1</definedName>
    <definedName name="OpenSolver_UpdateSensitivity" localSheetId="17" hidden="1">1</definedName>
    <definedName name="OpenSolver_UpdateSensitivity" localSheetId="40" hidden="1">1</definedName>
    <definedName name="OpenSolver_UpdateSensitivity" localSheetId="14" hidden="1">1</definedName>
    <definedName name="OpenSolver_UpdateSensitivity" localSheetId="18" hidden="1">1</definedName>
    <definedName name="OpenSolver_UpdateSensitivity" localSheetId="9" hidden="1">1</definedName>
    <definedName name="OpenSolver_UpdateSensitivity" localSheetId="42" hidden="1">1</definedName>
    <definedName name="OpenSolver_UpdateSensitivity" localSheetId="26" hidden="1">1</definedName>
    <definedName name="OpenSolver_UpdateSensitivity" localSheetId="27" hidden="1">1</definedName>
    <definedName name="OpenSolver_UpdateSensitivity" localSheetId="28" hidden="1">1</definedName>
    <definedName name="OpenSolver_UpdateSensitivity" localSheetId="29" hidden="1">1</definedName>
    <definedName name="OpenSolver_UpdateSensitivity" localSheetId="30" hidden="1">1</definedName>
    <definedName name="OpenSolver_UpdateSensitivity" localSheetId="21" hidden="1">1</definedName>
    <definedName name="OpenSolver_UpdateSensitivity" localSheetId="10" hidden="1">1</definedName>
    <definedName name="OpenSolver_UpdateSensitivity" localSheetId="25" hidden="1">1</definedName>
    <definedName name="OpenSolver_UpdateSensitivity" localSheetId="22" hidden="1">1</definedName>
    <definedName name="OpenSolver_UpdateSensitivity" localSheetId="20" hidden="1">1</definedName>
    <definedName name="OpenSolver_UpdateSensitivity" localSheetId="19" hidden="1">1</definedName>
    <definedName name="OpenSolver_UpdateSensitivity" localSheetId="23" hidden="1">1</definedName>
    <definedName name="OpenSolver_UpdateSensitivity" localSheetId="4" hidden="1">1</definedName>
    <definedName name="OpenSolver_UpdateSensitivity" localSheetId="8" hidden="1">1</definedName>
    <definedName name="OpenSolver_UpdateSensitivity" localSheetId="11" hidden="1">1</definedName>
    <definedName name="OpenSolver_UpdateSensitivity" localSheetId="5" hidden="1">1</definedName>
    <definedName name="OpenSolver_UpdateSensitivity" localSheetId="6" hidden="1">1</definedName>
    <definedName name="OpenSolver_UpdateSensitivity" localSheetId="7" hidden="1">1</definedName>
    <definedName name="solver_adj" localSheetId="38" hidden="1">balances_alleq!$AC$26:$AC$28,balances_alleq!$AC$30:$AC$33</definedName>
    <definedName name="solver_adj" localSheetId="39" hidden="1">balances_sim_q!$AC$26:$AC$28</definedName>
    <definedName name="solver_adj" localSheetId="2" hidden="1">blending!$D$13:$J$13</definedName>
    <definedName name="solver_adj" localSheetId="0" hidden="1">'by-products'!$D$16:$J$16,'by-products'!$D$34:$J$34,'by-products'!$D$51:$J$51</definedName>
    <definedName name="solver_adj" localSheetId="1" hidden="1">'by-products_a-c'!$D$16:$J$16,'by-products_a-c'!$N$5:$N$8</definedName>
    <definedName name="solver_adj" localSheetId="3" hidden="1">distribution!$E$12:$J$12</definedName>
    <definedName name="solver_adj" localSheetId="31" hidden="1">economics_base!$D$31:$I$31</definedName>
    <definedName name="solver_adj" localSheetId="32" hidden="1">'economics_base (2)'!$D$31:$I$31</definedName>
    <definedName name="solver_adj" localSheetId="34" hidden="1">economics_y15_DEPR!$E$23:$G$37,economics_y15_DEPR!$M$24:$N$37</definedName>
    <definedName name="solver_adj" localSheetId="37" hidden="1">'economics_y20 (2)'!$M$25:$N$43,'economics_y20 (2)'!$E$24:$G$43</definedName>
    <definedName name="solver_adj" localSheetId="33" hidden="1">economics_y20_capNew!$E$24:$G$43,economics_y20_capNew!$M$24:$N$43</definedName>
    <definedName name="solver_adj" localSheetId="12" hidden="1">'emissions_1r-3p'!$E$23:$K$23</definedName>
    <definedName name="solver_adj" localSheetId="15" hidden="1">'emissions_1r-3p_bioV1'!$E$22:$L$22</definedName>
    <definedName name="solver_adj" localSheetId="16" hidden="1">'emissions_1r-3p_bioV2'!$E$24:$M$24</definedName>
    <definedName name="solver_adj" localSheetId="13" hidden="1">'emissions_1r-3p_blending'!$E$23:$K$23</definedName>
    <definedName name="solver_adj" localSheetId="17" hidden="1">'emissions_1r-3p_dual'!$E$4:$E$6,'emissions_1r-3p_dual'!$E$9</definedName>
    <definedName name="solver_adj" localSheetId="40" hidden="1">'emissions_1r-3p_primal'!$D$14:$J$14</definedName>
    <definedName name="solver_adj" localSheetId="14" hidden="1">'emissions_1r-3p_tax'!$E$25:$K$25</definedName>
    <definedName name="solver_adj" localSheetId="18" hidden="1">'emissions_2r-3p'!$F$32:$S$32</definedName>
    <definedName name="solver_adj" localSheetId="9" hidden="1">emissions_DEPRECATED!$E$20:$K$20</definedName>
    <definedName name="solver_adj" localSheetId="26" hidden="1">'storage1_1r-1p'!$E$22:$H$26</definedName>
    <definedName name="solver_adj" localSheetId="27" hidden="1">'storage2_1r-1p-st2_DEPRECATED'!$E$28:$K$32</definedName>
    <definedName name="solver_adj" localSheetId="28" hidden="1">'storage2_1r-2p'!$E$29:$L$33</definedName>
    <definedName name="solver_adj" localSheetId="29" hidden="1">'storage2_1r-2p_TEST'!$E$28:$L$32</definedName>
    <definedName name="solver_adj" localSheetId="30" hidden="1">'storage3_1r-4p'!$F$34:$H$38,'storage3_1r-4p'!$J$34:$O$38,'storage3_1r-4p'!$I$40,'storage3_1r-4p'!$E$40</definedName>
    <definedName name="solver_adj" localSheetId="21" hidden="1">'time_h_1r-3p'!$F$25:$G$29,'time_h_1r-3p'!$I$25:$K$29,'time_h_1r-3p'!$E$31,'time_h_1r-3p'!$H$31</definedName>
    <definedName name="solver_adj" localSheetId="10" hidden="1">'time_h_1r-3p_DEPRECATED'!$F$27:$H$31,'time_h_1r-3p_DEPRECATED'!$J$27:$L$31,'time_h_1r-3p_DEPRECATED'!$E$33,'time_h_1r-3p_DEPRECATED'!$I$33</definedName>
    <definedName name="solver_adj" localSheetId="25" hidden="1">'time_h_1r-3p_storage_c-d_DEP'!$E$19:$I$23</definedName>
    <definedName name="solver_adj" localSheetId="22" hidden="1">'time_h_2r-2p'!$F$41,'time_h_2r-2p'!$G$35:$G$39,'time_h_2r-2p'!$H$41,'time_h_2r-2p'!$I$35:$I$39,'time_h_2r-2p'!$J$41,'time_h_2r-2p'!$K$35:$L$39,'time_h_2r-2p'!$M$41,'time_h_2r-2p'!$N$35:$O$39</definedName>
    <definedName name="solver_adj" localSheetId="20" hidden="1">time_h_general!$F$23:$F$27,time_h_general!$H$23:$I$27,time_h_general!$E$29,time_h_general!$G$29</definedName>
    <definedName name="solver_adj" localSheetId="19" hidden="1">time_h_general_supCurves!$F$23:$F$27,time_h_general_supCurves!$H$23:$I$27,time_h_general_supCurves!$E$29,time_h_general_supCurves!$G$29</definedName>
    <definedName name="solver_adj" localSheetId="23" hidden="1">time_y_1r!$E$53:$L$72,time_y_1r!$I$80:$L$98,time_y_1r!$AC$79:$AF$79</definedName>
    <definedName name="solver_adj" localSheetId="4" hidden="1">'trades_1r-3p'!$E$23:$M$23</definedName>
    <definedName name="solver_adj" localSheetId="8" hidden="1">'trades_2r-2p'!$E$20:$P$20</definedName>
    <definedName name="solver_adj" localSheetId="11" hidden="1">'trades_2r-2p_2problems'!$E$16:$L$16</definedName>
    <definedName name="solver_adj" localSheetId="5" hidden="1">'trades_3r-1p'!$E$17:$M$17</definedName>
    <definedName name="solver_adj" localSheetId="6" hidden="1">'trades_mr(sim)_IOT DEPRECATED'!$E$14:$J$14</definedName>
    <definedName name="solver_adj" localSheetId="7" hidden="1">'trades_mr(sim)_IOT_2 DEPRECATED'!$W$14:$AD$14</definedName>
    <definedName name="solver_cvg" localSheetId="38" hidden="1">0.0001</definedName>
    <definedName name="solver_cvg" localSheetId="39" hidden="1">0.0001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31" hidden="1">0.0001</definedName>
    <definedName name="solver_cvg" localSheetId="32" hidden="1">0.0001</definedName>
    <definedName name="solver_cvg" localSheetId="34" hidden="1">0.0001</definedName>
    <definedName name="solver_cvg" localSheetId="37" hidden="1">0.0001</definedName>
    <definedName name="solver_cvg" localSheetId="33" hidden="1">0.0001</definedName>
    <definedName name="solver_cvg" localSheetId="12" hidden="1">0.0001</definedName>
    <definedName name="solver_cvg" localSheetId="15" hidden="1">0.0001</definedName>
    <definedName name="solver_cvg" localSheetId="16" hidden="1">0.0001</definedName>
    <definedName name="solver_cvg" localSheetId="13" hidden="1">0.0001</definedName>
    <definedName name="solver_cvg" localSheetId="17" hidden="1">0.0001</definedName>
    <definedName name="solver_cvg" localSheetId="40" hidden="1">0.0001</definedName>
    <definedName name="solver_cvg" localSheetId="14" hidden="1">0.0001</definedName>
    <definedName name="solver_cvg" localSheetId="18" hidden="1">0.0001</definedName>
    <definedName name="solver_cvg" localSheetId="9" hidden="1">0.0001</definedName>
    <definedName name="solver_cvg" localSheetId="42" hidden="1">0.0001</definedName>
    <definedName name="solver_cvg" localSheetId="26" hidden="1">0.0001</definedName>
    <definedName name="solver_cvg" localSheetId="27" hidden="1">0.0001</definedName>
    <definedName name="solver_cvg" localSheetId="28" hidden="1">0.0001</definedName>
    <definedName name="solver_cvg" localSheetId="29" hidden="1">0.0001</definedName>
    <definedName name="solver_cvg" localSheetId="30" hidden="1">0.0001</definedName>
    <definedName name="solver_cvg" localSheetId="21" hidden="1">0.0001</definedName>
    <definedName name="solver_cvg" localSheetId="10" hidden="1">0.0001</definedName>
    <definedName name="solver_cvg" localSheetId="25" hidden="1">0.0001</definedName>
    <definedName name="solver_cvg" localSheetId="22" hidden="1">0.0001</definedName>
    <definedName name="solver_cvg" localSheetId="20" hidden="1">0.0001</definedName>
    <definedName name="solver_cvg" localSheetId="19" hidden="1">0.0001</definedName>
    <definedName name="solver_cvg" localSheetId="23" hidden="1">0.0001</definedName>
    <definedName name="solver_cvg" localSheetId="4" hidden="1">0.0001</definedName>
    <definedName name="solver_cvg" localSheetId="8" hidden="1">0.0001</definedName>
    <definedName name="solver_cvg" localSheetId="11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8" hidden="1">1</definedName>
    <definedName name="solver_drv" localSheetId="39" hidden="1">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31" hidden="1">1</definedName>
    <definedName name="solver_drv" localSheetId="32" hidden="1">1</definedName>
    <definedName name="solver_drv" localSheetId="34" hidden="1">1</definedName>
    <definedName name="solver_drv" localSheetId="37" hidden="1">1</definedName>
    <definedName name="solver_drv" localSheetId="33" hidden="1">1</definedName>
    <definedName name="solver_drv" localSheetId="12" hidden="1">1</definedName>
    <definedName name="solver_drv" localSheetId="15" hidden="1">1</definedName>
    <definedName name="solver_drv" localSheetId="16" hidden="1">1</definedName>
    <definedName name="solver_drv" localSheetId="13" hidden="1">1</definedName>
    <definedName name="solver_drv" localSheetId="17" hidden="1">1</definedName>
    <definedName name="solver_drv" localSheetId="40" hidden="1">1</definedName>
    <definedName name="solver_drv" localSheetId="14" hidden="1">1</definedName>
    <definedName name="solver_drv" localSheetId="18" hidden="1">1</definedName>
    <definedName name="solver_drv" localSheetId="9" hidden="1">1</definedName>
    <definedName name="solver_drv" localSheetId="42" hidden="1">1</definedName>
    <definedName name="solver_drv" localSheetId="26" hidden="1">1</definedName>
    <definedName name="solver_drv" localSheetId="27" hidden="1">1</definedName>
    <definedName name="solver_drv" localSheetId="28" hidden="1">1</definedName>
    <definedName name="solver_drv" localSheetId="29" hidden="1">1</definedName>
    <definedName name="solver_drv" localSheetId="30" hidden="1">1</definedName>
    <definedName name="solver_drv" localSheetId="21" hidden="1">1</definedName>
    <definedName name="solver_drv" localSheetId="10" hidden="1">1</definedName>
    <definedName name="solver_drv" localSheetId="25" hidden="1">1</definedName>
    <definedName name="solver_drv" localSheetId="22" hidden="1">1</definedName>
    <definedName name="solver_drv" localSheetId="20" hidden="1">1</definedName>
    <definedName name="solver_drv" localSheetId="19" hidden="1">1</definedName>
    <definedName name="solver_drv" localSheetId="23" hidden="1">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2" hidden="1">1</definedName>
    <definedName name="solver_eng" localSheetId="0" hidden="1">2</definedName>
    <definedName name="solver_eng" localSheetId="1" hidden="1">1</definedName>
    <definedName name="solver_eng" localSheetId="34" hidden="1">1</definedName>
    <definedName name="solver_eng" localSheetId="37" hidden="1">1</definedName>
    <definedName name="solver_eng" localSheetId="33" hidden="1">2</definedName>
    <definedName name="solver_eng" localSheetId="26" hidden="1">1</definedName>
    <definedName name="solver_eng" localSheetId="27" hidden="1">1</definedName>
    <definedName name="solver_eng" localSheetId="28" hidden="1">1</definedName>
    <definedName name="solver_eng" localSheetId="29" hidden="1">1</definedName>
    <definedName name="solver_eng" localSheetId="30" hidden="1">1</definedName>
    <definedName name="solver_eng" localSheetId="21" hidden="1">1</definedName>
    <definedName name="solver_eng" localSheetId="25" hidden="1">1</definedName>
    <definedName name="solver_eng" localSheetId="22" hidden="1">1</definedName>
    <definedName name="solver_eng" localSheetId="20" hidden="1">1</definedName>
    <definedName name="solver_eng" localSheetId="19" hidden="1">1</definedName>
    <definedName name="solver_eng" localSheetId="23" hidden="1">1</definedName>
    <definedName name="solver_eng" localSheetId="11" hidden="1">1</definedName>
    <definedName name="solver_eng" localSheetId="5" hidden="1">2</definedName>
    <definedName name="solver_est" localSheetId="38" hidden="1">1</definedName>
    <definedName name="solver_est" localSheetId="39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31" hidden="1">1</definedName>
    <definedName name="solver_est" localSheetId="32" hidden="1">1</definedName>
    <definedName name="solver_est" localSheetId="34" hidden="1">1</definedName>
    <definedName name="solver_est" localSheetId="37" hidden="1">1</definedName>
    <definedName name="solver_est" localSheetId="33" hidden="1">1</definedName>
    <definedName name="solver_est" localSheetId="12" hidden="1">1</definedName>
    <definedName name="solver_est" localSheetId="15" hidden="1">1</definedName>
    <definedName name="solver_est" localSheetId="16" hidden="1">1</definedName>
    <definedName name="solver_est" localSheetId="13" hidden="1">1</definedName>
    <definedName name="solver_est" localSheetId="17" hidden="1">1</definedName>
    <definedName name="solver_est" localSheetId="40" hidden="1">1</definedName>
    <definedName name="solver_est" localSheetId="14" hidden="1">1</definedName>
    <definedName name="solver_est" localSheetId="18" hidden="1">1</definedName>
    <definedName name="solver_est" localSheetId="9" hidden="1">1</definedName>
    <definedName name="solver_est" localSheetId="42" hidden="1">1</definedName>
    <definedName name="solver_est" localSheetId="26" hidden="1">1</definedName>
    <definedName name="solver_est" localSheetId="27" hidden="1">1</definedName>
    <definedName name="solver_est" localSheetId="28" hidden="1">1</definedName>
    <definedName name="solver_est" localSheetId="29" hidden="1">1</definedName>
    <definedName name="solver_est" localSheetId="30" hidden="1">1</definedName>
    <definedName name="solver_est" localSheetId="21" hidden="1">1</definedName>
    <definedName name="solver_est" localSheetId="10" hidden="1">1</definedName>
    <definedName name="solver_est" localSheetId="25" hidden="1">1</definedName>
    <definedName name="solver_est" localSheetId="22" hidden="1">1</definedName>
    <definedName name="solver_est" localSheetId="20" hidden="1">1</definedName>
    <definedName name="solver_est" localSheetId="19" hidden="1">1</definedName>
    <definedName name="solver_est" localSheetId="23" hidden="1">1</definedName>
    <definedName name="solver_est" localSheetId="4" hidden="1">1</definedName>
    <definedName name="solver_est" localSheetId="8" hidden="1">1</definedName>
    <definedName name="solver_est" localSheetId="11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8" hidden="1">2147483647</definedName>
    <definedName name="solver_itr" localSheetId="39" hidden="1">2147483647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31" hidden="1">2147483647</definedName>
    <definedName name="solver_itr" localSheetId="32" hidden="1">2147483647</definedName>
    <definedName name="solver_itr" localSheetId="34" hidden="1">2147483647</definedName>
    <definedName name="solver_itr" localSheetId="37" hidden="1">2147483647</definedName>
    <definedName name="solver_itr" localSheetId="33" hidden="1">2147483647</definedName>
    <definedName name="solver_itr" localSheetId="12" hidden="1">2147483647</definedName>
    <definedName name="solver_itr" localSheetId="15" hidden="1">2147483647</definedName>
    <definedName name="solver_itr" localSheetId="16" hidden="1">2147483647</definedName>
    <definedName name="solver_itr" localSheetId="13" hidden="1">2147483647</definedName>
    <definedName name="solver_itr" localSheetId="17" hidden="1">2147483647</definedName>
    <definedName name="solver_itr" localSheetId="40" hidden="1">2147483647</definedName>
    <definedName name="solver_itr" localSheetId="14" hidden="1">2147483647</definedName>
    <definedName name="solver_itr" localSheetId="18" hidden="1">2147483647</definedName>
    <definedName name="solver_itr" localSheetId="9" hidden="1">2147483647</definedName>
    <definedName name="solver_itr" localSheetId="26" hidden="1">2147483647</definedName>
    <definedName name="solver_itr" localSheetId="27" hidden="1">2147483647</definedName>
    <definedName name="solver_itr" localSheetId="28" hidden="1">2147483647</definedName>
    <definedName name="solver_itr" localSheetId="29" hidden="1">2147483647</definedName>
    <definedName name="solver_itr" localSheetId="30" hidden="1">2147483647</definedName>
    <definedName name="solver_itr" localSheetId="21" hidden="1">2147483647</definedName>
    <definedName name="solver_itr" localSheetId="10" hidden="1">2147483647</definedName>
    <definedName name="solver_itr" localSheetId="25" hidden="1">2147483647</definedName>
    <definedName name="solver_itr" localSheetId="22" hidden="1">2147483647</definedName>
    <definedName name="solver_itr" localSheetId="20" hidden="1">2147483647</definedName>
    <definedName name="solver_itr" localSheetId="19" hidden="1">2147483647</definedName>
    <definedName name="solver_itr" localSheetId="23" hidden="1">2147483647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8" hidden="1">balances_alleq!$AI$36:$AI$38</definedName>
    <definedName name="solver_lhs1" localSheetId="39" hidden="1">balances_sim_q!$AI$36:$AI$38</definedName>
    <definedName name="solver_lhs1" localSheetId="2" hidden="1">blending!$Y$10</definedName>
    <definedName name="solver_lhs1" localSheetId="0" hidden="1">'by-products'!$N$40:$N$46</definedName>
    <definedName name="solver_lhs1" localSheetId="1" hidden="1">'by-products_a-c'!$P$5:$P$11</definedName>
    <definedName name="solver_lhs1" localSheetId="3" hidden="1">distribution!$N$16:$N$19</definedName>
    <definedName name="solver_lhs1" localSheetId="31" hidden="1">economics_base!$M$4:$M$9</definedName>
    <definedName name="solver_lhs1" localSheetId="32" hidden="1">'economics_base (2)'!$M$4:$M$9</definedName>
    <definedName name="solver_lhs1" localSheetId="34" hidden="1">economics_y15_DEPR!$I$7:$W$8</definedName>
    <definedName name="solver_lhs1" localSheetId="37" hidden="1">'economics_y20 (2)'!$I$7:$AB$8</definedName>
    <definedName name="solver_lhs1" localSheetId="33" hidden="1">economics_y20_capNew!$F$24:$F$43</definedName>
    <definedName name="solver_lhs1" localSheetId="12" hidden="1">'emissions_1r-3p'!$O$3:$O$8</definedName>
    <definedName name="solver_lhs1" localSheetId="15" hidden="1">'emissions_1r-3p_bioV1'!$P$3:$P$9</definedName>
    <definedName name="solver_lhs1" localSheetId="16" hidden="1">'emissions_1r-3p_bioV2'!$Q$3:$Q$10</definedName>
    <definedName name="solver_lhs1" localSheetId="13" hidden="1">'emissions_1r-3p_blending'!$O$3:$O$8</definedName>
    <definedName name="solver_lhs1" localSheetId="17" hidden="1">'emissions_1r-3p_dual'!$I$12:$I$15</definedName>
    <definedName name="solver_lhs1" localSheetId="40" hidden="1">'emissions_1r-3p_primal'!$N$3:$N$8</definedName>
    <definedName name="solver_lhs1" localSheetId="14" hidden="1">'emissions_1r-3p_tax'!$O$3:$O$8</definedName>
    <definedName name="solver_lhs1" localSheetId="18" hidden="1">'emissions_2r-3p'!$W$4:$W$15</definedName>
    <definedName name="solver_lhs1" localSheetId="9" hidden="1">emissions_DEPRECATED!$O$3:$O$8</definedName>
    <definedName name="solver_lhs1" localSheetId="26" hidden="1">'storage1_1r-1p'!$L$4:$P$6</definedName>
    <definedName name="solver_lhs1" localSheetId="27" hidden="1">'storage2_1r-1p-st2_DEPRECATED'!$AB$4:$AF$9</definedName>
    <definedName name="solver_lhs1" localSheetId="28" hidden="1">'storage2_1r-2p'!$P$4:$T$9</definedName>
    <definedName name="solver_lhs1" localSheetId="29" hidden="1">'storage2_1r-2p_TEST'!$P$4:$T$9</definedName>
    <definedName name="solver_lhs1" localSheetId="30" hidden="1">'storage3_1r-4p'!$T$4:$Z$12</definedName>
    <definedName name="solver_lhs1" localSheetId="21" hidden="1">'time_h_1r-3p'!$Q$5:$U$6</definedName>
    <definedName name="solver_lhs1" localSheetId="10" hidden="1">'time_h_1r-3p_DEPRECATED'!$AD$5:$AH$6</definedName>
    <definedName name="solver_lhs1" localSheetId="25" hidden="1">'time_h_1r-3p_storage_c-d_DEP'!$Z$4:$AD$6</definedName>
    <definedName name="solver_lhs1" localSheetId="22" hidden="1">'time_h_2r-2p'!$O$35:$O$39</definedName>
    <definedName name="solver_lhs1" localSheetId="20" hidden="1">time_h_general!$V$4</definedName>
    <definedName name="solver_lhs1" localSheetId="19" hidden="1">time_h_general_supCurves!$V$4</definedName>
    <definedName name="solver_lhs1" localSheetId="23" hidden="1">time_y_1r!$P$32:$AI$37</definedName>
    <definedName name="solver_lhs1" localSheetId="4" hidden="1">'trades_1r-3p'!$AJ$3:$AJ$11</definedName>
    <definedName name="solver_lhs1" localSheetId="8" hidden="1">'trades_2r-2p'!$T$24:$T$35</definedName>
    <definedName name="solver_lhs1" localSheetId="11" hidden="1">'trades_2r-2p_2problems'!$P$24:$P$25</definedName>
    <definedName name="solver_lhs1" localSheetId="5" hidden="1">'trades_3r-1p'!$Q$21:$Q$29</definedName>
    <definedName name="solver_lhs1" localSheetId="6" hidden="1">'trades_mr(sim)_IOT DEPRECATED'!$N$18:$N$23</definedName>
    <definedName name="solver_lhs1" localSheetId="7" hidden="1">'trades_mr(sim)_IOT_2 DEPRECATED'!$AH$25:$AH$30</definedName>
    <definedName name="solver_lhs10" localSheetId="30" hidden="1">'storage3_1r-4p'!$E$40</definedName>
    <definedName name="solver_lhs10" localSheetId="22" hidden="1">'time_h_2r-2p'!$T$11:$X$11</definedName>
    <definedName name="solver_lhs11" localSheetId="22" hidden="1">'time_h_2r-2p'!$T$5:$X$5</definedName>
    <definedName name="solver_lhs12" localSheetId="22" hidden="1">'time_h_2r-2p'!$T$7:$X$7</definedName>
    <definedName name="solver_lhs13" localSheetId="22" hidden="1">'time_h_2r-2p'!$T$9:$X$9</definedName>
    <definedName name="solver_lhs2" localSheetId="38" hidden="1">balances_alleq!$AI$41:$AI$44</definedName>
    <definedName name="solver_lhs2" localSheetId="39" hidden="1">balances_sim_q!$AI$41:$AI$44</definedName>
    <definedName name="solver_lhs2" localSheetId="2" hidden="1">blending!$J$13</definedName>
    <definedName name="solver_lhs2" localSheetId="0" hidden="1">'by-products'!$N$23:$N$29</definedName>
    <definedName name="solver_lhs2" localSheetId="1" hidden="1">'by-products_a-c'!$N$5:$N$7</definedName>
    <definedName name="solver_lhs2" localSheetId="3" hidden="1">distribution!$P$17</definedName>
    <definedName name="solver_lhs2" localSheetId="31" hidden="1">economics_base!$I$31</definedName>
    <definedName name="solver_lhs2" localSheetId="32" hidden="1">'economics_base (2)'!$I$31</definedName>
    <definedName name="solver_lhs2" localSheetId="34" hidden="1">economics_y15_DEPR!$F$23:$F$37</definedName>
    <definedName name="solver_lhs2" localSheetId="37" hidden="1">'economics_y20 (2)'!$F$24:$F$43</definedName>
    <definedName name="solver_lhs2" localSheetId="33" hidden="1">economics_y20_capNew!$F$24:$F$43</definedName>
    <definedName name="solver_lhs2" localSheetId="12" hidden="1">'emissions_1r-3p'!$AF$44</definedName>
    <definedName name="solver_lhs2" localSheetId="15" hidden="1">'emissions_1r-3p_bioV1'!$W$27</definedName>
    <definedName name="solver_lhs2" localSheetId="16" hidden="1">'emissions_1r-3p_bioV2'!$Y$26</definedName>
    <definedName name="solver_lhs2" localSheetId="13" hidden="1">'emissions_1r-3p_blending'!$AD$11</definedName>
    <definedName name="solver_lhs2" localSheetId="17" hidden="1">'emissions_1r-3p_dual'!$E$4:$E$6</definedName>
    <definedName name="solver_lhs2" localSheetId="40" hidden="1">'emissions_1r-3p_primal'!$Z$11:$Z$12</definedName>
    <definedName name="solver_lhs2" localSheetId="14" hidden="1">'emissions_1r-3p_tax'!$AF$46</definedName>
    <definedName name="solver_lhs2" localSheetId="18" hidden="1">'emissions_2r-3p'!$AN$44</definedName>
    <definedName name="solver_lhs2" localSheetId="9" hidden="1">emissions_DEPRECATED!$AF$41</definedName>
    <definedName name="solver_lhs2" localSheetId="26" hidden="1">'storage1_1r-1p'!$E$22:$G$26</definedName>
    <definedName name="solver_lhs2" localSheetId="27" hidden="1">'storage2_1r-1p-st2_DEPRECATED'!$E$28:$J$32</definedName>
    <definedName name="solver_lhs2" localSheetId="28" hidden="1">'storage2_1r-2p'!$E$29:$J$33</definedName>
    <definedName name="solver_lhs2" localSheetId="29" hidden="1">'storage2_1r-2p_TEST'!$E$28:$J$32</definedName>
    <definedName name="solver_lhs2" localSheetId="30" hidden="1">'storage3_1r-4p'!$L$34:$M$38</definedName>
    <definedName name="solver_lhs2" localSheetId="21" hidden="1">'time_h_1r-3p'!$Q$8:$U$9</definedName>
    <definedName name="solver_lhs2" localSheetId="10" hidden="1">'time_h_1r-3p_DEPRECATED'!$AD$8:$AH$10</definedName>
    <definedName name="solver_lhs2" localSheetId="25" hidden="1">'time_h_1r-3p_storage_c-d_DEP'!$E$19:$H$23</definedName>
    <definedName name="solver_lhs2" localSheetId="22" hidden="1">'time_h_2r-2p'!$N$35:$N$39</definedName>
    <definedName name="solver_lhs2" localSheetId="20" hidden="1">time_h_general!$V$6</definedName>
    <definedName name="solver_lhs2" localSheetId="19" hidden="1">time_h_general_supCurves!$V$6</definedName>
    <definedName name="solver_lhs2" localSheetId="23" hidden="1">time_y_1r!$I$54:$L$72</definedName>
    <definedName name="solver_lhs2" localSheetId="4" hidden="1">'trades_1r-3p'!#REF!</definedName>
    <definedName name="solver_lhs2" localSheetId="8" hidden="1">'trades_2r-2p'!$I$37</definedName>
    <definedName name="solver_lhs2" localSheetId="11" hidden="1">'trades_2r-2p_2problems'!$P$20:$P$21</definedName>
    <definedName name="solver_lhs2" localSheetId="5" hidden="1">'trades_3r-1p'!$Y$31</definedName>
    <definedName name="solver_lhs2" localSheetId="6" hidden="1">'trades_mr(sim)_IOT DEPRECATED'!#REF!</definedName>
    <definedName name="solver_lhs2" localSheetId="7" hidden="1">'trades_mr(sim)_IOT_2 DEPRECATED'!#REF!</definedName>
    <definedName name="solver_lhs3" localSheetId="2" hidden="1">blending!$Y$3:$Y$8</definedName>
    <definedName name="solver_lhs3" localSheetId="0" hidden="1">'by-products'!$N$5:$N$11</definedName>
    <definedName name="solver_lhs3" localSheetId="1" hidden="1">'by-products_a-c'!#REF!</definedName>
    <definedName name="solver_lhs3" localSheetId="3" hidden="1">distribution!$P$17</definedName>
    <definedName name="solver_lhs3" localSheetId="34" hidden="1">economics_y15_DEPR!$G$23:$G$37</definedName>
    <definedName name="solver_lhs3" localSheetId="37" hidden="1">'economics_y20 (2)'!$F$24:$F$43</definedName>
    <definedName name="solver_lhs3" localSheetId="33" hidden="1">economics_y20_capNew!$G$24:$G$43</definedName>
    <definedName name="solver_lhs3" localSheetId="13" hidden="1">'emissions_1r-3p_blending'!$AF$10</definedName>
    <definedName name="solver_lhs3" localSheetId="17" hidden="1">'emissions_1r-3p_dual'!$E$9</definedName>
    <definedName name="solver_lhs3" localSheetId="40" hidden="1">'emissions_1r-3p_primal'!$N$12</definedName>
    <definedName name="solver_lhs3" localSheetId="26" hidden="1">'storage1_1r-1p'!$F$22:$G$26</definedName>
    <definedName name="solver_lhs3" localSheetId="27" hidden="1">'storage2_1r-1p-st2_DEPRECATED'!$H$28:$I$32</definedName>
    <definedName name="solver_lhs3" localSheetId="28" hidden="1">'storage2_1r-2p'!$H$29:$I$33</definedName>
    <definedName name="solver_lhs3" localSheetId="29" hidden="1">'storage2_1r-2p_TEST'!$H$28:$I$32</definedName>
    <definedName name="solver_lhs3" localSheetId="30" hidden="1">'storage3_1r-4p'!$AB$34:$AB$38</definedName>
    <definedName name="solver_lhs3" localSheetId="21" hidden="1">'time_h_1r-3p'!$W$4</definedName>
    <definedName name="solver_lhs3" localSheetId="10" hidden="1">'time_h_1r-3p_DEPRECATED'!$AJ$4</definedName>
    <definedName name="solver_lhs3" localSheetId="25" hidden="1">'time_h_1r-3p_storage_c-d_DEP'!$I$19:$I$23</definedName>
    <definedName name="solver_lhs3" localSheetId="22" hidden="1">'time_h_2r-2p'!$L$35:$L$39</definedName>
    <definedName name="solver_lhs3" localSheetId="20" hidden="1">time_h_general!$P$5:$T$5</definedName>
    <definedName name="solver_lhs3" localSheetId="19" hidden="1">time_h_general_supCurves!$P$5:$T$5</definedName>
    <definedName name="solver_lhs3" localSheetId="23" hidden="1">time_y_1r!$AD$79</definedName>
    <definedName name="solver_lhs3" localSheetId="11" hidden="1">'trades_2r-2p_2problems'!$P$26:$P$27</definedName>
    <definedName name="solver_lhs4" localSheetId="34" hidden="1">economics_y15_DEPR!$F$23:$F$37</definedName>
    <definedName name="solver_lhs4" localSheetId="37" hidden="1">'economics_y20 (2)'!$G$24:$G$43</definedName>
    <definedName name="solver_lhs4" localSheetId="33" hidden="1">economics_y20_capNew!$I$7:$AB$8</definedName>
    <definedName name="solver_lhs4" localSheetId="26" hidden="1">'storage1_1r-1p'!$O$22:$O$26</definedName>
    <definedName name="solver_lhs4" localSheetId="27" hidden="1">'storage2_1r-1p-st2_DEPRECATED'!$V$9:$Z$9</definedName>
    <definedName name="solver_lhs4" localSheetId="28" hidden="1">'storage2_1r-2p'!$U$29:$U$33</definedName>
    <definedName name="solver_lhs4" localSheetId="29" hidden="1">'storage2_1r-2p_TEST'!$U$28:$U$32</definedName>
    <definedName name="solver_lhs4" localSheetId="30" hidden="1">'storage3_1r-4p'!$AB$34:$AB$38</definedName>
    <definedName name="solver_lhs4" localSheetId="21" hidden="1">'time_h_1r-3p'!$W$7</definedName>
    <definedName name="solver_lhs4" localSheetId="10" hidden="1">'time_h_1r-3p_DEPRECATED'!$AJ$7</definedName>
    <definedName name="solver_lhs4" localSheetId="25" hidden="1">'time_h_1r-3p_storage_c-d_DEP'!$F$19:$G$23</definedName>
    <definedName name="solver_lhs4" localSheetId="22" hidden="1">'time_h_2r-2p'!$K$35:$K$39</definedName>
    <definedName name="solver_lhs4" localSheetId="20" hidden="1">time_h_general!$P$7:$T$7</definedName>
    <definedName name="solver_lhs4" localSheetId="19" hidden="1">time_h_general_supCurves!$P$7:$T$7</definedName>
    <definedName name="solver_lhs4" localSheetId="23" hidden="1">time_y_1r!$AF$79</definedName>
    <definedName name="solver_lhs4" localSheetId="11" hidden="1">'trades_2r-2p_2problems'!$P$22:$P$23</definedName>
    <definedName name="solver_lhs5" localSheetId="34" hidden="1">economics_y15_DEPR!#REF!</definedName>
    <definedName name="solver_lhs5" localSheetId="37" hidden="1">'economics_y20 (2)'!$Y$43</definedName>
    <definedName name="solver_lhs5" localSheetId="33" hidden="1">economics_y20_capNew!$Y$28</definedName>
    <definedName name="solver_lhs5" localSheetId="26" hidden="1">'storage1_1r-1p'!$O$22:$O$26</definedName>
    <definedName name="solver_lhs5" localSheetId="27" hidden="1">'storage2_1r-1p-st2_DEPRECATED'!$V$9:$Z$9</definedName>
    <definedName name="solver_lhs5" localSheetId="28" hidden="1">'storage2_1r-2p'!$U$29:$U$33</definedName>
    <definedName name="solver_lhs5" localSheetId="29" hidden="1">'storage2_1r-2p_TEST'!$U$28:$U$32</definedName>
    <definedName name="solver_lhs5" localSheetId="30" hidden="1">'storage3_1r-4p'!$AB$38</definedName>
    <definedName name="solver_lhs5" localSheetId="21" hidden="1">'time_h_1r-3p'!$M$31</definedName>
    <definedName name="solver_lhs5" localSheetId="10" hidden="1">'time_h_1r-3p_DEPRECATED'!$N$33</definedName>
    <definedName name="solver_lhs5" localSheetId="25" hidden="1">'time_h_1r-3p_storage_c-d_DEP'!$T$6:$X$6</definedName>
    <definedName name="solver_lhs5" localSheetId="22" hidden="1">'time_h_2r-2p'!$U$58</definedName>
    <definedName name="solver_lhs5" localSheetId="20" hidden="1">time_h_general!$H$23:$I$27</definedName>
    <definedName name="solver_lhs5" localSheetId="19" hidden="1">time_h_general_supCurves!$H$23:$I$27</definedName>
    <definedName name="solver_lhs5" localSheetId="23" hidden="1">time_y_1r!$I$53:$L$53</definedName>
    <definedName name="solver_lhs6" localSheetId="34" hidden="1">economics_y15_DEPR!#REF!</definedName>
    <definedName name="solver_lhs6" localSheetId="37" hidden="1">'economics_y20 (2)'!#REF!</definedName>
    <definedName name="solver_lhs6" localSheetId="33" hidden="1">economics_y20_capNew!$Y$38:$Y$43</definedName>
    <definedName name="solver_lhs6" localSheetId="26" hidden="1">'storage1_1r-1p'!$O$26</definedName>
    <definedName name="solver_lhs6" localSheetId="27" hidden="1">'storage2_1r-1p-st2_DEPRECATED'!$Z$9</definedName>
    <definedName name="solver_lhs6" localSheetId="28" hidden="1">'storage2_1r-2p'!$L$29:$L$33</definedName>
    <definedName name="solver_lhs6" localSheetId="29" hidden="1">'storage2_1r-2p_TEST'!$U$32</definedName>
    <definedName name="solver_lhs6" localSheetId="30" hidden="1">'storage3_1r-4p'!$F$34:$H$38</definedName>
    <definedName name="solver_lhs6" localSheetId="25" hidden="1">'time_h_1r-3p_storage_c-d_DEP'!$T$6:$X$6</definedName>
    <definedName name="solver_lhs6" localSheetId="22" hidden="1">'time_h_2r-2p'!$Z$6</definedName>
    <definedName name="solver_lhs6" localSheetId="23" hidden="1">time_y_1r!$N$53:$N$72</definedName>
    <definedName name="solver_lhs7" localSheetId="34" hidden="1">economics_y15_DEPR!#REF!</definedName>
    <definedName name="solver_lhs7" localSheetId="37" hidden="1">'economics_y20 (2)'!#REF!</definedName>
    <definedName name="solver_lhs7" localSheetId="33" hidden="1">economics_y20_capNew!$Z$28</definedName>
    <definedName name="solver_lhs7" localSheetId="26" hidden="1">'storage1_1r-1p'!$AG$22:$AG$26</definedName>
    <definedName name="solver_lhs7" localSheetId="27" hidden="1">'storage2_1r-1p-st2_DEPRECATED'!$K$28:$K$32</definedName>
    <definedName name="solver_lhs7" localSheetId="28" hidden="1">'storage2_1r-2p'!$U$29</definedName>
    <definedName name="solver_lhs7" localSheetId="29" hidden="1">'storage2_1r-2p_TEST'!$L$28:$L$32</definedName>
    <definedName name="solver_lhs7" localSheetId="30" hidden="1">'storage3_1r-4p'!$J$34:$N$38</definedName>
    <definedName name="solver_lhs7" localSheetId="25" hidden="1">'time_h_1r-3p_storage_c-d_DEP'!$X$6</definedName>
    <definedName name="solver_lhs7" localSheetId="22" hidden="1">'time_h_2r-2p'!$Z$4</definedName>
    <definedName name="solver_lhs7" localSheetId="23" hidden="1">time_y_1r!$K$79:$L$98</definedName>
    <definedName name="solver_lhs8" localSheetId="26" hidden="1">'storage1_1r-1p'!$AF$22:$AF$26</definedName>
    <definedName name="solver_lhs8" localSheetId="28" hidden="1">'storage2_1r-2p'!$U$33</definedName>
    <definedName name="solver_lhs8" localSheetId="29" hidden="1">'storage2_1r-2p_TEST'!$K$28:$K$32</definedName>
    <definedName name="solver_lhs8" localSheetId="30" hidden="1">'storage3_1r-4p'!$E$40</definedName>
    <definedName name="solver_lhs8" localSheetId="22" hidden="1">'time_h_2r-2p'!$Z$10</definedName>
    <definedName name="solver_lhs9" localSheetId="28" hidden="1">'storage2_1r-2p'!$K$29:$K$33</definedName>
    <definedName name="solver_lhs9" localSheetId="30" hidden="1">'storage3_1r-4p'!$I$40</definedName>
    <definedName name="solver_lhs9" localSheetId="22" hidden="1">'time_h_2r-2p'!$Z$8</definedName>
    <definedName name="solver_lin" localSheetId="33" hidden="1">1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34" hidden="1">2147483647</definedName>
    <definedName name="solver_mip" localSheetId="37" hidden="1">2147483647</definedName>
    <definedName name="solver_mip" localSheetId="33" hidden="1">2147483647</definedName>
    <definedName name="solver_mip" localSheetId="26" hidden="1">2147483647</definedName>
    <definedName name="solver_mip" localSheetId="27" hidden="1">2147483647</definedName>
    <definedName name="solver_mip" localSheetId="28" hidden="1">2147483647</definedName>
    <definedName name="solver_mip" localSheetId="29" hidden="1">2147483647</definedName>
    <definedName name="solver_mip" localSheetId="30" hidden="1">2147483647</definedName>
    <definedName name="solver_mip" localSheetId="21" hidden="1">2147483647</definedName>
    <definedName name="solver_mip" localSheetId="25" hidden="1">2147483647</definedName>
    <definedName name="solver_mip" localSheetId="22" hidden="1">2147483647</definedName>
    <definedName name="solver_mip" localSheetId="20" hidden="1">2147483647</definedName>
    <definedName name="solver_mip" localSheetId="19" hidden="1">2147483647</definedName>
    <definedName name="solver_mip" localSheetId="23" hidden="1">2147483647</definedName>
    <definedName name="solver_mip" localSheetId="11" hidden="1">2147483647</definedName>
    <definedName name="solver_mip" localSheetId="5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ni" localSheetId="34" hidden="1">30</definedName>
    <definedName name="solver_mni" localSheetId="37" hidden="1">30</definedName>
    <definedName name="solver_mni" localSheetId="33" hidden="1">30</definedName>
    <definedName name="solver_mni" localSheetId="26" hidden="1">30</definedName>
    <definedName name="solver_mni" localSheetId="27" hidden="1">30</definedName>
    <definedName name="solver_mni" localSheetId="28" hidden="1">30</definedName>
    <definedName name="solver_mni" localSheetId="29" hidden="1">30</definedName>
    <definedName name="solver_mni" localSheetId="30" hidden="1">30</definedName>
    <definedName name="solver_mni" localSheetId="21" hidden="1">30</definedName>
    <definedName name="solver_mni" localSheetId="25" hidden="1">30</definedName>
    <definedName name="solver_mni" localSheetId="22" hidden="1">30</definedName>
    <definedName name="solver_mni" localSheetId="20" hidden="1">30</definedName>
    <definedName name="solver_mni" localSheetId="19" hidden="1">30</definedName>
    <definedName name="solver_mni" localSheetId="23" hidden="1">30</definedName>
    <definedName name="solver_mni" localSheetId="11" hidden="1">30</definedName>
    <definedName name="solver_mni" localSheetId="5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rt" localSheetId="34" hidden="1">0.075</definedName>
    <definedName name="solver_mrt" localSheetId="37" hidden="1">0.075</definedName>
    <definedName name="solver_mrt" localSheetId="33" hidden="1">0.075</definedName>
    <definedName name="solver_mrt" localSheetId="26" hidden="1">0.075</definedName>
    <definedName name="solver_mrt" localSheetId="27" hidden="1">0.075</definedName>
    <definedName name="solver_mrt" localSheetId="28" hidden="1">0.075</definedName>
    <definedName name="solver_mrt" localSheetId="29" hidden="1">0.075</definedName>
    <definedName name="solver_mrt" localSheetId="30" hidden="1">0.075</definedName>
    <definedName name="solver_mrt" localSheetId="21" hidden="1">0.075</definedName>
    <definedName name="solver_mrt" localSheetId="25" hidden="1">0.075</definedName>
    <definedName name="solver_mrt" localSheetId="22" hidden="1">0.075</definedName>
    <definedName name="solver_mrt" localSheetId="20" hidden="1">0.075</definedName>
    <definedName name="solver_mrt" localSheetId="19" hidden="1">0.075</definedName>
    <definedName name="solver_mrt" localSheetId="23" hidden="1">0.075</definedName>
    <definedName name="solver_mrt" localSheetId="11" hidden="1">0.075</definedName>
    <definedName name="solver_mrt" localSheetId="5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msl" localSheetId="34" hidden="1">2</definedName>
    <definedName name="solver_msl" localSheetId="37" hidden="1">2</definedName>
    <definedName name="solver_msl" localSheetId="33" hidden="1">2</definedName>
    <definedName name="solver_msl" localSheetId="26" hidden="1">2</definedName>
    <definedName name="solver_msl" localSheetId="27" hidden="1">2</definedName>
    <definedName name="solver_msl" localSheetId="28" hidden="1">2</definedName>
    <definedName name="solver_msl" localSheetId="29" hidden="1">2</definedName>
    <definedName name="solver_msl" localSheetId="30" hidden="1">2</definedName>
    <definedName name="solver_msl" localSheetId="21" hidden="1">2</definedName>
    <definedName name="solver_msl" localSheetId="25" hidden="1">2</definedName>
    <definedName name="solver_msl" localSheetId="22" hidden="1">2</definedName>
    <definedName name="solver_msl" localSheetId="20" hidden="1">2</definedName>
    <definedName name="solver_msl" localSheetId="19" hidden="1">2</definedName>
    <definedName name="solver_msl" localSheetId="23" hidden="1">2</definedName>
    <definedName name="solver_msl" localSheetId="11" hidden="1">2</definedName>
    <definedName name="solver_msl" localSheetId="5" hidden="1">2</definedName>
    <definedName name="solver_neg" localSheetId="38" hidden="1">1</definedName>
    <definedName name="solver_neg" localSheetId="39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31" hidden="1">1</definedName>
    <definedName name="solver_neg" localSheetId="32" hidden="1">1</definedName>
    <definedName name="solver_neg" localSheetId="34" hidden="1">1</definedName>
    <definedName name="solver_neg" localSheetId="37" hidden="1">1</definedName>
    <definedName name="solver_neg" localSheetId="33" hidden="1">1</definedName>
    <definedName name="solver_neg" localSheetId="12" hidden="1">1</definedName>
    <definedName name="solver_neg" localSheetId="15" hidden="1">1</definedName>
    <definedName name="solver_neg" localSheetId="16" hidden="1">1</definedName>
    <definedName name="solver_neg" localSheetId="13" hidden="1">1</definedName>
    <definedName name="solver_neg" localSheetId="17" hidden="1">1</definedName>
    <definedName name="solver_neg" localSheetId="40" hidden="1">1</definedName>
    <definedName name="solver_neg" localSheetId="14" hidden="1">1</definedName>
    <definedName name="solver_neg" localSheetId="18" hidden="1">1</definedName>
    <definedName name="solver_neg" localSheetId="9" hidden="1">1</definedName>
    <definedName name="solver_neg" localSheetId="42" hidden="1">1</definedName>
    <definedName name="solver_neg" localSheetId="26" hidden="1">0</definedName>
    <definedName name="solver_neg" localSheetId="27" hidden="1">0</definedName>
    <definedName name="solver_neg" localSheetId="28" hidden="1">0</definedName>
    <definedName name="solver_neg" localSheetId="29" hidden="1">0</definedName>
    <definedName name="solver_neg" localSheetId="30" hidden="1">0</definedName>
    <definedName name="solver_neg" localSheetId="21" hidden="1">1</definedName>
    <definedName name="solver_neg" localSheetId="10" hidden="1">1</definedName>
    <definedName name="solver_neg" localSheetId="25" hidden="1">0</definedName>
    <definedName name="solver_neg" localSheetId="22" hidden="1">1</definedName>
    <definedName name="solver_neg" localSheetId="20" hidden="1">1</definedName>
    <definedName name="solver_neg" localSheetId="19" hidden="1">1</definedName>
    <definedName name="solver_neg" localSheetId="23" hidden="1">1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eg" localSheetId="5" hidden="1">2</definedName>
    <definedName name="solver_neg" localSheetId="6" hidden="1">1</definedName>
    <definedName name="solver_neg" localSheetId="7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od" localSheetId="34" hidden="1">2147483647</definedName>
    <definedName name="solver_nod" localSheetId="37" hidden="1">2147483647</definedName>
    <definedName name="solver_nod" localSheetId="33" hidden="1">2147483647</definedName>
    <definedName name="solver_nod" localSheetId="26" hidden="1">2147483647</definedName>
    <definedName name="solver_nod" localSheetId="27" hidden="1">2147483647</definedName>
    <definedName name="solver_nod" localSheetId="28" hidden="1">2147483647</definedName>
    <definedName name="solver_nod" localSheetId="29" hidden="1">2147483647</definedName>
    <definedName name="solver_nod" localSheetId="30" hidden="1">2147483647</definedName>
    <definedName name="solver_nod" localSheetId="21" hidden="1">2147483647</definedName>
    <definedName name="solver_nod" localSheetId="25" hidden="1">2147483647</definedName>
    <definedName name="solver_nod" localSheetId="22" hidden="1">2147483647</definedName>
    <definedName name="solver_nod" localSheetId="20" hidden="1">2147483647</definedName>
    <definedName name="solver_nod" localSheetId="19" hidden="1">2147483647</definedName>
    <definedName name="solver_nod" localSheetId="23" hidden="1">2147483647</definedName>
    <definedName name="solver_nod" localSheetId="11" hidden="1">2147483647</definedName>
    <definedName name="solver_nod" localSheetId="5" hidden="1">2147483647</definedName>
    <definedName name="solver_num" localSheetId="38" hidden="1">2</definedName>
    <definedName name="solver_num" localSheetId="39" hidden="1">1</definedName>
    <definedName name="solver_num" localSheetId="2" hidden="1">3</definedName>
    <definedName name="solver_num" localSheetId="0" hidden="1">3</definedName>
    <definedName name="solver_num" localSheetId="1" hidden="1">2</definedName>
    <definedName name="solver_num" localSheetId="3" hidden="1">2</definedName>
    <definedName name="solver_num" localSheetId="31" hidden="1">2</definedName>
    <definedName name="solver_num" localSheetId="32" hidden="1">2</definedName>
    <definedName name="solver_num" localSheetId="34" hidden="1">4</definedName>
    <definedName name="solver_num" localSheetId="37" hidden="1">5</definedName>
    <definedName name="solver_num" localSheetId="33" hidden="1">7</definedName>
    <definedName name="solver_num" localSheetId="12" hidden="1">1</definedName>
    <definedName name="solver_num" localSheetId="15" hidden="1">2</definedName>
    <definedName name="solver_num" localSheetId="16" hidden="1">2</definedName>
    <definedName name="solver_num" localSheetId="13" hidden="1">2</definedName>
    <definedName name="solver_num" localSheetId="17" hidden="1">3</definedName>
    <definedName name="solver_num" localSheetId="40" hidden="1">2</definedName>
    <definedName name="solver_num" localSheetId="14" hidden="1">1</definedName>
    <definedName name="solver_num" localSheetId="18" hidden="1">1</definedName>
    <definedName name="solver_num" localSheetId="9" hidden="1">1</definedName>
    <definedName name="solver_num" localSheetId="42" hidden="1">0</definedName>
    <definedName name="solver_num" localSheetId="26" hidden="1">8</definedName>
    <definedName name="solver_num" localSheetId="27" hidden="1">6</definedName>
    <definedName name="solver_num" localSheetId="28" hidden="1">8</definedName>
    <definedName name="solver_num" localSheetId="29" hidden="1">8</definedName>
    <definedName name="solver_num" localSheetId="30" hidden="1">9</definedName>
    <definedName name="solver_num" localSheetId="21" hidden="1">5</definedName>
    <definedName name="solver_num" localSheetId="10" hidden="1">5</definedName>
    <definedName name="solver_num" localSheetId="25" hidden="1">7</definedName>
    <definedName name="solver_num" localSheetId="22" hidden="1">13</definedName>
    <definedName name="solver_num" localSheetId="20" hidden="1">5</definedName>
    <definedName name="solver_num" localSheetId="19" hidden="1">5</definedName>
    <definedName name="solver_num" localSheetId="23" hidden="1">5</definedName>
    <definedName name="solver_num" localSheetId="4" hidden="1">1</definedName>
    <definedName name="solver_num" localSheetId="8" hidden="1">1</definedName>
    <definedName name="solver_num" localSheetId="11" hidden="1">4</definedName>
    <definedName name="solver_num" localSheetId="5" hidden="1">1</definedName>
    <definedName name="solver_num" localSheetId="6" hidden="1">1</definedName>
    <definedName name="solver_num" localSheetId="7" hidden="1">1</definedName>
    <definedName name="solver_nwt" localSheetId="38" hidden="1">1</definedName>
    <definedName name="solver_nwt" localSheetId="39" hidden="1">1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31" hidden="1">1</definedName>
    <definedName name="solver_nwt" localSheetId="32" hidden="1">1</definedName>
    <definedName name="solver_nwt" localSheetId="34" hidden="1">1</definedName>
    <definedName name="solver_nwt" localSheetId="37" hidden="1">1</definedName>
    <definedName name="solver_nwt" localSheetId="33" hidden="1">1</definedName>
    <definedName name="solver_nwt" localSheetId="12" hidden="1">1</definedName>
    <definedName name="solver_nwt" localSheetId="15" hidden="1">1</definedName>
    <definedName name="solver_nwt" localSheetId="16" hidden="1">1</definedName>
    <definedName name="solver_nwt" localSheetId="13" hidden="1">1</definedName>
    <definedName name="solver_nwt" localSheetId="17" hidden="1">1</definedName>
    <definedName name="solver_nwt" localSheetId="40" hidden="1">1</definedName>
    <definedName name="solver_nwt" localSheetId="14" hidden="1">1</definedName>
    <definedName name="solver_nwt" localSheetId="18" hidden="1">1</definedName>
    <definedName name="solver_nwt" localSheetId="9" hidden="1">1</definedName>
    <definedName name="solver_nwt" localSheetId="42" hidden="1">1</definedName>
    <definedName name="solver_nwt" localSheetId="26" hidden="1">1</definedName>
    <definedName name="solver_nwt" localSheetId="27" hidden="1">1</definedName>
    <definedName name="solver_nwt" localSheetId="28" hidden="1">1</definedName>
    <definedName name="solver_nwt" localSheetId="29" hidden="1">1</definedName>
    <definedName name="solver_nwt" localSheetId="30" hidden="1">1</definedName>
    <definedName name="solver_nwt" localSheetId="21" hidden="1">1</definedName>
    <definedName name="solver_nwt" localSheetId="10" hidden="1">1</definedName>
    <definedName name="solver_nwt" localSheetId="25" hidden="1">1</definedName>
    <definedName name="solver_nwt" localSheetId="22" hidden="1">1</definedName>
    <definedName name="solver_nwt" localSheetId="20" hidden="1">1</definedName>
    <definedName name="solver_nwt" localSheetId="19" hidden="1">1</definedName>
    <definedName name="solver_nwt" localSheetId="23" hidden="1">1</definedName>
    <definedName name="solver_nwt" localSheetId="4" hidden="1">1</definedName>
    <definedName name="solver_nwt" localSheetId="8" hidden="1">1</definedName>
    <definedName name="solver_nwt" localSheetId="11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8" hidden="1">balances_alleq!$C$26</definedName>
    <definedName name="solver_opt" localSheetId="39" hidden="1">balances_sim_q!$C$26</definedName>
    <definedName name="solver_opt" localSheetId="2" hidden="1">blending!$Y$11</definedName>
    <definedName name="solver_opt" localSheetId="0" hidden="1">'by-products'!$N$55</definedName>
    <definedName name="solver_opt" localSheetId="1" hidden="1">'by-products_a-c'!$AB$14</definedName>
    <definedName name="solver_opt" localSheetId="3" hidden="1">distribution!$P$21</definedName>
    <definedName name="solver_opt" localSheetId="31" hidden="1">economics_base!$K$42</definedName>
    <definedName name="solver_opt" localSheetId="32" hidden="1">'economics_base (2)'!$K$42</definedName>
    <definedName name="solver_opt" localSheetId="34" hidden="1">economics_y15_DEPR!$B$29</definedName>
    <definedName name="solver_opt" localSheetId="37" hidden="1">'economics_y20 (2)'!$B$29</definedName>
    <definedName name="solver_opt" localSheetId="33" hidden="1">economics_y20_capNew!$B$29</definedName>
    <definedName name="solver_opt" localSheetId="12" hidden="1">'emissions_1r-3p'!$AA$10</definedName>
    <definedName name="solver_opt" localSheetId="15" hidden="1">'emissions_1r-3p_bioV1'!$F$35</definedName>
    <definedName name="solver_opt" localSheetId="16" hidden="1">'emissions_1r-3p_bioV2'!$F$38</definedName>
    <definedName name="solver_opt" localSheetId="13" hidden="1">'emissions_1r-3p_blending'!$AA$10</definedName>
    <definedName name="solver_opt" localSheetId="17" hidden="1">'emissions_1r-3p_dual'!$D$17</definedName>
    <definedName name="solver_opt" localSheetId="40" hidden="1">'emissions_1r-3p_primal'!$S$17</definedName>
    <definedName name="solver_opt" localSheetId="14" hidden="1">'emissions_1r-3p_tax'!$AC$13</definedName>
    <definedName name="solver_opt" localSheetId="18" hidden="1">'emissions_2r-3p'!$AP$17</definedName>
    <definedName name="solver_opt" localSheetId="9" hidden="1">emissions_DEPRECATED!$AD$10</definedName>
    <definedName name="solver_opt" localSheetId="26" hidden="1">'storage1_1r-1p'!$V$28</definedName>
    <definedName name="solver_opt" localSheetId="27" hidden="1">'storage2_1r-1p-st2_DEPRECATED'!$P$34</definedName>
    <definedName name="solver_opt" localSheetId="28" hidden="1">'storage2_1r-2p'!$AB$35</definedName>
    <definedName name="solver_opt" localSheetId="29" hidden="1">'storage2_1r-2p_TEST'!$AB$34</definedName>
    <definedName name="solver_opt" localSheetId="30" hidden="1">'storage3_1r-4p'!$AI$40</definedName>
    <definedName name="solver_opt" localSheetId="21" hidden="1">'time_h_1r-3p'!$N$31</definedName>
    <definedName name="solver_opt" localSheetId="10" hidden="1">'time_h_1r-3p_DEPRECATED'!$O$33</definedName>
    <definedName name="solver_opt" localSheetId="25" hidden="1">'time_h_1r-3p_storage_c-d_DEP'!$N$25</definedName>
    <definedName name="solver_opt" localSheetId="22" hidden="1">'time_h_2r-2p'!$U$59</definedName>
    <definedName name="solver_opt" localSheetId="20" hidden="1">time_h_general!$K$29</definedName>
    <definedName name="solver_opt" localSheetId="19" hidden="1">time_h_general_supCurves!$K$29</definedName>
    <definedName name="solver_opt" localSheetId="23" hidden="1">time_y_1r!$AW$100</definedName>
    <definedName name="solver_opt" localSheetId="4" hidden="1">'trades_1r-3p'!$AE$20</definedName>
    <definedName name="solver_opt" localSheetId="8" hidden="1">'trades_2r-2p'!$V$38</definedName>
    <definedName name="solver_opt" localSheetId="11" hidden="1">'trades_2r-2p_2problems'!$T$31</definedName>
    <definedName name="solver_opt" localSheetId="5" hidden="1">'trades_3r-1p'!$S$32</definedName>
    <definedName name="solver_opt" localSheetId="6" hidden="1">'trades_mr(sim)_IOT DEPRECATED'!$P$26</definedName>
    <definedName name="solver_opt" localSheetId="7" hidden="1">'trades_mr(sim)_IOT_2 DEPRECATED'!$AJ$32</definedName>
    <definedName name="solver_pre" localSheetId="39" hidden="1">0.000001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pre" localSheetId="34" hidden="1">0.000001</definedName>
    <definedName name="solver_pre" localSheetId="37" hidden="1">0.000001</definedName>
    <definedName name="solver_pre" localSheetId="33" hidden="1">0.000001</definedName>
    <definedName name="solver_pre" localSheetId="26" hidden="1">0.000001</definedName>
    <definedName name="solver_pre" localSheetId="27" hidden="1">0.000001</definedName>
    <definedName name="solver_pre" localSheetId="28" hidden="1">0.000001</definedName>
    <definedName name="solver_pre" localSheetId="29" hidden="1">0.000001</definedName>
    <definedName name="solver_pre" localSheetId="30" hidden="1">0.000001</definedName>
    <definedName name="solver_pre" localSheetId="21" hidden="1">0.000001</definedName>
    <definedName name="solver_pre" localSheetId="25" hidden="1">0.000001</definedName>
    <definedName name="solver_pre" localSheetId="22" hidden="1">0.000001</definedName>
    <definedName name="solver_pre" localSheetId="20" hidden="1">0.000001</definedName>
    <definedName name="solver_pre" localSheetId="19" hidden="1">0.000001</definedName>
    <definedName name="solver_pre" localSheetId="23" hidden="1">0.000001</definedName>
    <definedName name="solver_pre" localSheetId="11" hidden="1">0.000001</definedName>
    <definedName name="solver_pre" localSheetId="5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bv" localSheetId="34" hidden="1">1</definedName>
    <definedName name="solver_rbv" localSheetId="37" hidden="1">1</definedName>
    <definedName name="solver_rbv" localSheetId="33" hidden="1">1</definedName>
    <definedName name="solver_rbv" localSheetId="26" hidden="1">1</definedName>
    <definedName name="solver_rbv" localSheetId="27" hidden="1">1</definedName>
    <definedName name="solver_rbv" localSheetId="28" hidden="1">1</definedName>
    <definedName name="solver_rbv" localSheetId="29" hidden="1">1</definedName>
    <definedName name="solver_rbv" localSheetId="30" hidden="1">1</definedName>
    <definedName name="solver_rbv" localSheetId="21" hidden="1">1</definedName>
    <definedName name="solver_rbv" localSheetId="25" hidden="1">1</definedName>
    <definedName name="solver_rbv" localSheetId="22" hidden="1">1</definedName>
    <definedName name="solver_rbv" localSheetId="20" hidden="1">1</definedName>
    <definedName name="solver_rbv" localSheetId="19" hidden="1">1</definedName>
    <definedName name="solver_rbv" localSheetId="23" hidden="1">1</definedName>
    <definedName name="solver_rbv" localSheetId="11" hidden="1">1</definedName>
    <definedName name="solver_rbv" localSheetId="5" hidden="1">1</definedName>
    <definedName name="solver_rel1" localSheetId="38" hidden="1">2</definedName>
    <definedName name="solver_rel1" localSheetId="39" hidden="1">2</definedName>
    <definedName name="solver_rel1" localSheetId="2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1" localSheetId="31" hidden="1">2</definedName>
    <definedName name="solver_rel1" localSheetId="32" hidden="1">2</definedName>
    <definedName name="solver_rel1" localSheetId="34" hidden="1">2</definedName>
    <definedName name="solver_rel1" localSheetId="37" hidden="1">2</definedName>
    <definedName name="solver_rel1" localSheetId="33" hidden="1">1</definedName>
    <definedName name="solver_rel1" localSheetId="12" hidden="1">3</definedName>
    <definedName name="solver_rel1" localSheetId="15" hidden="1">2</definedName>
    <definedName name="solver_rel1" localSheetId="16" hidden="1">2</definedName>
    <definedName name="solver_rel1" localSheetId="13" hidden="1">3</definedName>
    <definedName name="solver_rel1" localSheetId="17" hidden="1">1</definedName>
    <definedName name="solver_rel1" localSheetId="40" hidden="1">3</definedName>
    <definedName name="solver_rel1" localSheetId="14" hidden="1">3</definedName>
    <definedName name="solver_rel1" localSheetId="18" hidden="1">3</definedName>
    <definedName name="solver_rel1" localSheetId="9" hidden="1">3</definedName>
    <definedName name="solver_rel1" localSheetId="26" hidden="1">2</definedName>
    <definedName name="solver_rel1" localSheetId="27" hidden="1">2</definedName>
    <definedName name="solver_rel1" localSheetId="28" hidden="1">2</definedName>
    <definedName name="solver_rel1" localSheetId="29" hidden="1">2</definedName>
    <definedName name="solver_rel1" localSheetId="30" hidden="1">2</definedName>
    <definedName name="solver_rel1" localSheetId="21" hidden="1">2</definedName>
    <definedName name="solver_rel1" localSheetId="10" hidden="1">2</definedName>
    <definedName name="solver_rel1" localSheetId="25" hidden="1">2</definedName>
    <definedName name="solver_rel1" localSheetId="22" hidden="1">1</definedName>
    <definedName name="solver_rel1" localSheetId="20" hidden="1">2</definedName>
    <definedName name="solver_rel1" localSheetId="19" hidden="1">2</definedName>
    <definedName name="solver_rel1" localSheetId="23" hidden="1">2</definedName>
    <definedName name="solver_rel1" localSheetId="4" hidden="1">2</definedName>
    <definedName name="solver_rel1" localSheetId="8" hidden="1">2</definedName>
    <definedName name="solver_rel1" localSheetId="11" hidden="1">2</definedName>
    <definedName name="solver_rel1" localSheetId="5" hidden="1">2</definedName>
    <definedName name="solver_rel1" localSheetId="6" hidden="1">2</definedName>
    <definedName name="solver_rel1" localSheetId="7" hidden="1">2</definedName>
    <definedName name="solver_rel10" localSheetId="30" hidden="1">2</definedName>
    <definedName name="solver_rel10" localSheetId="22" hidden="1">2</definedName>
    <definedName name="solver_rel11" localSheetId="22" hidden="1">2</definedName>
    <definedName name="solver_rel12" localSheetId="22" hidden="1">2</definedName>
    <definedName name="solver_rel13" localSheetId="22" hidden="1">2</definedName>
    <definedName name="solver_rel2" localSheetId="38" hidden="1">2</definedName>
    <definedName name="solver_rel2" localSheetId="39" hidden="1">2</definedName>
    <definedName name="solver_rel2" localSheetId="2" hidden="1">1</definedName>
    <definedName name="solver_rel2" localSheetId="0" hidden="1">2</definedName>
    <definedName name="solver_rel2" localSheetId="1" hidden="1">2</definedName>
    <definedName name="solver_rel2" localSheetId="3" hidden="1">2</definedName>
    <definedName name="solver_rel2" localSheetId="31" hidden="1">1</definedName>
    <definedName name="solver_rel2" localSheetId="32" hidden="1">1</definedName>
    <definedName name="solver_rel2" localSheetId="34" hidden="1">1</definedName>
    <definedName name="solver_rel2" localSheetId="37" hidden="1">1</definedName>
    <definedName name="solver_rel2" localSheetId="33" hidden="1">3</definedName>
    <definedName name="solver_rel2" localSheetId="12" hidden="1">1</definedName>
    <definedName name="solver_rel2" localSheetId="15" hidden="1">1</definedName>
    <definedName name="solver_rel2" localSheetId="16" hidden="1">1</definedName>
    <definedName name="solver_rel2" localSheetId="13" hidden="1">2</definedName>
    <definedName name="solver_rel2" localSheetId="17" hidden="1">3</definedName>
    <definedName name="solver_rel2" localSheetId="40" hidden="1">1</definedName>
    <definedName name="solver_rel2" localSheetId="14" hidden="1">1</definedName>
    <definedName name="solver_rel2" localSheetId="18" hidden="1">1</definedName>
    <definedName name="solver_rel2" localSheetId="9" hidden="1">1</definedName>
    <definedName name="solver_rel2" localSheetId="26" hidden="1">3</definedName>
    <definedName name="solver_rel2" localSheetId="27" hidden="1">3</definedName>
    <definedName name="solver_rel2" localSheetId="28" hidden="1">3</definedName>
    <definedName name="solver_rel2" localSheetId="29" hidden="1">3</definedName>
    <definedName name="solver_rel2" localSheetId="30" hidden="1">1</definedName>
    <definedName name="solver_rel2" localSheetId="21" hidden="1">2</definedName>
    <definedName name="solver_rel2" localSheetId="10" hidden="1">2</definedName>
    <definedName name="solver_rel2" localSheetId="25" hidden="1">3</definedName>
    <definedName name="solver_rel2" localSheetId="22" hidden="1">1</definedName>
    <definedName name="solver_rel2" localSheetId="20" hidden="1">2</definedName>
    <definedName name="solver_rel2" localSheetId="19" hidden="1">2</definedName>
    <definedName name="solver_rel2" localSheetId="23" hidden="1">1</definedName>
    <definedName name="solver_rel2" localSheetId="4" hidden="1">1</definedName>
    <definedName name="solver_rel2" localSheetId="8" hidden="1">2</definedName>
    <definedName name="solver_rel2" localSheetId="11" hidden="1">2</definedName>
    <definedName name="solver_rel2" localSheetId="5" hidden="1">2</definedName>
    <definedName name="solver_rel2" localSheetId="6" hidden="1">2</definedName>
    <definedName name="solver_rel2" localSheetId="7" hidden="1">2</definedName>
    <definedName name="solver_rel3" localSheetId="2" hidden="1">2</definedName>
    <definedName name="solver_rel3" localSheetId="0" hidden="1">2</definedName>
    <definedName name="solver_rel3" localSheetId="1" hidden="1">1</definedName>
    <definedName name="solver_rel3" localSheetId="3" hidden="1">2</definedName>
    <definedName name="solver_rel3" localSheetId="34" hidden="1">2</definedName>
    <definedName name="solver_rel3" localSheetId="37" hidden="1">3</definedName>
    <definedName name="solver_rel3" localSheetId="33" hidden="1">2</definedName>
    <definedName name="solver_rel3" localSheetId="13" hidden="1">1</definedName>
    <definedName name="solver_rel3" localSheetId="17" hidden="1">3</definedName>
    <definedName name="solver_rel3" localSheetId="40" hidden="1">1</definedName>
    <definedName name="solver_rel3" localSheetId="26" hidden="1">1</definedName>
    <definedName name="solver_rel3" localSheetId="27" hidden="1">1</definedName>
    <definedName name="solver_rel3" localSheetId="28" hidden="1">1</definedName>
    <definedName name="solver_rel3" localSheetId="29" hidden="1">1</definedName>
    <definedName name="solver_rel3" localSheetId="30" hidden="1">1</definedName>
    <definedName name="solver_rel3" localSheetId="21" hidden="1">2</definedName>
    <definedName name="solver_rel3" localSheetId="10" hidden="1">2</definedName>
    <definedName name="solver_rel3" localSheetId="25" hidden="1">1</definedName>
    <definedName name="solver_rel3" localSheetId="22" hidden="1">1</definedName>
    <definedName name="solver_rel3" localSheetId="20" hidden="1">2</definedName>
    <definedName name="solver_rel3" localSheetId="19" hidden="1">2</definedName>
    <definedName name="solver_rel3" localSheetId="23" hidden="1">2</definedName>
    <definedName name="solver_rel3" localSheetId="11" hidden="1">2</definedName>
    <definedName name="solver_rel4" localSheetId="34" hidden="1">3</definedName>
    <definedName name="solver_rel4" localSheetId="37" hidden="1">2</definedName>
    <definedName name="solver_rel4" localSheetId="33" hidden="1">2</definedName>
    <definedName name="solver_rel4" localSheetId="26" hidden="1">1</definedName>
    <definedName name="solver_rel4" localSheetId="27" hidden="1">1</definedName>
    <definedName name="solver_rel4" localSheetId="28" hidden="1">1</definedName>
    <definedName name="solver_rel4" localSheetId="29" hidden="1">1</definedName>
    <definedName name="solver_rel4" localSheetId="30" hidden="1">3</definedName>
    <definedName name="solver_rel4" localSheetId="21" hidden="1">2</definedName>
    <definedName name="solver_rel4" localSheetId="10" hidden="1">2</definedName>
    <definedName name="solver_rel4" localSheetId="25" hidden="1">1</definedName>
    <definedName name="solver_rel4" localSheetId="22" hidden="1">1</definedName>
    <definedName name="solver_rel4" localSheetId="20" hidden="1">2</definedName>
    <definedName name="solver_rel4" localSheetId="19" hidden="1">2</definedName>
    <definedName name="solver_rel4" localSheetId="23" hidden="1">2</definedName>
    <definedName name="solver_rel4" localSheetId="11" hidden="1">2</definedName>
    <definedName name="solver_rel5" localSheetId="34" hidden="1">2</definedName>
    <definedName name="solver_rel5" localSheetId="37" hidden="1">1</definedName>
    <definedName name="solver_rel5" localSheetId="33" hidden="1">1</definedName>
    <definedName name="solver_rel5" localSheetId="26" hidden="1">3</definedName>
    <definedName name="solver_rel5" localSheetId="27" hidden="1">3</definedName>
    <definedName name="solver_rel5" localSheetId="28" hidden="1">3</definedName>
    <definedName name="solver_rel5" localSheetId="29" hidden="1">3</definedName>
    <definedName name="solver_rel5" localSheetId="30" hidden="1">2</definedName>
    <definedName name="solver_rel5" localSheetId="21" hidden="1">1</definedName>
    <definedName name="solver_rel5" localSheetId="10" hidden="1">1</definedName>
    <definedName name="solver_rel5" localSheetId="25" hidden="1">1</definedName>
    <definedName name="solver_rel5" localSheetId="22" hidden="1">1</definedName>
    <definedName name="solver_rel5" localSheetId="20" hidden="1">1</definedName>
    <definedName name="solver_rel5" localSheetId="19" hidden="1">1</definedName>
    <definedName name="solver_rel5" localSheetId="23" hidden="1">2</definedName>
    <definedName name="solver_rel6" localSheetId="34" hidden="1">1</definedName>
    <definedName name="solver_rel6" localSheetId="37" hidden="1">1</definedName>
    <definedName name="solver_rel6" localSheetId="33" hidden="1">1</definedName>
    <definedName name="solver_rel6" localSheetId="26" hidden="1">2</definedName>
    <definedName name="solver_rel6" localSheetId="27" hidden="1">2</definedName>
    <definedName name="solver_rel6" localSheetId="28" hidden="1">3</definedName>
    <definedName name="solver_rel6" localSheetId="29" hidden="1">2</definedName>
    <definedName name="solver_rel6" localSheetId="30" hidden="1">3</definedName>
    <definedName name="solver_rel6" localSheetId="25" hidden="1">3</definedName>
    <definedName name="solver_rel6" localSheetId="22" hidden="1">2</definedName>
    <definedName name="solver_rel6" localSheetId="23" hidden="1">1</definedName>
    <definedName name="solver_rel7" localSheetId="34" hidden="1">1</definedName>
    <definedName name="solver_rel7" localSheetId="37" hidden="1">1</definedName>
    <definedName name="solver_rel7" localSheetId="33" hidden="1">3</definedName>
    <definedName name="solver_rel7" localSheetId="26" hidden="1">1</definedName>
    <definedName name="solver_rel7" localSheetId="27" hidden="1">3</definedName>
    <definedName name="solver_rel7" localSheetId="28" hidden="1">2</definedName>
    <definedName name="solver_rel7" localSheetId="29" hidden="1">3</definedName>
    <definedName name="solver_rel7" localSheetId="30" hidden="1">3</definedName>
    <definedName name="solver_rel7" localSheetId="25" hidden="1">3</definedName>
    <definedName name="solver_rel7" localSheetId="22" hidden="1">2</definedName>
    <definedName name="solver_rel7" localSheetId="23" hidden="1">1</definedName>
    <definedName name="solver_rel8" localSheetId="26" hidden="1">1</definedName>
    <definedName name="solver_rel8" localSheetId="28" hidden="1">2</definedName>
    <definedName name="solver_rel8" localSheetId="29" hidden="1">1</definedName>
    <definedName name="solver_rel8" localSheetId="30" hidden="1">3</definedName>
    <definedName name="solver_rel8" localSheetId="22" hidden="1">2</definedName>
    <definedName name="solver_rel9" localSheetId="28" hidden="1">1</definedName>
    <definedName name="solver_rel9" localSheetId="30" hidden="1">3</definedName>
    <definedName name="solver_rel9" localSheetId="22" hidden="1">2</definedName>
    <definedName name="solver_rhs1" localSheetId="38" hidden="1">0</definedName>
    <definedName name="solver_rhs1" localSheetId="39" hidden="1">0</definedName>
    <definedName name="solver_rhs1" localSheetId="2" hidden="1">blending!$P$14</definedName>
    <definedName name="solver_rhs1" localSheetId="0" hidden="1">'by-products'!$L$40:$L$46</definedName>
    <definedName name="solver_rhs1" localSheetId="1" hidden="1">'by-products_a-c'!$L$5:$L$11</definedName>
    <definedName name="solver_rhs1" localSheetId="3" hidden="1">distribution!$L$16:$L$19</definedName>
    <definedName name="solver_rhs1" localSheetId="31" hidden="1">0</definedName>
    <definedName name="solver_rhs1" localSheetId="32" hidden="1">0</definedName>
    <definedName name="solver_rhs1" localSheetId="34" hidden="1">economics_y15_DEPR!$I$3:$W$4</definedName>
    <definedName name="solver_rhs1" localSheetId="37" hidden="1">'economics_y20 (2)'!$I$3:$AB$4</definedName>
    <definedName name="solver_rhs1" localSheetId="33" hidden="1">economics_y20_capNew!$J$24:$J$43</definedName>
    <definedName name="solver_rhs1" localSheetId="12" hidden="1">'emissions_1r-3p'!$M$3:$M$8</definedName>
    <definedName name="solver_rhs1" localSheetId="15" hidden="1">'emissions_1r-3p_bioV1'!$N$3:$N$9</definedName>
    <definedName name="solver_rhs1" localSheetId="16" hidden="1">'emissions_1r-3p_bioV2'!$O$3:$O$10</definedName>
    <definedName name="solver_rhs1" localSheetId="13" hidden="1">'emissions_1r-3p_blending'!$M$3:$M$8</definedName>
    <definedName name="solver_rhs1" localSheetId="17" hidden="1">0</definedName>
    <definedName name="solver_rhs1" localSheetId="40" hidden="1">'emissions_1r-3p_primal'!$L$3:$L$8</definedName>
    <definedName name="solver_rhs1" localSheetId="14" hidden="1">'emissions_1r-3p_tax'!$M$3:$M$8</definedName>
    <definedName name="solver_rhs1" localSheetId="18" hidden="1">'emissions_2r-3p'!$U$4:$U$15</definedName>
    <definedName name="solver_rhs1" localSheetId="9" hidden="1">emissions_DEPRECATED!$M$3:$M$8</definedName>
    <definedName name="solver_rhs1" localSheetId="26" hidden="1">0</definedName>
    <definedName name="solver_rhs1" localSheetId="27" hidden="1">0</definedName>
    <definedName name="solver_rhs1" localSheetId="28" hidden="1">0</definedName>
    <definedName name="solver_rhs1" localSheetId="29" hidden="1">0</definedName>
    <definedName name="solver_rhs1" localSheetId="30" hidden="1">0</definedName>
    <definedName name="solver_rhs1" localSheetId="21" hidden="1">0</definedName>
    <definedName name="solver_rhs1" localSheetId="10" hidden="1">0</definedName>
    <definedName name="solver_rhs1" localSheetId="25" hidden="1">0</definedName>
    <definedName name="solver_rhs1" localSheetId="22" hidden="1">'time_h_2r-2p'!$O$16</definedName>
    <definedName name="solver_rhs1" localSheetId="20" hidden="1">0</definedName>
    <definedName name="solver_rhs1" localSheetId="19" hidden="1">0</definedName>
    <definedName name="solver_rhs1" localSheetId="23" hidden="1">time_y_1r!$P$24:$AI$29</definedName>
    <definedName name="solver_rhs1" localSheetId="4" hidden="1">0</definedName>
    <definedName name="solver_rhs1" localSheetId="8" hidden="1">'trades_2r-2p'!$R$24:$R$35</definedName>
    <definedName name="solver_rhs1" localSheetId="11" hidden="1">0</definedName>
    <definedName name="solver_rhs1" localSheetId="5" hidden="1">'trades_3r-1p'!$O$21:$O$29</definedName>
    <definedName name="solver_rhs1" localSheetId="6" hidden="1">'trades_mr(sim)_IOT DEPRECATED'!$L$18:$L$23</definedName>
    <definedName name="solver_rhs1" localSheetId="7" hidden="1">'trades_mr(sim)_IOT_2 DEPRECATED'!$AF$25:$AF$30</definedName>
    <definedName name="solver_rhs10" localSheetId="30" hidden="1">0</definedName>
    <definedName name="solver_rhs10" localSheetId="22" hidden="1">0</definedName>
    <definedName name="solver_rhs11" localSheetId="22" hidden="1">0</definedName>
    <definedName name="solver_rhs12" localSheetId="22" hidden="1">0</definedName>
    <definedName name="solver_rhs13" localSheetId="22" hidden="1">0</definedName>
    <definedName name="solver_rhs2" localSheetId="38" hidden="1">0</definedName>
    <definedName name="solver_rhs2" localSheetId="39" hidden="1">0</definedName>
    <definedName name="solver_rhs2" localSheetId="2" hidden="1">blending!$Q$15</definedName>
    <definedName name="solver_rhs2" localSheetId="0" hidden="1">'by-products'!$L$23:$L$29</definedName>
    <definedName name="solver_rhs2" localSheetId="1" hidden="1">0</definedName>
    <definedName name="solver_rhs2" localSheetId="3" hidden="1">distribution!$Q$27</definedName>
    <definedName name="solver_rhs2" localSheetId="31" hidden="1">economics_base!$I$32</definedName>
    <definedName name="solver_rhs2" localSheetId="32" hidden="1">'economics_base (2)'!$I$32</definedName>
    <definedName name="solver_rhs2" localSheetId="34" hidden="1">economics_y15_DEPR!$J$23:$J$37</definedName>
    <definedName name="solver_rhs2" localSheetId="37" hidden="1">'economics_y20 (2)'!$J$24:$J$43</definedName>
    <definedName name="solver_rhs2" localSheetId="33" hidden="1">economics_y20_capNew!$I$24:$I$43</definedName>
    <definedName name="solver_rhs2" localSheetId="12" hidden="1">'emissions_1r-3p'!$AF$46</definedName>
    <definedName name="solver_rhs2" localSheetId="15" hidden="1">'emissions_1r-3p_bioV1'!$W$28</definedName>
    <definedName name="solver_rhs2" localSheetId="16" hidden="1">'emissions_1r-3p_bioV2'!$Y$27</definedName>
    <definedName name="solver_rhs2" localSheetId="13" hidden="1">'emissions_1r-3p_blending'!$K$23</definedName>
    <definedName name="solver_rhs2" localSheetId="17" hidden="1">0</definedName>
    <definedName name="solver_rhs2" localSheetId="40" hidden="1">'emissions_1r-3p_primal'!$L$11:$L$12</definedName>
    <definedName name="solver_rhs2" localSheetId="14" hidden="1">'emissions_1r-3p_tax'!$AF$48</definedName>
    <definedName name="solver_rhs2" localSheetId="18" hidden="1">'emissions_2r-3p'!$AN$46</definedName>
    <definedName name="solver_rhs2" localSheetId="9" hidden="1">emissions_DEPRECATED!$AF$43</definedName>
    <definedName name="solver_rhs2" localSheetId="26" hidden="1">0</definedName>
    <definedName name="solver_rhs2" localSheetId="27" hidden="1">0</definedName>
    <definedName name="solver_rhs2" localSheetId="28" hidden="1">0</definedName>
    <definedName name="solver_rhs2" localSheetId="29" hidden="1">0</definedName>
    <definedName name="solver_rhs2" localSheetId="30" hidden="1">'storage3_1r-4p'!$AF$34:$AG$38</definedName>
    <definedName name="solver_rhs2" localSheetId="21" hidden="1">0</definedName>
    <definedName name="solver_rhs2" localSheetId="10" hidden="1">0</definedName>
    <definedName name="solver_rhs2" localSheetId="25" hidden="1">0</definedName>
    <definedName name="solver_rhs2" localSheetId="22" hidden="1">'time_h_2r-2p'!$N$16</definedName>
    <definedName name="solver_rhs2" localSheetId="20" hidden="1">0</definedName>
    <definedName name="solver_rhs2" localSheetId="19" hidden="1">0</definedName>
    <definedName name="solver_rhs2" localSheetId="23" hidden="1">time_y_1r!$AC$54:$AF$72</definedName>
    <definedName name="solver_rhs2" localSheetId="4" hidden="1">50</definedName>
    <definedName name="solver_rhs2" localSheetId="8" hidden="1">15</definedName>
    <definedName name="solver_rhs2" localSheetId="11" hidden="1">0</definedName>
    <definedName name="solver_rhs2" localSheetId="5" hidden="1">15</definedName>
    <definedName name="solver_rhs2" localSheetId="6" hidden="1">15</definedName>
    <definedName name="solver_rhs2" localSheetId="7" hidden="1">15</definedName>
    <definedName name="solver_rhs3" localSheetId="2" hidden="1">blending!$W$3:$W$8</definedName>
    <definedName name="solver_rhs3" localSheetId="0" hidden="1">'by-products'!$L$5:$L$11</definedName>
    <definedName name="solver_rhs3" localSheetId="1" hidden="1">'by-products_a-c'!#REF!</definedName>
    <definedName name="solver_rhs3" localSheetId="3" hidden="1">distribution!$Q$27</definedName>
    <definedName name="solver_rhs3" localSheetId="34" hidden="1">economics_y15_DEPR!$K$23:$K$37</definedName>
    <definedName name="solver_rhs3" localSheetId="37" hidden="1">'economics_y20 (2)'!$I$24:$I$43</definedName>
    <definedName name="solver_rhs3" localSheetId="33" hidden="1">economics_y20_capNew!$K$24:$K$43</definedName>
    <definedName name="solver_rhs3" localSheetId="13" hidden="1">'emissions_1r-3p_blending'!$AF$11</definedName>
    <definedName name="solver_rhs3" localSheetId="17" hidden="1">0</definedName>
    <definedName name="solver_rhs3" localSheetId="40" hidden="1">'emissions_1r-3p_primal'!#REF!</definedName>
    <definedName name="solver_rhs3" localSheetId="26" hidden="1">'storage1_1r-1p'!$S$22:$T$26</definedName>
    <definedName name="solver_rhs3" localSheetId="27" hidden="1">'storage2_1r-1p-st2_DEPRECATED'!$M$28:$N$32</definedName>
    <definedName name="solver_rhs3" localSheetId="28" hidden="1">'storage2_1r-2p'!$Y$29:$Z$33</definedName>
    <definedName name="solver_rhs3" localSheetId="29" hidden="1">'storage2_1r-2p_TEST'!$Y$28:$Z$32</definedName>
    <definedName name="solver_rhs3" localSheetId="30" hidden="1">'storage3_1r-4p'!$AB$42</definedName>
    <definedName name="solver_rhs3" localSheetId="21" hidden="1">0</definedName>
    <definedName name="solver_rhs3" localSheetId="10" hidden="1">0</definedName>
    <definedName name="solver_rhs3" localSheetId="25" hidden="1">0</definedName>
    <definedName name="solver_rhs3" localSheetId="22" hidden="1">'time_h_2r-2p'!$L$16</definedName>
    <definedName name="solver_rhs3" localSheetId="20" hidden="1">0</definedName>
    <definedName name="solver_rhs3" localSheetId="19" hidden="1">0</definedName>
    <definedName name="solver_rhs3" localSheetId="23" hidden="1">0</definedName>
    <definedName name="solver_rhs3" localSheetId="11" hidden="1">0</definedName>
    <definedName name="solver_rhs4" localSheetId="34" hidden="1">economics_y15_DEPR!$I$23:$I$37</definedName>
    <definedName name="solver_rhs4" localSheetId="37" hidden="1">'economics_y20 (2)'!$K$24:$K$43</definedName>
    <definedName name="solver_rhs4" localSheetId="33" hidden="1">economics_y20_capNew!$I$3:$AB$4</definedName>
    <definedName name="solver_rhs4" localSheetId="26" hidden="1">'storage1_1r-1p'!$O$30</definedName>
    <definedName name="solver_rhs4" localSheetId="27" hidden="1">'storage2_1r-1p-st2_DEPRECATED'!$Z$11</definedName>
    <definedName name="solver_rhs4" localSheetId="28" hidden="1">'storage2_1r-2p'!$U$37</definedName>
    <definedName name="solver_rhs4" localSheetId="29" hidden="1">'storage2_1r-2p_TEST'!$U$36</definedName>
    <definedName name="solver_rhs4" localSheetId="30" hidden="1">'storage3_1r-4p'!$AB$43</definedName>
    <definedName name="solver_rhs4" localSheetId="21" hidden="1">0</definedName>
    <definedName name="solver_rhs4" localSheetId="10" hidden="1">0</definedName>
    <definedName name="solver_rhs4" localSheetId="25" hidden="1">'time_h_1r-3p_storage_c-d_DEP'!$K$19:$L$23</definedName>
    <definedName name="solver_rhs4" localSheetId="22" hidden="1">'time_h_2r-2p'!$K$16</definedName>
    <definedName name="solver_rhs4" localSheetId="20" hidden="1">0</definedName>
    <definedName name="solver_rhs4" localSheetId="19" hidden="1">0</definedName>
    <definedName name="solver_rhs4" localSheetId="23" hidden="1">0</definedName>
    <definedName name="solver_rhs4" localSheetId="11" hidden="1">0</definedName>
    <definedName name="solver_rhs5" localSheetId="34" hidden="1">0</definedName>
    <definedName name="solver_rhs5" localSheetId="37" hidden="1">100</definedName>
    <definedName name="solver_rhs5" localSheetId="33" hidden="1">280</definedName>
    <definedName name="solver_rhs5" localSheetId="26" hidden="1">'storage1_1r-1p'!$O$31</definedName>
    <definedName name="solver_rhs5" localSheetId="27" hidden="1">'storage2_1r-1p-st2_DEPRECATED'!$Z$12</definedName>
    <definedName name="solver_rhs5" localSheetId="28" hidden="1">'storage2_1r-2p'!$U$38</definedName>
    <definedName name="solver_rhs5" localSheetId="29" hidden="1">'storage2_1r-2p_TEST'!$U$37</definedName>
    <definedName name="solver_rhs5" localSheetId="30" hidden="1">'storage3_1r-4p'!$AB$41</definedName>
    <definedName name="solver_rhs5" localSheetId="21" hidden="1">'time_h_1r-3p'!$M$32</definedName>
    <definedName name="solver_rhs5" localSheetId="10" hidden="1">'time_h_1r-3p_DEPRECATED'!$N$34</definedName>
    <definedName name="solver_rhs5" localSheetId="25" hidden="1">'time_h_1r-3p_storage_c-d_DEP'!$X$8</definedName>
    <definedName name="solver_rhs5" localSheetId="22" hidden="1">'time_h_2r-2p'!$W$58</definedName>
    <definedName name="solver_rhs5" localSheetId="20" hidden="1">time_h_general!$Z$23:$AA$27</definedName>
    <definedName name="solver_rhs5" localSheetId="19" hidden="1">time_h_general_supCurves!$AE$23:$AF$27</definedName>
    <definedName name="solver_rhs5" localSheetId="23" hidden="1">time_y_1r!$AC$53:$AF$53</definedName>
    <definedName name="solver_rhs6" localSheetId="34" hidden="1">economics_y15_DEPR!#REF!</definedName>
    <definedName name="solver_rhs6" localSheetId="37" hidden="1">'economics_y20 (2)'!#REF!</definedName>
    <definedName name="solver_rhs6" localSheetId="33" hidden="1">50</definedName>
    <definedName name="solver_rhs6" localSheetId="26" hidden="1">'storage1_1r-1p'!$O$29</definedName>
    <definedName name="solver_rhs6" localSheetId="27" hidden="1">'storage2_1r-1p-st2_DEPRECATED'!$W$12</definedName>
    <definedName name="solver_rhs6" localSheetId="28" hidden="1">0</definedName>
    <definedName name="solver_rhs6" localSheetId="29" hidden="1">'storage2_1r-2p_TEST'!$U$35</definedName>
    <definedName name="solver_rhs6" localSheetId="30" hidden="1">0</definedName>
    <definedName name="solver_rhs6" localSheetId="25" hidden="1">'time_h_1r-3p_storage_c-d_DEP'!$X$9</definedName>
    <definedName name="solver_rhs6" localSheetId="22" hidden="1">0</definedName>
    <definedName name="solver_rhs6" localSheetId="23" hidden="1">time_y_1r!$O$53:$O$72</definedName>
    <definedName name="solver_rhs7" localSheetId="34" hidden="1">economics_y15_DEPR!#REF!</definedName>
    <definedName name="solver_rhs7" localSheetId="37" hidden="1">'economics_y20 (2)'!#REF!</definedName>
    <definedName name="solver_rhs7" localSheetId="33" hidden="1">300</definedName>
    <definedName name="solver_rhs7" localSheetId="26" hidden="1">'storage1_1r-1p'!$AF$30</definedName>
    <definedName name="solver_rhs7" localSheetId="27" hidden="1">0</definedName>
    <definedName name="solver_rhs7" localSheetId="28" hidden="1">'storage2_1r-2p'!$U$35</definedName>
    <definedName name="solver_rhs7" localSheetId="29" hidden="1">0</definedName>
    <definedName name="solver_rhs7" localSheetId="30" hidden="1">0</definedName>
    <definedName name="solver_rhs7" localSheetId="25" hidden="1">'time_h_1r-3p_storage_c-d_DEP'!$U$9</definedName>
    <definedName name="solver_rhs7" localSheetId="22" hidden="1">0</definedName>
    <definedName name="solver_rhs7" localSheetId="23" hidden="1">time_y_1r!#REF!</definedName>
    <definedName name="solver_rhs8" localSheetId="26" hidden="1">'storage1_1r-1p'!$AF$30</definedName>
    <definedName name="solver_rhs8" localSheetId="28" hidden="1">'storage2_1r-2p'!$U$36</definedName>
    <definedName name="solver_rhs8" localSheetId="29" hidden="1">0</definedName>
    <definedName name="solver_rhs8" localSheetId="30" hidden="1">0</definedName>
    <definedName name="solver_rhs8" localSheetId="22" hidden="1">0</definedName>
    <definedName name="solver_rhs9" localSheetId="28" hidden="1">0</definedName>
    <definedName name="solver_rhs9" localSheetId="30" hidden="1">0</definedName>
    <definedName name="solver_rhs9" localSheetId="22" hidden="1">0</definedName>
    <definedName name="solver_rlx" localSheetId="38" hidden="1">2</definedName>
    <definedName name="solver_rlx" localSheetId="39" hidden="1">2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31" hidden="1">2</definedName>
    <definedName name="solver_rlx" localSheetId="32" hidden="1">2</definedName>
    <definedName name="solver_rlx" localSheetId="34" hidden="1">2</definedName>
    <definedName name="solver_rlx" localSheetId="37" hidden="1">2</definedName>
    <definedName name="solver_rlx" localSheetId="33" hidden="1">2</definedName>
    <definedName name="solver_rlx" localSheetId="12" hidden="1">2</definedName>
    <definedName name="solver_rlx" localSheetId="15" hidden="1">2</definedName>
    <definedName name="solver_rlx" localSheetId="16" hidden="1">2</definedName>
    <definedName name="solver_rlx" localSheetId="13" hidden="1">2</definedName>
    <definedName name="solver_rlx" localSheetId="17" hidden="1">2</definedName>
    <definedName name="solver_rlx" localSheetId="40" hidden="1">2</definedName>
    <definedName name="solver_rlx" localSheetId="14" hidden="1">2</definedName>
    <definedName name="solver_rlx" localSheetId="18" hidden="1">2</definedName>
    <definedName name="solver_rlx" localSheetId="9" hidden="1">2</definedName>
    <definedName name="solver_rlx" localSheetId="42" hidden="1">2</definedName>
    <definedName name="solver_rlx" localSheetId="26" hidden="1">2</definedName>
    <definedName name="solver_rlx" localSheetId="27" hidden="1">2</definedName>
    <definedName name="solver_rlx" localSheetId="28" hidden="1">2</definedName>
    <definedName name="solver_rlx" localSheetId="29" hidden="1">2</definedName>
    <definedName name="solver_rlx" localSheetId="30" hidden="1">2</definedName>
    <definedName name="solver_rlx" localSheetId="21" hidden="1">2</definedName>
    <definedName name="solver_rlx" localSheetId="10" hidden="1">2</definedName>
    <definedName name="solver_rlx" localSheetId="25" hidden="1">2</definedName>
    <definedName name="solver_rlx" localSheetId="22" hidden="1">2</definedName>
    <definedName name="solver_rlx" localSheetId="20" hidden="1">2</definedName>
    <definedName name="solver_rlx" localSheetId="19" hidden="1">2</definedName>
    <definedName name="solver_rlx" localSheetId="23" hidden="1">2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rsd" localSheetId="34" hidden="1">0</definedName>
    <definedName name="solver_rsd" localSheetId="37" hidden="1">0</definedName>
    <definedName name="solver_rsd" localSheetId="33" hidden="1">0</definedName>
    <definedName name="solver_rsd" localSheetId="26" hidden="1">0</definedName>
    <definedName name="solver_rsd" localSheetId="27" hidden="1">0</definedName>
    <definedName name="solver_rsd" localSheetId="28" hidden="1">0</definedName>
    <definedName name="solver_rsd" localSheetId="29" hidden="1">0</definedName>
    <definedName name="solver_rsd" localSheetId="30" hidden="1">0</definedName>
    <definedName name="solver_rsd" localSheetId="21" hidden="1">0</definedName>
    <definedName name="solver_rsd" localSheetId="25" hidden="1">0</definedName>
    <definedName name="solver_rsd" localSheetId="22" hidden="1">0</definedName>
    <definedName name="solver_rsd" localSheetId="20" hidden="1">0</definedName>
    <definedName name="solver_rsd" localSheetId="19" hidden="1">0</definedName>
    <definedName name="solver_rsd" localSheetId="23" hidden="1">0</definedName>
    <definedName name="solver_rsd" localSheetId="11" hidden="1">0</definedName>
    <definedName name="solver_rsd" localSheetId="5" hidden="1">0</definedName>
    <definedName name="solver_scl" localSheetId="38" hidden="1">2</definedName>
    <definedName name="solver_scl" localSheetId="39" hidden="1">2</definedName>
    <definedName name="solver_scl" localSheetId="2" hidden="1">2</definedName>
    <definedName name="solver_scl" localSheetId="0" hidden="1">2</definedName>
    <definedName name="solver_scl" localSheetId="1" hidden="1">2</definedName>
    <definedName name="solver_scl" localSheetId="3" hidden="1">2</definedName>
    <definedName name="solver_scl" localSheetId="31" hidden="1">2</definedName>
    <definedName name="solver_scl" localSheetId="32" hidden="1">2</definedName>
    <definedName name="solver_scl" localSheetId="34" hidden="1">2</definedName>
    <definedName name="solver_scl" localSheetId="37" hidden="1">2</definedName>
    <definedName name="solver_scl" localSheetId="33" hidden="1">2</definedName>
    <definedName name="solver_scl" localSheetId="12" hidden="1">2</definedName>
    <definedName name="solver_scl" localSheetId="15" hidden="1">2</definedName>
    <definedName name="solver_scl" localSheetId="16" hidden="1">2</definedName>
    <definedName name="solver_scl" localSheetId="13" hidden="1">2</definedName>
    <definedName name="solver_scl" localSheetId="17" hidden="1">2</definedName>
    <definedName name="solver_scl" localSheetId="40" hidden="1">2</definedName>
    <definedName name="solver_scl" localSheetId="14" hidden="1">2</definedName>
    <definedName name="solver_scl" localSheetId="18" hidden="1">2</definedName>
    <definedName name="solver_scl" localSheetId="9" hidden="1">2</definedName>
    <definedName name="solver_scl" localSheetId="42" hidden="1">2</definedName>
    <definedName name="solver_scl" localSheetId="26" hidden="1">2</definedName>
    <definedName name="solver_scl" localSheetId="27" hidden="1">2</definedName>
    <definedName name="solver_scl" localSheetId="28" hidden="1">2</definedName>
    <definedName name="solver_scl" localSheetId="29" hidden="1">2</definedName>
    <definedName name="solver_scl" localSheetId="30" hidden="1">2</definedName>
    <definedName name="solver_scl" localSheetId="21" hidden="1">2</definedName>
    <definedName name="solver_scl" localSheetId="10" hidden="1">2</definedName>
    <definedName name="solver_scl" localSheetId="25" hidden="1">2</definedName>
    <definedName name="solver_scl" localSheetId="22" hidden="1">2</definedName>
    <definedName name="solver_scl" localSheetId="20" hidden="1">2</definedName>
    <definedName name="solver_scl" localSheetId="19" hidden="1">2</definedName>
    <definedName name="solver_scl" localSheetId="23" hidden="1">2</definedName>
    <definedName name="solver_scl" localSheetId="4" hidden="1">2</definedName>
    <definedName name="solver_scl" localSheetId="8" hidden="1">2</definedName>
    <definedName name="solver_scl" localSheetId="11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ho" localSheetId="38" hidden="1">0</definedName>
    <definedName name="solver_sho" localSheetId="39" hidden="1">0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ho" localSheetId="3" hidden="1">0</definedName>
    <definedName name="solver_sho" localSheetId="31" hidden="1">0</definedName>
    <definedName name="solver_sho" localSheetId="32" hidden="1">0</definedName>
    <definedName name="solver_sho" localSheetId="34" hidden="1">0</definedName>
    <definedName name="solver_sho" localSheetId="37" hidden="1">0</definedName>
    <definedName name="solver_sho" localSheetId="33" hidden="1">2</definedName>
    <definedName name="solver_sho" localSheetId="12" hidden="1">0</definedName>
    <definedName name="solver_sho" localSheetId="15" hidden="1">0</definedName>
    <definedName name="solver_sho" localSheetId="16" hidden="1">0</definedName>
    <definedName name="solver_sho" localSheetId="13" hidden="1">0</definedName>
    <definedName name="solver_sho" localSheetId="17" hidden="1">0</definedName>
    <definedName name="solver_sho" localSheetId="40" hidden="1">0</definedName>
    <definedName name="solver_sho" localSheetId="14" hidden="1">0</definedName>
    <definedName name="solver_sho" localSheetId="18" hidden="1">0</definedName>
    <definedName name="solver_sho" localSheetId="9" hidden="1">0</definedName>
    <definedName name="solver_sho" localSheetId="26" hidden="1">2</definedName>
    <definedName name="solver_sho" localSheetId="27" hidden="1">2</definedName>
    <definedName name="solver_sho" localSheetId="28" hidden="1">2</definedName>
    <definedName name="solver_sho" localSheetId="29" hidden="1">2</definedName>
    <definedName name="solver_sho" localSheetId="30" hidden="1">2</definedName>
    <definedName name="solver_sho" localSheetId="21" hidden="1">2</definedName>
    <definedName name="solver_sho" localSheetId="10" hidden="1">0</definedName>
    <definedName name="solver_sho" localSheetId="25" hidden="1">2</definedName>
    <definedName name="solver_sho" localSheetId="22" hidden="1">2</definedName>
    <definedName name="solver_sho" localSheetId="20" hidden="1">2</definedName>
    <definedName name="solver_sho" localSheetId="19" hidden="1">2</definedName>
    <definedName name="solver_sho" localSheetId="23" hidden="1">2</definedName>
    <definedName name="solver_sho" localSheetId="4" hidden="1">0</definedName>
    <definedName name="solver_sho" localSheetId="8" hidden="1">0</definedName>
    <definedName name="solver_sho" localSheetId="11" hidden="1">2</definedName>
    <definedName name="solver_sho" localSheetId="5" hidden="1">2</definedName>
    <definedName name="solver_sho" localSheetId="6" hidden="1">0</definedName>
    <definedName name="solver_sho" localSheetId="7" hidden="1">0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ssz" localSheetId="34" hidden="1">100</definedName>
    <definedName name="solver_ssz" localSheetId="37" hidden="1">100</definedName>
    <definedName name="solver_ssz" localSheetId="33" hidden="1">100</definedName>
    <definedName name="solver_ssz" localSheetId="26" hidden="1">100</definedName>
    <definedName name="solver_ssz" localSheetId="27" hidden="1">100</definedName>
    <definedName name="solver_ssz" localSheetId="28" hidden="1">100</definedName>
    <definedName name="solver_ssz" localSheetId="29" hidden="1">100</definedName>
    <definedName name="solver_ssz" localSheetId="30" hidden="1">100</definedName>
    <definedName name="solver_ssz" localSheetId="21" hidden="1">100</definedName>
    <definedName name="solver_ssz" localSheetId="25" hidden="1">100</definedName>
    <definedName name="solver_ssz" localSheetId="22" hidden="1">100</definedName>
    <definedName name="solver_ssz" localSheetId="20" hidden="1">100</definedName>
    <definedName name="solver_ssz" localSheetId="19" hidden="1">100</definedName>
    <definedName name="solver_ssz" localSheetId="23" hidden="1">100</definedName>
    <definedName name="solver_ssz" localSheetId="11" hidden="1">100</definedName>
    <definedName name="solver_ssz" localSheetId="5" hidden="1">100</definedName>
    <definedName name="solver_tim" localSheetId="38" hidden="1">2147483647</definedName>
    <definedName name="solver_tim" localSheetId="39" hidden="1">2147483647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31" hidden="1">2147483647</definedName>
    <definedName name="solver_tim" localSheetId="32" hidden="1">2147483647</definedName>
    <definedName name="solver_tim" localSheetId="34" hidden="1">2147483647</definedName>
    <definedName name="solver_tim" localSheetId="37" hidden="1">2147483647</definedName>
    <definedName name="solver_tim" localSheetId="33" hidden="1">2147483647</definedName>
    <definedName name="solver_tim" localSheetId="12" hidden="1">2147483647</definedName>
    <definedName name="solver_tim" localSheetId="15" hidden="1">2147483647</definedName>
    <definedName name="solver_tim" localSheetId="16" hidden="1">2147483647</definedName>
    <definedName name="solver_tim" localSheetId="13" hidden="1">2147483647</definedName>
    <definedName name="solver_tim" localSheetId="17" hidden="1">2147483647</definedName>
    <definedName name="solver_tim" localSheetId="40" hidden="1">2147483647</definedName>
    <definedName name="solver_tim" localSheetId="14" hidden="1">2147483647</definedName>
    <definedName name="solver_tim" localSheetId="18" hidden="1">2147483647</definedName>
    <definedName name="solver_tim" localSheetId="9" hidden="1">2147483647</definedName>
    <definedName name="solver_tim" localSheetId="26" hidden="1">2147483647</definedName>
    <definedName name="solver_tim" localSheetId="27" hidden="1">2147483647</definedName>
    <definedName name="solver_tim" localSheetId="28" hidden="1">2147483647</definedName>
    <definedName name="solver_tim" localSheetId="29" hidden="1">2147483647</definedName>
    <definedName name="solver_tim" localSheetId="30" hidden="1">2147483647</definedName>
    <definedName name="solver_tim" localSheetId="21" hidden="1">2147483647</definedName>
    <definedName name="solver_tim" localSheetId="10" hidden="1">2147483647</definedName>
    <definedName name="solver_tim" localSheetId="25" hidden="1">2147483647</definedName>
    <definedName name="solver_tim" localSheetId="22" hidden="1">2147483647</definedName>
    <definedName name="solver_tim" localSheetId="20" hidden="1">2147483647</definedName>
    <definedName name="solver_tim" localSheetId="19" hidden="1">2147483647</definedName>
    <definedName name="solver_tim" localSheetId="23" hidden="1">2147483647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8" hidden="1">0.05</definedName>
    <definedName name="solver_tol" localSheetId="39" hidden="1">0.05</definedName>
    <definedName name="solver_tol" localSheetId="2" hidden="1">0.05</definedName>
    <definedName name="solver_tol" localSheetId="0" hidden="1">0.05</definedName>
    <definedName name="solver_tol" localSheetId="1" hidden="1">0.05</definedName>
    <definedName name="solver_tol" localSheetId="3" hidden="1">0.05</definedName>
    <definedName name="solver_tol" localSheetId="31" hidden="1">0.05</definedName>
    <definedName name="solver_tol" localSheetId="32" hidden="1">0.05</definedName>
    <definedName name="solver_tol" localSheetId="34" hidden="1">0.05</definedName>
    <definedName name="solver_tol" localSheetId="37" hidden="1">0.05</definedName>
    <definedName name="solver_tol" localSheetId="33" hidden="1">0.05</definedName>
    <definedName name="solver_tol" localSheetId="12" hidden="1">0.05</definedName>
    <definedName name="solver_tol" localSheetId="15" hidden="1">0.05</definedName>
    <definedName name="solver_tol" localSheetId="16" hidden="1">0.05</definedName>
    <definedName name="solver_tol" localSheetId="13" hidden="1">0.05</definedName>
    <definedName name="solver_tol" localSheetId="17" hidden="1">0.05</definedName>
    <definedName name="solver_tol" localSheetId="40" hidden="1">0.05</definedName>
    <definedName name="solver_tol" localSheetId="14" hidden="1">0.05</definedName>
    <definedName name="solver_tol" localSheetId="18" hidden="1">0.05</definedName>
    <definedName name="solver_tol" localSheetId="9" hidden="1">0.05</definedName>
    <definedName name="solver_tol" localSheetId="26" hidden="1">0.05</definedName>
    <definedName name="solver_tol" localSheetId="27" hidden="1">0.05</definedName>
    <definedName name="solver_tol" localSheetId="28" hidden="1">0.05</definedName>
    <definedName name="solver_tol" localSheetId="29" hidden="1">0.05</definedName>
    <definedName name="solver_tol" localSheetId="30" hidden="1">0.05</definedName>
    <definedName name="solver_tol" localSheetId="21" hidden="1">0.05</definedName>
    <definedName name="solver_tol" localSheetId="10" hidden="1">0.05</definedName>
    <definedName name="solver_tol" localSheetId="25" hidden="1">0.05</definedName>
    <definedName name="solver_tol" localSheetId="22" hidden="1">0.05</definedName>
    <definedName name="solver_tol" localSheetId="20" hidden="1">0.05</definedName>
    <definedName name="solver_tol" localSheetId="19" hidden="1">0.05</definedName>
    <definedName name="solver_tol" localSheetId="23" hidden="1">0.05</definedName>
    <definedName name="solver_tol" localSheetId="4" hidden="1">0.05</definedName>
    <definedName name="solver_tol" localSheetId="8" hidden="1">0.05</definedName>
    <definedName name="solver_tol" localSheetId="11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yp" localSheetId="38" hidden="1">2</definedName>
    <definedName name="solver_typ" localSheetId="39" hidden="1">2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typ" localSheetId="31" hidden="1">2</definedName>
    <definedName name="solver_typ" localSheetId="32" hidden="1">2</definedName>
    <definedName name="solver_typ" localSheetId="34" hidden="1">2</definedName>
    <definedName name="solver_typ" localSheetId="37" hidden="1">2</definedName>
    <definedName name="solver_typ" localSheetId="33" hidden="1">2</definedName>
    <definedName name="solver_typ" localSheetId="12" hidden="1">2</definedName>
    <definedName name="solver_typ" localSheetId="15" hidden="1">2</definedName>
    <definedName name="solver_typ" localSheetId="16" hidden="1">2</definedName>
    <definedName name="solver_typ" localSheetId="13" hidden="1">2</definedName>
    <definedName name="solver_typ" localSheetId="17" hidden="1">1</definedName>
    <definedName name="solver_typ" localSheetId="40" hidden="1">2</definedName>
    <definedName name="solver_typ" localSheetId="14" hidden="1">2</definedName>
    <definedName name="solver_typ" localSheetId="18" hidden="1">2</definedName>
    <definedName name="solver_typ" localSheetId="9" hidden="1">2</definedName>
    <definedName name="solver_typ" localSheetId="42" hidden="1">2</definedName>
    <definedName name="solver_typ" localSheetId="26" hidden="1">2</definedName>
    <definedName name="solver_typ" localSheetId="27" hidden="1">2</definedName>
    <definedName name="solver_typ" localSheetId="28" hidden="1">2</definedName>
    <definedName name="solver_typ" localSheetId="29" hidden="1">2</definedName>
    <definedName name="solver_typ" localSheetId="30" hidden="1">2</definedName>
    <definedName name="solver_typ" localSheetId="21" hidden="1">2</definedName>
    <definedName name="solver_typ" localSheetId="10" hidden="1">2</definedName>
    <definedName name="solver_typ" localSheetId="25" hidden="1">2</definedName>
    <definedName name="solver_typ" localSheetId="22" hidden="1">2</definedName>
    <definedName name="solver_typ" localSheetId="20" hidden="1">2</definedName>
    <definedName name="solver_typ" localSheetId="19" hidden="1">2</definedName>
    <definedName name="solver_typ" localSheetId="23" hidden="1">2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38" hidden="1">0</definedName>
    <definedName name="solver_val" localSheetId="39" hidden="1">0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31" hidden="1">0</definedName>
    <definedName name="solver_val" localSheetId="32" hidden="1">0</definedName>
    <definedName name="solver_val" localSheetId="34" hidden="1">0</definedName>
    <definedName name="solver_val" localSheetId="37" hidden="1">0</definedName>
    <definedName name="solver_val" localSheetId="33" hidden="1">0</definedName>
    <definedName name="solver_val" localSheetId="12" hidden="1">0</definedName>
    <definedName name="solver_val" localSheetId="15" hidden="1">0</definedName>
    <definedName name="solver_val" localSheetId="16" hidden="1">0</definedName>
    <definedName name="solver_val" localSheetId="13" hidden="1">0</definedName>
    <definedName name="solver_val" localSheetId="17" hidden="1">0</definedName>
    <definedName name="solver_val" localSheetId="40" hidden="1">0</definedName>
    <definedName name="solver_val" localSheetId="14" hidden="1">0</definedName>
    <definedName name="solver_val" localSheetId="18" hidden="1">0</definedName>
    <definedName name="solver_val" localSheetId="9" hidden="1">0</definedName>
    <definedName name="solver_val" localSheetId="42" hidden="1">0</definedName>
    <definedName name="solver_val" localSheetId="26" hidden="1">0</definedName>
    <definedName name="solver_val" localSheetId="27" hidden="1">0</definedName>
    <definedName name="solver_val" localSheetId="28" hidden="1">0</definedName>
    <definedName name="solver_val" localSheetId="29" hidden="1">0</definedName>
    <definedName name="solver_val" localSheetId="30" hidden="1">0</definedName>
    <definedName name="solver_val" localSheetId="21" hidden="1">0</definedName>
    <definedName name="solver_val" localSheetId="10" hidden="1">0</definedName>
    <definedName name="solver_val" localSheetId="25" hidden="1">0</definedName>
    <definedName name="solver_val" localSheetId="22" hidden="1">0</definedName>
    <definedName name="solver_val" localSheetId="20" hidden="1">0</definedName>
    <definedName name="solver_val" localSheetId="19" hidden="1">0</definedName>
    <definedName name="solver_val" localSheetId="23" hidden="1">0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2" hidden="1">3</definedName>
    <definedName name="solver_ver" localSheetId="0" hidden="1">3</definedName>
    <definedName name="solver_ver" localSheetId="1" hidden="1">3</definedName>
    <definedName name="solver_ver" localSheetId="34" hidden="1">3</definedName>
    <definedName name="solver_ver" localSheetId="37" hidden="1">3</definedName>
    <definedName name="solver_ver" localSheetId="33" hidden="1">2</definedName>
    <definedName name="solver_ver" localSheetId="26" hidden="1">3</definedName>
    <definedName name="solver_ver" localSheetId="27" hidden="1">3</definedName>
    <definedName name="solver_ver" localSheetId="28" hidden="1">3</definedName>
    <definedName name="solver_ver" localSheetId="29" hidden="1">3</definedName>
    <definedName name="solver_ver" localSheetId="30" hidden="1">3</definedName>
    <definedName name="solver_ver" localSheetId="21" hidden="1">3</definedName>
    <definedName name="solver_ver" localSheetId="25" hidden="1">3</definedName>
    <definedName name="solver_ver" localSheetId="22" hidden="1">3</definedName>
    <definedName name="solver_ver" localSheetId="20" hidden="1">3</definedName>
    <definedName name="solver_ver" localSheetId="19" hidden="1">3</definedName>
    <definedName name="solver_ver" localSheetId="23" hidden="1">3</definedName>
    <definedName name="solver_ver" localSheetId="11" hidden="1">3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7" i="48" l="1"/>
  <c r="E74" i="48"/>
  <c r="AO25" i="48"/>
  <c r="S22" i="67" a="1"/>
  <c r="T24" i="67" s="1"/>
  <c r="S22" i="67"/>
  <c r="T22" i="67"/>
  <c r="S23" i="67"/>
  <c r="T23" i="67"/>
  <c r="S24" i="67"/>
  <c r="T27" i="67"/>
  <c r="S28" i="67"/>
  <c r="T28" i="67"/>
  <c r="S29" i="67"/>
  <c r="T29" i="67"/>
  <c r="S30" i="67"/>
  <c r="T33" i="67"/>
  <c r="S34" i="67"/>
  <c r="T34" i="67"/>
  <c r="S35" i="67"/>
  <c r="T35" i="67"/>
  <c r="S36" i="67"/>
  <c r="T39" i="67"/>
  <c r="S40" i="67"/>
  <c r="T40" i="67"/>
  <c r="S41" i="67"/>
  <c r="T41" i="67"/>
  <c r="P40" i="67"/>
  <c r="Q40" i="67"/>
  <c r="J10" i="66"/>
  <c r="M23" i="67"/>
  <c r="P23" i="67" s="1"/>
  <c r="N23" i="67"/>
  <c r="Q23" i="67" s="1"/>
  <c r="M24" i="67"/>
  <c r="P24" i="67" s="1"/>
  <c r="N24" i="67"/>
  <c r="Q24" i="67" s="1"/>
  <c r="M25" i="67"/>
  <c r="P25" i="67" s="1"/>
  <c r="N25" i="67"/>
  <c r="Q25" i="67" s="1"/>
  <c r="M26" i="67"/>
  <c r="P26" i="67" s="1"/>
  <c r="N26" i="67"/>
  <c r="Q26" i="67" s="1"/>
  <c r="M27" i="67"/>
  <c r="P27" i="67" s="1"/>
  <c r="N27" i="67"/>
  <c r="Q27" i="67" s="1"/>
  <c r="M28" i="67"/>
  <c r="P28" i="67" s="1"/>
  <c r="N28" i="67"/>
  <c r="Q28" i="67" s="1"/>
  <c r="M29" i="67"/>
  <c r="P29" i="67" s="1"/>
  <c r="N29" i="67"/>
  <c r="Q29" i="67" s="1"/>
  <c r="M30" i="67"/>
  <c r="P30" i="67" s="1"/>
  <c r="N30" i="67"/>
  <c r="Q30" i="67" s="1"/>
  <c r="M31" i="67"/>
  <c r="P31" i="67" s="1"/>
  <c r="N31" i="67"/>
  <c r="Q31" i="67" s="1"/>
  <c r="M32" i="67"/>
  <c r="P32" i="67" s="1"/>
  <c r="N32" i="67"/>
  <c r="Q32" i="67" s="1"/>
  <c r="M33" i="67"/>
  <c r="P33" i="67" s="1"/>
  <c r="N33" i="67"/>
  <c r="Q33" i="67" s="1"/>
  <c r="M34" i="67"/>
  <c r="P34" i="67" s="1"/>
  <c r="N34" i="67"/>
  <c r="Q34" i="67" s="1"/>
  <c r="M35" i="67"/>
  <c r="P35" i="67" s="1"/>
  <c r="N35" i="67"/>
  <c r="Q35" i="67" s="1"/>
  <c r="M36" i="67"/>
  <c r="P36" i="67" s="1"/>
  <c r="N36" i="67"/>
  <c r="Q36" i="67" s="1"/>
  <c r="M37" i="67"/>
  <c r="P37" i="67" s="1"/>
  <c r="N37" i="67"/>
  <c r="Q37" i="67" s="1"/>
  <c r="M38" i="67"/>
  <c r="P38" i="67" s="1"/>
  <c r="N38" i="67"/>
  <c r="Q38" i="67" s="1"/>
  <c r="M39" i="67"/>
  <c r="P39" i="67" s="1"/>
  <c r="N39" i="67"/>
  <c r="Q39" i="67" s="1"/>
  <c r="M40" i="67"/>
  <c r="N40" i="67"/>
  <c r="M41" i="67"/>
  <c r="P41" i="67" s="1"/>
  <c r="N41" i="67"/>
  <c r="Q41" i="67" s="1"/>
  <c r="N22" i="67"/>
  <c r="Q22" i="67" s="1"/>
  <c r="M22" i="67"/>
  <c r="P22" i="67" s="1"/>
  <c r="AC22" i="67" a="1"/>
  <c r="AC22" i="67" s="1"/>
  <c r="BH101" i="66"/>
  <c r="BG101" i="66"/>
  <c r="BG100" i="66"/>
  <c r="BF100" i="66"/>
  <c r="BF101" i="66"/>
  <c r="BF99" i="66"/>
  <c r="BE99" i="66"/>
  <c r="BE100" i="66"/>
  <c r="BE101" i="66"/>
  <c r="BE98" i="66"/>
  <c r="BD98" i="66"/>
  <c r="BD99" i="66"/>
  <c r="BD100" i="66"/>
  <c r="BD101" i="66"/>
  <c r="BD97" i="66"/>
  <c r="BC97" i="66"/>
  <c r="BC98" i="66"/>
  <c r="BC99" i="66"/>
  <c r="BC100" i="66"/>
  <c r="BC101" i="66"/>
  <c r="BC96" i="66"/>
  <c r="BB96" i="66"/>
  <c r="BB97" i="66"/>
  <c r="BB98" i="66"/>
  <c r="BB99" i="66"/>
  <c r="BB100" i="66"/>
  <c r="BB101" i="66"/>
  <c r="BB95" i="66"/>
  <c r="BA95" i="66"/>
  <c r="BA96" i="66"/>
  <c r="BA97" i="66"/>
  <c r="BA98" i="66"/>
  <c r="BA99" i="66"/>
  <c r="BA100" i="66"/>
  <c r="BA101" i="66"/>
  <c r="BA94" i="66"/>
  <c r="AZ94" i="66"/>
  <c r="AZ95" i="66"/>
  <c r="AZ96" i="66"/>
  <c r="AZ97" i="66"/>
  <c r="AZ98" i="66"/>
  <c r="AZ99" i="66"/>
  <c r="AZ100" i="66"/>
  <c r="AZ101" i="66"/>
  <c r="AZ93" i="66"/>
  <c r="AY93" i="66"/>
  <c r="AY94" i="66"/>
  <c r="AY95" i="66"/>
  <c r="AY96" i="66"/>
  <c r="AY97" i="66"/>
  <c r="AY98" i="66"/>
  <c r="AY99" i="66"/>
  <c r="AY100" i="66"/>
  <c r="AY101" i="66"/>
  <c r="AY92" i="66"/>
  <c r="AX92" i="66"/>
  <c r="AX93" i="66"/>
  <c r="AX94" i="66"/>
  <c r="AX95" i="66"/>
  <c r="AX96" i="66"/>
  <c r="AX97" i="66"/>
  <c r="AX98" i="66"/>
  <c r="AX99" i="66"/>
  <c r="AX100" i="66"/>
  <c r="AX101" i="66"/>
  <c r="AX91" i="66"/>
  <c r="AW91" i="66"/>
  <c r="AW92" i="66"/>
  <c r="AW93" i="66"/>
  <c r="AW94" i="66"/>
  <c r="AW95" i="66"/>
  <c r="AW96" i="66"/>
  <c r="AW97" i="66"/>
  <c r="AW98" i="66"/>
  <c r="AW99" i="66"/>
  <c r="AW100" i="66"/>
  <c r="AW101" i="66"/>
  <c r="AW90" i="66"/>
  <c r="AV90" i="66"/>
  <c r="AV91" i="66"/>
  <c r="AV92" i="66"/>
  <c r="AV93" i="66"/>
  <c r="AV94" i="66"/>
  <c r="AV95" i="66"/>
  <c r="AV96" i="66"/>
  <c r="AV97" i="66"/>
  <c r="AV98" i="66"/>
  <c r="AV99" i="66"/>
  <c r="AV100" i="66"/>
  <c r="AV101" i="66"/>
  <c r="AV89" i="66"/>
  <c r="AU89" i="66"/>
  <c r="AU90" i="66"/>
  <c r="AU91" i="66"/>
  <c r="AU92" i="66"/>
  <c r="AU93" i="66"/>
  <c r="AU94" i="66"/>
  <c r="AU95" i="66"/>
  <c r="AU96" i="66"/>
  <c r="AU97" i="66"/>
  <c r="AU98" i="66"/>
  <c r="AU99" i="66"/>
  <c r="AU100" i="66"/>
  <c r="AU101" i="66"/>
  <c r="AU88" i="66"/>
  <c r="AT88" i="66"/>
  <c r="AT89" i="66"/>
  <c r="AT90" i="66"/>
  <c r="AT91" i="66"/>
  <c r="AT92" i="66"/>
  <c r="AT93" i="66"/>
  <c r="AT94" i="66"/>
  <c r="AT95" i="66"/>
  <c r="AT96" i="66"/>
  <c r="AT97" i="66"/>
  <c r="AT98" i="66"/>
  <c r="AT99" i="66"/>
  <c r="AT100" i="66"/>
  <c r="AT101" i="66"/>
  <c r="AT87" i="66"/>
  <c r="AS87" i="66"/>
  <c r="AS88" i="66"/>
  <c r="AS89" i="66"/>
  <c r="AS90" i="66"/>
  <c r="AS91" i="66"/>
  <c r="AS92" i="66"/>
  <c r="AS93" i="66"/>
  <c r="AS94" i="66"/>
  <c r="AS95" i="66"/>
  <c r="AS96" i="66"/>
  <c r="AS97" i="66"/>
  <c r="AS98" i="66"/>
  <c r="AS99" i="66"/>
  <c r="AS100" i="66"/>
  <c r="AS101" i="66"/>
  <c r="AS86" i="66"/>
  <c r="AR86" i="66"/>
  <c r="AR87" i="66"/>
  <c r="AR88" i="66"/>
  <c r="AR89" i="66"/>
  <c r="AR90" i="66"/>
  <c r="AR91" i="66"/>
  <c r="AR92" i="66"/>
  <c r="AR93" i="66"/>
  <c r="AR94" i="66"/>
  <c r="AR95" i="66"/>
  <c r="AR96" i="66"/>
  <c r="AR97" i="66"/>
  <c r="AR98" i="66"/>
  <c r="AR99" i="66"/>
  <c r="AR100" i="66"/>
  <c r="AR101" i="66"/>
  <c r="AR85" i="66"/>
  <c r="AQ85" i="66"/>
  <c r="AQ86" i="66"/>
  <c r="AQ87" i="66"/>
  <c r="AQ88" i="66"/>
  <c r="AQ89" i="66"/>
  <c r="AQ90" i="66"/>
  <c r="AQ91" i="66"/>
  <c r="AQ92" i="66"/>
  <c r="AQ93" i="66"/>
  <c r="AQ94" i="66"/>
  <c r="AQ95" i="66"/>
  <c r="AQ96" i="66"/>
  <c r="AQ97" i="66"/>
  <c r="AQ98" i="66"/>
  <c r="AQ99" i="66"/>
  <c r="AQ100" i="66"/>
  <c r="AQ101" i="66"/>
  <c r="AQ84" i="66"/>
  <c r="AP84" i="66"/>
  <c r="AP85" i="66"/>
  <c r="AP86" i="66"/>
  <c r="AP87" i="66"/>
  <c r="AP88" i="66"/>
  <c r="AP89" i="66"/>
  <c r="AP90" i="66"/>
  <c r="AP91" i="66"/>
  <c r="AP92" i="66"/>
  <c r="AP93" i="66"/>
  <c r="AP94" i="66"/>
  <c r="AP95" i="66"/>
  <c r="AP96" i="66"/>
  <c r="AP97" i="66"/>
  <c r="AP98" i="66"/>
  <c r="AP99" i="66"/>
  <c r="AP100" i="66"/>
  <c r="AP101" i="66"/>
  <c r="AP83" i="66"/>
  <c r="AO83" i="66" a="1"/>
  <c r="AO83" i="66"/>
  <c r="AO84" i="66" a="1"/>
  <c r="AO84" i="66"/>
  <c r="AO85" i="66" a="1"/>
  <c r="AO85" i="66" s="1"/>
  <c r="AO86" i="66" a="1"/>
  <c r="AO86" i="66"/>
  <c r="AO87" i="66" a="1"/>
  <c r="AO87" i="66"/>
  <c r="AO88" i="66" a="1"/>
  <c r="AO88" i="66" s="1"/>
  <c r="AO89" i="66" a="1"/>
  <c r="AO89" i="66"/>
  <c r="AO90" i="66" a="1"/>
  <c r="AO90" i="66"/>
  <c r="AO91" i="66" a="1"/>
  <c r="AO91" i="66" s="1"/>
  <c r="AO92" i="66" a="1"/>
  <c r="AO92" i="66"/>
  <c r="AO93" i="66" a="1"/>
  <c r="AO93" i="66"/>
  <c r="AO94" i="66" a="1"/>
  <c r="AO94" i="66" s="1"/>
  <c r="AO95" i="66" a="1"/>
  <c r="AO95" i="66"/>
  <c r="AO96" i="66" a="1"/>
  <c r="AO96" i="66"/>
  <c r="AO97" i="66" a="1"/>
  <c r="AO97" i="66" s="1"/>
  <c r="AO98" i="66" a="1"/>
  <c r="AO98" i="66"/>
  <c r="AO99" i="66" a="1"/>
  <c r="AO99" i="66"/>
  <c r="AO100" i="66" a="1"/>
  <c r="AO100" i="66" s="1"/>
  <c r="AO101" i="66" a="1"/>
  <c r="AO101" i="66"/>
  <c r="AO82" i="66" a="1"/>
  <c r="AO82" i="66"/>
  <c r="T82" i="66"/>
  <c r="T83" i="66"/>
  <c r="T84" i="66"/>
  <c r="T85" i="66"/>
  <c r="T86" i="66"/>
  <c r="T87" i="66"/>
  <c r="T88" i="66"/>
  <c r="T89" i="66"/>
  <c r="T90" i="66"/>
  <c r="T91" i="66"/>
  <c r="T92" i="66"/>
  <c r="T93" i="66"/>
  <c r="T94" i="66"/>
  <c r="T95" i="66"/>
  <c r="T96" i="66"/>
  <c r="T97" i="66"/>
  <c r="T98" i="66"/>
  <c r="T99" i="66"/>
  <c r="T100" i="66"/>
  <c r="T101" i="66"/>
  <c r="AM101" i="66"/>
  <c r="AL101" i="66"/>
  <c r="AL100" i="66"/>
  <c r="AK100" i="66"/>
  <c r="AK101" i="66"/>
  <c r="AK99" i="66"/>
  <c r="AJ99" i="66"/>
  <c r="AJ100" i="66"/>
  <c r="AJ101" i="66"/>
  <c r="AJ98" i="66"/>
  <c r="AI98" i="66"/>
  <c r="AI99" i="66"/>
  <c r="AI100" i="66"/>
  <c r="AI101" i="66"/>
  <c r="AI97" i="66"/>
  <c r="AH97" i="66"/>
  <c r="AH98" i="66"/>
  <c r="AH99" i="66"/>
  <c r="AH100" i="66"/>
  <c r="AH101" i="66"/>
  <c r="AH96" i="66"/>
  <c r="AG96" i="66"/>
  <c r="AG97" i="66"/>
  <c r="AG98" i="66"/>
  <c r="AG99" i="66"/>
  <c r="AG100" i="66"/>
  <c r="AG101" i="66"/>
  <c r="AG95" i="66"/>
  <c r="AF95" i="66"/>
  <c r="AF96" i="66"/>
  <c r="AF97" i="66"/>
  <c r="AF98" i="66"/>
  <c r="AF99" i="66"/>
  <c r="AF100" i="66"/>
  <c r="AF101" i="66"/>
  <c r="AF94" i="66"/>
  <c r="AE94" i="66"/>
  <c r="AE95" i="66"/>
  <c r="AE96" i="66"/>
  <c r="AE97" i="66"/>
  <c r="AE98" i="66"/>
  <c r="AE99" i="66"/>
  <c r="AE100" i="66"/>
  <c r="AE101" i="66"/>
  <c r="AE93" i="66"/>
  <c r="AD93" i="66"/>
  <c r="AD94" i="66"/>
  <c r="AD95" i="66"/>
  <c r="AD96" i="66"/>
  <c r="AD97" i="66"/>
  <c r="AD98" i="66"/>
  <c r="AD99" i="66"/>
  <c r="AD100" i="66"/>
  <c r="AD101" i="66"/>
  <c r="AD92" i="66"/>
  <c r="AC92" i="66"/>
  <c r="AC93" i="66"/>
  <c r="AC94" i="66"/>
  <c r="AC95" i="66"/>
  <c r="AC96" i="66"/>
  <c r="AC97" i="66"/>
  <c r="AC98" i="66"/>
  <c r="AC99" i="66"/>
  <c r="AC100" i="66"/>
  <c r="AC101" i="66"/>
  <c r="AC91" i="66"/>
  <c r="AB91" i="66"/>
  <c r="AB92" i="66"/>
  <c r="AB93" i="66"/>
  <c r="AB94" i="66"/>
  <c r="AB95" i="66"/>
  <c r="AB96" i="66"/>
  <c r="AB97" i="66"/>
  <c r="AB98" i="66"/>
  <c r="AB99" i="66"/>
  <c r="AB100" i="66"/>
  <c r="AB101" i="66"/>
  <c r="AB90" i="66"/>
  <c r="AA90" i="66"/>
  <c r="AA91" i="66"/>
  <c r="AA92" i="66"/>
  <c r="AA93" i="66"/>
  <c r="AA94" i="66"/>
  <c r="AA95" i="66"/>
  <c r="AA96" i="66"/>
  <c r="AA97" i="66"/>
  <c r="AA98" i="66"/>
  <c r="AA99" i="66"/>
  <c r="AA100" i="66"/>
  <c r="AA101" i="66"/>
  <c r="AA89" i="66"/>
  <c r="Z89" i="66"/>
  <c r="Z90" i="66"/>
  <c r="Z91" i="66"/>
  <c r="Z92" i="66"/>
  <c r="Z93" i="66"/>
  <c r="Z94" i="66"/>
  <c r="Z95" i="66"/>
  <c r="Z96" i="66"/>
  <c r="Z97" i="66"/>
  <c r="Z98" i="66"/>
  <c r="Z99" i="66"/>
  <c r="Z100" i="66"/>
  <c r="Z101" i="66"/>
  <c r="Z88" i="66"/>
  <c r="Y88" i="66"/>
  <c r="Y89" i="66"/>
  <c r="Y90" i="66"/>
  <c r="Y91" i="66"/>
  <c r="Y92" i="66"/>
  <c r="Y93" i="66"/>
  <c r="Y94" i="66"/>
  <c r="Y95" i="66"/>
  <c r="Y96" i="66"/>
  <c r="Y97" i="66"/>
  <c r="Y98" i="66"/>
  <c r="Y99" i="66"/>
  <c r="Y100" i="66"/>
  <c r="Y101" i="66"/>
  <c r="Y87" i="66"/>
  <c r="X87" i="66"/>
  <c r="X88" i="66"/>
  <c r="X89" i="66"/>
  <c r="X90" i="66"/>
  <c r="X91" i="66"/>
  <c r="X92" i="66"/>
  <c r="X93" i="66"/>
  <c r="X94" i="66"/>
  <c r="X95" i="66"/>
  <c r="X96" i="66"/>
  <c r="X97" i="66"/>
  <c r="X98" i="66"/>
  <c r="X99" i="66"/>
  <c r="X100" i="66"/>
  <c r="X101" i="66"/>
  <c r="X86" i="66"/>
  <c r="W86" i="66"/>
  <c r="W87" i="66"/>
  <c r="W88" i="66"/>
  <c r="W89" i="66"/>
  <c r="W90" i="66"/>
  <c r="W91" i="66"/>
  <c r="W92" i="66"/>
  <c r="W93" i="66"/>
  <c r="W94" i="66"/>
  <c r="W95" i="66"/>
  <c r="W96" i="66"/>
  <c r="W97" i="66"/>
  <c r="W98" i="66"/>
  <c r="W99" i="66"/>
  <c r="W100" i="66"/>
  <c r="W101" i="66"/>
  <c r="W85" i="66"/>
  <c r="V85" i="66"/>
  <c r="V86" i="66"/>
  <c r="V87" i="66"/>
  <c r="V88" i="66"/>
  <c r="V89" i="66"/>
  <c r="V90" i="66"/>
  <c r="V91" i="66"/>
  <c r="V92" i="66"/>
  <c r="V93" i="66"/>
  <c r="V94" i="66"/>
  <c r="V95" i="66"/>
  <c r="V96" i="66"/>
  <c r="V97" i="66"/>
  <c r="V98" i="66"/>
  <c r="V99" i="66"/>
  <c r="V100" i="66"/>
  <c r="V101" i="66"/>
  <c r="V84" i="66"/>
  <c r="U84" i="66"/>
  <c r="U85" i="66"/>
  <c r="U86" i="66"/>
  <c r="U87" i="66"/>
  <c r="U88" i="66"/>
  <c r="U89" i="66"/>
  <c r="U90" i="66"/>
  <c r="U91" i="66"/>
  <c r="U92" i="66"/>
  <c r="U93" i="66"/>
  <c r="U94" i="66"/>
  <c r="U95" i="66"/>
  <c r="U96" i="66"/>
  <c r="U97" i="66"/>
  <c r="U98" i="66"/>
  <c r="U99" i="66"/>
  <c r="U100" i="66"/>
  <c r="U101" i="66"/>
  <c r="U83" i="66"/>
  <c r="AF77" i="48"/>
  <c r="AJ81" i="48"/>
  <c r="AE74" i="48"/>
  <c r="AE111" i="48"/>
  <c r="AV92" i="48"/>
  <c r="G19" i="66"/>
  <c r="G20" i="66" s="1"/>
  <c r="G21" i="66" s="1"/>
  <c r="G22" i="66" s="1"/>
  <c r="G23" i="66" s="1"/>
  <c r="G24" i="66" s="1"/>
  <c r="G25" i="66" s="1"/>
  <c r="G26" i="66" s="1"/>
  <c r="G27" i="66" s="1"/>
  <c r="G28" i="66" s="1"/>
  <c r="J28" i="66" s="1"/>
  <c r="M28" i="66" s="1"/>
  <c r="H15" i="66"/>
  <c r="H16" i="66" s="1"/>
  <c r="H17" i="66" s="1"/>
  <c r="H18" i="66" s="1"/>
  <c r="H19" i="66" s="1"/>
  <c r="H20" i="66" s="1"/>
  <c r="H21" i="66" s="1"/>
  <c r="H22" i="66" s="1"/>
  <c r="H23" i="66" s="1"/>
  <c r="H24" i="66" s="1"/>
  <c r="H25" i="66" s="1"/>
  <c r="H26" i="66" s="1"/>
  <c r="H27" i="66" s="1"/>
  <c r="H28" i="66" s="1"/>
  <c r="H29" i="66" s="1"/>
  <c r="K29" i="66" s="1"/>
  <c r="N29" i="66" s="1"/>
  <c r="G10" i="66"/>
  <c r="M10" i="66" s="1"/>
  <c r="H10" i="66"/>
  <c r="H11" i="66" s="1"/>
  <c r="H12" i="66" s="1"/>
  <c r="H13" i="66" s="1"/>
  <c r="H14" i="66" s="1"/>
  <c r="K14" i="66" s="1"/>
  <c r="N14" i="66" s="1"/>
  <c r="N5" i="49"/>
  <c r="G24" i="64" a="1"/>
  <c r="H24" i="64" s="1"/>
  <c r="E26" i="64" a="1"/>
  <c r="F27" i="64" s="1"/>
  <c r="R26" i="64" a="1"/>
  <c r="R26" i="64" s="1"/>
  <c r="R22" i="64" a="1"/>
  <c r="R22" i="64" s="1"/>
  <c r="K30" i="64" a="1"/>
  <c r="K30" i="64" s="1"/>
  <c r="K22" i="64" a="1"/>
  <c r="L22" i="64" s="1"/>
  <c r="G26" i="64" a="1"/>
  <c r="G26" i="64" s="1"/>
  <c r="P26" i="64" a="1"/>
  <c r="P26" i="64" s="1"/>
  <c r="P22" i="64" a="1"/>
  <c r="P22" i="64" s="1"/>
  <c r="R24" i="64" a="1"/>
  <c r="R24" i="64" s="1"/>
  <c r="R20" i="64" a="1"/>
  <c r="R20" i="64" s="1"/>
  <c r="I30" i="64" a="1"/>
  <c r="I30" i="64" s="1"/>
  <c r="E24" i="64" a="1"/>
  <c r="E25" i="64" s="1"/>
  <c r="I20" i="64" a="1"/>
  <c r="I21" i="64" s="1"/>
  <c r="P24" i="64" a="1"/>
  <c r="P24" i="64" s="1"/>
  <c r="P20" i="64" a="1"/>
  <c r="P20" i="64" s="1"/>
  <c r="AF26" i="63"/>
  <c r="AA28" i="63"/>
  <c r="AA26" i="63" a="1"/>
  <c r="V26" i="63" a="1"/>
  <c r="AA24" i="63" a="1"/>
  <c r="AA25" i="63" s="1"/>
  <c r="X24" i="63" a="1"/>
  <c r="X25" i="63" s="1"/>
  <c r="V24" i="63" a="1"/>
  <c r="AA16" i="63" a="1"/>
  <c r="AA16" i="63" s="1"/>
  <c r="S39" i="67" l="1"/>
  <c r="S33" i="67"/>
  <c r="S27" i="67"/>
  <c r="T38" i="67"/>
  <c r="T32" i="67"/>
  <c r="T26" i="67"/>
  <c r="S38" i="67"/>
  <c r="S32" i="67"/>
  <c r="S26" i="67"/>
  <c r="T37" i="67"/>
  <c r="T31" i="67"/>
  <c r="T25" i="67"/>
  <c r="S37" i="67"/>
  <c r="S31" i="67"/>
  <c r="S25" i="67"/>
  <c r="T36" i="67"/>
  <c r="T30" i="67"/>
  <c r="AC28" i="67"/>
  <c r="AD27" i="67"/>
  <c r="AC27" i="67"/>
  <c r="AD38" i="67"/>
  <c r="AD32" i="67"/>
  <c r="AD26" i="67"/>
  <c r="AC34" i="67"/>
  <c r="AD39" i="67"/>
  <c r="AC39" i="67"/>
  <c r="AC38" i="67"/>
  <c r="AC32" i="67"/>
  <c r="AC26" i="67"/>
  <c r="AC40" i="67"/>
  <c r="AD33" i="67"/>
  <c r="AC33" i="67"/>
  <c r="AD37" i="67"/>
  <c r="AD31" i="67"/>
  <c r="AD25" i="67"/>
  <c r="AC25" i="67"/>
  <c r="AC31" i="67"/>
  <c r="AD24" i="67"/>
  <c r="AC36" i="67"/>
  <c r="AC30" i="67"/>
  <c r="AC24" i="67"/>
  <c r="AD36" i="67"/>
  <c r="AD41" i="67"/>
  <c r="AD35" i="67"/>
  <c r="AD29" i="67"/>
  <c r="AD23" i="67"/>
  <c r="AC37" i="67"/>
  <c r="AD30" i="67"/>
  <c r="AC41" i="67"/>
  <c r="AC35" i="67"/>
  <c r="AC29" i="67"/>
  <c r="AC23" i="67"/>
  <c r="AD40" i="67"/>
  <c r="AD34" i="67"/>
  <c r="AD28" i="67"/>
  <c r="AD22" i="67"/>
  <c r="G11" i="66"/>
  <c r="K12" i="66"/>
  <c r="N12" i="66" s="1"/>
  <c r="K27" i="66"/>
  <c r="N27" i="66" s="1"/>
  <c r="K24" i="66"/>
  <c r="N24" i="66" s="1"/>
  <c r="K10" i="66"/>
  <c r="N10" i="66" s="1"/>
  <c r="K23" i="66"/>
  <c r="N23" i="66" s="1"/>
  <c r="K20" i="66"/>
  <c r="N20" i="66" s="1"/>
  <c r="K18" i="66"/>
  <c r="N18" i="66" s="1"/>
  <c r="K17" i="66"/>
  <c r="N17" i="66" s="1"/>
  <c r="K21" i="66"/>
  <c r="N21" i="66" s="1"/>
  <c r="K13" i="66"/>
  <c r="N13" i="66" s="1"/>
  <c r="K19" i="66"/>
  <c r="N19" i="66" s="1"/>
  <c r="K11" i="66"/>
  <c r="N11" i="66" s="1"/>
  <c r="K16" i="66"/>
  <c r="N16" i="66" s="1"/>
  <c r="K15" i="66"/>
  <c r="N15" i="66" s="1"/>
  <c r="J23" i="66"/>
  <c r="M23" i="66" s="1"/>
  <c r="J22" i="66"/>
  <c r="M22" i="66" s="1"/>
  <c r="G29" i="66"/>
  <c r="J21" i="66"/>
  <c r="M21" i="66" s="1"/>
  <c r="J27" i="66"/>
  <c r="M27" i="66" s="1"/>
  <c r="J26" i="66"/>
  <c r="M26" i="66" s="1"/>
  <c r="J19" i="66"/>
  <c r="M19" i="66" s="1"/>
  <c r="J20" i="66"/>
  <c r="M20" i="66" s="1"/>
  <c r="J25" i="66"/>
  <c r="M25" i="66" s="1"/>
  <c r="J24" i="66"/>
  <c r="M24" i="66" s="1"/>
  <c r="K28" i="66"/>
  <c r="N28" i="66" s="1"/>
  <c r="K22" i="66"/>
  <c r="N22" i="66" s="1"/>
  <c r="K26" i="66"/>
  <c r="N26" i="66" s="1"/>
  <c r="K25" i="66"/>
  <c r="N25" i="66" s="1"/>
  <c r="G24" i="64"/>
  <c r="G25" i="64"/>
  <c r="H25" i="64"/>
  <c r="E27" i="64"/>
  <c r="F26" i="64"/>
  <c r="E26" i="64"/>
  <c r="R27" i="64"/>
  <c r="R23" i="64"/>
  <c r="K31" i="64"/>
  <c r="L31" i="64"/>
  <c r="L30" i="64"/>
  <c r="S30" i="64" s="1"/>
  <c r="K22" i="64"/>
  <c r="L23" i="64"/>
  <c r="K23" i="64"/>
  <c r="G27" i="64"/>
  <c r="H26" i="64"/>
  <c r="H27" i="64"/>
  <c r="P27" i="64"/>
  <c r="P23" i="64"/>
  <c r="R25" i="64"/>
  <c r="R21" i="64"/>
  <c r="J30" i="64"/>
  <c r="R30" i="64" s="1"/>
  <c r="J31" i="64"/>
  <c r="I31" i="64"/>
  <c r="F25" i="64"/>
  <c r="F24" i="64"/>
  <c r="E24" i="64"/>
  <c r="I20" i="64"/>
  <c r="J21" i="64"/>
  <c r="J20" i="64"/>
  <c r="P25" i="64"/>
  <c r="P21" i="64"/>
  <c r="AA26" i="63"/>
  <c r="AA24" i="63"/>
  <c r="Y24" i="63"/>
  <c r="X24" i="63"/>
  <c r="Y25" i="63"/>
  <c r="AA18" i="63"/>
  <c r="AA17" i="63"/>
  <c r="Z38" i="63"/>
  <c r="Z37" i="63"/>
  <c r="Z36" i="63" a="1"/>
  <c r="Z36" i="63" s="1"/>
  <c r="S10" i="63" a="1"/>
  <c r="Y10" i="63" s="1"/>
  <c r="S3" i="63" a="1"/>
  <c r="S8" i="63" s="1"/>
  <c r="O3" i="63" a="1"/>
  <c r="O5" i="63" s="1"/>
  <c r="AR49" i="67" a="1"/>
  <c r="AN53" i="67" a="1"/>
  <c r="AN50" i="67" a="1"/>
  <c r="AJ54" i="67" a="1"/>
  <c r="AH57" i="67" a="1"/>
  <c r="AO68" i="67" a="1"/>
  <c r="AW61" i="67" a="1"/>
  <c r="AM67" i="67" a="1"/>
  <c r="AG74" i="67" a="1"/>
  <c r="AR56" i="67" a="1"/>
  <c r="AY67" i="67" a="1"/>
  <c r="AW76" i="67" a="1"/>
  <c r="AN70" i="67" a="1"/>
  <c r="AR51" i="67" a="1"/>
  <c r="AP59" i="67" a="1"/>
  <c r="AP56" i="67" a="1"/>
  <c r="AY52" i="67" a="1"/>
  <c r="AQ59" i="67" a="1"/>
  <c r="AK65" i="67" a="1"/>
  <c r="AL71" i="67" a="1"/>
  <c r="AX76" i="67" a="1"/>
  <c r="AQ60" i="67" a="1"/>
  <c r="AI72" i="67" a="1"/>
  <c r="AN52" i="67" a="1"/>
  <c r="AY61" i="67" a="1"/>
  <c r="AU71" i="67" a="1"/>
  <c r="AM76" i="67" a="1"/>
  <c r="AW55" i="67" a="1"/>
  <c r="AQ61" i="67" a="1"/>
  <c r="AK67" i="67" a="1"/>
  <c r="AX73" i="67" a="1"/>
  <c r="AR50" i="67" a="1"/>
  <c r="AV57" i="67" a="1"/>
  <c r="AP63" i="67" a="1"/>
  <c r="AX49" i="67" a="1"/>
  <c r="AH48" i="67" a="1"/>
  <c r="AT50" i="67" a="1"/>
  <c r="AP54" i="67" a="1"/>
  <c r="AG58" i="67" a="1"/>
  <c r="AN69" i="67" a="1"/>
  <c r="AL63" i="67" a="1"/>
  <c r="AX71" i="67" a="1"/>
  <c r="AL48" i="67" a="1"/>
  <c r="AQ57" i="67" a="1"/>
  <c r="AX68" i="67" a="1"/>
  <c r="AJ77" i="67" a="1"/>
  <c r="AS71" i="67" a="1"/>
  <c r="AK52" i="67" a="1"/>
  <c r="AY59" i="67" a="1"/>
  <c r="AV59" i="67" a="1"/>
  <c r="AR53" i="67" a="1"/>
  <c r="AG60" i="67" a="1"/>
  <c r="AT65" i="67" a="1"/>
  <c r="AT71" i="67" a="1"/>
  <c r="AK77" i="67" a="1"/>
  <c r="AP61" i="67" a="1"/>
  <c r="AN73" i="67" a="1"/>
  <c r="AG53" i="67" a="1"/>
  <c r="AX62" i="67" a="1"/>
  <c r="AJ72" i="67" a="1"/>
  <c r="AS76" i="67" a="1"/>
  <c r="AM56" i="67" a="1"/>
  <c r="AG62" i="67" a="1"/>
  <c r="AT67" i="67" a="1"/>
  <c r="AU74" i="67" a="1"/>
  <c r="AK51" i="67" a="1"/>
  <c r="AL58" i="67" a="1"/>
  <c r="AY63" i="67" a="1"/>
  <c r="AS69" i="67" a="1"/>
  <c r="AG77" i="67" a="1"/>
  <c r="AK50" i="67" a="1"/>
  <c r="AI48" i="67" a="1"/>
  <c r="AG51" i="67" a="1"/>
  <c r="AV54" i="67" a="1"/>
  <c r="AY58" i="67" a="1"/>
  <c r="AM70" i="67" a="1"/>
  <c r="AK64" i="67" a="1"/>
  <c r="AW74" i="67" a="1"/>
  <c r="AG49" i="67" a="1"/>
  <c r="AP58" i="67" a="1"/>
  <c r="AW69" i="67" a="1"/>
  <c r="AP77" i="67" a="1"/>
  <c r="AP72" i="67" a="1"/>
  <c r="AW52" i="67" a="1"/>
  <c r="AN61" i="67" a="1"/>
  <c r="AJ62" i="67" a="1"/>
  <c r="AH54" i="67" a="1"/>
  <c r="AP60" i="67" a="1"/>
  <c r="AJ66" i="67" a="1"/>
  <c r="AQ72" i="67" a="1"/>
  <c r="AQ77" i="67" a="1"/>
  <c r="AO62" i="67" a="1"/>
  <c r="AS74" i="67" a="1"/>
  <c r="AS53" i="67" a="1"/>
  <c r="AW63" i="67" a="1"/>
  <c r="AR72" i="67" a="1"/>
  <c r="AY76" i="67" a="1"/>
  <c r="AV56" i="67" a="1"/>
  <c r="AP62" i="67" a="1"/>
  <c r="AJ68" i="67" a="1"/>
  <c r="AT72" i="67" a="1"/>
  <c r="AW51" i="67" a="1"/>
  <c r="AU58" i="67" a="1"/>
  <c r="AO64" i="67" a="1"/>
  <c r="AI70" i="67" a="1"/>
  <c r="AM77" i="67" a="1"/>
  <c r="AV67" i="67" a="1"/>
  <c r="AT61" i="67" a="1"/>
  <c r="AU53" i="67" a="1"/>
  <c r="AP75" i="67" a="1"/>
  <c r="AG52" i="67" a="1"/>
  <c r="AS61" i="67" a="1"/>
  <c r="AT52" i="67" a="1"/>
  <c r="AW59" i="67" a="1"/>
  <c r="AQ65" i="67" a="1"/>
  <c r="AI71" i="67" a="1"/>
  <c r="AW75" i="67" a="1"/>
  <c r="AF55" i="67" a="1"/>
  <c r="AF63" i="67" a="1"/>
  <c r="AF59" i="67" a="1"/>
  <c r="M48" i="67" a="1"/>
  <c r="AB51" i="67" a="1"/>
  <c r="X55" i="67" a="1"/>
  <c r="M50" i="67" a="1"/>
  <c r="V60" i="67" a="1"/>
  <c r="N68" i="67" a="1"/>
  <c r="P56" i="67" a="1"/>
  <c r="S53" i="67" a="1"/>
  <c r="R61" i="67" a="1"/>
  <c r="P58" i="67" a="1"/>
  <c r="W48" i="67" a="1"/>
  <c r="Y58" i="67" a="1"/>
  <c r="V53" i="67" a="1"/>
  <c r="Y63" i="67" a="1"/>
  <c r="Q71" i="67" a="1"/>
  <c r="J77" i="67" a="1"/>
  <c r="N52" i="67" a="1"/>
  <c r="AA57" i="67" a="1"/>
  <c r="AB64" i="67" a="1"/>
  <c r="T72" i="67" a="1"/>
  <c r="M55" i="67" a="1"/>
  <c r="Z63" i="67" a="1"/>
  <c r="R71" i="67" a="1"/>
  <c r="K77" i="67" a="1"/>
  <c r="T66" i="67" a="1"/>
  <c r="Y52" i="67" a="1"/>
  <c r="P70" i="67" a="1"/>
  <c r="M56" i="67" a="1"/>
  <c r="K65" i="67" a="1"/>
  <c r="X54" i="67" a="1"/>
  <c r="AA60" i="67" a="1"/>
  <c r="N57" i="67" a="1"/>
  <c r="AA65" i="67" a="1"/>
  <c r="S73" i="67" a="1"/>
  <c r="R54" i="67" a="1"/>
  <c r="U66" i="67" a="1"/>
  <c r="Y72" i="67" a="1"/>
  <c r="P61" i="67" a="1"/>
  <c r="O65" i="67" a="1"/>
  <c r="L77" i="67" a="1"/>
  <c r="Y73" i="67" a="1"/>
  <c r="U73" i="67" a="1"/>
  <c r="M77" i="67" a="1"/>
  <c r="Q75" i="67" a="1"/>
  <c r="W75" i="67" a="1"/>
  <c r="O77" i="67" a="1"/>
  <c r="Q70" i="67" a="1"/>
  <c r="I55" i="67" a="1"/>
  <c r="I75" i="67" a="1"/>
  <c r="I54" i="67" a="1"/>
  <c r="BH52" i="66" a="1"/>
  <c r="BH50" i="66" a="1"/>
  <c r="L50" i="67" a="1"/>
  <c r="W57" i="67" a="1"/>
  <c r="T76" i="67" a="1"/>
  <c r="J76" i="67" a="1"/>
  <c r="Y77" i="67" a="1"/>
  <c r="M74" i="67" a="1"/>
  <c r="I59" i="67" a="1"/>
  <c r="BH53" i="66" a="1"/>
  <c r="BH40" i="66" a="1"/>
  <c r="AU48" i="67" a="1"/>
  <c r="AO55" i="67" a="1"/>
  <c r="AW60" i="67" a="1"/>
  <c r="AR71" i="67" a="1"/>
  <c r="AR66" i="67" a="1"/>
  <c r="AT77" i="67" a="1"/>
  <c r="AN60" i="67" a="1"/>
  <c r="AO72" i="67" a="1"/>
  <c r="AR74" i="67" a="1"/>
  <c r="AR54" i="67" a="1"/>
  <c r="AK70" i="67" a="1"/>
  <c r="AT55" i="67" a="1"/>
  <c r="AI67" i="67" a="1"/>
  <c r="AV73" i="67" a="1"/>
  <c r="AM64" i="67" a="1"/>
  <c r="AT69" i="67" a="1"/>
  <c r="AQ50" i="67" a="1"/>
  <c r="AO48" i="67" a="1"/>
  <c r="AM51" i="67" a="1"/>
  <c r="AI55" i="67" a="1"/>
  <c r="AX59" i="67" a="1"/>
  <c r="AU70" i="67" a="1"/>
  <c r="AS65" i="67" a="1"/>
  <c r="AO76" i="67" a="1"/>
  <c r="AS49" i="67" a="1"/>
  <c r="AO59" i="67" a="1"/>
  <c r="AJ71" i="67" a="1"/>
  <c r="AV77" i="67" a="1"/>
  <c r="AU73" i="67" a="1"/>
  <c r="AP53" i="67" a="1"/>
  <c r="AV62" i="67" a="1"/>
  <c r="AY65" i="67" a="1"/>
  <c r="AS54" i="67" a="1"/>
  <c r="AY60" i="67" a="1"/>
  <c r="AS66" i="67" a="1"/>
  <c r="AY72" i="67" a="1"/>
  <c r="AW77" i="67" a="1"/>
  <c r="AN63" i="67" a="1"/>
  <c r="AR77" i="67" a="1"/>
  <c r="AK54" i="67" a="1"/>
  <c r="AV64" i="67" a="1"/>
  <c r="AG73" i="67" a="1"/>
  <c r="AL77" i="67" a="1"/>
  <c r="AL57" i="67" a="1"/>
  <c r="AY62" i="67" a="1"/>
  <c r="AS68" i="67" a="1"/>
  <c r="AJ73" i="67" a="1"/>
  <c r="AP52" i="67" a="1"/>
  <c r="AK59" i="67" a="1"/>
  <c r="AX64" i="67" a="1"/>
  <c r="AQ70" i="67" a="1"/>
  <c r="AS77" i="67" a="1"/>
  <c r="AR70" i="67" a="1"/>
  <c r="AH64" i="67" a="1"/>
  <c r="AN55" i="67" a="1"/>
  <c r="AN77" i="67" a="1"/>
  <c r="AS52" i="67" a="1"/>
  <c r="AR62" i="67" a="1"/>
  <c r="AM53" i="67" a="1"/>
  <c r="AM60" i="67" a="1"/>
  <c r="AG66" i="67" a="1"/>
  <c r="AQ71" i="67" a="1"/>
  <c r="AJ76" i="67" a="1"/>
  <c r="AF61" i="67" a="1"/>
  <c r="AF69" i="67" a="1"/>
  <c r="AF65" i="67" a="1"/>
  <c r="S48" i="67" a="1"/>
  <c r="O52" i="67" a="1"/>
  <c r="K56" i="67" a="1"/>
  <c r="L51" i="67" a="1"/>
  <c r="J61" i="67" a="1"/>
  <c r="U68" i="67" a="1"/>
  <c r="M62" i="67" a="1"/>
  <c r="J54" i="67" a="1"/>
  <c r="P63" i="67" a="1"/>
  <c r="M59" i="67" a="1"/>
  <c r="N49" i="67" a="1"/>
  <c r="N59" i="67" a="1"/>
  <c r="U54" i="67" a="1"/>
  <c r="M64" i="67" a="1"/>
  <c r="X71" i="67" a="1"/>
  <c r="P77" i="67" a="1"/>
  <c r="X52" i="67" a="1"/>
  <c r="R58" i="67" a="1"/>
  <c r="P65" i="67" a="1"/>
  <c r="AA72" i="67" a="1"/>
  <c r="L56" i="67" a="1"/>
  <c r="N64" i="67" a="1"/>
  <c r="Y71" i="67" a="1"/>
  <c r="Q77" i="67" a="1"/>
  <c r="AA66" i="67" a="1"/>
  <c r="X53" i="67" a="1"/>
  <c r="N72" i="67" a="1"/>
  <c r="L57" i="67" a="1"/>
  <c r="R65" i="67" a="1"/>
  <c r="O55" i="67" a="1"/>
  <c r="K62" i="67" a="1"/>
  <c r="M58" i="67" a="1"/>
  <c r="O66" i="67" a="1"/>
  <c r="Z73" i="67" a="1"/>
  <c r="O60" i="67" a="1"/>
  <c r="V69" i="67" a="1"/>
  <c r="Y66" i="67" a="1"/>
  <c r="AB66" i="67" a="1"/>
  <c r="J52" i="67" a="1"/>
  <c r="X77" i="67" a="1"/>
  <c r="K59" i="67" a="1"/>
  <c r="I61" i="67" a="1"/>
  <c r="I60" i="67" a="1"/>
  <c r="AS51" i="67" a="1"/>
  <c r="AL50" i="67" a="1"/>
  <c r="AJ56" i="67" a="1"/>
  <c r="AJ65" i="67" a="1"/>
  <c r="AO61" i="67" a="1"/>
  <c r="AQ48" i="67" a="1"/>
  <c r="AT54" i="67" a="1"/>
  <c r="AW50" i="67" a="1"/>
  <c r="AJ51" i="67" a="1"/>
  <c r="AJ48" i="67" a="1"/>
  <c r="AY51" i="67" a="1"/>
  <c r="AU55" i="67" a="1"/>
  <c r="AV61" i="67" a="1"/>
  <c r="AG72" i="67" a="1"/>
  <c r="AG68" i="67" a="1"/>
  <c r="AN54" i="67" a="1"/>
  <c r="AX50" i="67" a="1"/>
  <c r="AM61" i="67" a="1"/>
  <c r="AT73" i="67" a="1"/>
  <c r="AX60" i="67" a="1"/>
  <c r="AL68" i="67" a="1"/>
  <c r="AJ55" i="67" a="1"/>
  <c r="AH67" i="67" a="1"/>
  <c r="AN48" i="67" a="1"/>
  <c r="AK56" i="67" a="1"/>
  <c r="AX61" i="67" a="1"/>
  <c r="AR67" i="67" a="1"/>
  <c r="AK74" i="67" a="1"/>
  <c r="AI54" i="67" a="1"/>
  <c r="AL65" i="67" a="1"/>
  <c r="AW71" i="67" a="1"/>
  <c r="AL55" i="67" a="1"/>
  <c r="AT66" i="67" a="1"/>
  <c r="AW73" i="67" a="1"/>
  <c r="AI62" i="67" a="1"/>
  <c r="AK58" i="67" a="1"/>
  <c r="AX63" i="67" a="1"/>
  <c r="AR69" i="67" a="1"/>
  <c r="AY54" i="67" a="1"/>
  <c r="AL54" i="67" a="1"/>
  <c r="AJ60" i="67" a="1"/>
  <c r="AW65" i="67" a="1"/>
  <c r="AP51" i="67" a="1"/>
  <c r="AP48" i="67" a="1"/>
  <c r="AL52" i="67" a="1"/>
  <c r="AK48" i="67" a="1"/>
  <c r="AU62" i="67" a="1"/>
  <c r="AW72" i="67" a="1"/>
  <c r="AY68" i="67" a="1"/>
  <c r="AO57" i="67" a="1"/>
  <c r="AQ51" i="67" a="1"/>
  <c r="AL62" i="67" a="1"/>
  <c r="AY74" i="67" a="1"/>
  <c r="AM62" i="67" a="1"/>
  <c r="AO74" i="67" a="1"/>
  <c r="AS55" i="67" a="1"/>
  <c r="AO69" i="67" a="1"/>
  <c r="AJ49" i="67" a="1"/>
  <c r="AT56" i="67" a="1"/>
  <c r="AN62" i="67" a="1"/>
  <c r="AH68" i="67" a="1"/>
  <c r="AG75" i="67" a="1"/>
  <c r="AK55" i="67" a="1"/>
  <c r="AK66" i="67" a="1"/>
  <c r="AQ73" i="67" a="1"/>
  <c r="AL56" i="67" a="1"/>
  <c r="AS67" i="67" a="1"/>
  <c r="AL74" i="67" a="1"/>
  <c r="AN74" i="67" a="1"/>
  <c r="AT58" i="67" a="1"/>
  <c r="AN64" i="67" a="1"/>
  <c r="AH70" i="67" a="1"/>
  <c r="AM59" i="67" a="1"/>
  <c r="AW54" i="67" a="1"/>
  <c r="AS60" i="67" a="1"/>
  <c r="AM66" i="67" a="1"/>
  <c r="AM74" i="67" a="1"/>
  <c r="AM54" i="67" a="1"/>
  <c r="AY73" i="67" a="1"/>
  <c r="AU72" i="67" a="1"/>
  <c r="AG64" i="67" a="1"/>
  <c r="AS62" i="67" a="1"/>
  <c r="AX54" i="67" a="1"/>
  <c r="AO65" i="67" a="1"/>
  <c r="AH56" i="67" a="1"/>
  <c r="AU61" i="67" a="1"/>
  <c r="AO67" i="67" a="1"/>
  <c r="AV72" i="67" a="1"/>
  <c r="AI77" i="67" a="1"/>
  <c r="AF50" i="67" a="1"/>
  <c r="AF52" i="67" a="1"/>
  <c r="AF48" i="67" a="1"/>
  <c r="R49" i="67" a="1"/>
  <c r="N53" i="67" a="1"/>
  <c r="J57" i="67" a="1"/>
  <c r="AB53" i="67" a="1"/>
  <c r="AA62" i="67" a="1"/>
  <c r="S70" i="67" a="1"/>
  <c r="M49" i="67" a="1"/>
  <c r="AA55" i="67" a="1"/>
  <c r="X50" i="67" a="1"/>
  <c r="K61" i="67" a="1"/>
  <c r="N51" i="67" a="1"/>
  <c r="L61" i="67" a="1"/>
  <c r="R57" i="67" a="1"/>
  <c r="K66" i="67" a="1"/>
  <c r="V73" i="67" a="1"/>
  <c r="S74" i="67" a="1"/>
  <c r="L54" i="67" a="1"/>
  <c r="V59" i="67" a="1"/>
  <c r="N67" i="67" a="1"/>
  <c r="Y74" i="67" a="1"/>
  <c r="AA58" i="67" a="1"/>
  <c r="L66" i="67" a="1"/>
  <c r="W73" i="67" a="1"/>
  <c r="V55" i="67" a="1"/>
  <c r="W70" i="67" a="1"/>
  <c r="P59" i="67" a="1"/>
  <c r="AA48" i="67" a="1"/>
  <c r="X59" i="67" a="1"/>
  <c r="AB50" i="67" a="1"/>
  <c r="V56" i="67" a="1"/>
  <c r="T48" i="67" a="1"/>
  <c r="U60" i="67" a="1"/>
  <c r="M68" i="67" a="1"/>
  <c r="AA73" i="67" a="1"/>
  <c r="R48" i="67" a="1"/>
  <c r="J49" i="67" a="1"/>
  <c r="AB63" i="67" a="1"/>
  <c r="U70" i="67" a="1"/>
  <c r="S71" i="67" a="1"/>
  <c r="T73" i="67" a="1"/>
  <c r="T68" i="67" a="1"/>
  <c r="U65" i="67" a="1"/>
  <c r="W64" i="67" a="1"/>
  <c r="AA77" i="67" a="1"/>
  <c r="V65" i="67" a="1"/>
  <c r="P67" i="67" a="1"/>
  <c r="W72" i="67" a="1"/>
  <c r="I62" i="67" a="1"/>
  <c r="I64" i="67" a="1"/>
  <c r="I48" i="67" a="1"/>
  <c r="BH42" i="66" a="1"/>
  <c r="AV51" i="67" a="1"/>
  <c r="AI57" i="67" a="1"/>
  <c r="AV49" i="67" a="1"/>
  <c r="AW62" i="67" a="1"/>
  <c r="AM75" i="67" a="1"/>
  <c r="AJ67" i="67" a="1"/>
  <c r="AK49" i="67" a="1"/>
  <c r="AR68" i="67" a="1"/>
  <c r="AT74" i="67" a="1"/>
  <c r="AJ59" i="67" a="1"/>
  <c r="AW64" i="67" a="1"/>
  <c r="AI63" i="67" a="1"/>
  <c r="AM55" i="67" a="1"/>
  <c r="AV66" i="67" a="1"/>
  <c r="AO56" i="67" a="1"/>
  <c r="AH71" i="67" a="1"/>
  <c r="AX65" i="67" a="1"/>
  <c r="AP65" i="67" a="1"/>
  <c r="AN66" i="67" a="1"/>
  <c r="AQ56" i="67" a="1"/>
  <c r="AX67" i="67" a="1"/>
  <c r="AK73" i="67" a="1"/>
  <c r="AG48" i="67" a="1"/>
  <c r="AV48" i="67" a="1"/>
  <c r="AR52" i="67" a="1"/>
  <c r="AY53" i="67" a="1"/>
  <c r="AT63" i="67" a="1"/>
  <c r="AL73" i="67" a="1"/>
  <c r="AX69" i="67" a="1"/>
  <c r="AW58" i="67" a="1"/>
  <c r="AJ52" i="67" a="1"/>
  <c r="AK63" i="67" a="1"/>
  <c r="AL75" i="67" a="1"/>
  <c r="AU63" i="67" a="1"/>
  <c r="AN67" i="67" a="1"/>
  <c r="AK71" i="67" a="1"/>
  <c r="AJ57" i="67" a="1"/>
  <c r="AQ68" i="67" a="1"/>
  <c r="AV55" i="67" a="1"/>
  <c r="AK57" i="67" a="1"/>
  <c r="AJ70" i="67" a="1"/>
  <c r="AY70" i="67" a="1"/>
  <c r="AI61" i="67" a="1"/>
  <c r="AI75" i="67" a="1"/>
  <c r="AT48" i="67" a="1"/>
  <c r="AP55" i="67" a="1"/>
  <c r="AK62" i="67" a="1"/>
  <c r="AM48" i="67" a="1"/>
  <c r="AS48" i="67" a="1"/>
  <c r="AO52" i="67" a="1"/>
  <c r="AO49" i="67" a="1"/>
  <c r="AK53" i="67" a="1"/>
  <c r="AG55" i="67" a="1"/>
  <c r="AR65" i="67" a="1"/>
  <c r="AQ74" i="67" a="1"/>
  <c r="AH72" i="67" a="1"/>
  <c r="AR63" i="67" a="1"/>
  <c r="AO53" i="67" a="1"/>
  <c r="AI65" i="67" a="1"/>
  <c r="AX75" i="67" a="1"/>
  <c r="AI66" i="67" a="1"/>
  <c r="AT49" i="67" a="1"/>
  <c r="AH58" i="67" a="1"/>
  <c r="AS70" i="67" a="1"/>
  <c r="AH51" i="67" a="1"/>
  <c r="AI58" i="67" a="1"/>
  <c r="AV63" i="67" a="1"/>
  <c r="AP69" i="67" a="1"/>
  <c r="AY75" i="67" a="1"/>
  <c r="AT57" i="67" a="1"/>
  <c r="AH69" i="67" a="1"/>
  <c r="AP50" i="67" a="1"/>
  <c r="AI59" i="67" a="1"/>
  <c r="AP70" i="67" a="1"/>
  <c r="AN75" i="67" a="1"/>
  <c r="AR48" i="67" a="1"/>
  <c r="AI60" i="67" a="1"/>
  <c r="AV65" i="67" a="1"/>
  <c r="AK72" i="67" a="1"/>
  <c r="AP71" i="67" a="1"/>
  <c r="AN56" i="67" a="1"/>
  <c r="AH62" i="67" a="1"/>
  <c r="AU67" i="67" a="1"/>
  <c r="AU75" i="67" a="1"/>
  <c r="AL59" i="67" a="1"/>
  <c r="AV75" i="67" a="1"/>
  <c r="AS50" i="67" a="1"/>
  <c r="AG71" i="67" a="1"/>
  <c r="AW48" i="67" a="1"/>
  <c r="AX56" i="67" a="1"/>
  <c r="AQ49" i="67" a="1"/>
  <c r="AP57" i="67" a="1"/>
  <c r="AJ63" i="67" a="1"/>
  <c r="AW68" i="67" a="1"/>
  <c r="AH74" i="67" a="1"/>
  <c r="AX57" i="67" a="1"/>
  <c r="AF68" i="67" a="1"/>
  <c r="AF70" i="67" a="1"/>
  <c r="V48" i="67" a="1"/>
  <c r="Q50" i="67" a="1"/>
  <c r="M54" i="67" a="1"/>
  <c r="AB57" i="67" a="1"/>
  <c r="Y56" i="67" a="1"/>
  <c r="Y64" i="67" a="1"/>
  <c r="O74" i="67" a="1"/>
  <c r="M51" i="67" a="1"/>
  <c r="Y57" i="67" a="1"/>
  <c r="U53" i="67" a="1"/>
  <c r="AB62" i="67" a="1"/>
  <c r="K54" i="67" a="1"/>
  <c r="J63" i="67" a="1"/>
  <c r="Q60" i="67" a="1"/>
  <c r="AB67" i="67" a="1"/>
  <c r="R75" i="67" a="1"/>
  <c r="Z49" i="67" a="1"/>
  <c r="U55" i="67" a="1"/>
  <c r="T61" i="67" a="1"/>
  <c r="L69" i="67" a="1"/>
  <c r="R50" i="67" a="1"/>
  <c r="R60" i="67" a="1"/>
  <c r="J68" i="67" a="1"/>
  <c r="S75" i="67" a="1"/>
  <c r="Z60" i="67" a="1"/>
  <c r="X73" i="67" a="1"/>
  <c r="L63" i="67" a="1"/>
  <c r="R51" i="67" a="1"/>
  <c r="V61" i="67" a="1"/>
  <c r="R52" i="67" a="1"/>
  <c r="L58" i="67" a="1"/>
  <c r="S52" i="67" a="1"/>
  <c r="S62" i="67" a="1"/>
  <c r="K70" i="67" a="1"/>
  <c r="V75" i="67" a="1"/>
  <c r="U69" i="67" a="1"/>
  <c r="N74" i="67" a="1"/>
  <c r="X66" i="67" a="1"/>
  <c r="Q74" i="67" a="1"/>
  <c r="Z75" i="67" a="1"/>
  <c r="S76" i="67" a="1"/>
  <c r="P72" i="67" a="1"/>
  <c r="Q69" i="67" a="1"/>
  <c r="V68" i="67" a="1"/>
  <c r="M71" i="67" a="1"/>
  <c r="R69" i="67" a="1"/>
  <c r="Q73" i="67" a="1"/>
  <c r="AB65" i="67" a="1"/>
  <c r="I50" i="67" a="1"/>
  <c r="I71" i="67" a="1"/>
  <c r="BH37" i="66" a="1"/>
  <c r="BH46" i="66" a="1"/>
  <c r="AS58" i="67" a="1"/>
  <c r="AY48" i="67" a="1"/>
  <c r="AU52" i="67" a="1"/>
  <c r="AU49" i="67" a="1"/>
  <c r="AQ53" i="67" a="1"/>
  <c r="AR55" i="67" a="1"/>
  <c r="AQ66" i="67" a="1"/>
  <c r="AS56" i="67" a="1"/>
  <c r="AM73" i="67" a="1"/>
  <c r="AO66" i="67" a="1"/>
  <c r="AG54" i="67" a="1"/>
  <c r="AH66" i="67" a="1"/>
  <c r="AK76" i="67" a="1"/>
  <c r="AQ67" i="67" a="1"/>
  <c r="AM50" i="67" a="1"/>
  <c r="AQ58" i="67" a="1"/>
  <c r="AJ75" i="67" a="1"/>
  <c r="AT51" i="67" a="1"/>
  <c r="AR58" i="67" a="1"/>
  <c r="AL64" i="67" a="1"/>
  <c r="AY69" i="67" a="1"/>
  <c r="AL76" i="67" a="1"/>
  <c r="AG70" i="67" a="1"/>
  <c r="AI51" i="67" a="1"/>
  <c r="AH60" i="67" a="1"/>
  <c r="AX70" i="67" a="1"/>
  <c r="AT75" i="67" a="1"/>
  <c r="AT53" i="67" a="1"/>
  <c r="AR60" i="67" a="1"/>
  <c r="AL66" i="67" a="1"/>
  <c r="AS72" i="67" a="1"/>
  <c r="AM49" i="67" a="1"/>
  <c r="AW56" i="67" a="1"/>
  <c r="AL49" i="67" a="1"/>
  <c r="AH53" i="67" a="1"/>
  <c r="AH50" i="67" a="1"/>
  <c r="AW53" i="67" a="1"/>
  <c r="AI56" i="67" a="1"/>
  <c r="AP67" i="67" a="1"/>
  <c r="AO60" i="67" a="1"/>
  <c r="AJ74" i="67" a="1"/>
  <c r="AL69" i="67" a="1"/>
  <c r="AH55" i="67" a="1"/>
  <c r="AG67" i="67" a="1"/>
  <c r="AQ76" i="67" a="1"/>
  <c r="AP68" i="67" a="1"/>
  <c r="AY50" i="67" a="1"/>
  <c r="AG59" i="67" a="1"/>
  <c r="AU76" i="67" a="1"/>
  <c r="AM52" i="67" a="1"/>
  <c r="AH59" i="67" a="1"/>
  <c r="AU64" i="67" a="1"/>
  <c r="AO70" i="67" a="1"/>
  <c r="AR76" i="67" a="1"/>
  <c r="AR59" i="67" a="1"/>
  <c r="AW70" i="67" a="1"/>
  <c r="AU51" i="67" a="1"/>
  <c r="AG61" i="67" a="1"/>
  <c r="AM71" i="67" a="1"/>
  <c r="AG76" i="67" a="1"/>
  <c r="AU54" i="67" a="1"/>
  <c r="AH61" i="67" a="1"/>
  <c r="AU66" i="67" a="1"/>
  <c r="AP73" i="67" a="1"/>
  <c r="AY49" i="67" a="1"/>
  <c r="AM57" i="67" a="1"/>
  <c r="AG63" i="67" a="1"/>
  <c r="AT68" i="67" a="1"/>
  <c r="AN76" i="67" a="1"/>
  <c r="AI52" i="67" a="1"/>
  <c r="AH49" i="67" a="1"/>
  <c r="AU65" i="67" a="1"/>
  <c r="AI76" i="67" a="1"/>
  <c r="AH73" i="67" a="1"/>
  <c r="AL72" i="67" a="1"/>
  <c r="AJ53" i="67" a="1"/>
  <c r="AI50" i="67" a="1"/>
  <c r="AX48" i="67" a="1"/>
  <c r="AV60" i="67" a="1"/>
  <c r="AL70" i="67" a="1"/>
  <c r="AU77" i="67" a="1"/>
  <c r="AF57" i="67" a="1"/>
  <c r="P48" i="67" a="1"/>
  <c r="V51" i="67" a="1"/>
  <c r="V57" i="67" a="1"/>
  <c r="S59" i="67" a="1"/>
  <c r="Q72" i="67" a="1"/>
  <c r="K53" i="67" a="1"/>
  <c r="V52" i="67" a="1"/>
  <c r="L48" i="67" a="1"/>
  <c r="Z61" i="67" a="1"/>
  <c r="V62" i="67" a="1"/>
  <c r="L75" i="67" a="1"/>
  <c r="Y51" i="67" a="1"/>
  <c r="M61" i="67" a="1"/>
  <c r="M72" i="67" a="1"/>
  <c r="K60" i="67" a="1"/>
  <c r="K71" i="67" a="1"/>
  <c r="AB58" i="67" a="1"/>
  <c r="Z51" i="67" a="1"/>
  <c r="S50" i="67" a="1"/>
  <c r="AA63" i="67" a="1"/>
  <c r="U57" i="67" a="1"/>
  <c r="O56" i="67" a="1"/>
  <c r="W69" i="67" a="1"/>
  <c r="Z77" i="67" a="1"/>
  <c r="R70" i="67" a="1"/>
  <c r="S77" i="67" a="1"/>
  <c r="N75" i="67" a="1"/>
  <c r="O72" i="67" a="1"/>
  <c r="Z67" i="67" a="1"/>
  <c r="AB73" i="67" a="1"/>
  <c r="W68" i="67" a="1"/>
  <c r="L68" i="67" a="1"/>
  <c r="I74" i="67" a="1"/>
  <c r="I53" i="67" a="1"/>
  <c r="BH51" i="66" a="1"/>
  <c r="Y50" i="67" a="1"/>
  <c r="U71" i="67" a="1"/>
  <c r="S72" i="67" a="1"/>
  <c r="M60" i="67" a="1"/>
  <c r="X67" i="67" a="1"/>
  <c r="N73" i="67" a="1"/>
  <c r="N63" i="67" a="1"/>
  <c r="AW66" i="67" a="1"/>
  <c r="AF77" i="67" a="1"/>
  <c r="W49" i="67" a="1"/>
  <c r="AB49" i="67" a="1"/>
  <c r="Z62" i="67" a="1"/>
  <c r="AI49" i="67" a="1"/>
  <c r="AR57" i="67" a="1"/>
  <c r="AQ69" i="67" a="1"/>
  <c r="AX66" i="67" a="1"/>
  <c r="AO75" i="67" a="1"/>
  <c r="AR73" i="67" a="1"/>
  <c r="AN57" i="67" a="1"/>
  <c r="AU50" i="67" a="1"/>
  <c r="AJ50" i="67" a="1"/>
  <c r="AL61" i="67" a="1"/>
  <c r="AT70" i="67" a="1"/>
  <c r="AU60" i="67" a="1"/>
  <c r="AF75" i="67" a="1"/>
  <c r="AB48" i="67" a="1"/>
  <c r="U52" i="67" a="1"/>
  <c r="O58" i="67" a="1"/>
  <c r="Q61" i="67" a="1"/>
  <c r="J75" i="67" a="1"/>
  <c r="AB54" i="67" a="1"/>
  <c r="T54" i="67" a="1"/>
  <c r="Y49" i="67" a="1"/>
  <c r="N48" i="67" a="1"/>
  <c r="T64" i="67" a="1"/>
  <c r="X75" i="67" a="1"/>
  <c r="M53" i="67" a="1"/>
  <c r="W62" i="67" a="1"/>
  <c r="K74" i="67" a="1"/>
  <c r="U61" i="67" a="1"/>
  <c r="AB72" i="67" a="1"/>
  <c r="N61" i="67" a="1"/>
  <c r="U56" i="67" a="1"/>
  <c r="Q52" i="67" a="1"/>
  <c r="J50" i="67" a="1"/>
  <c r="T58" i="67" a="1"/>
  <c r="Z59" i="67" a="1"/>
  <c r="N71" i="67" a="1"/>
  <c r="Y61" i="67" a="1"/>
  <c r="R77" i="67" a="1"/>
  <c r="T67" i="67" a="1"/>
  <c r="U77" i="67" a="1"/>
  <c r="S65" i="67" a="1"/>
  <c r="AA70" i="67" a="1"/>
  <c r="V76" i="67" a="1"/>
  <c r="AB70" i="67" a="1"/>
  <c r="U63" i="67" a="1"/>
  <c r="I51" i="67" a="1"/>
  <c r="I66" i="67" a="1"/>
  <c r="BH35" i="66" a="1"/>
  <c r="AA52" i="67" a="1"/>
  <c r="W53" i="67" a="1"/>
  <c r="R74" i="67" a="1"/>
  <c r="P73" i="67" a="1"/>
  <c r="S58" i="67" a="1"/>
  <c r="T50" i="67" a="1"/>
  <c r="N60" i="67" a="1"/>
  <c r="X63" i="67" a="1"/>
  <c r="J67" i="67" a="1"/>
  <c r="R73" i="67" a="1"/>
  <c r="I56" i="67" a="1"/>
  <c r="S51" i="67" a="1"/>
  <c r="P71" i="67" a="1"/>
  <c r="Z54" i="67" a="1"/>
  <c r="BH44" i="66" a="1"/>
  <c r="AR75" i="67" a="1"/>
  <c r="L70" i="67" a="1"/>
  <c r="J58" i="67" a="1"/>
  <c r="U76" i="67" a="1"/>
  <c r="BH39" i="66" a="1"/>
  <c r="AX52" i="67" a="1"/>
  <c r="AX72" i="67" a="1"/>
  <c r="AO73" i="67" a="1"/>
  <c r="AI53" i="67" a="1"/>
  <c r="AH76" i="67" a="1"/>
  <c r="AH77" i="67" a="1"/>
  <c r="AK60" i="67" a="1"/>
  <c r="AN51" i="67" a="1"/>
  <c r="AV50" i="67" a="1"/>
  <c r="AT62" i="67" a="1"/>
  <c r="AY71" i="67" a="1"/>
  <c r="AQ64" i="67" a="1"/>
  <c r="AF54" i="67" a="1"/>
  <c r="O49" i="67" a="1"/>
  <c r="U58" i="67" a="1"/>
  <c r="T62" i="67" a="1"/>
  <c r="AB75" i="67" a="1"/>
  <c r="Q55" i="67" a="1"/>
  <c r="S55" i="67" a="1"/>
  <c r="O50" i="67" a="1"/>
  <c r="K76" i="67" a="1"/>
  <c r="K63" i="67" a="1"/>
  <c r="AB61" i="67" a="1"/>
  <c r="Q62" i="67" a="1"/>
  <c r="J59" i="67" a="1"/>
  <c r="K69" i="67" a="1"/>
  <c r="Q67" i="67" a="1"/>
  <c r="AB71" i="67" a="1"/>
  <c r="O69" i="67" a="1"/>
  <c r="I63" i="67" a="1"/>
  <c r="I67" i="67" a="1"/>
  <c r="AJ69" i="67" a="1"/>
  <c r="Z50" i="67" a="1"/>
  <c r="Y69" i="67" a="1"/>
  <c r="AQ54" i="67" a="1"/>
  <c r="AO50" i="67" a="1"/>
  <c r="AH75" i="67" a="1"/>
  <c r="AX55" i="67" a="1"/>
  <c r="AT76" i="67" a="1"/>
  <c r="AX53" i="67" a="1"/>
  <c r="AU68" i="67" a="1"/>
  <c r="AL53" i="67" a="1"/>
  <c r="AO51" i="67" a="1"/>
  <c r="AS63" i="67" a="1"/>
  <c r="AN72" i="67" a="1"/>
  <c r="AW67" i="67" a="1"/>
  <c r="AF58" i="67" a="1"/>
  <c r="U49" i="67" a="1"/>
  <c r="T53" i="67" a="1"/>
  <c r="K49" i="67" a="1"/>
  <c r="O63" i="67" a="1"/>
  <c r="AA76" i="67" a="1"/>
  <c r="Z56" i="67" a="1"/>
  <c r="R56" i="67" a="1"/>
  <c r="M52" i="67" a="1"/>
  <c r="X51" i="67" a="1"/>
  <c r="R66" i="67" a="1"/>
  <c r="Q76" i="67" a="1"/>
  <c r="V54" i="67" a="1"/>
  <c r="R63" i="67" a="1"/>
  <c r="O48" i="67" a="1"/>
  <c r="P62" i="67" a="1"/>
  <c r="Z74" i="67" a="1"/>
  <c r="O64" i="67" a="1"/>
  <c r="S60" i="67" a="1"/>
  <c r="O54" i="67" a="1"/>
  <c r="X61" i="67" a="1"/>
  <c r="P74" i="67" a="1"/>
  <c r="M73" i="67" a="1"/>
  <c r="T35" i="66" a="1"/>
  <c r="AM69" i="67" a="1"/>
  <c r="O59" i="67" a="1"/>
  <c r="Y76" i="67" a="1"/>
  <c r="AS64" i="67" a="1"/>
  <c r="AS57" i="67" a="1"/>
  <c r="AX77" i="67" a="1"/>
  <c r="AT59" i="67" a="1"/>
  <c r="AY77" i="67" a="1"/>
  <c r="AY56" i="67" a="1"/>
  <c r="AI73" i="67" a="1"/>
  <c r="AV53" i="67" a="1"/>
  <c r="AH52" i="67" a="1"/>
  <c r="AI64" i="67" a="1"/>
  <c r="AS73" i="67" a="1"/>
  <c r="AF49" i="67" a="1"/>
  <c r="AF64" i="67" a="1"/>
  <c r="AA49" i="67" a="1"/>
  <c r="Z53" i="67" a="1"/>
  <c r="V49" i="67" a="1"/>
  <c r="R64" i="67" a="1"/>
  <c r="T77" i="67" a="1"/>
  <c r="O57" i="67" a="1"/>
  <c r="Q57" i="67" a="1"/>
  <c r="L53" i="67" a="1"/>
  <c r="W52" i="67" a="1"/>
  <c r="U67" i="67" a="1"/>
  <c r="W76" i="67" a="1"/>
  <c r="K55" i="67" a="1"/>
  <c r="U64" i="67" a="1"/>
  <c r="Z48" i="67" a="1"/>
  <c r="S63" i="67" a="1"/>
  <c r="M75" i="67" a="1"/>
  <c r="J65" i="67" a="1"/>
  <c r="X62" i="67" a="1"/>
  <c r="N55" i="67" a="1"/>
  <c r="AA51" i="67" a="1"/>
  <c r="T60" i="67" a="1"/>
  <c r="L62" i="67" a="1"/>
  <c r="L73" i="67" a="1"/>
  <c r="Y65" i="67" a="1"/>
  <c r="T49" i="67" a="1"/>
  <c r="Z72" i="67" a="1"/>
  <c r="T71" i="67" a="1"/>
  <c r="Y70" i="67" a="1"/>
  <c r="W74" i="67" a="1"/>
  <c r="AA68" i="67" a="1"/>
  <c r="X74" i="67" a="1"/>
  <c r="N76" i="67" a="1"/>
  <c r="I69" i="67" a="1"/>
  <c r="T38" i="66" a="1"/>
  <c r="BH48" i="66" a="1"/>
  <c r="L64" i="67" a="1"/>
  <c r="O76" i="67" a="1"/>
  <c r="AX51" i="67" a="1"/>
  <c r="W56" i="67" a="1"/>
  <c r="O73" i="67" a="1"/>
  <c r="N56" i="67" a="1"/>
  <c r="Y59" i="67" a="1"/>
  <c r="AI74" i="67" a="1"/>
  <c r="AM63" i="67" a="1"/>
  <c r="AV68" i="67" a="1"/>
  <c r="AR61" i="67" a="1"/>
  <c r="AN49" i="67" a="1"/>
  <c r="AN58" i="67" a="1"/>
  <c r="AV74" i="67" a="1"/>
  <c r="AY55" i="67" a="1"/>
  <c r="AO54" i="67" a="1"/>
  <c r="AR64" i="67" a="1"/>
  <c r="AP74" i="67" a="1"/>
  <c r="AF67" i="67" a="1"/>
  <c r="AF76" i="67" a="1"/>
  <c r="Y48" i="67" a="1"/>
  <c r="S54" i="67" a="1"/>
  <c r="K52" i="67" a="1"/>
  <c r="M65" i="67" a="1"/>
  <c r="K48" i="67" a="1"/>
  <c r="N58" i="67" a="1"/>
  <c r="P60" i="67" a="1"/>
  <c r="J55" i="67" a="1"/>
  <c r="T55" i="67" a="1"/>
  <c r="P68" i="67" a="1"/>
  <c r="V77" i="67" a="1"/>
  <c r="J56" i="67" a="1"/>
  <c r="S66" i="67" a="1"/>
  <c r="Q51" i="67" a="1"/>
  <c r="Q65" i="67" a="1"/>
  <c r="Y75" i="67" a="1"/>
  <c r="R68" i="67" a="1"/>
  <c r="V64" i="67" a="1"/>
  <c r="K58" i="67" a="1"/>
  <c r="Z52" i="67" a="1"/>
  <c r="R62" i="67" a="1"/>
  <c r="V63" i="67" a="1"/>
  <c r="J72" i="67" a="1"/>
  <c r="V72" i="67" a="1"/>
  <c r="Y55" i="67" a="1"/>
  <c r="AB76" i="67" a="1"/>
  <c r="K73" i="67" a="1"/>
  <c r="U74" i="67" a="1"/>
  <c r="AB52" i="67" a="1"/>
  <c r="U75" i="67" a="1"/>
  <c r="AA53" i="67" a="1"/>
  <c r="J69" i="67" a="1"/>
  <c r="I52" i="67" a="1"/>
  <c r="BH54" i="66" a="1"/>
  <c r="BH36" i="66" a="1"/>
  <c r="AP76" i="67" a="1"/>
  <c r="J62" i="67" a="1"/>
  <c r="AA74" i="67" a="1"/>
  <c r="AQ63" i="67" a="1"/>
  <c r="J51" i="67" a="1"/>
  <c r="AA61" i="67" a="1"/>
  <c r="Q54" i="67" a="1"/>
  <c r="I73" i="67" a="1"/>
  <c r="AV70" i="67" a="1"/>
  <c r="AG69" i="67" a="1"/>
  <c r="AU57" i="67" a="1"/>
  <c r="AQ62" i="67" a="1"/>
  <c r="AM58" i="67" a="1"/>
  <c r="AG65" i="67" a="1"/>
  <c r="AK69" i="67" a="1"/>
  <c r="AW57" i="67" a="1"/>
  <c r="AQ55" i="67" a="1"/>
  <c r="AH65" i="67" a="1"/>
  <c r="AX74" i="67" a="1"/>
  <c r="AF73" i="67" a="1"/>
  <c r="AF60" i="67" a="1"/>
  <c r="L49" i="67" a="1"/>
  <c r="Y54" i="67" a="1"/>
  <c r="J53" i="67" a="1"/>
  <c r="P66" i="67" a="1"/>
  <c r="U48" i="67" a="1"/>
  <c r="X58" i="67" a="1"/>
  <c r="W60" i="67" a="1"/>
  <c r="AB55" i="67" a="1"/>
  <c r="S56" i="67" a="1"/>
  <c r="S69" i="67" a="1"/>
  <c r="AB77" i="67" a="1"/>
  <c r="T56" i="67" a="1"/>
  <c r="Z66" i="67" a="1"/>
  <c r="P52" i="67" a="1"/>
  <c r="X65" i="67" a="1"/>
  <c r="L76" i="67" a="1"/>
  <c r="AB69" i="67" a="1"/>
  <c r="M66" i="67" a="1"/>
  <c r="Q59" i="67" a="1"/>
  <c r="Q53" i="67" a="1"/>
  <c r="Y62" i="67" a="1"/>
  <c r="J64" i="67" a="1"/>
  <c r="X72" i="67" a="1"/>
  <c r="T75" i="67" a="1"/>
  <c r="AB60" i="67" a="1"/>
  <c r="K51" i="67" a="1"/>
  <c r="AA75" i="67" a="1"/>
  <c r="O75" i="67" a="1"/>
  <c r="V58" i="67" a="1"/>
  <c r="L65" i="67" a="1"/>
  <c r="Q63" i="67" a="1"/>
  <c r="Z76" i="67" a="1"/>
  <c r="I58" i="67" a="1"/>
  <c r="BH49" i="66" a="1"/>
  <c r="AI68" i="67" a="1"/>
  <c r="AN68" i="67" a="1"/>
  <c r="Q56" i="67" a="1"/>
  <c r="U51" i="67" a="1"/>
  <c r="X60" i="67" a="1"/>
  <c r="Z58" i="67" a="1"/>
  <c r="M69" i="67" a="1"/>
  <c r="Q49" i="67" a="1"/>
  <c r="R53" i="67" a="1"/>
  <c r="O68" i="67" a="1"/>
  <c r="N66" i="67" a="1"/>
  <c r="BH43" i="66" a="1"/>
  <c r="AX58" i="67" a="1"/>
  <c r="AB59" i="67" a="1"/>
  <c r="W54" i="67" a="1"/>
  <c r="Y67" i="67" a="1"/>
  <c r="X64" i="67" a="1"/>
  <c r="AK61" i="67" a="1"/>
  <c r="AS75" i="67" a="1"/>
  <c r="AS59" i="67" a="1"/>
  <c r="AN65" i="67" a="1"/>
  <c r="AJ61" i="67" a="1"/>
  <c r="AM68" i="67" a="1"/>
  <c r="AM72" i="67" a="1"/>
  <c r="AV58" i="67" a="1"/>
  <c r="AG57" i="67" a="1"/>
  <c r="AP66" i="67" a="1"/>
  <c r="AK75" i="67" a="1"/>
  <c r="AF56" i="67" a="1"/>
  <c r="AF66" i="67" a="1"/>
  <c r="X49" i="67" a="1"/>
  <c r="L55" i="67" a="1"/>
  <c r="AA54" i="67" a="1"/>
  <c r="W66" i="67" a="1"/>
  <c r="N50" i="67" a="1"/>
  <c r="T59" i="67" a="1"/>
  <c r="N62" i="67" a="1"/>
  <c r="AA56" i="67" a="1"/>
  <c r="Q58" i="67" a="1"/>
  <c r="Z69" i="67" a="1"/>
  <c r="X48" i="67" a="1"/>
  <c r="AB56" i="67" a="1"/>
  <c r="Q68" i="67" a="1"/>
  <c r="O53" i="67" a="1"/>
  <c r="O67" i="67" a="1"/>
  <c r="R76" i="67" a="1"/>
  <c r="Z71" i="67" a="1"/>
  <c r="K68" i="67" a="1"/>
  <c r="L60" i="67" a="1"/>
  <c r="Y53" i="67" a="1"/>
  <c r="U50" i="67" a="1"/>
  <c r="Q64" i="67" a="1"/>
  <c r="V74" i="67" a="1"/>
  <c r="M76" i="67" a="1"/>
  <c r="N65" i="67" a="1"/>
  <c r="X56" i="67" a="1"/>
  <c r="W67" i="67" a="1"/>
  <c r="X69" i="67" a="1"/>
  <c r="Q66" i="67" a="1"/>
  <c r="S67" i="67" a="1"/>
  <c r="Z68" i="67" a="1"/>
  <c r="K75" i="67" a="1"/>
  <c r="I70" i="67" a="1"/>
  <c r="BH45" i="66" a="1"/>
  <c r="AM65" i="67" a="1"/>
  <c r="AF71" i="67" a="1"/>
  <c r="AB68" i="67" a="1"/>
  <c r="L72" i="67" a="1"/>
  <c r="O70" i="67" a="1"/>
  <c r="L74" i="67" a="1"/>
  <c r="AA71" i="67" a="1"/>
  <c r="M70" i="67" a="1"/>
  <c r="AU69" i="67" a="1"/>
  <c r="AF72" i="67" a="1"/>
  <c r="S64" i="67" a="1"/>
  <c r="Q48" i="67" a="1"/>
  <c r="W71" i="67" a="1"/>
  <c r="AV52" i="67" a="1"/>
  <c r="AU56" i="67" a="1"/>
  <c r="AO63" i="67" a="1"/>
  <c r="AL67" i="67" a="1"/>
  <c r="AH63" i="67" a="1"/>
  <c r="AG50" i="67" a="1"/>
  <c r="AG56" i="67" a="1"/>
  <c r="AU59" i="67" a="1"/>
  <c r="AY57" i="67" a="1"/>
  <c r="AY66" i="67" a="1"/>
  <c r="AQ75" i="67" a="1"/>
  <c r="AF62" i="67" a="1"/>
  <c r="AF53" i="67" a="1"/>
  <c r="K50" i="67" a="1"/>
  <c r="R55" i="67" a="1"/>
  <c r="Z55" i="67" a="1"/>
  <c r="K67" i="67" a="1"/>
  <c r="V50" i="67" a="1"/>
  <c r="AA59" i="67" a="1"/>
  <c r="U62" i="67" a="1"/>
  <c r="Z57" i="67" a="1"/>
  <c r="J60" i="67" a="1"/>
  <c r="N70" i="67" a="1"/>
  <c r="P49" i="67" a="1"/>
  <c r="S57" i="67" a="1"/>
  <c r="X68" i="67" a="1"/>
  <c r="N54" i="67" a="1"/>
  <c r="V67" i="67" a="1"/>
  <c r="X76" i="67" a="1"/>
  <c r="U72" i="67" a="1"/>
  <c r="Y68" i="67" a="1"/>
  <c r="O61" i="67" a="1"/>
  <c r="P54" i="67" a="1"/>
  <c r="T51" i="67" a="1"/>
  <c r="T65" i="67" a="1"/>
  <c r="P75" i="67" a="1"/>
  <c r="AA64" i="67" a="1"/>
  <c r="J66" i="67" a="1"/>
  <c r="W61" i="67" a="1"/>
  <c r="T74" i="67" a="1"/>
  <c r="P76" i="67" a="1"/>
  <c r="AA67" i="67" a="1"/>
  <c r="O71" i="67" a="1"/>
  <c r="L71" i="67" a="1"/>
  <c r="I49" i="67" a="1"/>
  <c r="I76" i="67" a="1"/>
  <c r="BH47" i="66" a="1"/>
  <c r="AJ64" i="67" a="1"/>
  <c r="AK68" i="67" a="1"/>
  <c r="AY64" i="67" a="1"/>
  <c r="AL51" i="67" a="1"/>
  <c r="AL60" i="67" a="1"/>
  <c r="AT60" i="67" a="1"/>
  <c r="AO58" i="67" a="1"/>
  <c r="AF74" i="67" a="1"/>
  <c r="W50" i="67" a="1"/>
  <c r="X57" i="67" a="1"/>
  <c r="K64" i="67" a="1"/>
  <c r="U59" i="67" a="1"/>
  <c r="P50" i="67" a="1"/>
  <c r="K57" i="67" a="1"/>
  <c r="W77" i="67" a="1"/>
  <c r="R67" i="67" a="1"/>
  <c r="N69" i="67" a="1"/>
  <c r="T70" i="67" a="1"/>
  <c r="AI69" i="67" a="1"/>
  <c r="AV76" i="67" a="1"/>
  <c r="L52" i="67" a="1"/>
  <c r="T69" i="67" a="1"/>
  <c r="S68" i="67" a="1"/>
  <c r="W55" i="67" a="1"/>
  <c r="AT64" i="67" a="1"/>
  <c r="AJ58" i="67" a="1"/>
  <c r="AN71" i="67" a="1"/>
  <c r="AV71" i="67" a="1"/>
  <c r="AO71" i="67" a="1"/>
  <c r="AQ52" i="67" a="1"/>
  <c r="AP49" i="67" a="1"/>
  <c r="AP64" i="67" a="1"/>
  <c r="AN59" i="67" a="1"/>
  <c r="AV69" i="67" a="1"/>
  <c r="AO77" i="67" a="1"/>
  <c r="AF51" i="67" a="1"/>
  <c r="J48" i="67" a="1"/>
  <c r="P51" i="67" a="1"/>
  <c r="P57" i="67" a="1"/>
  <c r="L59" i="67" a="1"/>
  <c r="Z70" i="67" a="1"/>
  <c r="T52" i="67" a="1"/>
  <c r="W51" i="67" a="1"/>
  <c r="Z64" i="67" a="1"/>
  <c r="S61" i="67" a="1"/>
  <c r="O62" i="67" a="1"/>
  <c r="J74" i="67" a="1"/>
  <c r="O51" i="67" a="1"/>
  <c r="Y60" i="67" a="1"/>
  <c r="J71" i="67" a="1"/>
  <c r="W59" i="67" a="1"/>
  <c r="AA69" i="67" a="1"/>
  <c r="T57" i="67" a="1"/>
  <c r="AA50" i="67" a="1"/>
  <c r="S49" i="67" a="1"/>
  <c r="T63" i="67" a="1"/>
  <c r="M57" i="67" a="1"/>
  <c r="P55" i="67" a="1"/>
  <c r="P69" i="67" a="1"/>
  <c r="N77" i="67" a="1"/>
  <c r="V66" i="67" a="1"/>
  <c r="K72" i="67" a="1"/>
  <c r="J73" i="67" a="1"/>
  <c r="J70" i="67" a="1"/>
  <c r="L67" i="67" a="1"/>
  <c r="R72" i="67" a="1"/>
  <c r="M67" i="67" a="1"/>
  <c r="Z65" i="67" a="1"/>
  <c r="I68" i="67" a="1"/>
  <c r="I65" i="67" a="1"/>
  <c r="BH41" i="66" a="1"/>
  <c r="W65" i="67" a="1"/>
  <c r="P53" i="67" a="1"/>
  <c r="W63" i="67" a="1"/>
  <c r="P64" i="67" a="1"/>
  <c r="V71" i="67" a="1"/>
  <c r="I57" i="67" a="1"/>
  <c r="BH38" i="66" a="1"/>
  <c r="R59" i="67" a="1"/>
  <c r="AB74" i="67" a="1"/>
  <c r="I77" i="67" a="1"/>
  <c r="AW49" i="67" a="1"/>
  <c r="W58" i="67" a="1"/>
  <c r="V70" i="67" a="1"/>
  <c r="M63" i="67" a="1"/>
  <c r="X70" i="67" a="1"/>
  <c r="I72" i="67" a="1"/>
  <c r="AS42" i="66" a="1"/>
  <c r="AJ54" i="66" a="1"/>
  <c r="AU43" i="66" a="1"/>
  <c r="AJ35" i="66" a="1"/>
  <c r="AY51" i="66" a="1"/>
  <c r="AI50" i="66" a="1"/>
  <c r="AH54" i="66" a="1"/>
  <c r="BE44" i="66" a="1"/>
  <c r="AY47" i="66" a="1"/>
  <c r="AO41" i="66" a="1"/>
  <c r="BF39" i="66" a="1"/>
  <c r="AU39" i="66" a="1"/>
  <c r="AQ45" i="66" a="1"/>
  <c r="AK42" i="66" a="1"/>
  <c r="AW49" i="66" a="1"/>
  <c r="AO48" i="66" a="1"/>
  <c r="AX48" i="66" a="1"/>
  <c r="AD36" i="66" a="1"/>
  <c r="BA35" i="66" a="1"/>
  <c r="AS38" i="66" a="1"/>
  <c r="AH40" i="66" a="1"/>
  <c r="AY50" i="66" a="1"/>
  <c r="BA46" i="66" a="1"/>
  <c r="AQ44" i="66" a="1"/>
  <c r="AV50" i="66" a="1"/>
  <c r="AP52" i="66" a="1"/>
  <c r="AJ40" i="66" a="1"/>
  <c r="AS43" i="66" a="1"/>
  <c r="AZ46" i="66" a="1"/>
  <c r="AD43" i="66" a="1"/>
  <c r="BA54" i="66" a="1"/>
  <c r="AZ37" i="66" a="1"/>
  <c r="AR50" i="66" a="1"/>
  <c r="AF36" i="66" a="1"/>
  <c r="AC42" i="66" a="1"/>
  <c r="AT40" i="66" a="1"/>
  <c r="AD44" i="66" a="1"/>
  <c r="AR35" i="66" a="1"/>
  <c r="BE38" i="66" a="1"/>
  <c r="AR40" i="66" a="1"/>
  <c r="AH53" i="66" a="1"/>
  <c r="AI45" i="66" a="1"/>
  <c r="AX49" i="66" a="1"/>
  <c r="AF40" i="66" a="1"/>
  <c r="AD35" i="66" a="1"/>
  <c r="BF53" i="66" a="1"/>
  <c r="AK50" i="66" a="1"/>
  <c r="AY53" i="66" a="1"/>
  <c r="AZ47" i="66" a="1"/>
  <c r="AG42" i="66" a="1"/>
  <c r="AO43" i="66" a="1"/>
  <c r="BB49" i="66" a="1"/>
  <c r="AH37" i="66" a="1"/>
  <c r="BE36" i="66" a="1"/>
  <c r="AG41" i="66" a="1"/>
  <c r="BE49" i="66" a="1"/>
  <c r="AY45" i="66" a="1"/>
  <c r="BE45" i="66" a="1"/>
  <c r="AW45" i="66" a="1"/>
  <c r="BD44" i="66" a="1"/>
  <c r="AE44" i="66" a="1"/>
  <c r="AY40" i="66" a="1"/>
  <c r="AX36" i="66" a="1"/>
  <c r="BA37" i="66" a="1"/>
  <c r="AW54" i="66" a="1"/>
  <c r="AV53" i="66" a="1"/>
  <c r="AP49" i="66" a="1"/>
  <c r="BC37" i="66" a="1"/>
  <c r="AP45" i="66" a="1"/>
  <c r="AP50" i="66" a="1"/>
  <c r="BD37" i="66" a="1"/>
  <c r="AC54" i="66" a="1"/>
  <c r="AO46" i="66" a="1"/>
  <c r="AX39" i="66" a="1"/>
  <c r="BB52" i="66" a="1"/>
  <c r="AZ51" i="66" a="1"/>
  <c r="AY44" i="66" a="1"/>
  <c r="BE54" i="66" a="1"/>
  <c r="AF50" i="66" a="1"/>
  <c r="AQ41" i="66" a="1"/>
  <c r="AQ48" i="66" a="1"/>
  <c r="AK40" i="66" a="1"/>
  <c r="AV35" i="66" a="1"/>
  <c r="AX35" i="66" a="1"/>
  <c r="AC37" i="66" a="1"/>
  <c r="AH43" i="66" a="1"/>
  <c r="AP41" i="66" a="1"/>
  <c r="BE46" i="66" a="1"/>
  <c r="AR43" i="66" a="1"/>
  <c r="AJ42" i="66" a="1"/>
  <c r="BD46" i="66" a="1"/>
  <c r="AR47" i="66" a="1"/>
  <c r="AY48" i="66" a="1"/>
  <c r="AJ38" i="66" a="1"/>
  <c r="AE50" i="66" a="1"/>
  <c r="AI35" i="66" a="1"/>
  <c r="AQ54" i="66" a="1"/>
  <c r="AU50" i="66" a="1"/>
  <c r="AO47" i="66" a="1"/>
  <c r="AK47" i="66" a="1"/>
  <c r="BE41" i="66" a="1"/>
  <c r="AW40" i="66" a="1"/>
  <c r="BF47" i="66" a="1"/>
  <c r="AK38" i="66" a="1"/>
  <c r="BB36" i="66" a="1"/>
  <c r="AU44" i="66" a="1"/>
  <c r="BB41" i="66" a="1"/>
  <c r="BA36" i="66" a="1"/>
  <c r="AV42" i="66" a="1"/>
  <c r="AK52" i="66" a="1"/>
  <c r="AF38" i="66" a="1"/>
  <c r="AP48" i="66" a="1"/>
  <c r="AE42" i="66" a="1"/>
  <c r="BC43" i="66" a="1"/>
  <c r="AZ40" i="66" a="1"/>
  <c r="AY54" i="66" a="1"/>
  <c r="AW44" i="66" a="1"/>
  <c r="AU37" i="66" a="1"/>
  <c r="BA47" i="66" a="1"/>
  <c r="AR51" i="66" a="1"/>
  <c r="AD50" i="66" a="1"/>
  <c r="AW53" i="66" a="1"/>
  <c r="AK53" i="66" a="1"/>
  <c r="AI39" i="66" a="1"/>
  <c r="BE48" i="66" a="1"/>
  <c r="AF53" i="66" a="1"/>
  <c r="BE42" i="66" a="1"/>
  <c r="AW48" i="66" a="1"/>
  <c r="AO49" i="66" a="1"/>
  <c r="AX50" i="66" a="1"/>
  <c r="AT37" i="66" a="1"/>
  <c r="AQ43" i="66" a="1"/>
  <c r="AD54" i="66" a="1"/>
  <c r="AV48" i="66" a="1"/>
  <c r="BB39" i="66" a="1"/>
  <c r="BF46" i="66" a="1"/>
  <c r="BG51" i="66" a="1"/>
  <c r="AD49" i="66" a="1"/>
  <c r="AP47" i="66" a="1"/>
  <c r="AW47" i="66" a="1"/>
  <c r="AD42" i="66" a="1"/>
  <c r="AS36" i="66" a="1"/>
  <c r="AI44" i="66" a="1"/>
  <c r="AS41" i="66" a="1"/>
  <c r="BF38" i="66" a="1"/>
  <c r="AW50" i="66" a="1"/>
  <c r="BG48" i="66" a="1"/>
  <c r="AO42" i="66" a="1"/>
  <c r="AI41" i="66" a="1"/>
  <c r="AZ45" i="66" a="1"/>
  <c r="AF41" i="66" a="1"/>
  <c r="AQ49" i="66" a="1"/>
  <c r="AR52" i="66" a="1"/>
  <c r="BF37" i="66" a="1"/>
  <c r="AG52" i="66" a="1"/>
  <c r="AO36" i="66" a="1"/>
  <c r="AR53" i="66" a="1"/>
  <c r="AQ37" i="66" a="1"/>
  <c r="BD47" i="66" a="1"/>
  <c r="AO52" i="66" a="1"/>
  <c r="AU40" i="66" a="1"/>
  <c r="AV46" i="66" a="1"/>
  <c r="AF46" i="66" a="1"/>
  <c r="AZ39" i="66" a="1"/>
  <c r="AP40" i="66" a="1"/>
  <c r="AT45" i="66" a="1"/>
  <c r="AD41" i="66" a="1"/>
  <c r="AP53" i="66" a="1"/>
  <c r="AO54" i="66" a="1"/>
  <c r="AK37" i="66" a="1"/>
  <c r="AI42" i="66" a="1"/>
  <c r="AI49" i="66" a="1"/>
  <c r="AF45" i="66" a="1"/>
  <c r="BA40" i="66" a="1"/>
  <c r="AX46" i="66" a="1"/>
  <c r="AR44" i="66" a="1"/>
  <c r="BG44" i="66" a="1"/>
  <c r="BC39" i="66" a="1"/>
  <c r="BG50" i="66" a="1"/>
  <c r="BB46" i="66" a="1"/>
  <c r="AG40" i="66" a="1"/>
  <c r="AW36" i="66" a="1"/>
  <c r="AD40" i="66" a="1"/>
  <c r="BF50" i="66" a="1"/>
  <c r="AU52" i="66" a="1"/>
  <c r="AP43" i="66" a="1"/>
  <c r="AU46" i="66" a="1"/>
  <c r="AS39" i="66" a="1"/>
  <c r="AI52" i="66" a="1"/>
  <c r="AH52" i="66" a="1"/>
  <c r="AQ53" i="66" a="1"/>
  <c r="AI38" i="66" a="1"/>
  <c r="BF49" i="66" a="1"/>
  <c r="BF40" i="66" a="1"/>
  <c r="AG53" i="66" a="1"/>
  <c r="AH44" i="66" a="1"/>
  <c r="AH38" i="66" a="1"/>
  <c r="AX45" i="66" a="1"/>
  <c r="AQ40" i="66" a="1"/>
  <c r="BF44" i="66" a="1"/>
  <c r="AW43" i="66" a="1"/>
  <c r="AP37" i="66" a="1"/>
  <c r="AE39" i="66" a="1"/>
  <c r="BC54" i="66" a="1"/>
  <c r="AK35" i="66" a="1"/>
  <c r="AP36" i="66" a="1"/>
  <c r="AT42" i="66" a="1"/>
  <c r="AE53" i="66" a="1"/>
  <c r="AW37" i="66" a="1"/>
  <c r="AF44" i="66" a="1"/>
  <c r="AK39" i="66" a="1"/>
  <c r="AV49" i="66" a="1"/>
  <c r="AJ45" i="66" a="1"/>
  <c r="AI48" i="66" a="1"/>
  <c r="AZ43" i="66" a="1"/>
  <c r="AH47" i="66" a="1"/>
  <c r="AD53" i="66" a="1"/>
  <c r="AO37" i="66" a="1"/>
  <c r="AV41" i="66" a="1"/>
  <c r="AV43" i="66" a="1"/>
  <c r="AS44" i="66" a="1"/>
  <c r="AC47" i="66" a="1"/>
  <c r="BC47" i="66" a="1"/>
  <c r="BD38" i="66" a="1"/>
  <c r="AE36" i="66" a="1"/>
  <c r="AW51" i="66" a="1"/>
  <c r="AY52" i="66" a="1"/>
  <c r="AH51" i="66" a="1"/>
  <c r="AT52" i="66" a="1"/>
  <c r="AO53" i="66" a="1"/>
  <c r="AC50" i="66" a="1"/>
  <c r="AE48" i="66" a="1"/>
  <c r="AG38" i="66" a="1"/>
  <c r="AD52" i="66" a="1"/>
  <c r="AT46" i="66" a="1"/>
  <c r="AJ43" i="66" a="1"/>
  <c r="AV37" i="66" a="1"/>
  <c r="AG35" i="66" a="1"/>
  <c r="BB37" i="66" a="1"/>
  <c r="AU42" i="66" a="1"/>
  <c r="AO50" i="66" a="1"/>
  <c r="BA44" i="66" a="1"/>
  <c r="AE47" i="66" a="1"/>
  <c r="AE40" i="66" a="1"/>
  <c r="AV47" i="66" a="1"/>
  <c r="AT50" i="66" a="1"/>
  <c r="BF42" i="66" a="1"/>
  <c r="BB42" i="66" a="1"/>
  <c r="AX37" i="66" a="1"/>
  <c r="AJ37" i="66" a="1"/>
  <c r="AU47" i="66" a="1"/>
  <c r="AX42" i="66" a="1"/>
  <c r="AE37" i="66" a="1"/>
  <c r="AZ52" i="66" a="1"/>
  <c r="AJ46" i="66" a="1"/>
  <c r="AK45" i="66" a="1"/>
  <c r="AJ49" i="66" a="1"/>
  <c r="AQ36" i="66" a="1"/>
  <c r="AT47" i="66" a="1"/>
  <c r="BD48" i="66" a="1"/>
  <c r="AT54" i="66" a="1"/>
  <c r="AH49" i="66" a="1"/>
  <c r="AV36" i="66" a="1"/>
  <c r="AO44" i="66" a="1"/>
  <c r="AK36" i="66" a="1"/>
  <c r="AI51" i="66" a="1"/>
  <c r="AU38" i="66" a="1"/>
  <c r="AE38" i="66" a="1"/>
  <c r="AX51" i="66" a="1"/>
  <c r="AD45" i="66" a="1"/>
  <c r="BB47" i="66" a="1"/>
  <c r="AI40" i="66" a="1"/>
  <c r="AQ42" i="66" a="1"/>
  <c r="AC52" i="66" a="1"/>
  <c r="BB54" i="66" a="1"/>
  <c r="AV52" i="66" a="1"/>
  <c r="AX43" i="66" a="1"/>
  <c r="BD50" i="66" a="1"/>
  <c r="AV54" i="66" a="1"/>
  <c r="BD35" i="66" a="1"/>
  <c r="BB43" i="66" a="1"/>
  <c r="AX40" i="66" a="1"/>
  <c r="BF43" i="66" a="1"/>
  <c r="BF54" i="66" a="1"/>
  <c r="BC53" i="66" a="1"/>
  <c r="AG43" i="66" a="1"/>
  <c r="BC46" i="66" a="1"/>
  <c r="AK46" i="66" a="1"/>
  <c r="AW41" i="66" a="1"/>
  <c r="AH50" i="66" a="1"/>
  <c r="AF48" i="66" a="1"/>
  <c r="AX54" i="66" a="1"/>
  <c r="AS49" i="66" a="1"/>
  <c r="AG36" i="66" a="1"/>
  <c r="BC38" i="66" a="1"/>
  <c r="AI43" i="66" a="1"/>
  <c r="AH42" i="66" a="1"/>
  <c r="AH41" i="66" a="1"/>
  <c r="AT39" i="66" a="1"/>
  <c r="AF54" i="66" a="1"/>
  <c r="AY36" i="66" a="1"/>
  <c r="AG39" i="66" a="1"/>
  <c r="BA45" i="66" a="1"/>
  <c r="AJ47" i="66" a="1"/>
  <c r="AC43" i="66" a="1"/>
  <c r="BF45" i="66" a="1"/>
  <c r="AX47" i="66" a="1"/>
  <c r="AR48" i="66" a="1"/>
  <c r="AS51" i="66" a="1"/>
  <c r="AC46" i="66" a="1"/>
  <c r="BG36" i="66" a="1"/>
  <c r="AY46" i="66" a="1"/>
  <c r="AZ44" i="66" a="1"/>
  <c r="AV45" i="66" a="1"/>
  <c r="AZ53" i="66" a="1"/>
  <c r="AZ42" i="66" a="1"/>
  <c r="AP46" i="66" a="1"/>
  <c r="AS40" i="66" a="1"/>
  <c r="AP39" i="66" a="1"/>
  <c r="AE54" i="66" a="1"/>
  <c r="BC49" i="66" a="1"/>
  <c r="BE47" i="66" a="1"/>
  <c r="BC42" i="66" a="1"/>
  <c r="AQ52" i="66" a="1"/>
  <c r="AQ47" i="66" a="1"/>
  <c r="AQ39" i="66" a="1"/>
  <c r="AS54" i="66" a="1"/>
  <c r="AS35" i="66" a="1"/>
  <c r="BG41" i="66" a="1"/>
  <c r="AZ38" i="66" a="1"/>
  <c r="AT53" i="66" a="1"/>
  <c r="AQ50" i="66" a="1"/>
  <c r="BB53" i="66" a="1"/>
  <c r="AU53" i="66" a="1"/>
  <c r="AP51" i="66" a="1"/>
  <c r="BD39" i="66" a="1"/>
  <c r="AQ38" i="66" a="1"/>
  <c r="BA48" i="66" a="1"/>
  <c r="BB45" i="66" a="1"/>
  <c r="AY49" i="66" a="1"/>
  <c r="BB40" i="66" a="1"/>
  <c r="BE40" i="66" a="1"/>
  <c r="AE52" i="66" a="1"/>
  <c r="AI47" i="66" a="1"/>
  <c r="BG43" i="66" a="1"/>
  <c r="AP38" i="66" a="1"/>
  <c r="AG45" i="66" a="1"/>
  <c r="AO45" i="66" a="1"/>
  <c r="BE43" i="66" a="1"/>
  <c r="AG49" i="66" a="1"/>
  <c r="AF52" i="66" a="1"/>
  <c r="AZ48" i="66" a="1"/>
  <c r="AE46" i="66" a="1"/>
  <c r="BD45" i="66" a="1"/>
  <c r="AC49" i="66" a="1"/>
  <c r="AR46" i="66" a="1"/>
  <c r="BC36" i="66" a="1"/>
  <c r="BA43" i="66" a="1"/>
  <c r="AG46" i="66" a="1"/>
  <c r="BA38" i="66" a="1"/>
  <c r="AK49" i="66" a="1"/>
  <c r="BC41" i="66" a="1"/>
  <c r="AW39" i="66" a="1"/>
  <c r="AW42" i="66" a="1"/>
  <c r="AR38" i="66" a="1"/>
  <c r="AD48" i="66" a="1"/>
  <c r="BD36" i="66" a="1"/>
  <c r="BC44" i="66" a="1"/>
  <c r="AW35" i="66" a="1"/>
  <c r="BA42" i="66" a="1"/>
  <c r="AG54" i="66" a="1"/>
  <c r="AW38" i="66" a="1"/>
  <c r="AS52" i="66" a="1"/>
  <c r="AS53" i="66" a="1"/>
  <c r="BG53" i="66" a="1"/>
  <c r="AC53" i="66" a="1"/>
  <c r="AQ46" i="66" a="1"/>
  <c r="AU41" i="66" a="1"/>
  <c r="AJ44" i="66" a="1"/>
  <c r="BB38" i="66" a="1"/>
  <c r="AE43" i="66" a="1"/>
  <c r="AF47" i="66" a="1"/>
  <c r="AQ51" i="66" a="1"/>
  <c r="AU35" i="66" a="1"/>
  <c r="AF42" i="66" a="1"/>
  <c r="AT44" i="66" a="1"/>
  <c r="AQ35" i="66" a="1"/>
  <c r="AD47" i="66" a="1"/>
  <c r="BD54" i="66" a="1"/>
  <c r="BG38" i="66" a="1"/>
  <c r="AP35" i="66" a="1"/>
  <c r="BC35" i="66" a="1"/>
  <c r="AI54" i="66" a="1"/>
  <c r="AF35" i="66" a="1"/>
  <c r="AG37" i="66" a="1"/>
  <c r="AP54" i="66" a="1"/>
  <c r="BA52" i="66" a="1"/>
  <c r="AC40" i="66" a="1"/>
  <c r="AJ52" i="66" a="1"/>
  <c r="BG49" i="66" a="1"/>
  <c r="AT35" i="66" a="1"/>
  <c r="AR37" i="66" a="1"/>
  <c r="BF52" i="66" a="1"/>
  <c r="AR42" i="66" a="1"/>
  <c r="BD49" i="66" a="1"/>
  <c r="AE41" i="66" a="1"/>
  <c r="AG47" i="66" a="1"/>
  <c r="BB44" i="66" a="1"/>
  <c r="AK41" i="66" a="1"/>
  <c r="AK54" i="66" a="1"/>
  <c r="AH45" i="66" a="1"/>
  <c r="AC45" i="66" a="1"/>
  <c r="AC41" i="66" a="1"/>
  <c r="AK44" i="66" a="1"/>
  <c r="AX44" i="66" a="1"/>
  <c r="BA51" i="66" a="1"/>
  <c r="AU45" i="66" a="1"/>
  <c r="AY38" i="66" a="1"/>
  <c r="AC35" i="66" a="1"/>
  <c r="AI53" i="66" a="1"/>
  <c r="AD38" i="66" a="1"/>
  <c r="AC36" i="66" a="1"/>
  <c r="AT51" i="66" a="1"/>
  <c r="AK43" i="66" a="1"/>
  <c r="AU51" i="66" a="1"/>
  <c r="AE35" i="66" a="1"/>
  <c r="BD51" i="66" a="1"/>
  <c r="AT43" i="66" a="1"/>
  <c r="AH35" i="66" a="1"/>
  <c r="AO40" i="66" a="1"/>
  <c r="AC39" i="66" a="1"/>
  <c r="AU49" i="66" a="1"/>
  <c r="BG52" i="66" a="1"/>
  <c r="BF35" i="66" a="1"/>
  <c r="BE52" i="66" a="1"/>
  <c r="BA39" i="66" a="1"/>
  <c r="BB51" i="66" a="1"/>
  <c r="AX41" i="66" a="1"/>
  <c r="AW52" i="66" a="1"/>
  <c r="AX52" i="66" a="1"/>
  <c r="BC45" i="66" a="1"/>
  <c r="AZ50" i="66" a="1"/>
  <c r="AS46" i="66" a="1"/>
  <c r="BC48" i="66" a="1"/>
  <c r="AF51" i="66" a="1"/>
  <c r="BF36" i="66" a="1"/>
  <c r="AK51" i="66" a="1"/>
  <c r="AW46" i="66" a="1"/>
  <c r="BG39" i="66" a="1"/>
  <c r="AD51" i="66" a="1"/>
  <c r="AI37" i="66" a="1"/>
  <c r="BF48" i="66" a="1"/>
  <c r="AU54" i="66" a="1"/>
  <c r="BE35" i="66" a="1"/>
  <c r="BB35" i="66" a="1"/>
  <c r="AX53" i="66" a="1"/>
  <c r="AZ54" i="66" a="1"/>
  <c r="AO39" i="66" a="1"/>
  <c r="BG40" i="66" a="1"/>
  <c r="AJ41" i="66" a="1"/>
  <c r="AD39" i="66" a="1"/>
  <c r="AE49" i="66" a="1"/>
  <c r="BG35" i="66" a="1"/>
  <c r="AX38" i="66" a="1"/>
  <c r="AS48" i="66" a="1"/>
  <c r="AV40" i="66" a="1"/>
  <c r="AY39" i="66" a="1"/>
  <c r="AS45" i="66" a="1"/>
  <c r="BA41" i="66" a="1"/>
  <c r="BA53" i="66" a="1"/>
  <c r="BD52" i="66" a="1"/>
  <c r="AU48" i="66" a="1"/>
  <c r="AG51" i="66" a="1"/>
  <c r="AV39" i="66" a="1"/>
  <c r="BG42" i="66" a="1"/>
  <c r="AR39" i="66" a="1"/>
  <c r="AY35" i="66" a="1"/>
  <c r="AJ39" i="66" a="1"/>
  <c r="BF51" i="66" a="1"/>
  <c r="AY41" i="66" a="1"/>
  <c r="BE53" i="66" a="1"/>
  <c r="AF43" i="66" a="1"/>
  <c r="AR45" i="66" a="1"/>
  <c r="BB48" i="66" a="1"/>
  <c r="BG46" i="66" a="1"/>
  <c r="AE45" i="66" a="1"/>
  <c r="BG54" i="66" a="1"/>
  <c r="AC44" i="66" a="1"/>
  <c r="BA49" i="66" a="1"/>
  <c r="AF37" i="66" a="1"/>
  <c r="AT36" i="66" a="1"/>
  <c r="AC38" i="66" a="1"/>
  <c r="AI36" i="66" a="1"/>
  <c r="AO38" i="66" a="1"/>
  <c r="BD42" i="66" a="1"/>
  <c r="BC51" i="66" a="1"/>
  <c r="AY37" i="66" a="1"/>
  <c r="AH39" i="66" a="1"/>
  <c r="BE37" i="66" a="1"/>
  <c r="AY42" i="66" a="1"/>
  <c r="BE51" i="66" a="1"/>
  <c r="AP44" i="66" a="1"/>
  <c r="AU36" i="66" a="1"/>
  <c r="AV38" i="66" a="1"/>
  <c r="AD37" i="66" a="1"/>
  <c r="AT49" i="66" a="1"/>
  <c r="AS47" i="66" a="1"/>
  <c r="AR41" i="66" a="1"/>
  <c r="BD53" i="66" a="1"/>
  <c r="BC52" i="66" a="1"/>
  <c r="AZ35" i="66" a="1"/>
  <c r="BF41" i="66" a="1"/>
  <c r="AJ50" i="66" a="1"/>
  <c r="AY43" i="66" a="1"/>
  <c r="AJ53" i="66" a="1"/>
  <c r="AR54" i="66" a="1"/>
  <c r="BC50" i="66" a="1"/>
  <c r="AD46" i="66" a="1"/>
  <c r="AK48" i="66" a="1"/>
  <c r="BD43" i="66" a="1"/>
  <c r="AZ49" i="66" a="1"/>
  <c r="BE50" i="66" a="1"/>
  <c r="BG45" i="66" a="1"/>
  <c r="AT48" i="66" a="1"/>
  <c r="AE51" i="66" a="1"/>
  <c r="AH48" i="66" a="1"/>
  <c r="BG47" i="66" a="1"/>
  <c r="BC40" i="66" a="1"/>
  <c r="AO35" i="66" a="1"/>
  <c r="AJ48" i="66" a="1"/>
  <c r="BD40" i="66" a="1"/>
  <c r="AH36" i="66" a="1"/>
  <c r="AG48" i="66" a="1"/>
  <c r="AJ36" i="66" a="1"/>
  <c r="AC51" i="66" a="1"/>
  <c r="AR36" i="66" a="1"/>
  <c r="AF39" i="66" a="1"/>
  <c r="AZ41" i="66" a="1"/>
  <c r="BG37" i="66" a="1"/>
  <c r="BD41" i="66" a="1"/>
  <c r="BB50" i="66" a="1"/>
  <c r="AV44" i="66" a="1"/>
  <c r="BA50" i="66" a="1"/>
  <c r="AC48" i="66" a="1"/>
  <c r="BE39" i="66" a="1"/>
  <c r="AP42" i="66" a="1"/>
  <c r="AF49" i="66" a="1"/>
  <c r="AH46" i="66" a="1"/>
  <c r="AI46" i="66" a="1"/>
  <c r="AT38" i="66" a="1"/>
  <c r="AO51" i="66" a="1"/>
  <c r="AZ36" i="66" a="1"/>
  <c r="AS37" i="66" a="1"/>
  <c r="AJ51" i="66" a="1"/>
  <c r="AG50" i="66" a="1"/>
  <c r="AG44" i="66" a="1"/>
  <c r="AT41" i="66" a="1"/>
  <c r="AV51" i="66" a="1"/>
  <c r="AR49" i="66" a="1"/>
  <c r="AS50" i="66" a="1"/>
  <c r="I72" i="67" l="1"/>
  <c r="X70" i="67"/>
  <c r="M63" i="67"/>
  <c r="V70" i="67"/>
  <c r="W58" i="67"/>
  <c r="AW49" i="67"/>
  <c r="I77" i="67"/>
  <c r="AB74" i="67"/>
  <c r="R59" i="67"/>
  <c r="BH38" i="66"/>
  <c r="I57" i="67"/>
  <c r="V71" i="67"/>
  <c r="P64" i="67"/>
  <c r="W63" i="67"/>
  <c r="P53" i="67"/>
  <c r="W65" i="67"/>
  <c r="BH41" i="66"/>
  <c r="I65" i="67"/>
  <c r="I68" i="67"/>
  <c r="Z65" i="67"/>
  <c r="M67" i="67"/>
  <c r="R72" i="67"/>
  <c r="L67" i="67"/>
  <c r="J70" i="67"/>
  <c r="J73" i="67"/>
  <c r="K72" i="67"/>
  <c r="V66" i="67"/>
  <c r="N77" i="67"/>
  <c r="P69" i="67"/>
  <c r="P55" i="67"/>
  <c r="M57" i="67"/>
  <c r="T63" i="67"/>
  <c r="S49" i="67"/>
  <c r="AA50" i="67"/>
  <c r="T57" i="67"/>
  <c r="AA69" i="67"/>
  <c r="W59" i="67"/>
  <c r="J71" i="67"/>
  <c r="Y60" i="67"/>
  <c r="O51" i="67"/>
  <c r="J74" i="67"/>
  <c r="O62" i="67"/>
  <c r="S61" i="67"/>
  <c r="Z64" i="67"/>
  <c r="W51" i="67"/>
  <c r="T52" i="67"/>
  <c r="Z70" i="67"/>
  <c r="L59" i="67"/>
  <c r="P57" i="67"/>
  <c r="P51" i="67"/>
  <c r="J48" i="67"/>
  <c r="AF51" i="67"/>
  <c r="AO77" i="67"/>
  <c r="AV69" i="67"/>
  <c r="AN59" i="67"/>
  <c r="AP64" i="67"/>
  <c r="AP49" i="67"/>
  <c r="AQ52" i="67"/>
  <c r="AO71" i="67"/>
  <c r="AV71" i="67"/>
  <c r="AN71" i="67"/>
  <c r="AJ58" i="67"/>
  <c r="AT64" i="67"/>
  <c r="W55" i="67"/>
  <c r="S68" i="67"/>
  <c r="T69" i="67"/>
  <c r="L52" i="67"/>
  <c r="AV76" i="67"/>
  <c r="AI69" i="67"/>
  <c r="T70" i="67"/>
  <c r="N69" i="67"/>
  <c r="R67" i="67"/>
  <c r="W77" i="67"/>
  <c r="K57" i="67"/>
  <c r="P50" i="67"/>
  <c r="U59" i="67"/>
  <c r="K64" i="67"/>
  <c r="X57" i="67"/>
  <c r="W50" i="67"/>
  <c r="AF74" i="67"/>
  <c r="AO58" i="67"/>
  <c r="AT60" i="67"/>
  <c r="AL60" i="67"/>
  <c r="AL51" i="67"/>
  <c r="AY64" i="67"/>
  <c r="AK68" i="67"/>
  <c r="AJ64" i="67"/>
  <c r="BH47" i="66"/>
  <c r="I76" i="67"/>
  <c r="I49" i="67"/>
  <c r="L71" i="67"/>
  <c r="O71" i="67"/>
  <c r="AA67" i="67"/>
  <c r="P76" i="67"/>
  <c r="T74" i="67"/>
  <c r="W61" i="67"/>
  <c r="J66" i="67"/>
  <c r="AA64" i="67"/>
  <c r="P75" i="67"/>
  <c r="T65" i="67"/>
  <c r="T51" i="67"/>
  <c r="P54" i="67"/>
  <c r="O61" i="67"/>
  <c r="Y68" i="67"/>
  <c r="U72" i="67"/>
  <c r="X76" i="67"/>
  <c r="V67" i="67"/>
  <c r="N54" i="67"/>
  <c r="X68" i="67"/>
  <c r="S57" i="67"/>
  <c r="P49" i="67"/>
  <c r="N70" i="67"/>
  <c r="J60" i="67"/>
  <c r="Z57" i="67"/>
  <c r="U62" i="67"/>
  <c r="AA59" i="67"/>
  <c r="V50" i="67"/>
  <c r="K67" i="67"/>
  <c r="Z55" i="67"/>
  <c r="R55" i="67"/>
  <c r="K50" i="67"/>
  <c r="AF53" i="67"/>
  <c r="AF62" i="67"/>
  <c r="AQ75" i="67"/>
  <c r="AY66" i="67"/>
  <c r="AY57" i="67"/>
  <c r="AU59" i="67"/>
  <c r="AG56" i="67"/>
  <c r="AG50" i="67"/>
  <c r="AH63" i="67"/>
  <c r="AL67" i="67"/>
  <c r="AO63" i="67"/>
  <c r="AU56" i="67"/>
  <c r="AV52" i="67"/>
  <c r="W71" i="67"/>
  <c r="Q48" i="67"/>
  <c r="S64" i="67"/>
  <c r="AF72" i="67"/>
  <c r="AU69" i="67"/>
  <c r="M70" i="67"/>
  <c r="AA71" i="67"/>
  <c r="L74" i="67"/>
  <c r="O70" i="67"/>
  <c r="L72" i="67"/>
  <c r="AB68" i="67"/>
  <c r="AF71" i="67"/>
  <c r="AM65" i="67"/>
  <c r="BH45" i="66"/>
  <c r="I70" i="67"/>
  <c r="K75" i="67"/>
  <c r="Z68" i="67"/>
  <c r="S67" i="67"/>
  <c r="Q66" i="67"/>
  <c r="X69" i="67"/>
  <c r="W67" i="67"/>
  <c r="X56" i="67"/>
  <c r="N65" i="67"/>
  <c r="M76" i="67"/>
  <c r="V74" i="67"/>
  <c r="Q64" i="67"/>
  <c r="U50" i="67"/>
  <c r="Y53" i="67"/>
  <c r="L60" i="67"/>
  <c r="K68" i="67"/>
  <c r="Z71" i="67"/>
  <c r="R76" i="67"/>
  <c r="O67" i="67"/>
  <c r="O53" i="67"/>
  <c r="Q68" i="67"/>
  <c r="AB56" i="67"/>
  <c r="X48" i="67"/>
  <c r="Z69" i="67"/>
  <c r="Q58" i="67"/>
  <c r="AA56" i="67"/>
  <c r="N62" i="67"/>
  <c r="T59" i="67"/>
  <c r="N50" i="67"/>
  <c r="W66" i="67"/>
  <c r="AA54" i="67"/>
  <c r="L55" i="67"/>
  <c r="X49" i="67"/>
  <c r="AF66" i="67"/>
  <c r="AF56" i="67"/>
  <c r="AK75" i="67"/>
  <c r="AP66" i="67"/>
  <c r="AG57" i="67"/>
  <c r="AV58" i="67"/>
  <c r="AM72" i="67"/>
  <c r="AM68" i="67"/>
  <c r="AJ61" i="67"/>
  <c r="AN65" i="67"/>
  <c r="AS59" i="67"/>
  <c r="AS75" i="67"/>
  <c r="AK61" i="67"/>
  <c r="X64" i="67"/>
  <c r="Y67" i="67"/>
  <c r="W54" i="67"/>
  <c r="AB59" i="67"/>
  <c r="AX58" i="67"/>
  <c r="BH43" i="66"/>
  <c r="N66" i="67"/>
  <c r="O68" i="67"/>
  <c r="R53" i="67"/>
  <c r="Q49" i="67"/>
  <c r="M69" i="67"/>
  <c r="Z58" i="67"/>
  <c r="X60" i="67"/>
  <c r="U51" i="67"/>
  <c r="Q56" i="67"/>
  <c r="AN68" i="67"/>
  <c r="AI68" i="67"/>
  <c r="BH49" i="66"/>
  <c r="I58" i="67"/>
  <c r="Z76" i="67"/>
  <c r="Q63" i="67"/>
  <c r="L65" i="67"/>
  <c r="V58" i="67"/>
  <c r="O75" i="67"/>
  <c r="AA75" i="67"/>
  <c r="K51" i="67"/>
  <c r="AB60" i="67"/>
  <c r="T75" i="67"/>
  <c r="X72" i="67"/>
  <c r="J64" i="67"/>
  <c r="Y62" i="67"/>
  <c r="Q53" i="67"/>
  <c r="Q59" i="67"/>
  <c r="M66" i="67"/>
  <c r="AB69" i="67"/>
  <c r="L76" i="67"/>
  <c r="X65" i="67"/>
  <c r="P52" i="67"/>
  <c r="Z66" i="67"/>
  <c r="T56" i="67"/>
  <c r="AB77" i="67"/>
  <c r="S69" i="67"/>
  <c r="S56" i="67"/>
  <c r="AB55" i="67"/>
  <c r="W60" i="67"/>
  <c r="X58" i="67"/>
  <c r="U48" i="67"/>
  <c r="P66" i="67"/>
  <c r="J53" i="67"/>
  <c r="Y54" i="67"/>
  <c r="L49" i="67"/>
  <c r="AF60" i="67"/>
  <c r="AF73" i="67"/>
  <c r="AX74" i="67"/>
  <c r="AH65" i="67"/>
  <c r="AQ55" i="67"/>
  <c r="AW57" i="67"/>
  <c r="AK69" i="67"/>
  <c r="AG65" i="67"/>
  <c r="AM58" i="67"/>
  <c r="AQ62" i="67"/>
  <c r="AU57" i="67"/>
  <c r="AG69" i="67"/>
  <c r="AV70" i="67"/>
  <c r="I73" i="67"/>
  <c r="Q54" i="67"/>
  <c r="AA61" i="67"/>
  <c r="J51" i="67"/>
  <c r="AQ63" i="67"/>
  <c r="AA74" i="67"/>
  <c r="J62" i="67"/>
  <c r="AP76" i="67"/>
  <c r="BH36" i="66"/>
  <c r="BH54" i="66"/>
  <c r="I52" i="67"/>
  <c r="J69" i="67"/>
  <c r="AA53" i="67"/>
  <c r="U75" i="67"/>
  <c r="AB52" i="67"/>
  <c r="U74" i="67"/>
  <c r="K73" i="67"/>
  <c r="AB76" i="67"/>
  <c r="Y55" i="67"/>
  <c r="V72" i="67"/>
  <c r="J72" i="67"/>
  <c r="V63" i="67"/>
  <c r="R62" i="67"/>
  <c r="Z52" i="67"/>
  <c r="K58" i="67"/>
  <c r="V64" i="67"/>
  <c r="R68" i="67"/>
  <c r="Y75" i="67"/>
  <c r="Q65" i="67"/>
  <c r="Q51" i="67"/>
  <c r="S66" i="67"/>
  <c r="J56" i="67"/>
  <c r="V77" i="67"/>
  <c r="P68" i="67"/>
  <c r="T55" i="67"/>
  <c r="J55" i="67"/>
  <c r="P60" i="67"/>
  <c r="N58" i="67"/>
  <c r="K48" i="67"/>
  <c r="M65" i="67"/>
  <c r="K52" i="67"/>
  <c r="S54" i="67"/>
  <c r="Y48" i="67"/>
  <c r="AF76" i="67"/>
  <c r="AF67" i="67"/>
  <c r="AP74" i="67"/>
  <c r="AR64" i="67"/>
  <c r="AO54" i="67"/>
  <c r="AY55" i="67"/>
  <c r="AV74" i="67"/>
  <c r="AN58" i="67"/>
  <c r="AN49" i="67"/>
  <c r="AR61" i="67"/>
  <c r="AV68" i="67"/>
  <c r="AM63" i="67"/>
  <c r="AI74" i="67"/>
  <c r="Y59" i="67"/>
  <c r="N56" i="67"/>
  <c r="O73" i="67"/>
  <c r="W56" i="67"/>
  <c r="AX51" i="67"/>
  <c r="O76" i="67"/>
  <c r="L64" i="67"/>
  <c r="BH48" i="66"/>
  <c r="T38" i="66"/>
  <c r="I69" i="67"/>
  <c r="N76" i="67"/>
  <c r="X74" i="67"/>
  <c r="AA68" i="67"/>
  <c r="W74" i="67"/>
  <c r="Y70" i="67"/>
  <c r="T71" i="67"/>
  <c r="Z72" i="67"/>
  <c r="T49" i="67"/>
  <c r="Y65" i="67"/>
  <c r="L73" i="67"/>
  <c r="L62" i="67"/>
  <c r="T60" i="67"/>
  <c r="AA51" i="67"/>
  <c r="N55" i="67"/>
  <c r="X62" i="67"/>
  <c r="J65" i="67"/>
  <c r="M75" i="67"/>
  <c r="S63" i="67"/>
  <c r="Z48" i="67"/>
  <c r="U64" i="67"/>
  <c r="K55" i="67"/>
  <c r="W76" i="67"/>
  <c r="U67" i="67"/>
  <c r="W52" i="67"/>
  <c r="L53" i="67"/>
  <c r="Q57" i="67"/>
  <c r="O57" i="67"/>
  <c r="T77" i="67"/>
  <c r="R64" i="67"/>
  <c r="V49" i="67"/>
  <c r="Z53" i="67"/>
  <c r="AA49" i="67"/>
  <c r="AF64" i="67"/>
  <c r="AF49" i="67"/>
  <c r="AS73" i="67"/>
  <c r="AI64" i="67"/>
  <c r="AH52" i="67"/>
  <c r="AV53" i="67"/>
  <c r="AI73" i="67"/>
  <c r="AY56" i="67"/>
  <c r="AY77" i="67"/>
  <c r="AT59" i="67"/>
  <c r="AX77" i="67"/>
  <c r="AS57" i="67"/>
  <c r="AS64" i="67"/>
  <c r="Y76" i="67"/>
  <c r="O59" i="67"/>
  <c r="AM69" i="67"/>
  <c r="T35" i="66"/>
  <c r="M73" i="67"/>
  <c r="P74" i="67"/>
  <c r="X61" i="67"/>
  <c r="O54" i="67"/>
  <c r="S60" i="67"/>
  <c r="O64" i="67"/>
  <c r="Z74" i="67"/>
  <c r="P62" i="67"/>
  <c r="O48" i="67"/>
  <c r="R63" i="67"/>
  <c r="V54" i="67"/>
  <c r="Q76" i="67"/>
  <c r="R66" i="67"/>
  <c r="X51" i="67"/>
  <c r="M52" i="67"/>
  <c r="R56" i="67"/>
  <c r="Z56" i="67"/>
  <c r="AA76" i="67"/>
  <c r="O63" i="67"/>
  <c r="K49" i="67"/>
  <c r="T53" i="67"/>
  <c r="U49" i="67"/>
  <c r="AF58" i="67"/>
  <c r="AW67" i="67"/>
  <c r="AN72" i="67"/>
  <c r="AS63" i="67"/>
  <c r="AO51" i="67"/>
  <c r="AL53" i="67"/>
  <c r="AU68" i="67"/>
  <c r="AX53" i="67"/>
  <c r="AT76" i="67"/>
  <c r="AX55" i="67"/>
  <c r="AH75" i="67"/>
  <c r="AO50" i="67"/>
  <c r="AQ54" i="67"/>
  <c r="Y69" i="67"/>
  <c r="Z50" i="67"/>
  <c r="AJ69" i="67"/>
  <c r="I67" i="67"/>
  <c r="I63" i="67"/>
  <c r="O69" i="67"/>
  <c r="AB71" i="67"/>
  <c r="Q67" i="67"/>
  <c r="K69" i="67"/>
  <c r="J59" i="67"/>
  <c r="Q62" i="67"/>
  <c r="AB61" i="67"/>
  <c r="K63" i="67"/>
  <c r="K76" i="67"/>
  <c r="O50" i="67"/>
  <c r="S55" i="67"/>
  <c r="Q55" i="67"/>
  <c r="AB75" i="67"/>
  <c r="T62" i="67"/>
  <c r="U58" i="67"/>
  <c r="O49" i="67"/>
  <c r="AF54" i="67"/>
  <c r="AQ64" i="67"/>
  <c r="AY71" i="67"/>
  <c r="AT62" i="67"/>
  <c r="AV50" i="67"/>
  <c r="AN51" i="67"/>
  <c r="AK60" i="67"/>
  <c r="AH77" i="67"/>
  <c r="AH76" i="67"/>
  <c r="AI53" i="67"/>
  <c r="AO73" i="67"/>
  <c r="AX72" i="67"/>
  <c r="AX52" i="67"/>
  <c r="BH39" i="66"/>
  <c r="U76" i="67"/>
  <c r="J58" i="67"/>
  <c r="L70" i="67"/>
  <c r="AR75" i="67"/>
  <c r="BH44" i="66"/>
  <c r="Z54" i="67"/>
  <c r="P71" i="67"/>
  <c r="S51" i="67"/>
  <c r="I56" i="67"/>
  <c r="R73" i="67"/>
  <c r="J67" i="67"/>
  <c r="X63" i="67"/>
  <c r="N60" i="67"/>
  <c r="T50" i="67"/>
  <c r="S58" i="67"/>
  <c r="P73" i="67"/>
  <c r="R74" i="67"/>
  <c r="W53" i="67"/>
  <c r="AA52" i="67"/>
  <c r="BH35" i="66"/>
  <c r="I66" i="67"/>
  <c r="I51" i="67"/>
  <c r="U63" i="67"/>
  <c r="AB70" i="67"/>
  <c r="V76" i="67"/>
  <c r="AA70" i="67"/>
  <c r="S65" i="67"/>
  <c r="U77" i="67"/>
  <c r="T67" i="67"/>
  <c r="R77" i="67"/>
  <c r="Y61" i="67"/>
  <c r="N71" i="67"/>
  <c r="Z59" i="67"/>
  <c r="T58" i="67"/>
  <c r="J50" i="67"/>
  <c r="Q52" i="67"/>
  <c r="U56" i="67"/>
  <c r="N61" i="67"/>
  <c r="AB72" i="67"/>
  <c r="U61" i="67"/>
  <c r="K74" i="67"/>
  <c r="W62" i="67"/>
  <c r="M53" i="67"/>
  <c r="X75" i="67"/>
  <c r="T64" i="67"/>
  <c r="N48" i="67"/>
  <c r="Y49" i="67"/>
  <c r="T54" i="67"/>
  <c r="AB54" i="67"/>
  <c r="J75" i="67"/>
  <c r="Q61" i="67"/>
  <c r="O58" i="67"/>
  <c r="U52" i="67"/>
  <c r="AB48" i="67"/>
  <c r="AF75" i="67"/>
  <c r="AU60" i="67"/>
  <c r="AT70" i="67"/>
  <c r="AL61" i="67"/>
  <c r="AJ50" i="67"/>
  <c r="AU50" i="67"/>
  <c r="AN57" i="67"/>
  <c r="AR73" i="67"/>
  <c r="AO75" i="67"/>
  <c r="AX66" i="67"/>
  <c r="AQ69" i="67"/>
  <c r="AR57" i="67"/>
  <c r="AI49" i="67"/>
  <c r="Z62" i="67"/>
  <c r="AB49" i="67"/>
  <c r="W49" i="67"/>
  <c r="AF77" i="67"/>
  <c r="AW66" i="67"/>
  <c r="N63" i="67"/>
  <c r="N73" i="67"/>
  <c r="X67" i="67"/>
  <c r="M60" i="67"/>
  <c r="S72" i="67"/>
  <c r="U71" i="67"/>
  <c r="Y50" i="67"/>
  <c r="BH51" i="66"/>
  <c r="I53" i="67"/>
  <c r="I74" i="67"/>
  <c r="L68" i="67"/>
  <c r="W68" i="67"/>
  <c r="AB73" i="67"/>
  <c r="Z67" i="67"/>
  <c r="O72" i="67"/>
  <c r="N75" i="67"/>
  <c r="S77" i="67"/>
  <c r="R70" i="67"/>
  <c r="Z77" i="67"/>
  <c r="W69" i="67"/>
  <c r="O56" i="67"/>
  <c r="U57" i="67"/>
  <c r="AA63" i="67"/>
  <c r="S50" i="67"/>
  <c r="Z51" i="67"/>
  <c r="AB58" i="67"/>
  <c r="K71" i="67"/>
  <c r="K60" i="67"/>
  <c r="M72" i="67"/>
  <c r="M61" i="67"/>
  <c r="Y51" i="67"/>
  <c r="L75" i="67"/>
  <c r="V62" i="67"/>
  <c r="Z61" i="67"/>
  <c r="L48" i="67"/>
  <c r="V52" i="67"/>
  <c r="K53" i="67"/>
  <c r="Q72" i="67"/>
  <c r="S59" i="67"/>
  <c r="V57" i="67"/>
  <c r="V51" i="67"/>
  <c r="P48" i="67"/>
  <c r="AF57" i="67"/>
  <c r="AU77" i="67"/>
  <c r="AL70" i="67"/>
  <c r="AV60" i="67"/>
  <c r="AX48" i="67"/>
  <c r="AI50" i="67"/>
  <c r="AJ53" i="67"/>
  <c r="AL72" i="67"/>
  <c r="AH73" i="67"/>
  <c r="AI76" i="67"/>
  <c r="AU65" i="67"/>
  <c r="AH49" i="67"/>
  <c r="AI52" i="67"/>
  <c r="AN76" i="67"/>
  <c r="AT68" i="67"/>
  <c r="AG63" i="67"/>
  <c r="AM57" i="67"/>
  <c r="AY49" i="67"/>
  <c r="AP73" i="67"/>
  <c r="AU66" i="67"/>
  <c r="AH61" i="67"/>
  <c r="AU54" i="67"/>
  <c r="AG76" i="67"/>
  <c r="AM71" i="67"/>
  <c r="AG61" i="67"/>
  <c r="AU51" i="67"/>
  <c r="AW70" i="67"/>
  <c r="AR59" i="67"/>
  <c r="AR76" i="67"/>
  <c r="AO70" i="67"/>
  <c r="AU64" i="67"/>
  <c r="AH59" i="67"/>
  <c r="AM52" i="67"/>
  <c r="AU76" i="67"/>
  <c r="AG59" i="67"/>
  <c r="AY50" i="67"/>
  <c r="AP68" i="67"/>
  <c r="AQ76" i="67"/>
  <c r="AG67" i="67"/>
  <c r="AH55" i="67"/>
  <c r="AL69" i="67"/>
  <c r="AJ74" i="67"/>
  <c r="AO60" i="67"/>
  <c r="AP67" i="67"/>
  <c r="AI56" i="67"/>
  <c r="AW53" i="67"/>
  <c r="AH50" i="67"/>
  <c r="AH53" i="67"/>
  <c r="AL49" i="67"/>
  <c r="AW56" i="67"/>
  <c r="AM49" i="67"/>
  <c r="AS72" i="67"/>
  <c r="AL66" i="67"/>
  <c r="AR60" i="67"/>
  <c r="AT53" i="67"/>
  <c r="AT75" i="67"/>
  <c r="AX70" i="67"/>
  <c r="AH60" i="67"/>
  <c r="AI51" i="67"/>
  <c r="AG70" i="67"/>
  <c r="AL76" i="67"/>
  <c r="AY69" i="67"/>
  <c r="AL64" i="67"/>
  <c r="AR58" i="67"/>
  <c r="AT51" i="67"/>
  <c r="AJ75" i="67"/>
  <c r="AQ58" i="67"/>
  <c r="AM50" i="67"/>
  <c r="AQ67" i="67"/>
  <c r="AK76" i="67"/>
  <c r="AH66" i="67"/>
  <c r="AG54" i="67"/>
  <c r="AO66" i="67"/>
  <c r="AM73" i="67"/>
  <c r="AS56" i="67"/>
  <c r="AQ66" i="67"/>
  <c r="AR55" i="67"/>
  <c r="AQ53" i="67"/>
  <c r="AU49" i="67"/>
  <c r="AU52" i="67"/>
  <c r="AY48" i="67"/>
  <c r="AS58" i="67"/>
  <c r="BH46" i="66"/>
  <c r="BH37" i="66"/>
  <c r="I71" i="67"/>
  <c r="I50" i="67"/>
  <c r="AB65" i="67"/>
  <c r="Q73" i="67"/>
  <c r="R69" i="67"/>
  <c r="M71" i="67"/>
  <c r="V68" i="67"/>
  <c r="Q69" i="67"/>
  <c r="P72" i="67"/>
  <c r="S76" i="67"/>
  <c r="Z75" i="67"/>
  <c r="Q74" i="67"/>
  <c r="X66" i="67"/>
  <c r="N74" i="67"/>
  <c r="U69" i="67"/>
  <c r="V75" i="67"/>
  <c r="K70" i="67"/>
  <c r="S62" i="67"/>
  <c r="S52" i="67"/>
  <c r="L58" i="67"/>
  <c r="R52" i="67"/>
  <c r="V61" i="67"/>
  <c r="R51" i="67"/>
  <c r="L63" i="67"/>
  <c r="X73" i="67"/>
  <c r="Z60" i="67"/>
  <c r="S75" i="67"/>
  <c r="J68" i="67"/>
  <c r="R60" i="67"/>
  <c r="R50" i="67"/>
  <c r="L69" i="67"/>
  <c r="T61" i="67"/>
  <c r="U55" i="67"/>
  <c r="Z49" i="67"/>
  <c r="R75" i="67"/>
  <c r="AB67" i="67"/>
  <c r="Q60" i="67"/>
  <c r="J63" i="67"/>
  <c r="K54" i="67"/>
  <c r="AB62" i="67"/>
  <c r="U53" i="67"/>
  <c r="Y57" i="67"/>
  <c r="M51" i="67"/>
  <c r="O74" i="67"/>
  <c r="Y64" i="67"/>
  <c r="Y56" i="67"/>
  <c r="AB57" i="67"/>
  <c r="M54" i="67"/>
  <c r="Q50" i="67"/>
  <c r="V48" i="67"/>
  <c r="AF70" i="67"/>
  <c r="AF68" i="67"/>
  <c r="AX57" i="67"/>
  <c r="AH74" i="67"/>
  <c r="AW68" i="67"/>
  <c r="AJ63" i="67"/>
  <c r="AP57" i="67"/>
  <c r="AQ49" i="67"/>
  <c r="AX56" i="67"/>
  <c r="AW48" i="67"/>
  <c r="AG71" i="67"/>
  <c r="AS50" i="67"/>
  <c r="AV75" i="67"/>
  <c r="AL59" i="67"/>
  <c r="AU75" i="67"/>
  <c r="AU67" i="67"/>
  <c r="AH62" i="67"/>
  <c r="AN56" i="67"/>
  <c r="AP71" i="67"/>
  <c r="AK72" i="67"/>
  <c r="AV65" i="67"/>
  <c r="AI60" i="67"/>
  <c r="AR48" i="67"/>
  <c r="AN75" i="67"/>
  <c r="AP70" i="67"/>
  <c r="AI59" i="67"/>
  <c r="AP50" i="67"/>
  <c r="AH69" i="67"/>
  <c r="AT57" i="67"/>
  <c r="AY75" i="67"/>
  <c r="AP69" i="67"/>
  <c r="AV63" i="67"/>
  <c r="AI58" i="67"/>
  <c r="AH51" i="67"/>
  <c r="AS70" i="67"/>
  <c r="AH58" i="67"/>
  <c r="AT49" i="67"/>
  <c r="AI66" i="67"/>
  <c r="AX75" i="67"/>
  <c r="AI65" i="67"/>
  <c r="AO53" i="67"/>
  <c r="AR63" i="67"/>
  <c r="AH72" i="67"/>
  <c r="AQ74" i="67"/>
  <c r="AR65" i="67"/>
  <c r="AG55" i="67"/>
  <c r="AK53" i="67"/>
  <c r="AO49" i="67"/>
  <c r="AO52" i="67"/>
  <c r="AS48" i="67"/>
  <c r="AM48" i="67"/>
  <c r="AK62" i="67"/>
  <c r="AP55" i="67"/>
  <c r="AT48" i="67"/>
  <c r="AI75" i="67"/>
  <c r="AI61" i="67"/>
  <c r="AY70" i="67"/>
  <c r="AJ70" i="67"/>
  <c r="AK57" i="67"/>
  <c r="AV55" i="67"/>
  <c r="AQ68" i="67"/>
  <c r="AJ57" i="67"/>
  <c r="AK71" i="67"/>
  <c r="AN67" i="67"/>
  <c r="AU63" i="67"/>
  <c r="AL75" i="67"/>
  <c r="AK63" i="67"/>
  <c r="AJ52" i="67"/>
  <c r="AW58" i="67"/>
  <c r="AX69" i="67"/>
  <c r="AL73" i="67"/>
  <c r="AT63" i="67"/>
  <c r="AY53" i="67"/>
  <c r="AR52" i="67"/>
  <c r="AV48" i="67"/>
  <c r="AG48" i="67"/>
  <c r="AK73" i="67"/>
  <c r="AX67" i="67"/>
  <c r="AQ56" i="67"/>
  <c r="AN66" i="67"/>
  <c r="AP65" i="67"/>
  <c r="AX65" i="67"/>
  <c r="AH71" i="67"/>
  <c r="AO56" i="67"/>
  <c r="AV66" i="67"/>
  <c r="AM55" i="67"/>
  <c r="AI63" i="67"/>
  <c r="AW64" i="67"/>
  <c r="AJ59" i="67"/>
  <c r="AT74" i="67"/>
  <c r="AR68" i="67"/>
  <c r="AK49" i="67"/>
  <c r="AJ67" i="67"/>
  <c r="AM75" i="67"/>
  <c r="AW62" i="67"/>
  <c r="AV49" i="67"/>
  <c r="AI57" i="67"/>
  <c r="AV51" i="67"/>
  <c r="BH42" i="66"/>
  <c r="I48" i="67"/>
  <c r="I64" i="67"/>
  <c r="I62" i="67"/>
  <c r="W72" i="67"/>
  <c r="P67" i="67"/>
  <c r="V65" i="67"/>
  <c r="AA77" i="67"/>
  <c r="W64" i="67"/>
  <c r="U65" i="67"/>
  <c r="T68" i="67"/>
  <c r="T73" i="67"/>
  <c r="S71" i="67"/>
  <c r="U70" i="67"/>
  <c r="AB63" i="67"/>
  <c r="J49" i="67"/>
  <c r="R48" i="67"/>
  <c r="AA73" i="67"/>
  <c r="M68" i="67"/>
  <c r="U60" i="67"/>
  <c r="T48" i="67"/>
  <c r="V56" i="67"/>
  <c r="AB50" i="67"/>
  <c r="X59" i="67"/>
  <c r="AA48" i="67"/>
  <c r="P59" i="67"/>
  <c r="W70" i="67"/>
  <c r="V55" i="67"/>
  <c r="W73" i="67"/>
  <c r="L66" i="67"/>
  <c r="AA58" i="67"/>
  <c r="Y74" i="67"/>
  <c r="N67" i="67"/>
  <c r="V59" i="67"/>
  <c r="L54" i="67"/>
  <c r="S74" i="67"/>
  <c r="V73" i="67"/>
  <c r="K66" i="67"/>
  <c r="R57" i="67"/>
  <c r="L61" i="67"/>
  <c r="N51" i="67"/>
  <c r="K61" i="67"/>
  <c r="X50" i="67"/>
  <c r="AA55" i="67"/>
  <c r="M49" i="67"/>
  <c r="S70" i="67"/>
  <c r="AA62" i="67"/>
  <c r="AB53" i="67"/>
  <c r="J57" i="67"/>
  <c r="N53" i="67"/>
  <c r="R49" i="67"/>
  <c r="AF48" i="67"/>
  <c r="AF52" i="67"/>
  <c r="AF50" i="67"/>
  <c r="AI77" i="67"/>
  <c r="AV72" i="67"/>
  <c r="AO67" i="67"/>
  <c r="AU61" i="67"/>
  <c r="AH56" i="67"/>
  <c r="AO65" i="67"/>
  <c r="AX54" i="67"/>
  <c r="AS62" i="67"/>
  <c r="AG64" i="67"/>
  <c r="AU72" i="67"/>
  <c r="AY73" i="67"/>
  <c r="AM54" i="67"/>
  <c r="AM74" i="67"/>
  <c r="AM66" i="67"/>
  <c r="AS60" i="67"/>
  <c r="AW54" i="67"/>
  <c r="AM59" i="67"/>
  <c r="AH70" i="67"/>
  <c r="AN64" i="67"/>
  <c r="AT58" i="67"/>
  <c r="AN74" i="67"/>
  <c r="AL74" i="67"/>
  <c r="AS67" i="67"/>
  <c r="AL56" i="67"/>
  <c r="AQ73" i="67"/>
  <c r="AK66" i="67"/>
  <c r="AK55" i="67"/>
  <c r="AG75" i="67"/>
  <c r="AH68" i="67"/>
  <c r="AN62" i="67"/>
  <c r="AT56" i="67"/>
  <c r="AJ49" i="67"/>
  <c r="AO69" i="67"/>
  <c r="AS55" i="67"/>
  <c r="AO74" i="67"/>
  <c r="AM62" i="67"/>
  <c r="AY74" i="67"/>
  <c r="AL62" i="67"/>
  <c r="AQ51" i="67"/>
  <c r="AO57" i="67"/>
  <c r="AY68" i="67"/>
  <c r="AW72" i="67"/>
  <c r="AU62" i="67"/>
  <c r="AK48" i="67"/>
  <c r="AL52" i="67"/>
  <c r="AP48" i="67"/>
  <c r="AP51" i="67"/>
  <c r="AW65" i="67"/>
  <c r="AJ60" i="67"/>
  <c r="AL54" i="67"/>
  <c r="AY54" i="67"/>
  <c r="AR69" i="67"/>
  <c r="AX63" i="67"/>
  <c r="AK58" i="67"/>
  <c r="AI62" i="67"/>
  <c r="AW73" i="67"/>
  <c r="AT66" i="67"/>
  <c r="AL55" i="67"/>
  <c r="AW71" i="67"/>
  <c r="AL65" i="67"/>
  <c r="AI54" i="67"/>
  <c r="AK74" i="67"/>
  <c r="AR67" i="67"/>
  <c r="AX61" i="67"/>
  <c r="AK56" i="67"/>
  <c r="AN48" i="67"/>
  <c r="AH67" i="67"/>
  <c r="AJ55" i="67"/>
  <c r="AL68" i="67"/>
  <c r="AX60" i="67"/>
  <c r="AT73" i="67"/>
  <c r="AM61" i="67"/>
  <c r="AX50" i="67"/>
  <c r="AN54" i="67"/>
  <c r="AG68" i="67"/>
  <c r="AG72" i="67"/>
  <c r="AV61" i="67"/>
  <c r="AU55" i="67"/>
  <c r="AY51" i="67"/>
  <c r="AJ48" i="67"/>
  <c r="AJ51" i="67"/>
  <c r="AW50" i="67"/>
  <c r="AT54" i="67"/>
  <c r="AQ48" i="67"/>
  <c r="AO61" i="67"/>
  <c r="AJ65" i="67"/>
  <c r="AJ56" i="67"/>
  <c r="AL50" i="67"/>
  <c r="AS51" i="67"/>
  <c r="I60" i="67"/>
  <c r="I61" i="67"/>
  <c r="K59" i="67"/>
  <c r="X77" i="67"/>
  <c r="J52" i="67"/>
  <c r="AB66" i="67"/>
  <c r="Y66" i="67"/>
  <c r="V69" i="67"/>
  <c r="O60" i="67"/>
  <c r="Z73" i="67"/>
  <c r="O66" i="67"/>
  <c r="M58" i="67"/>
  <c r="K62" i="67"/>
  <c r="O55" i="67"/>
  <c r="R65" i="67"/>
  <c r="L57" i="67"/>
  <c r="N72" i="67"/>
  <c r="X53" i="67"/>
  <c r="AA66" i="67"/>
  <c r="Q77" i="67"/>
  <c r="Y71" i="67"/>
  <c r="N64" i="67"/>
  <c r="L56" i="67"/>
  <c r="AA72" i="67"/>
  <c r="P65" i="67"/>
  <c r="R58" i="67"/>
  <c r="X52" i="67"/>
  <c r="P77" i="67"/>
  <c r="X71" i="67"/>
  <c r="M64" i="67"/>
  <c r="U54" i="67"/>
  <c r="N59" i="67"/>
  <c r="N49" i="67"/>
  <c r="M59" i="67"/>
  <c r="P63" i="67"/>
  <c r="J54" i="67"/>
  <c r="M62" i="67"/>
  <c r="U68" i="67"/>
  <c r="J61" i="67"/>
  <c r="L51" i="67"/>
  <c r="K56" i="67"/>
  <c r="O52" i="67"/>
  <c r="S48" i="67"/>
  <c r="AF65" i="67"/>
  <c r="AF69" i="67"/>
  <c r="AF61" i="67"/>
  <c r="AJ76" i="67"/>
  <c r="AQ71" i="67"/>
  <c r="AG66" i="67"/>
  <c r="AM60" i="67"/>
  <c r="AM53" i="67"/>
  <c r="AR62" i="67"/>
  <c r="AS52" i="67"/>
  <c r="AN77" i="67"/>
  <c r="AN55" i="67"/>
  <c r="AH64" i="67"/>
  <c r="AR70" i="67"/>
  <c r="AS77" i="67"/>
  <c r="AQ70" i="67"/>
  <c r="AX64" i="67"/>
  <c r="AK59" i="67"/>
  <c r="AP52" i="67"/>
  <c r="AJ73" i="67"/>
  <c r="AS68" i="67"/>
  <c r="AY62" i="67"/>
  <c r="AL57" i="67"/>
  <c r="AL77" i="67"/>
  <c r="AG73" i="67"/>
  <c r="AV64" i="67"/>
  <c r="AK54" i="67"/>
  <c r="AR77" i="67"/>
  <c r="AN63" i="67"/>
  <c r="AW77" i="67"/>
  <c r="AY72" i="67"/>
  <c r="AS66" i="67"/>
  <c r="AY60" i="67"/>
  <c r="AS54" i="67"/>
  <c r="AY65" i="67"/>
  <c r="AV62" i="67"/>
  <c r="AP53" i="67"/>
  <c r="AU73" i="67"/>
  <c r="AV77" i="67"/>
  <c r="AJ71" i="67"/>
  <c r="AO59" i="67"/>
  <c r="AS49" i="67"/>
  <c r="AO76" i="67"/>
  <c r="AS65" i="67"/>
  <c r="AU70" i="67"/>
  <c r="AX59" i="67"/>
  <c r="AI55" i="67"/>
  <c r="AM51" i="67"/>
  <c r="AO48" i="67"/>
  <c r="AQ50" i="67"/>
  <c r="AT69" i="67"/>
  <c r="AM64" i="67"/>
  <c r="AV73" i="67"/>
  <c r="AI67" i="67"/>
  <c r="AT55" i="67"/>
  <c r="AK70" i="67"/>
  <c r="AR54" i="67"/>
  <c r="AR74" i="67"/>
  <c r="AO72" i="67"/>
  <c r="AN60" i="67"/>
  <c r="AT77" i="67"/>
  <c r="AR66" i="67"/>
  <c r="AR71" i="67"/>
  <c r="AW60" i="67"/>
  <c r="AO55" i="67"/>
  <c r="AU48" i="67"/>
  <c r="BH40" i="66"/>
  <c r="BH53" i="66"/>
  <c r="I59" i="67"/>
  <c r="M74" i="67"/>
  <c r="Y77" i="67"/>
  <c r="J76" i="67"/>
  <c r="T76" i="67"/>
  <c r="W57" i="67"/>
  <c r="L50" i="67"/>
  <c r="BH50" i="66"/>
  <c r="BH52" i="66"/>
  <c r="I54" i="67"/>
  <c r="I75" i="67"/>
  <c r="I55" i="67"/>
  <c r="Q70" i="67"/>
  <c r="O77" i="67"/>
  <c r="W75" i="67"/>
  <c r="Q75" i="67"/>
  <c r="M77" i="67"/>
  <c r="U73" i="67"/>
  <c r="Y73" i="67"/>
  <c r="L77" i="67"/>
  <c r="O65" i="67"/>
  <c r="P61" i="67"/>
  <c r="Y72" i="67"/>
  <c r="U66" i="67"/>
  <c r="R54" i="67"/>
  <c r="S73" i="67"/>
  <c r="AA65" i="67"/>
  <c r="N57" i="67"/>
  <c r="AA60" i="67"/>
  <c r="X54" i="67"/>
  <c r="K65" i="67"/>
  <c r="M56" i="67"/>
  <c r="P70" i="67"/>
  <c r="Y52" i="67"/>
  <c r="T66" i="67"/>
  <c r="K77" i="67"/>
  <c r="R71" i="67"/>
  <c r="Z63" i="67"/>
  <c r="M55" i="67"/>
  <c r="T72" i="67"/>
  <c r="AB64" i="67"/>
  <c r="AA57" i="67"/>
  <c r="N52" i="67"/>
  <c r="J77" i="67"/>
  <c r="Q71" i="67"/>
  <c r="Y63" i="67"/>
  <c r="V53" i="67"/>
  <c r="Y58" i="67"/>
  <c r="W48" i="67"/>
  <c r="P58" i="67"/>
  <c r="R61" i="67"/>
  <c r="S53" i="67"/>
  <c r="P56" i="67"/>
  <c r="N68" i="67"/>
  <c r="V60" i="67"/>
  <c r="M50" i="67"/>
  <c r="X55" i="67"/>
  <c r="AB51" i="67"/>
  <c r="M48" i="67"/>
  <c r="AF59" i="67"/>
  <c r="AF63" i="67"/>
  <c r="AF55" i="67"/>
  <c r="AW75" i="67"/>
  <c r="AI71" i="67"/>
  <c r="AQ65" i="67"/>
  <c r="AW59" i="67"/>
  <c r="AT52" i="67"/>
  <c r="AS61" i="67"/>
  <c r="AG52" i="67"/>
  <c r="AP75" i="67"/>
  <c r="AU53" i="67"/>
  <c r="AT61" i="67"/>
  <c r="AV67" i="67"/>
  <c r="AM77" i="67"/>
  <c r="AI70" i="67"/>
  <c r="AO64" i="67"/>
  <c r="AU58" i="67"/>
  <c r="AW51" i="67"/>
  <c r="AT72" i="67"/>
  <c r="AJ68" i="67"/>
  <c r="AP62" i="67"/>
  <c r="AV56" i="67"/>
  <c r="AY76" i="67"/>
  <c r="AR72" i="67"/>
  <c r="AW63" i="67"/>
  <c r="AS53" i="67"/>
  <c r="AS74" i="67"/>
  <c r="AO62" i="67"/>
  <c r="AQ77" i="67"/>
  <c r="AQ72" i="67"/>
  <c r="AJ66" i="67"/>
  <c r="AP60" i="67"/>
  <c r="AH54" i="67"/>
  <c r="AJ62" i="67"/>
  <c r="AN61" i="67"/>
  <c r="AW52" i="67"/>
  <c r="AP72" i="67"/>
  <c r="AP77" i="67"/>
  <c r="AW69" i="67"/>
  <c r="AP58" i="67"/>
  <c r="AG49" i="67"/>
  <c r="AW74" i="67"/>
  <c r="AK64" i="67"/>
  <c r="AM70" i="67"/>
  <c r="AY58" i="67"/>
  <c r="AV54" i="67"/>
  <c r="AG51" i="67"/>
  <c r="AI48" i="67"/>
  <c r="AK50" i="67"/>
  <c r="AG77" i="67"/>
  <c r="AS69" i="67"/>
  <c r="AY63" i="67"/>
  <c r="AL58" i="67"/>
  <c r="AK51" i="67"/>
  <c r="AU74" i="67"/>
  <c r="AT67" i="67"/>
  <c r="AG62" i="67"/>
  <c r="AM56" i="67"/>
  <c r="AS76" i="67"/>
  <c r="AJ72" i="67"/>
  <c r="AX62" i="67"/>
  <c r="AG53" i="67"/>
  <c r="AN73" i="67"/>
  <c r="AP61" i="67"/>
  <c r="AK77" i="67"/>
  <c r="AT71" i="67"/>
  <c r="AT65" i="67"/>
  <c r="AG60" i="67"/>
  <c r="AR53" i="67"/>
  <c r="AV59" i="67"/>
  <c r="AY59" i="67"/>
  <c r="AK52" i="67"/>
  <c r="AS71" i="67"/>
  <c r="AJ77" i="67"/>
  <c r="AX68" i="67"/>
  <c r="AQ57" i="67"/>
  <c r="AL48" i="67"/>
  <c r="AX71" i="67"/>
  <c r="AL63" i="67"/>
  <c r="AN69" i="67"/>
  <c r="AG58" i="67"/>
  <c r="AP54" i="67"/>
  <c r="AT50" i="67"/>
  <c r="AH48" i="67"/>
  <c r="AX49" i="67"/>
  <c r="AP63" i="67"/>
  <c r="AV57" i="67"/>
  <c r="AR50" i="67"/>
  <c r="AX73" i="67"/>
  <c r="AK67" i="67"/>
  <c r="AQ61" i="67"/>
  <c r="AW55" i="67"/>
  <c r="AM76" i="67"/>
  <c r="AU71" i="67"/>
  <c r="AY61" i="67"/>
  <c r="AN52" i="67"/>
  <c r="AI72" i="67"/>
  <c r="AQ60" i="67"/>
  <c r="AX76" i="67"/>
  <c r="AL71" i="67"/>
  <c r="AK65" i="67"/>
  <c r="AQ59" i="67"/>
  <c r="AY52" i="67"/>
  <c r="AP56" i="67"/>
  <c r="AP59" i="67"/>
  <c r="AR51" i="67"/>
  <c r="AN70" i="67"/>
  <c r="AW76" i="67"/>
  <c r="AY67" i="67"/>
  <c r="AR56" i="67"/>
  <c r="AG74" i="67"/>
  <c r="AM67" i="67"/>
  <c r="AW61" i="67"/>
  <c r="AO68" i="67"/>
  <c r="AH57" i="67"/>
  <c r="AJ54" i="67"/>
  <c r="AN50" i="67"/>
  <c r="AN53" i="67"/>
  <c r="AR49" i="67"/>
  <c r="G12" i="66"/>
  <c r="J11" i="66"/>
  <c r="M11" i="66" s="1"/>
  <c r="AS35" i="66"/>
  <c r="AS38" i="66"/>
  <c r="AS41" i="66"/>
  <c r="AS44" i="66"/>
  <c r="AS47" i="66"/>
  <c r="AS50" i="66"/>
  <c r="AS53" i="66"/>
  <c r="AS36" i="66"/>
  <c r="AS39" i="66"/>
  <c r="AS42" i="66"/>
  <c r="AS45" i="66"/>
  <c r="AS37" i="66"/>
  <c r="AS40" i="66"/>
  <c r="AS43" i="66"/>
  <c r="AS46" i="66"/>
  <c r="AS49" i="66"/>
  <c r="AS52" i="66"/>
  <c r="AS48" i="66"/>
  <c r="AS54" i="66"/>
  <c r="AS51" i="66"/>
  <c r="AW36" i="66"/>
  <c r="AW39" i="66"/>
  <c r="AW42" i="66"/>
  <c r="AW45" i="66"/>
  <c r="AW48" i="66"/>
  <c r="AW51" i="66"/>
  <c r="AW54" i="66"/>
  <c r="AW37" i="66"/>
  <c r="AW40" i="66"/>
  <c r="AW43" i="66"/>
  <c r="AW46" i="66"/>
  <c r="AW35" i="66"/>
  <c r="AW38" i="66"/>
  <c r="AW41" i="66"/>
  <c r="AW44" i="66"/>
  <c r="AW47" i="66"/>
  <c r="AW50" i="66"/>
  <c r="AW53" i="66"/>
  <c r="AW49" i="66"/>
  <c r="AW52" i="66"/>
  <c r="AQ36" i="66"/>
  <c r="AQ39" i="66"/>
  <c r="AQ42" i="66"/>
  <c r="AQ45" i="66"/>
  <c r="AQ48" i="66"/>
  <c r="AQ51" i="66"/>
  <c r="AQ54" i="66"/>
  <c r="AQ37" i="66"/>
  <c r="AQ40" i="66"/>
  <c r="AQ43" i="66"/>
  <c r="AQ46" i="66"/>
  <c r="AQ44" i="66"/>
  <c r="AQ47" i="66"/>
  <c r="AQ50" i="66"/>
  <c r="AQ53" i="66"/>
  <c r="AQ35" i="66"/>
  <c r="AQ38" i="66"/>
  <c r="AQ41" i="66"/>
  <c r="AQ49" i="66"/>
  <c r="AQ52" i="66"/>
  <c r="AY35" i="66"/>
  <c r="AY38" i="66"/>
  <c r="AY41" i="66"/>
  <c r="AY44" i="66"/>
  <c r="AY47" i="66"/>
  <c r="AY50" i="66"/>
  <c r="AY53" i="66"/>
  <c r="AY36" i="66"/>
  <c r="AY39" i="66"/>
  <c r="AY42" i="66"/>
  <c r="AY40" i="66"/>
  <c r="AY43" i="66"/>
  <c r="AY46" i="66"/>
  <c r="AY49" i="66"/>
  <c r="AY52" i="66"/>
  <c r="AY37" i="66"/>
  <c r="AY45" i="66"/>
  <c r="AY51" i="66"/>
  <c r="AY48" i="66"/>
  <c r="AY54" i="66"/>
  <c r="BF35" i="66"/>
  <c r="BF38" i="66"/>
  <c r="BF41" i="66"/>
  <c r="BF44" i="66"/>
  <c r="BF47" i="66"/>
  <c r="BF54" i="66"/>
  <c r="BF36" i="66"/>
  <c r="BF39" i="66"/>
  <c r="BF42" i="66"/>
  <c r="BF45" i="66"/>
  <c r="BF48" i="66"/>
  <c r="BF51" i="66"/>
  <c r="BF37" i="66"/>
  <c r="BF40" i="66"/>
  <c r="BF43" i="66"/>
  <c r="BF46" i="66"/>
  <c r="BF49" i="66"/>
  <c r="BF52" i="66"/>
  <c r="BF53" i="66"/>
  <c r="BF50" i="66"/>
  <c r="BC36" i="66"/>
  <c r="BC39" i="66"/>
  <c r="BC42" i="66"/>
  <c r="BC45" i="66"/>
  <c r="BC48" i="66"/>
  <c r="BC51" i="66"/>
  <c r="BC54" i="66"/>
  <c r="BC37" i="66"/>
  <c r="BC40" i="66"/>
  <c r="BC43" i="66"/>
  <c r="BC46" i="66"/>
  <c r="BC41" i="66"/>
  <c r="BC44" i="66"/>
  <c r="BC47" i="66"/>
  <c r="BC50" i="66"/>
  <c r="BC53" i="66"/>
  <c r="BC35" i="66"/>
  <c r="BC38" i="66"/>
  <c r="BC52" i="66"/>
  <c r="BC49" i="66"/>
  <c r="AV37" i="66"/>
  <c r="AV40" i="66"/>
  <c r="AV43" i="66"/>
  <c r="AV35" i="66"/>
  <c r="AV38" i="66"/>
  <c r="AV41" i="66"/>
  <c r="AV44" i="66"/>
  <c r="AV47" i="66"/>
  <c r="AV50" i="66"/>
  <c r="AV53" i="66"/>
  <c r="AV36" i="66"/>
  <c r="AV39" i="66"/>
  <c r="AV42" i="66"/>
  <c r="AV45" i="66"/>
  <c r="AV48" i="66"/>
  <c r="AV51" i="66"/>
  <c r="AV54" i="66"/>
  <c r="AV49" i="66"/>
  <c r="AV46" i="66"/>
  <c r="AV52" i="66"/>
  <c r="BB37" i="66"/>
  <c r="BB40" i="66"/>
  <c r="BB43" i="66"/>
  <c r="BB46" i="66"/>
  <c r="BB35" i="66"/>
  <c r="BB38" i="66"/>
  <c r="BB41" i="66"/>
  <c r="BB44" i="66"/>
  <c r="BB47" i="66"/>
  <c r="BB50" i="66"/>
  <c r="BB53" i="66"/>
  <c r="BB36" i="66"/>
  <c r="BB39" i="66"/>
  <c r="BB42" i="66"/>
  <c r="BB45" i="66"/>
  <c r="BB48" i="66"/>
  <c r="BB51" i="66"/>
  <c r="BB54" i="66"/>
  <c r="BB52" i="66"/>
  <c r="BB49" i="66"/>
  <c r="AO37" i="66"/>
  <c r="AO40" i="66"/>
  <c r="AO43" i="66"/>
  <c r="AO46" i="66"/>
  <c r="AO49" i="66"/>
  <c r="AO52" i="66"/>
  <c r="AO35" i="66"/>
  <c r="AO38" i="66"/>
  <c r="AO41" i="66"/>
  <c r="AO44" i="66"/>
  <c r="AO47" i="66"/>
  <c r="AO36" i="66"/>
  <c r="AO39" i="66"/>
  <c r="AO42" i="66"/>
  <c r="AO45" i="66"/>
  <c r="AO48" i="66"/>
  <c r="AO51" i="66"/>
  <c r="AO54" i="66"/>
  <c r="AO53" i="66"/>
  <c r="AO50" i="66"/>
  <c r="AP37" i="66"/>
  <c r="AP40" i="66"/>
  <c r="AP43" i="66"/>
  <c r="AP46" i="66"/>
  <c r="AP47" i="66"/>
  <c r="AP53" i="66"/>
  <c r="AP35" i="66"/>
  <c r="AP38" i="66"/>
  <c r="AP41" i="66"/>
  <c r="AP44" i="66"/>
  <c r="AP50" i="66"/>
  <c r="AP36" i="66"/>
  <c r="AP39" i="66"/>
  <c r="AP42" i="66"/>
  <c r="AP45" i="66"/>
  <c r="AP48" i="66"/>
  <c r="AP51" i="66"/>
  <c r="AP54" i="66"/>
  <c r="AP52" i="66"/>
  <c r="AP49" i="66"/>
  <c r="AU37" i="66"/>
  <c r="AU40" i="66"/>
  <c r="AU43" i="66"/>
  <c r="AU46" i="66"/>
  <c r="AU49" i="66"/>
  <c r="AU52" i="66"/>
  <c r="AU35" i="66"/>
  <c r="AU38" i="66"/>
  <c r="AU41" i="66"/>
  <c r="AU44" i="66"/>
  <c r="AU42" i="66"/>
  <c r="AU45" i="66"/>
  <c r="AU48" i="66"/>
  <c r="AU36" i="66"/>
  <c r="AU39" i="66"/>
  <c r="AU50" i="66"/>
  <c r="AU53" i="66"/>
  <c r="AU54" i="66"/>
  <c r="AU47" i="66"/>
  <c r="AU51" i="66"/>
  <c r="AX36" i="66"/>
  <c r="AX39" i="66"/>
  <c r="AX42" i="66"/>
  <c r="AX37" i="66"/>
  <c r="AX40" i="66"/>
  <c r="AX43" i="66"/>
  <c r="AX46" i="66"/>
  <c r="AX49" i="66"/>
  <c r="AX52" i="66"/>
  <c r="AX35" i="66"/>
  <c r="AX38" i="66"/>
  <c r="AX41" i="66"/>
  <c r="AX44" i="66"/>
  <c r="AX47" i="66"/>
  <c r="AX50" i="66"/>
  <c r="AX53" i="66"/>
  <c r="AX54" i="66"/>
  <c r="AX45" i="66"/>
  <c r="AX51" i="66"/>
  <c r="AX48" i="66"/>
  <c r="AT35" i="66"/>
  <c r="AT38" i="66"/>
  <c r="AT41" i="66"/>
  <c r="AT44" i="66"/>
  <c r="AT47" i="66"/>
  <c r="AT54" i="66"/>
  <c r="AT36" i="66"/>
  <c r="AT39" i="66"/>
  <c r="AT42" i="66"/>
  <c r="AT45" i="66"/>
  <c r="AT48" i="66"/>
  <c r="AT51" i="66"/>
  <c r="AT37" i="66"/>
  <c r="AT40" i="66"/>
  <c r="AT43" i="66"/>
  <c r="AT46" i="66"/>
  <c r="AT49" i="66"/>
  <c r="AT52" i="66"/>
  <c r="AT53" i="66"/>
  <c r="AT50" i="66"/>
  <c r="AR36" i="66"/>
  <c r="AR39" i="66"/>
  <c r="AR42" i="66"/>
  <c r="AR45" i="66"/>
  <c r="AR48" i="66"/>
  <c r="AR37" i="66"/>
  <c r="AR40" i="66"/>
  <c r="AR43" i="66"/>
  <c r="AR46" i="66"/>
  <c r="AR49" i="66"/>
  <c r="AR52" i="66"/>
  <c r="AR35" i="66"/>
  <c r="AR38" i="66"/>
  <c r="AR41" i="66"/>
  <c r="AR44" i="66"/>
  <c r="AR47" i="66"/>
  <c r="AR50" i="66"/>
  <c r="AR53" i="66"/>
  <c r="AR54" i="66"/>
  <c r="AR51" i="66"/>
  <c r="AZ35" i="66"/>
  <c r="AZ38" i="66"/>
  <c r="AZ41" i="66"/>
  <c r="AZ44" i="66"/>
  <c r="AZ47" i="66"/>
  <c r="AZ36" i="66"/>
  <c r="AZ39" i="66"/>
  <c r="AZ42" i="66"/>
  <c r="AZ45" i="66"/>
  <c r="AZ48" i="66"/>
  <c r="AZ51" i="66"/>
  <c r="AZ54" i="66"/>
  <c r="AZ37" i="66"/>
  <c r="AZ40" i="66"/>
  <c r="AZ43" i="66"/>
  <c r="AZ46" i="66"/>
  <c r="AZ49" i="66"/>
  <c r="AZ52" i="66"/>
  <c r="AZ50" i="66"/>
  <c r="AZ53" i="66"/>
  <c r="AE36" i="66"/>
  <c r="AE42" i="66"/>
  <c r="AE48" i="66"/>
  <c r="AE54" i="66"/>
  <c r="AE49" i="66"/>
  <c r="AE37" i="66"/>
  <c r="AE43" i="66"/>
  <c r="AE45" i="66"/>
  <c r="AE38" i="66"/>
  <c r="AE44" i="66"/>
  <c r="AE50" i="66"/>
  <c r="AE39" i="66"/>
  <c r="AE51" i="66"/>
  <c r="AE52" i="66"/>
  <c r="AE40" i="66"/>
  <c r="AE46" i="66"/>
  <c r="AE35" i="66"/>
  <c r="AE41" i="66"/>
  <c r="AE53" i="66"/>
  <c r="AE47" i="66"/>
  <c r="AC38" i="66"/>
  <c r="AC44" i="66"/>
  <c r="AC50" i="66"/>
  <c r="AC39" i="66"/>
  <c r="AC45" i="66"/>
  <c r="AC51" i="66"/>
  <c r="AC46" i="66"/>
  <c r="AC40" i="66"/>
  <c r="AC52" i="66"/>
  <c r="AC47" i="66"/>
  <c r="AC41" i="66"/>
  <c r="AC53" i="66"/>
  <c r="AC35" i="66"/>
  <c r="AC54" i="66"/>
  <c r="AC36" i="66"/>
  <c r="AC42" i="66"/>
  <c r="AC48" i="66"/>
  <c r="AC43" i="66"/>
  <c r="AC37" i="66"/>
  <c r="AC49" i="66"/>
  <c r="AI38" i="66"/>
  <c r="AI44" i="66"/>
  <c r="AI50" i="66"/>
  <c r="AI51" i="66"/>
  <c r="AI39" i="66"/>
  <c r="AI45" i="66"/>
  <c r="AI47" i="66"/>
  <c r="AI40" i="66"/>
  <c r="AI46" i="66"/>
  <c r="AI52" i="66"/>
  <c r="AI53" i="66"/>
  <c r="AI41" i="66"/>
  <c r="AI35" i="66"/>
  <c r="AI54" i="66"/>
  <c r="AI43" i="66"/>
  <c r="AI36" i="66"/>
  <c r="AI42" i="66"/>
  <c r="AI48" i="66"/>
  <c r="AI37" i="66"/>
  <c r="AI49" i="66"/>
  <c r="AJ37" i="66"/>
  <c r="AJ43" i="66"/>
  <c r="AJ49" i="66"/>
  <c r="AJ50" i="66"/>
  <c r="AJ38" i="66"/>
  <c r="AJ44" i="66"/>
  <c r="AJ51" i="66"/>
  <c r="AJ46" i="66"/>
  <c r="AJ52" i="66"/>
  <c r="AJ39" i="66"/>
  <c r="AJ45" i="66"/>
  <c r="AJ40" i="66"/>
  <c r="AJ53" i="66"/>
  <c r="AJ42" i="66"/>
  <c r="AJ35" i="66"/>
  <c r="AJ41" i="66"/>
  <c r="AJ47" i="66"/>
  <c r="AJ36" i="66"/>
  <c r="AJ48" i="66"/>
  <c r="AJ54" i="66"/>
  <c r="AD37" i="66"/>
  <c r="AD43" i="66"/>
  <c r="AD49" i="66"/>
  <c r="AD38" i="66"/>
  <c r="AD44" i="66"/>
  <c r="AD50" i="66"/>
  <c r="AD39" i="66"/>
  <c r="AD45" i="66"/>
  <c r="AD51" i="66"/>
  <c r="AD52" i="66"/>
  <c r="AD40" i="66"/>
  <c r="AD46" i="66"/>
  <c r="AD35" i="66"/>
  <c r="AD41" i="66"/>
  <c r="AD47" i="66"/>
  <c r="AD53" i="66"/>
  <c r="AD36" i="66"/>
  <c r="AD42" i="66"/>
  <c r="AD48" i="66"/>
  <c r="AD54" i="66"/>
  <c r="AK36" i="66"/>
  <c r="AK42" i="66"/>
  <c r="AK48" i="66"/>
  <c r="AK54" i="66"/>
  <c r="AK37" i="66"/>
  <c r="AK43" i="66"/>
  <c r="AK49" i="66"/>
  <c r="AK38" i="66"/>
  <c r="AK44" i="66"/>
  <c r="AK50" i="66"/>
  <c r="AK39" i="66"/>
  <c r="AK51" i="66"/>
  <c r="AK35" i="66"/>
  <c r="AK41" i="66"/>
  <c r="AK40" i="66"/>
  <c r="AK46" i="66"/>
  <c r="AK52" i="66"/>
  <c r="AK47" i="66"/>
  <c r="AK45" i="66"/>
  <c r="AK53" i="66"/>
  <c r="AF35" i="66"/>
  <c r="AF41" i="66"/>
  <c r="AF47" i="66"/>
  <c r="AF53" i="66"/>
  <c r="AF36" i="66"/>
  <c r="AF42" i="66"/>
  <c r="AF48" i="66"/>
  <c r="AF54" i="66"/>
  <c r="AF37" i="66"/>
  <c r="AF43" i="66"/>
  <c r="AF49" i="66"/>
  <c r="AF50" i="66"/>
  <c r="AF38" i="66"/>
  <c r="AF44" i="66"/>
  <c r="AF39" i="66"/>
  <c r="AF45" i="66"/>
  <c r="AF51" i="66"/>
  <c r="AF40" i="66"/>
  <c r="AF46" i="66"/>
  <c r="AF52" i="66"/>
  <c r="AH39" i="66"/>
  <c r="AH45" i="66"/>
  <c r="AH51" i="66"/>
  <c r="AH52" i="66"/>
  <c r="AH40" i="66"/>
  <c r="AH46" i="66"/>
  <c r="AH48" i="66"/>
  <c r="AH35" i="66"/>
  <c r="AH41" i="66"/>
  <c r="AH47" i="66"/>
  <c r="AH53" i="66"/>
  <c r="AH42" i="66"/>
  <c r="AH36" i="66"/>
  <c r="AH54" i="66"/>
  <c r="AH49" i="66"/>
  <c r="AH44" i="66"/>
  <c r="AH37" i="66"/>
  <c r="AH43" i="66"/>
  <c r="AH38" i="66"/>
  <c r="AH50" i="66"/>
  <c r="AG40" i="66"/>
  <c r="AG46" i="66"/>
  <c r="AG52" i="66"/>
  <c r="AG53" i="66"/>
  <c r="AG35" i="66"/>
  <c r="AG41" i="66"/>
  <c r="AG47" i="66"/>
  <c r="AG49" i="66"/>
  <c r="AG36" i="66"/>
  <c r="AG42" i="66"/>
  <c r="AG48" i="66"/>
  <c r="AG54" i="66"/>
  <c r="AG37" i="66"/>
  <c r="AG43" i="66"/>
  <c r="AG50" i="66"/>
  <c r="AG45" i="66"/>
  <c r="AG38" i="66"/>
  <c r="AG44" i="66"/>
  <c r="AG39" i="66"/>
  <c r="AG51" i="66"/>
  <c r="J29" i="66"/>
  <c r="M29" i="66" s="1"/>
  <c r="BE35" i="66"/>
  <c r="BE38" i="66"/>
  <c r="BE41" i="66"/>
  <c r="BE44" i="66"/>
  <c r="BE47" i="66"/>
  <c r="BE50" i="66"/>
  <c r="BE53" i="66"/>
  <c r="BE36" i="66"/>
  <c r="BE39" i="66"/>
  <c r="BE42" i="66"/>
  <c r="BE45" i="66"/>
  <c r="BE37" i="66"/>
  <c r="BE40" i="66"/>
  <c r="BE43" i="66"/>
  <c r="BE46" i="66"/>
  <c r="BE49" i="66"/>
  <c r="BE52" i="66"/>
  <c r="BE54" i="66"/>
  <c r="BE51" i="66"/>
  <c r="BE48" i="66"/>
  <c r="BA37" i="66"/>
  <c r="BA40" i="66"/>
  <c r="BA43" i="66"/>
  <c r="BA46" i="66"/>
  <c r="BA49" i="66"/>
  <c r="BA52" i="66"/>
  <c r="BA35" i="66"/>
  <c r="BA38" i="66"/>
  <c r="BA41" i="66"/>
  <c r="BA44" i="66"/>
  <c r="BA36" i="66"/>
  <c r="BA39" i="66"/>
  <c r="BA42" i="66"/>
  <c r="BA45" i="66"/>
  <c r="BA48" i="66"/>
  <c r="BA51" i="66"/>
  <c r="BA50" i="66"/>
  <c r="BA54" i="66"/>
  <c r="BA47" i="66"/>
  <c r="BA53" i="66"/>
  <c r="BG37" i="66"/>
  <c r="BG40" i="66"/>
  <c r="BG43" i="66"/>
  <c r="BG46" i="66"/>
  <c r="BG49" i="66"/>
  <c r="BG52" i="66"/>
  <c r="BG35" i="66"/>
  <c r="BG38" i="66"/>
  <c r="BG41" i="66"/>
  <c r="BG44" i="66"/>
  <c r="BG42" i="66"/>
  <c r="BG45" i="66"/>
  <c r="BG48" i="66"/>
  <c r="BG51" i="66"/>
  <c r="BG36" i="66"/>
  <c r="BG39" i="66"/>
  <c r="BG47" i="66"/>
  <c r="BG53" i="66"/>
  <c r="BG54" i="66"/>
  <c r="BG50" i="66"/>
  <c r="BD36" i="66"/>
  <c r="BD39" i="66"/>
  <c r="BD42" i="66"/>
  <c r="BD45" i="66"/>
  <c r="BD37" i="66"/>
  <c r="BD40" i="66"/>
  <c r="BD43" i="66"/>
  <c r="BD46" i="66"/>
  <c r="BD49" i="66"/>
  <c r="BD52" i="66"/>
  <c r="BD35" i="66"/>
  <c r="BD38" i="66"/>
  <c r="BD41" i="66"/>
  <c r="BD44" i="66"/>
  <c r="BD47" i="66"/>
  <c r="BD50" i="66"/>
  <c r="BD53" i="66"/>
  <c r="BD54" i="66"/>
  <c r="BD48" i="66"/>
  <c r="BD51" i="66"/>
  <c r="E31" i="66" a="1"/>
  <c r="E31" i="66" s="1"/>
  <c r="E32" i="66" a="1"/>
  <c r="E32" i="66" s="1"/>
  <c r="E33" i="66" a="1"/>
  <c r="E33" i="66" s="1"/>
  <c r="R31" i="64"/>
  <c r="T30" i="64"/>
  <c r="S31" i="64"/>
  <c r="S12" i="63" a="1"/>
  <c r="S13" i="63" s="1"/>
  <c r="X4" i="63"/>
  <c r="Y4" i="63"/>
  <c r="T7" i="63"/>
  <c r="Y3" i="63"/>
  <c r="V8" i="63"/>
  <c r="T5" i="63"/>
  <c r="V7" i="63"/>
  <c r="U10" i="63"/>
  <c r="O6" i="63"/>
  <c r="Y5" i="63"/>
  <c r="Y26" i="63" s="1"/>
  <c r="Y28" i="63" s="1"/>
  <c r="T8" i="63"/>
  <c r="O7" i="63"/>
  <c r="S6" i="63"/>
  <c r="S10" i="63"/>
  <c r="O8" i="63"/>
  <c r="S5" i="63"/>
  <c r="U7" i="63"/>
  <c r="T10" i="63"/>
  <c r="S4" i="63"/>
  <c r="T4" i="63"/>
  <c r="X8" i="63"/>
  <c r="W3" i="63"/>
  <c r="S7" i="63"/>
  <c r="X3" i="63"/>
  <c r="U8" i="63"/>
  <c r="AD11" i="63" s="1"/>
  <c r="T6" i="63"/>
  <c r="U6" i="63"/>
  <c r="W8" i="63"/>
  <c r="S3" i="63"/>
  <c r="U5" i="63"/>
  <c r="V6" i="63"/>
  <c r="W7" i="63"/>
  <c r="V10" i="63"/>
  <c r="O3" i="63"/>
  <c r="T3" i="63"/>
  <c r="U4" i="63"/>
  <c r="V5" i="63"/>
  <c r="V26" i="63" s="1"/>
  <c r="W6" i="63"/>
  <c r="X7" i="63"/>
  <c r="Y8" i="63"/>
  <c r="W10" i="63"/>
  <c r="O4" i="63"/>
  <c r="U3" i="63"/>
  <c r="V4" i="63"/>
  <c r="W5" i="63"/>
  <c r="W26" i="63" s="1"/>
  <c r="X6" i="63"/>
  <c r="Y7" i="63"/>
  <c r="X10" i="63"/>
  <c r="V3" i="63"/>
  <c r="W4" i="63"/>
  <c r="X5" i="63"/>
  <c r="X26" i="63" s="1"/>
  <c r="X28" i="63" s="1"/>
  <c r="Y6" i="63"/>
  <c r="N67" i="42"/>
  <c r="N68" i="42"/>
  <c r="N69" i="42"/>
  <c r="N70" i="42"/>
  <c r="N66" i="42"/>
  <c r="L67" i="42"/>
  <c r="L68" i="42"/>
  <c r="L69" i="42"/>
  <c r="L70" i="42"/>
  <c r="L66" i="42"/>
  <c r="I67" i="42"/>
  <c r="I68" i="42"/>
  <c r="I69" i="42"/>
  <c r="I70" i="42"/>
  <c r="I66" i="42"/>
  <c r="G66" i="42" a="1"/>
  <c r="G66" i="42" s="1"/>
  <c r="K66" i="42" a="1"/>
  <c r="K68" i="42" s="1"/>
  <c r="M32" i="42"/>
  <c r="E74" i="57"/>
  <c r="B78" i="57" s="1"/>
  <c r="AE74" i="57"/>
  <c r="S25" i="57"/>
  <c r="AM51" i="66" a="1"/>
  <c r="T40" i="66" a="1"/>
  <c r="AM38" i="66" a="1"/>
  <c r="AM54" i="66" a="1"/>
  <c r="T46" i="66" a="1"/>
  <c r="T45" i="66" a="1"/>
  <c r="T47" i="66" a="1"/>
  <c r="AL36" i="66" a="1"/>
  <c r="AM52" i="66" a="1"/>
  <c r="T41" i="66" a="1"/>
  <c r="AL37" i="66" a="1"/>
  <c r="AL50" i="66" a="1"/>
  <c r="AM50" i="66" a="1"/>
  <c r="T51" i="66" a="1"/>
  <c r="T42" i="66" a="1"/>
  <c r="T43" i="66" a="1"/>
  <c r="AM41" i="66" a="1"/>
  <c r="AL49" i="66" a="1"/>
  <c r="AL44" i="66" a="1"/>
  <c r="AM43" i="66" a="1"/>
  <c r="AM42" i="66" a="1"/>
  <c r="T49" i="66" a="1"/>
  <c r="T44" i="66" a="1"/>
  <c r="AM53" i="66" a="1"/>
  <c r="AL45" i="66" a="1"/>
  <c r="AL41" i="66" a="1"/>
  <c r="AL40" i="66" a="1"/>
  <c r="T53" i="66" a="1"/>
  <c r="AL35" i="66" a="1"/>
  <c r="AL42" i="66" a="1"/>
  <c r="AL46" i="66" a="1"/>
  <c r="AL52" i="66" a="1"/>
  <c r="T48" i="66" a="1"/>
  <c r="T39" i="66" a="1"/>
  <c r="AL48" i="66" a="1"/>
  <c r="AL38" i="66" a="1"/>
  <c r="AL51" i="66" a="1"/>
  <c r="AM39" i="66" a="1"/>
  <c r="T50" i="66" a="1"/>
  <c r="AM46" i="66" a="1"/>
  <c r="AM47" i="66" a="1"/>
  <c r="AM49" i="66" a="1"/>
  <c r="T37" i="66" a="1"/>
  <c r="AM44" i="66" a="1"/>
  <c r="AL43" i="66" a="1"/>
  <c r="T36" i="66" a="1"/>
  <c r="AM35" i="66" a="1"/>
  <c r="AM40" i="66" a="1"/>
  <c r="AM48" i="66" a="1"/>
  <c r="T54" i="66" a="1"/>
  <c r="AM37" i="66" a="1"/>
  <c r="AM45" i="66" a="1"/>
  <c r="AL39" i="66" a="1"/>
  <c r="AM36" i="66" a="1"/>
  <c r="T52" i="66" a="1"/>
  <c r="AL54" i="66" a="1"/>
  <c r="AL53" i="66" a="1"/>
  <c r="AL47" i="66" a="1"/>
  <c r="V12" i="67" l="1" a="1"/>
  <c r="V12" i="67" s="1"/>
  <c r="Q10" i="66"/>
  <c r="AO58" i="66" a="1"/>
  <c r="T47" i="66"/>
  <c r="T51" i="66"/>
  <c r="T50" i="66"/>
  <c r="T44" i="66"/>
  <c r="T49" i="66"/>
  <c r="T43" i="66"/>
  <c r="T37" i="66"/>
  <c r="T39" i="66"/>
  <c r="T54" i="66"/>
  <c r="T48" i="66"/>
  <c r="T42" i="66"/>
  <c r="T36" i="66"/>
  <c r="T45" i="66"/>
  <c r="T53" i="66"/>
  <c r="T41" i="66"/>
  <c r="T52" i="66"/>
  <c r="T46" i="66"/>
  <c r="T40" i="66"/>
  <c r="G13" i="66"/>
  <c r="J12" i="66"/>
  <c r="M12" i="66" s="1"/>
  <c r="AL52" i="66"/>
  <c r="AL46" i="66"/>
  <c r="AL40" i="66"/>
  <c r="AL45" i="66"/>
  <c r="AL39" i="66"/>
  <c r="AL51" i="66"/>
  <c r="AL44" i="66"/>
  <c r="AL38" i="66"/>
  <c r="AL49" i="66"/>
  <c r="AL43" i="66"/>
  <c r="AL37" i="66"/>
  <c r="AL50" i="66"/>
  <c r="AL42" i="66"/>
  <c r="AL36" i="66"/>
  <c r="AL54" i="66"/>
  <c r="AL48" i="66"/>
  <c r="AL53" i="66"/>
  <c r="AL47" i="66"/>
  <c r="AL41" i="66"/>
  <c r="AL35" i="66"/>
  <c r="Q20" i="66"/>
  <c r="T20" i="66" s="1"/>
  <c r="AM51" i="66"/>
  <c r="AM45" i="66"/>
  <c r="AM39" i="66"/>
  <c r="AM50" i="66"/>
  <c r="AM44" i="66"/>
  <c r="AM38" i="66"/>
  <c r="AM49" i="66"/>
  <c r="AM37" i="66"/>
  <c r="AM48" i="66"/>
  <c r="AM42" i="66"/>
  <c r="AM36" i="66"/>
  <c r="AM54" i="66"/>
  <c r="AM47" i="66"/>
  <c r="AM41" i="66"/>
  <c r="AM35" i="66"/>
  <c r="AM53" i="66"/>
  <c r="AM43" i="66"/>
  <c r="AM52" i="66"/>
  <c r="AM46" i="66"/>
  <c r="AM40" i="66"/>
  <c r="Q18" i="66"/>
  <c r="T18" i="66" s="1"/>
  <c r="Q28" i="66"/>
  <c r="T28" i="66" s="1"/>
  <c r="Q17" i="66"/>
  <c r="T17" i="66" s="1"/>
  <c r="Q12" i="66"/>
  <c r="T12" i="66" s="1"/>
  <c r="Q23" i="66"/>
  <c r="T23" i="66" s="1"/>
  <c r="Q26" i="66"/>
  <c r="T26" i="66" s="1"/>
  <c r="Q14" i="66"/>
  <c r="T14" i="66" s="1"/>
  <c r="Q22" i="66"/>
  <c r="T22" i="66" s="1"/>
  <c r="Q11" i="66"/>
  <c r="T11" i="66" s="1"/>
  <c r="Q29" i="66"/>
  <c r="T29" i="66" s="1"/>
  <c r="Q27" i="66"/>
  <c r="T27" i="66" s="1"/>
  <c r="Q21" i="66"/>
  <c r="T21" i="66" s="1"/>
  <c r="Q19" i="66"/>
  <c r="T19" i="66" s="1"/>
  <c r="Q13" i="66"/>
  <c r="T13" i="66" s="1"/>
  <c r="Q24" i="66"/>
  <c r="T24" i="66" s="1"/>
  <c r="Q16" i="66"/>
  <c r="T16" i="66" s="1"/>
  <c r="Q25" i="66"/>
  <c r="T25" i="66" s="1"/>
  <c r="Q15" i="66"/>
  <c r="T15" i="66" s="1"/>
  <c r="T31" i="64"/>
  <c r="AC26" i="63"/>
  <c r="V16" i="63" a="1"/>
  <c r="Y17" i="63" s="1"/>
  <c r="X13" i="63"/>
  <c r="U13" i="63"/>
  <c r="Y13" i="63"/>
  <c r="W12" i="63"/>
  <c r="W13" i="63"/>
  <c r="T12" i="63"/>
  <c r="V12" i="63"/>
  <c r="V13" i="63"/>
  <c r="U12" i="63"/>
  <c r="X12" i="63"/>
  <c r="S12" i="63"/>
  <c r="T13" i="63"/>
  <c r="Y12" i="63"/>
  <c r="Z52" i="63" a="1"/>
  <c r="AA20" i="63"/>
  <c r="Z56" i="63" s="1"/>
  <c r="AA10" i="63"/>
  <c r="V36" i="63" a="1"/>
  <c r="H66" i="42"/>
  <c r="H69" i="42"/>
  <c r="G69" i="42"/>
  <c r="H68" i="42"/>
  <c r="G68" i="42"/>
  <c r="H67" i="42"/>
  <c r="G67" i="42"/>
  <c r="H70" i="42"/>
  <c r="G70" i="42"/>
  <c r="K67" i="42"/>
  <c r="K70" i="42"/>
  <c r="K69" i="42"/>
  <c r="K66" i="42"/>
  <c r="L37" i="42"/>
  <c r="K37" i="42"/>
  <c r="M30" i="42"/>
  <c r="M31" i="42"/>
  <c r="M33" i="42"/>
  <c r="M29" i="42"/>
  <c r="U28" i="62" a="1"/>
  <c r="U30" i="62" s="1"/>
  <c r="U37" i="62"/>
  <c r="U36" i="62"/>
  <c r="U34" i="62"/>
  <c r="L34" i="62"/>
  <c r="K34" i="62"/>
  <c r="J34" i="62"/>
  <c r="I34" i="62"/>
  <c r="H34" i="62"/>
  <c r="G34" i="62"/>
  <c r="F34" i="62"/>
  <c r="E34" i="62"/>
  <c r="Y32" i="62"/>
  <c r="Y31" i="62"/>
  <c r="Y30" i="62"/>
  <c r="Y29" i="62"/>
  <c r="AB28" i="62" a="1"/>
  <c r="AB32" i="62" s="1"/>
  <c r="Z28" i="62" a="1"/>
  <c r="Z32" i="62" s="1"/>
  <c r="Y28" i="62"/>
  <c r="K17" i="62"/>
  <c r="U35" i="62" s="1"/>
  <c r="P7" i="62" a="1"/>
  <c r="S8" i="62" s="1"/>
  <c r="P4" i="62" a="1"/>
  <c r="Q6" i="62" s="1"/>
  <c r="U36" i="66" a="1"/>
  <c r="U38" i="66" a="1"/>
  <c r="U45" i="66" a="1"/>
  <c r="U42" i="66" a="1"/>
  <c r="U37" i="66" a="1"/>
  <c r="U39" i="66" a="1"/>
  <c r="U50" i="66" a="1"/>
  <c r="U48" i="66" a="1"/>
  <c r="U53" i="66" a="1"/>
  <c r="U49" i="66" a="1"/>
  <c r="U52" i="66" a="1"/>
  <c r="U44" i="66" a="1"/>
  <c r="U47" i="66" a="1"/>
  <c r="U51" i="66" a="1"/>
  <c r="U43" i="66" a="1"/>
  <c r="U40" i="66" a="1"/>
  <c r="U46" i="66" a="1"/>
  <c r="U35" i="66" a="1"/>
  <c r="U54" i="66" a="1"/>
  <c r="U41" i="66" a="1"/>
  <c r="T10" i="66" l="1"/>
  <c r="BB77" i="66"/>
  <c r="AP77" i="66"/>
  <c r="AX76" i="66"/>
  <c r="BF75" i="66"/>
  <c r="AT75" i="66"/>
  <c r="BB74" i="66"/>
  <c r="AP74" i="66"/>
  <c r="AX73" i="66"/>
  <c r="BF72" i="66"/>
  <c r="AT72" i="66"/>
  <c r="BB71" i="66"/>
  <c r="AP71" i="66"/>
  <c r="AX70" i="66"/>
  <c r="BF69" i="66"/>
  <c r="AT69" i="66"/>
  <c r="BB68" i="66"/>
  <c r="AP68" i="66"/>
  <c r="AX67" i="66"/>
  <c r="BF66" i="66"/>
  <c r="AT66" i="66"/>
  <c r="BB65" i="66"/>
  <c r="AP65" i="66"/>
  <c r="AX64" i="66"/>
  <c r="BF63" i="66"/>
  <c r="AT63" i="66"/>
  <c r="BB62" i="66"/>
  <c r="AP62" i="66"/>
  <c r="AX61" i="66"/>
  <c r="BF60" i="66"/>
  <c r="AT60" i="66"/>
  <c r="BB59" i="66"/>
  <c r="AP59" i="66"/>
  <c r="AX58" i="66"/>
  <c r="AU75" i="66"/>
  <c r="AQ71" i="66"/>
  <c r="BG66" i="66"/>
  <c r="BG63" i="66"/>
  <c r="AY61" i="66"/>
  <c r="BA77" i="66"/>
  <c r="AO77" i="66"/>
  <c r="AW76" i="66"/>
  <c r="BE75" i="66"/>
  <c r="AS75" i="66"/>
  <c r="BA74" i="66"/>
  <c r="AO74" i="66"/>
  <c r="AW73" i="66"/>
  <c r="BE72" i="66"/>
  <c r="AS72" i="66"/>
  <c r="BA71" i="66"/>
  <c r="AO71" i="66"/>
  <c r="AW70" i="66"/>
  <c r="BE69" i="66"/>
  <c r="AS69" i="66"/>
  <c r="BA68" i="66"/>
  <c r="AO68" i="66"/>
  <c r="AW67" i="66"/>
  <c r="BE66" i="66"/>
  <c r="AS66" i="66"/>
  <c r="BA65" i="66"/>
  <c r="AO65" i="66"/>
  <c r="AW64" i="66"/>
  <c r="BE63" i="66"/>
  <c r="AS63" i="66"/>
  <c r="BA62" i="66"/>
  <c r="AO62" i="66"/>
  <c r="AW61" i="66"/>
  <c r="BE60" i="66"/>
  <c r="AS60" i="66"/>
  <c r="BA59" i="66"/>
  <c r="AO59" i="66"/>
  <c r="AW58" i="66"/>
  <c r="AQ68" i="66"/>
  <c r="BC59" i="66"/>
  <c r="AZ77" i="66"/>
  <c r="BH76" i="66"/>
  <c r="AV76" i="66"/>
  <c r="BD75" i="66"/>
  <c r="AR75" i="66"/>
  <c r="AZ74" i="66"/>
  <c r="BH73" i="66"/>
  <c r="AV73" i="66"/>
  <c r="BD72" i="66"/>
  <c r="AR72" i="66"/>
  <c r="AZ71" i="66"/>
  <c r="BH70" i="66"/>
  <c r="AV70" i="66"/>
  <c r="BD69" i="66"/>
  <c r="AR69" i="66"/>
  <c r="AZ68" i="66"/>
  <c r="BH67" i="66"/>
  <c r="AV67" i="66"/>
  <c r="BD66" i="66"/>
  <c r="AR66" i="66"/>
  <c r="AZ65" i="66"/>
  <c r="BH64" i="66"/>
  <c r="AV64" i="66"/>
  <c r="BD63" i="66"/>
  <c r="AR63" i="66"/>
  <c r="AZ62" i="66"/>
  <c r="BH61" i="66"/>
  <c r="AV61" i="66"/>
  <c r="BD60" i="66"/>
  <c r="AR60" i="66"/>
  <c r="AZ59" i="66"/>
  <c r="BH58" i="66"/>
  <c r="AV58" i="66"/>
  <c r="BG69" i="66"/>
  <c r="BC62" i="66"/>
  <c r="AY77" i="66"/>
  <c r="BG76" i="66"/>
  <c r="AU76" i="66"/>
  <c r="BC75" i="66"/>
  <c r="AQ75" i="66"/>
  <c r="AY74" i="66"/>
  <c r="BG73" i="66"/>
  <c r="AU73" i="66"/>
  <c r="BC72" i="66"/>
  <c r="AQ72" i="66"/>
  <c r="AY71" i="66"/>
  <c r="BG70" i="66"/>
  <c r="AU70" i="66"/>
  <c r="BC69" i="66"/>
  <c r="AQ69" i="66"/>
  <c r="AY68" i="66"/>
  <c r="BG67" i="66"/>
  <c r="AU67" i="66"/>
  <c r="BC66" i="66"/>
  <c r="AQ66" i="66"/>
  <c r="AY65" i="66"/>
  <c r="BG64" i="66"/>
  <c r="AU64" i="66"/>
  <c r="BC63" i="66"/>
  <c r="AQ63" i="66"/>
  <c r="AY62" i="66"/>
  <c r="BG61" i="66"/>
  <c r="AU61" i="66"/>
  <c r="BC60" i="66"/>
  <c r="AQ60" i="66"/>
  <c r="AY59" i="66"/>
  <c r="BG58" i="66"/>
  <c r="AU58" i="66"/>
  <c r="BC77" i="66"/>
  <c r="AY76" i="66"/>
  <c r="BC74" i="66"/>
  <c r="AY73" i="66"/>
  <c r="BC71" i="66"/>
  <c r="BC68" i="66"/>
  <c r="BC65" i="66"/>
  <c r="AQ62" i="66"/>
  <c r="AX77" i="66"/>
  <c r="BF76" i="66"/>
  <c r="AT76" i="66"/>
  <c r="BB75" i="66"/>
  <c r="AP75" i="66"/>
  <c r="AX74" i="66"/>
  <c r="BF73" i="66"/>
  <c r="AT73" i="66"/>
  <c r="BB72" i="66"/>
  <c r="AP72" i="66"/>
  <c r="AX71" i="66"/>
  <c r="BF70" i="66"/>
  <c r="AT70" i="66"/>
  <c r="BB69" i="66"/>
  <c r="AP69" i="66"/>
  <c r="AX68" i="66"/>
  <c r="BF67" i="66"/>
  <c r="AT67" i="66"/>
  <c r="BB66" i="66"/>
  <c r="AP66" i="66"/>
  <c r="AX65" i="66"/>
  <c r="BF64" i="66"/>
  <c r="AT64" i="66"/>
  <c r="BB63" i="66"/>
  <c r="AP63" i="66"/>
  <c r="AX62" i="66"/>
  <c r="BF61" i="66"/>
  <c r="AT61" i="66"/>
  <c r="BB60" i="66"/>
  <c r="AP60" i="66"/>
  <c r="AX59" i="66"/>
  <c r="BF58" i="66"/>
  <c r="AT58" i="66"/>
  <c r="AQ65" i="66"/>
  <c r="AW77" i="66"/>
  <c r="BE76" i="66"/>
  <c r="AS76" i="66"/>
  <c r="BA75" i="66"/>
  <c r="AO75" i="66"/>
  <c r="AW74" i="66"/>
  <c r="BE73" i="66"/>
  <c r="AS73" i="66"/>
  <c r="BA72" i="66"/>
  <c r="AO72" i="66"/>
  <c r="AW71" i="66"/>
  <c r="BE70" i="66"/>
  <c r="AS70" i="66"/>
  <c r="BA69" i="66"/>
  <c r="AO69" i="66"/>
  <c r="AW68" i="66"/>
  <c r="BE67" i="66"/>
  <c r="AS67" i="66"/>
  <c r="BA66" i="66"/>
  <c r="AO66" i="66"/>
  <c r="AW65" i="66"/>
  <c r="BE64" i="66"/>
  <c r="AS64" i="66"/>
  <c r="BA63" i="66"/>
  <c r="AO63" i="66"/>
  <c r="AW62" i="66"/>
  <c r="BE61" i="66"/>
  <c r="AS61" i="66"/>
  <c r="BA60" i="66"/>
  <c r="AO60" i="66"/>
  <c r="AW59" i="66"/>
  <c r="BE58" i="66"/>
  <c r="AS58" i="66"/>
  <c r="BH77" i="66"/>
  <c r="AV77" i="66"/>
  <c r="BD76" i="66"/>
  <c r="AR76" i="66"/>
  <c r="AZ75" i="66"/>
  <c r="BH74" i="66"/>
  <c r="AV74" i="66"/>
  <c r="BD73" i="66"/>
  <c r="AR73" i="66"/>
  <c r="AZ72" i="66"/>
  <c r="BH71" i="66"/>
  <c r="AV71" i="66"/>
  <c r="BD70" i="66"/>
  <c r="AR70" i="66"/>
  <c r="AZ69" i="66"/>
  <c r="BH68" i="66"/>
  <c r="AV68" i="66"/>
  <c r="BD67" i="66"/>
  <c r="AR67" i="66"/>
  <c r="AZ66" i="66"/>
  <c r="BH65" i="66"/>
  <c r="AV65" i="66"/>
  <c r="BD64" i="66"/>
  <c r="AR64" i="66"/>
  <c r="AZ63" i="66"/>
  <c r="BH62" i="66"/>
  <c r="AV62" i="66"/>
  <c r="BD61" i="66"/>
  <c r="AR61" i="66"/>
  <c r="AZ60" i="66"/>
  <c r="BH59" i="66"/>
  <c r="AV59" i="66"/>
  <c r="BD58" i="66"/>
  <c r="AR58" i="66"/>
  <c r="AQ77" i="66"/>
  <c r="BG75" i="66"/>
  <c r="AQ74" i="66"/>
  <c r="BG72" i="66"/>
  <c r="AU69" i="66"/>
  <c r="AU66" i="66"/>
  <c r="AU63" i="66"/>
  <c r="BG60" i="66"/>
  <c r="BG77" i="66"/>
  <c r="AU77" i="66"/>
  <c r="BC76" i="66"/>
  <c r="AQ76" i="66"/>
  <c r="AY75" i="66"/>
  <c r="BG74" i="66"/>
  <c r="AU74" i="66"/>
  <c r="BC73" i="66"/>
  <c r="AQ73" i="66"/>
  <c r="AY72" i="66"/>
  <c r="BG71" i="66"/>
  <c r="AU71" i="66"/>
  <c r="BC70" i="66"/>
  <c r="AQ70" i="66"/>
  <c r="AY69" i="66"/>
  <c r="BG68" i="66"/>
  <c r="AU68" i="66"/>
  <c r="BC67" i="66"/>
  <c r="AQ67" i="66"/>
  <c r="AY66" i="66"/>
  <c r="BG65" i="66"/>
  <c r="AU65" i="66"/>
  <c r="BC64" i="66"/>
  <c r="AQ64" i="66"/>
  <c r="AY63" i="66"/>
  <c r="BG62" i="66"/>
  <c r="AU62" i="66"/>
  <c r="BC61" i="66"/>
  <c r="AQ61" i="66"/>
  <c r="AY60" i="66"/>
  <c r="BG59" i="66"/>
  <c r="AU59" i="66"/>
  <c r="BC58" i="66"/>
  <c r="AQ58" i="66"/>
  <c r="AY67" i="66"/>
  <c r="AQ59" i="66"/>
  <c r="BF77" i="66"/>
  <c r="AT77" i="66"/>
  <c r="BB76" i="66"/>
  <c r="AP76" i="66"/>
  <c r="AX75" i="66"/>
  <c r="BF74" i="66"/>
  <c r="AT74" i="66"/>
  <c r="BB73" i="66"/>
  <c r="AP73" i="66"/>
  <c r="AX72" i="66"/>
  <c r="BF71" i="66"/>
  <c r="AT71" i="66"/>
  <c r="BB70" i="66"/>
  <c r="AP70" i="66"/>
  <c r="AX69" i="66"/>
  <c r="BF68" i="66"/>
  <c r="AT68" i="66"/>
  <c r="BB67" i="66"/>
  <c r="AP67" i="66"/>
  <c r="AX66" i="66"/>
  <c r="BF65" i="66"/>
  <c r="AT65" i="66"/>
  <c r="BB64" i="66"/>
  <c r="AP64" i="66"/>
  <c r="AX63" i="66"/>
  <c r="BF62" i="66"/>
  <c r="AT62" i="66"/>
  <c r="BB61" i="66"/>
  <c r="AP61" i="66"/>
  <c r="AX60" i="66"/>
  <c r="BF59" i="66"/>
  <c r="AT59" i="66"/>
  <c r="BB58" i="66"/>
  <c r="AP58" i="66"/>
  <c r="AY70" i="66"/>
  <c r="AU60" i="66"/>
  <c r="BE77" i="66"/>
  <c r="AS77" i="66"/>
  <c r="BA76" i="66"/>
  <c r="AO76" i="66"/>
  <c r="AW75" i="66"/>
  <c r="BE74" i="66"/>
  <c r="AS74" i="66"/>
  <c r="BA73" i="66"/>
  <c r="AO73" i="66"/>
  <c r="AW72" i="66"/>
  <c r="BE71" i="66"/>
  <c r="AS71" i="66"/>
  <c r="BA70" i="66"/>
  <c r="AO70" i="66"/>
  <c r="AW69" i="66"/>
  <c r="BE68" i="66"/>
  <c r="AS68" i="66"/>
  <c r="BA67" i="66"/>
  <c r="AO67" i="66"/>
  <c r="AW66" i="66"/>
  <c r="BE65" i="66"/>
  <c r="AS65" i="66"/>
  <c r="BA64" i="66"/>
  <c r="AO64" i="66"/>
  <c r="AW63" i="66"/>
  <c r="BE62" i="66"/>
  <c r="AS62" i="66"/>
  <c r="BA61" i="66"/>
  <c r="AO61" i="66"/>
  <c r="AW60" i="66"/>
  <c r="BE59" i="66"/>
  <c r="AS59" i="66"/>
  <c r="BA58" i="66"/>
  <c r="AO58" i="66"/>
  <c r="AU72" i="66"/>
  <c r="AY64" i="66"/>
  <c r="AY58" i="66"/>
  <c r="BD77" i="66"/>
  <c r="AR77" i="66"/>
  <c r="AZ76" i="66"/>
  <c r="BH75" i="66"/>
  <c r="AV75" i="66"/>
  <c r="BD74" i="66"/>
  <c r="AR74" i="66"/>
  <c r="AZ73" i="66"/>
  <c r="BH72" i="66"/>
  <c r="AV72" i="66"/>
  <c r="BD71" i="66"/>
  <c r="AR71" i="66"/>
  <c r="AZ70" i="66"/>
  <c r="BH69" i="66"/>
  <c r="AV69" i="66"/>
  <c r="BD68" i="66"/>
  <c r="AR68" i="66"/>
  <c r="AZ67" i="66"/>
  <c r="BH66" i="66"/>
  <c r="AV66" i="66"/>
  <c r="BD65" i="66"/>
  <c r="AR65" i="66"/>
  <c r="AZ64" i="66"/>
  <c r="BH63" i="66"/>
  <c r="AV63" i="66"/>
  <c r="BD62" i="66"/>
  <c r="AR62" i="66"/>
  <c r="AZ61" i="66"/>
  <c r="BH60" i="66"/>
  <c r="AV60" i="66"/>
  <c r="BD59" i="66"/>
  <c r="AR59" i="66"/>
  <c r="AZ58" i="66"/>
  <c r="U40" i="66"/>
  <c r="U46" i="66"/>
  <c r="U52" i="66"/>
  <c r="U53" i="66"/>
  <c r="U35" i="66"/>
  <c r="U41" i="66"/>
  <c r="U47" i="66"/>
  <c r="U36" i="66"/>
  <c r="U42" i="66"/>
  <c r="U48" i="66"/>
  <c r="U54" i="66"/>
  <c r="U43" i="66"/>
  <c r="U49" i="66"/>
  <c r="U37" i="66"/>
  <c r="U44" i="66"/>
  <c r="U38" i="66"/>
  <c r="U50" i="66"/>
  <c r="U39" i="66"/>
  <c r="U45" i="66"/>
  <c r="U51" i="66"/>
  <c r="G14" i="66"/>
  <c r="J13" i="66"/>
  <c r="M13" i="66" s="1"/>
  <c r="X17" i="63"/>
  <c r="Y18" i="63"/>
  <c r="V17" i="63"/>
  <c r="V25" i="63" s="1"/>
  <c r="W18" i="63"/>
  <c r="W17" i="63"/>
  <c r="W25" i="63" s="1"/>
  <c r="Y16" i="63"/>
  <c r="V18" i="63"/>
  <c r="X16" i="63"/>
  <c r="W16" i="63"/>
  <c r="W24" i="63" s="1"/>
  <c r="X18" i="63"/>
  <c r="V16" i="63"/>
  <c r="V24" i="63" s="1"/>
  <c r="AC24" i="63" s="1"/>
  <c r="Z54" i="63"/>
  <c r="Z52" i="63"/>
  <c r="Z53" i="63"/>
  <c r="X37" i="63"/>
  <c r="W37" i="63"/>
  <c r="V37" i="63"/>
  <c r="X36" i="63"/>
  <c r="X38" i="63"/>
  <c r="V36" i="63"/>
  <c r="W36" i="63"/>
  <c r="W38" i="63"/>
  <c r="V38" i="63"/>
  <c r="M37" i="42"/>
  <c r="U29" i="62"/>
  <c r="U28" i="62"/>
  <c r="U32" i="62"/>
  <c r="U31" i="62"/>
  <c r="Z28" i="62"/>
  <c r="AB30" i="62"/>
  <c r="Q4" i="62"/>
  <c r="T5" i="62"/>
  <c r="Q7" i="62"/>
  <c r="T8" i="62"/>
  <c r="Z29" i="62"/>
  <c r="AB31" i="62"/>
  <c r="R4" i="62"/>
  <c r="P6" i="62"/>
  <c r="R7" i="62"/>
  <c r="P9" i="62"/>
  <c r="Z30" i="62"/>
  <c r="S4" i="62"/>
  <c r="S7" i="62"/>
  <c r="Q9" i="62"/>
  <c r="Z31" i="62"/>
  <c r="T4" i="62"/>
  <c r="R6" i="62"/>
  <c r="T7" i="62"/>
  <c r="R9" i="62"/>
  <c r="P5" i="62"/>
  <c r="S6" i="62"/>
  <c r="P8" i="62"/>
  <c r="S9" i="62"/>
  <c r="Q5" i="62"/>
  <c r="T6" i="62"/>
  <c r="Q8" i="62"/>
  <c r="T9" i="62"/>
  <c r="AB28" i="62"/>
  <c r="R5" i="62"/>
  <c r="AB29" i="62"/>
  <c r="R8" i="62"/>
  <c r="P4" i="62"/>
  <c r="S5" i="62"/>
  <c r="P7" i="62"/>
  <c r="AE18" i="61" a="1"/>
  <c r="AE18" i="61" s="1"/>
  <c r="U14" i="61" a="1"/>
  <c r="U14" i="61" s="1"/>
  <c r="U3" i="61" a="1"/>
  <c r="X3" i="61" s="1"/>
  <c r="Q3" i="61" a="1"/>
  <c r="Q3" i="61" s="1"/>
  <c r="AE12" i="61"/>
  <c r="Y12" i="61" a="1"/>
  <c r="AB12" i="61" s="1"/>
  <c r="L4" i="61"/>
  <c r="K4" i="61"/>
  <c r="W25" i="60" a="1"/>
  <c r="P3" i="60" a="1"/>
  <c r="P3" i="60" s="1"/>
  <c r="W23" i="60" a="1"/>
  <c r="W23" i="60" s="1"/>
  <c r="T13" i="60" a="1"/>
  <c r="T13" i="60" s="1"/>
  <c r="W11" i="60" a="1"/>
  <c r="W11" i="60" s="1"/>
  <c r="AC17" i="60" a="1"/>
  <c r="AC19" i="60" s="1"/>
  <c r="AC11" i="60"/>
  <c r="K4" i="60"/>
  <c r="J4" i="60"/>
  <c r="D17" i="58" a="1"/>
  <c r="D17" i="58" s="1"/>
  <c r="G12" i="58" a="1"/>
  <c r="G12" i="58" s="1"/>
  <c r="F12" i="58" a="1"/>
  <c r="F12" i="58" s="1"/>
  <c r="S17" i="59" a="1"/>
  <c r="U12" i="59" a="1"/>
  <c r="U12" i="59" s="1"/>
  <c r="H12" i="58" a="1"/>
  <c r="H12" i="58" s="1"/>
  <c r="U11" i="59" a="1"/>
  <c r="X11" i="59" s="1"/>
  <c r="J4" i="59"/>
  <c r="I4" i="59"/>
  <c r="V36" i="66" a="1"/>
  <c r="V46" i="66" a="1"/>
  <c r="V40" i="66" a="1"/>
  <c r="V48" i="66" a="1"/>
  <c r="V54" i="66" a="1"/>
  <c r="V35" i="66" a="1"/>
  <c r="V43" i="66" a="1"/>
  <c r="V44" i="66" a="1"/>
  <c r="V38" i="66" a="1"/>
  <c r="V51" i="66" a="1"/>
  <c r="V37" i="66" a="1"/>
  <c r="V42" i="66" a="1"/>
  <c r="V49" i="66" a="1"/>
  <c r="V45" i="66" a="1"/>
  <c r="V53" i="66" a="1"/>
  <c r="V52" i="66" a="1"/>
  <c r="V50" i="66" a="1"/>
  <c r="V47" i="66" a="1"/>
  <c r="V41" i="66" a="1"/>
  <c r="V39" i="66" a="1"/>
  <c r="W25" i="66" l="1"/>
  <c r="W29" i="66"/>
  <c r="W19" i="66"/>
  <c r="W24" i="66"/>
  <c r="W17" i="66"/>
  <c r="W13" i="66"/>
  <c r="W18" i="66"/>
  <c r="W14" i="66"/>
  <c r="W15" i="66"/>
  <c r="W23" i="66"/>
  <c r="W28" i="66"/>
  <c r="W11" i="66"/>
  <c r="W27" i="66"/>
  <c r="W12" i="66"/>
  <c r="W26" i="66"/>
  <c r="W22" i="66"/>
  <c r="W20" i="66"/>
  <c r="W16" i="66"/>
  <c r="W21" i="66"/>
  <c r="W10" i="66"/>
  <c r="Z10" i="66" s="1"/>
  <c r="V39" i="66"/>
  <c r="V45" i="66"/>
  <c r="V51" i="66"/>
  <c r="V52" i="66"/>
  <c r="V40" i="66"/>
  <c r="V46" i="66"/>
  <c r="V54" i="66"/>
  <c r="V35" i="66"/>
  <c r="V41" i="66"/>
  <c r="V47" i="66"/>
  <c r="V53" i="66"/>
  <c r="V42" i="66"/>
  <c r="V48" i="66"/>
  <c r="V36" i="66"/>
  <c r="V37" i="66"/>
  <c r="V43" i="66"/>
  <c r="V49" i="66"/>
  <c r="V38" i="66"/>
  <c r="V44" i="66"/>
  <c r="V50" i="66"/>
  <c r="G15" i="66"/>
  <c r="J14" i="66"/>
  <c r="M14" i="66" s="1"/>
  <c r="AC25" i="63"/>
  <c r="V28" i="63"/>
  <c r="W28" i="63"/>
  <c r="AB37" i="63"/>
  <c r="AC37" i="63" s="1"/>
  <c r="W20" i="63"/>
  <c r="Y20" i="63"/>
  <c r="AC17" i="63"/>
  <c r="AB36" i="63"/>
  <c r="AC36" i="63" s="1"/>
  <c r="AC16" i="63"/>
  <c r="V20" i="63"/>
  <c r="AC18" i="63"/>
  <c r="X20" i="63"/>
  <c r="AB38" i="63"/>
  <c r="AC38" i="63" s="1"/>
  <c r="AB34" i="62"/>
  <c r="AE21" i="61"/>
  <c r="AE20" i="61"/>
  <c r="AE19" i="61"/>
  <c r="Z15" i="61"/>
  <c r="Z14" i="61"/>
  <c r="X15" i="61"/>
  <c r="Y14" i="61"/>
  <c r="W15" i="61"/>
  <c r="X14" i="61"/>
  <c r="AB14" i="61"/>
  <c r="AA14" i="61"/>
  <c r="Y15" i="61"/>
  <c r="V15" i="61"/>
  <c r="W14" i="61"/>
  <c r="AA15" i="61"/>
  <c r="AC15" i="61"/>
  <c r="U15" i="61"/>
  <c r="V14" i="61"/>
  <c r="AB15" i="61"/>
  <c r="AC14" i="61"/>
  <c r="AB10" i="61"/>
  <c r="AC9" i="61"/>
  <c r="U9" i="61"/>
  <c r="V8" i="61"/>
  <c r="W7" i="61"/>
  <c r="X6" i="61"/>
  <c r="Y5" i="61"/>
  <c r="Z4" i="61"/>
  <c r="AA3" i="61"/>
  <c r="X10" i="61"/>
  <c r="Y9" i="61"/>
  <c r="Z8" i="61"/>
  <c r="AA7" i="61"/>
  <c r="AB6" i="61"/>
  <c r="AC5" i="61"/>
  <c r="U5" i="61"/>
  <c r="V4" i="61"/>
  <c r="W3" i="61"/>
  <c r="W10" i="61"/>
  <c r="X9" i="61"/>
  <c r="Y8" i="61"/>
  <c r="Z7" i="61"/>
  <c r="AA6" i="61"/>
  <c r="AB5" i="61"/>
  <c r="AC4" i="61"/>
  <c r="U4" i="61"/>
  <c r="V3" i="61"/>
  <c r="V10" i="61"/>
  <c r="W9" i="61"/>
  <c r="X8" i="61"/>
  <c r="Y7" i="61"/>
  <c r="Z6" i="61"/>
  <c r="AA5" i="61"/>
  <c r="AB4" i="61"/>
  <c r="AC3" i="61"/>
  <c r="U3" i="61"/>
  <c r="AC10" i="61"/>
  <c r="U10" i="61"/>
  <c r="V9" i="61"/>
  <c r="W8" i="61"/>
  <c r="X7" i="61"/>
  <c r="Y6" i="61"/>
  <c r="Z5" i="61"/>
  <c r="AA4" i="61"/>
  <c r="AB3" i="61"/>
  <c r="AA10" i="61"/>
  <c r="AB9" i="61"/>
  <c r="AC8" i="61"/>
  <c r="U8" i="61"/>
  <c r="V7" i="61"/>
  <c r="W6" i="61"/>
  <c r="X5" i="61"/>
  <c r="Y4" i="61"/>
  <c r="Z3" i="61"/>
  <c r="Z10" i="61"/>
  <c r="AA9" i="61"/>
  <c r="AB8" i="61"/>
  <c r="AC7" i="61"/>
  <c r="U7" i="61"/>
  <c r="V6" i="61"/>
  <c r="W5" i="61"/>
  <c r="X4" i="61"/>
  <c r="Y3" i="61"/>
  <c r="Y10" i="61"/>
  <c r="Z9" i="61"/>
  <c r="AA8" i="61"/>
  <c r="AB7" i="61"/>
  <c r="AC6" i="61"/>
  <c r="U6" i="61"/>
  <c r="V5" i="61"/>
  <c r="W4" i="61"/>
  <c r="Q7" i="61"/>
  <c r="Q10" i="61"/>
  <c r="Q8" i="61"/>
  <c r="Q5" i="61"/>
  <c r="Q9" i="61"/>
  <c r="Q4" i="61"/>
  <c r="Q6" i="61"/>
  <c r="Y12" i="61"/>
  <c r="Z12" i="61"/>
  <c r="AA12" i="61"/>
  <c r="AC12" i="61"/>
  <c r="P8" i="60"/>
  <c r="P7" i="60"/>
  <c r="P9" i="60"/>
  <c r="P6" i="60"/>
  <c r="P5" i="60"/>
  <c r="P4" i="60"/>
  <c r="AA23" i="60"/>
  <c r="AA25" i="60" s="1"/>
  <c r="Z23" i="60"/>
  <c r="Y23" i="60"/>
  <c r="X23" i="60"/>
  <c r="T3" i="60" a="1"/>
  <c r="U3" i="60" s="1"/>
  <c r="AA14" i="60"/>
  <c r="Y13" i="60"/>
  <c r="X14" i="60"/>
  <c r="X13" i="60"/>
  <c r="W14" i="60"/>
  <c r="W13" i="60"/>
  <c r="AA13" i="60"/>
  <c r="Z13" i="60"/>
  <c r="V13" i="60"/>
  <c r="U14" i="60"/>
  <c r="U13" i="60"/>
  <c r="Z14" i="60"/>
  <c r="Y14" i="60"/>
  <c r="V14" i="60"/>
  <c r="T14" i="60"/>
  <c r="Z11" i="60"/>
  <c r="Y11" i="60"/>
  <c r="AA11" i="60"/>
  <c r="F35" i="60" s="1" a="1"/>
  <c r="X11" i="60"/>
  <c r="AC17" i="60"/>
  <c r="AC18" i="60"/>
  <c r="F15" i="58"/>
  <c r="F14" i="58"/>
  <c r="G14" i="58"/>
  <c r="G15" i="58"/>
  <c r="G13" i="58"/>
  <c r="F13" i="58"/>
  <c r="X12" i="59"/>
  <c r="W12" i="59"/>
  <c r="V12" i="59"/>
  <c r="E12" i="58" a="1"/>
  <c r="E12" i="58" s="1"/>
  <c r="H15" i="58"/>
  <c r="H14" i="58"/>
  <c r="H13" i="58"/>
  <c r="N3" i="59" a="1"/>
  <c r="N8" i="59" s="1"/>
  <c r="U11" i="59"/>
  <c r="V11" i="59"/>
  <c r="R3" i="59" a="1"/>
  <c r="W11" i="59"/>
  <c r="U90" i="48"/>
  <c r="AZ74" i="48" a="1"/>
  <c r="AZ74" i="48" s="1"/>
  <c r="W41" i="66" a="1"/>
  <c r="W52" i="66" a="1"/>
  <c r="W44" i="66" a="1"/>
  <c r="W37" i="66" a="1"/>
  <c r="W48" i="66" a="1"/>
  <c r="W49" i="66" a="1"/>
  <c r="W47" i="66" a="1"/>
  <c r="W42" i="66" a="1"/>
  <c r="W53" i="66" a="1"/>
  <c r="W43" i="66" a="1"/>
  <c r="W35" i="66" a="1"/>
  <c r="W51" i="66" a="1"/>
  <c r="W40" i="66" a="1"/>
  <c r="W45" i="66" a="1"/>
  <c r="W36" i="66" a="1"/>
  <c r="W39" i="66" a="1"/>
  <c r="W46" i="66" a="1"/>
  <c r="W50" i="66" a="1"/>
  <c r="W54" i="66" a="1"/>
  <c r="W38" i="66" a="1"/>
  <c r="Z11" i="66" l="1"/>
  <c r="Z12" i="66" s="1"/>
  <c r="Z13" i="66" s="1"/>
  <c r="Z14" i="66" s="1"/>
  <c r="Z15" i="66" s="1"/>
  <c r="Z16" i="66" s="1"/>
  <c r="Z17" i="66" s="1"/>
  <c r="Z18" i="66" s="1"/>
  <c r="Z19" i="66" s="1"/>
  <c r="Z20" i="66" s="1"/>
  <c r="Z21" i="66" s="1"/>
  <c r="Z22" i="66" s="1"/>
  <c r="Z23" i="66" s="1"/>
  <c r="Z24" i="66" s="1"/>
  <c r="Z25" i="66" s="1"/>
  <c r="Z26" i="66" s="1"/>
  <c r="Z27" i="66" s="1"/>
  <c r="Z28" i="66" s="1"/>
  <c r="Z29" i="66" s="1"/>
  <c r="W38" i="66"/>
  <c r="W44" i="66"/>
  <c r="W50" i="66"/>
  <c r="W45" i="66"/>
  <c r="W51" i="66"/>
  <c r="W39" i="66"/>
  <c r="W40" i="66"/>
  <c r="W46" i="66"/>
  <c r="W52" i="66"/>
  <c r="W41" i="66"/>
  <c r="W47" i="66"/>
  <c r="W35" i="66"/>
  <c r="W53" i="66"/>
  <c r="W36" i="66"/>
  <c r="W42" i="66"/>
  <c r="W48" i="66"/>
  <c r="W54" i="66"/>
  <c r="W37" i="66"/>
  <c r="W43" i="66"/>
  <c r="W49" i="66"/>
  <c r="G16" i="66"/>
  <c r="J15" i="66"/>
  <c r="M15" i="66" s="1"/>
  <c r="AE23" i="61"/>
  <c r="AC21" i="63"/>
  <c r="V44" i="63" a="1"/>
  <c r="V44" i="63" s="1"/>
  <c r="AD20" i="63"/>
  <c r="V40" i="63" a="1"/>
  <c r="Y18" i="61" a="1"/>
  <c r="Y18" i="61" s="1"/>
  <c r="F38" i="61" a="1"/>
  <c r="F38" i="61" s="1"/>
  <c r="F35" i="60"/>
  <c r="U6" i="60"/>
  <c r="V5" i="60"/>
  <c r="Y9" i="60"/>
  <c r="W6" i="60"/>
  <c r="Y4" i="60"/>
  <c r="AA6" i="60"/>
  <c r="Z8" i="60"/>
  <c r="X4" i="60"/>
  <c r="X6" i="60"/>
  <c r="T8" i="60"/>
  <c r="U4" i="60"/>
  <c r="X9" i="60"/>
  <c r="X7" i="60"/>
  <c r="Z6" i="60"/>
  <c r="U5" i="60"/>
  <c r="V4" i="60"/>
  <c r="Y5" i="60"/>
  <c r="W5" i="60"/>
  <c r="X8" i="60"/>
  <c r="Y6" i="60"/>
  <c r="Z7" i="60"/>
  <c r="U7" i="60"/>
  <c r="V6" i="60"/>
  <c r="AA4" i="60"/>
  <c r="W7" i="60"/>
  <c r="Y8" i="60"/>
  <c r="T4" i="60"/>
  <c r="Z9" i="60"/>
  <c r="U8" i="60"/>
  <c r="V7" i="60"/>
  <c r="AA7" i="60"/>
  <c r="W8" i="60"/>
  <c r="AA3" i="60"/>
  <c r="T7" i="60"/>
  <c r="AA5" i="60"/>
  <c r="U9" i="60"/>
  <c r="V8" i="60"/>
  <c r="T3" i="60"/>
  <c r="W9" i="60"/>
  <c r="AA8" i="60"/>
  <c r="Z3" i="60"/>
  <c r="AA9" i="60"/>
  <c r="X5" i="60"/>
  <c r="V9" i="60"/>
  <c r="T9" i="60"/>
  <c r="X3" i="60"/>
  <c r="T6" i="60"/>
  <c r="Z4" i="60"/>
  <c r="T5" i="60"/>
  <c r="Y7" i="60"/>
  <c r="W3" i="60"/>
  <c r="Z5" i="60"/>
  <c r="V3" i="60"/>
  <c r="W4" i="60"/>
  <c r="Y3" i="60"/>
  <c r="AC21" i="60"/>
  <c r="I12" i="58" a="1"/>
  <c r="I12" i="58" s="1"/>
  <c r="S17" i="59"/>
  <c r="Z12" i="59"/>
  <c r="Z11" i="59"/>
  <c r="E13" i="58"/>
  <c r="E14" i="58"/>
  <c r="E15" i="58"/>
  <c r="N3" i="59"/>
  <c r="N5" i="59"/>
  <c r="N4" i="59"/>
  <c r="N6" i="59"/>
  <c r="N7" i="59"/>
  <c r="W8" i="59"/>
  <c r="V7" i="59"/>
  <c r="U6" i="59"/>
  <c r="T5" i="59"/>
  <c r="S4" i="59"/>
  <c r="R3" i="59"/>
  <c r="V8" i="59"/>
  <c r="U7" i="59"/>
  <c r="T6" i="59"/>
  <c r="S5" i="59"/>
  <c r="R4" i="59"/>
  <c r="X8" i="59"/>
  <c r="W7" i="59"/>
  <c r="V6" i="59"/>
  <c r="U5" i="59"/>
  <c r="T4" i="59"/>
  <c r="S3" i="59"/>
  <c r="U8" i="59"/>
  <c r="T7" i="59"/>
  <c r="S6" i="59"/>
  <c r="R5" i="59"/>
  <c r="X3" i="59"/>
  <c r="T8" i="59"/>
  <c r="S7" i="59"/>
  <c r="R6" i="59"/>
  <c r="X4" i="59"/>
  <c r="W3" i="59"/>
  <c r="S8" i="59"/>
  <c r="R7" i="59"/>
  <c r="X5" i="59"/>
  <c r="W4" i="59"/>
  <c r="V3" i="59"/>
  <c r="R8" i="59"/>
  <c r="X6" i="59"/>
  <c r="W5" i="59"/>
  <c r="V4" i="59"/>
  <c r="U3" i="59"/>
  <c r="X7" i="59"/>
  <c r="W6" i="59"/>
  <c r="V5" i="59"/>
  <c r="U4" i="59"/>
  <c r="T3" i="59"/>
  <c r="AZ88" i="48"/>
  <c r="AZ80" i="48"/>
  <c r="AZ87" i="48"/>
  <c r="AZ79" i="48"/>
  <c r="AZ89" i="48"/>
  <c r="AZ81" i="48"/>
  <c r="AZ86" i="48"/>
  <c r="AZ78" i="48"/>
  <c r="AZ93" i="48"/>
  <c r="AZ85" i="48"/>
  <c r="AZ77" i="48"/>
  <c r="AZ92" i="48"/>
  <c r="AZ84" i="48"/>
  <c r="AZ76" i="48"/>
  <c r="AZ91" i="48"/>
  <c r="AZ83" i="48"/>
  <c r="AZ75" i="48"/>
  <c r="AZ90" i="48"/>
  <c r="AZ82" i="48"/>
  <c r="X35" i="66" a="1"/>
  <c r="X37" i="66" a="1"/>
  <c r="X47" i="66" a="1"/>
  <c r="X51" i="66" a="1"/>
  <c r="X49" i="66" a="1"/>
  <c r="X46" i="66" a="1"/>
  <c r="X43" i="66" a="1"/>
  <c r="X36" i="66" a="1"/>
  <c r="X50" i="66" a="1"/>
  <c r="X45" i="66" a="1"/>
  <c r="X48" i="66" a="1"/>
  <c r="X54" i="66" a="1"/>
  <c r="X44" i="66" a="1"/>
  <c r="X40" i="66" a="1"/>
  <c r="X39" i="66" a="1"/>
  <c r="X52" i="66" a="1"/>
  <c r="X53" i="66" a="1"/>
  <c r="X42" i="66" a="1"/>
  <c r="X38" i="66" a="1"/>
  <c r="X41" i="66" a="1"/>
  <c r="X37" i="66" l="1"/>
  <c r="X43" i="66"/>
  <c r="X49" i="66"/>
  <c r="X50" i="66"/>
  <c r="X52" i="66"/>
  <c r="X38" i="66"/>
  <c r="X44" i="66"/>
  <c r="X40" i="66"/>
  <c r="X39" i="66"/>
  <c r="X45" i="66"/>
  <c r="X51" i="66"/>
  <c r="X46" i="66"/>
  <c r="X53" i="66"/>
  <c r="X35" i="66"/>
  <c r="X41" i="66"/>
  <c r="X47" i="66"/>
  <c r="X36" i="66"/>
  <c r="X42" i="66"/>
  <c r="X48" i="66"/>
  <c r="X54" i="66"/>
  <c r="G17" i="66"/>
  <c r="J16" i="66"/>
  <c r="M16" i="66" s="1"/>
  <c r="W44" i="63"/>
  <c r="V45" i="63"/>
  <c r="X46" i="63"/>
  <c r="W45" i="63"/>
  <c r="W46" i="63"/>
  <c r="X45" i="63"/>
  <c r="X44" i="63"/>
  <c r="V46" i="63"/>
  <c r="W40" i="63"/>
  <c r="V40" i="63"/>
  <c r="X40" i="63"/>
  <c r="AA21" i="61"/>
  <c r="Z19" i="61"/>
  <c r="AB19" i="61"/>
  <c r="Y20" i="61"/>
  <c r="AC20" i="61"/>
  <c r="Y21" i="61"/>
  <c r="AB20" i="61"/>
  <c r="Z20" i="61"/>
  <c r="AC18" i="61"/>
  <c r="Y19" i="61"/>
  <c r="AB18" i="61"/>
  <c r="AA18" i="61"/>
  <c r="AA19" i="61"/>
  <c r="AA20" i="61"/>
  <c r="Z21" i="61"/>
  <c r="AC19" i="61"/>
  <c r="AC21" i="61"/>
  <c r="Z18" i="61"/>
  <c r="AB21" i="61"/>
  <c r="W17" i="60" a="1"/>
  <c r="I14" i="58"/>
  <c r="I15" i="58"/>
  <c r="I13" i="58"/>
  <c r="AF22" i="40" a="1"/>
  <c r="AF24" i="40" s="1"/>
  <c r="AF22" i="40"/>
  <c r="AF23" i="40"/>
  <c r="AF26" i="40"/>
  <c r="AG22" i="40" a="1"/>
  <c r="AG22" i="40" s="1"/>
  <c r="AG26" i="40"/>
  <c r="O29" i="40"/>
  <c r="O28" i="40"/>
  <c r="W4" i="26" a="1"/>
  <c r="W4" i="26" s="1"/>
  <c r="W7" i="26" a="1"/>
  <c r="W7" i="26" s="1"/>
  <c r="Y3" i="48"/>
  <c r="Z3" i="48" s="1"/>
  <c r="AA3" i="48" s="1"/>
  <c r="AB3" i="48" s="1"/>
  <c r="X3" i="48"/>
  <c r="Y24" i="57"/>
  <c r="AB24" i="48" a="1"/>
  <c r="Y24" i="48" a="1"/>
  <c r="X136" i="57"/>
  <c r="W136" i="57"/>
  <c r="V136" i="57"/>
  <c r="U136" i="57"/>
  <c r="T136" i="57"/>
  <c r="S136" i="57"/>
  <c r="R136" i="57"/>
  <c r="Q136" i="57"/>
  <c r="P136" i="57"/>
  <c r="O136" i="57"/>
  <c r="N136" i="57"/>
  <c r="M136" i="57"/>
  <c r="L136" i="57"/>
  <c r="K136" i="57"/>
  <c r="J136" i="57"/>
  <c r="I136" i="57"/>
  <c r="H136" i="57"/>
  <c r="G136" i="57"/>
  <c r="F136" i="57"/>
  <c r="E136" i="57"/>
  <c r="X135" i="57"/>
  <c r="W135" i="57"/>
  <c r="V135" i="57"/>
  <c r="U135" i="57"/>
  <c r="T135" i="57"/>
  <c r="S135" i="57"/>
  <c r="R135" i="57"/>
  <c r="Q135" i="57"/>
  <c r="P135" i="57"/>
  <c r="O135" i="57"/>
  <c r="N135" i="57"/>
  <c r="M135" i="57"/>
  <c r="L135" i="57"/>
  <c r="K135" i="57"/>
  <c r="J135" i="57"/>
  <c r="I135" i="57"/>
  <c r="H135" i="57"/>
  <c r="G135" i="57"/>
  <c r="F135" i="57"/>
  <c r="E135" i="57"/>
  <c r="X134" i="57"/>
  <c r="W134" i="57"/>
  <c r="V134" i="57"/>
  <c r="U134" i="57"/>
  <c r="T134" i="57"/>
  <c r="S134" i="57"/>
  <c r="R134" i="57"/>
  <c r="Q134" i="57"/>
  <c r="P134" i="57"/>
  <c r="O134" i="57"/>
  <c r="N134" i="57"/>
  <c r="M134" i="57"/>
  <c r="L134" i="57"/>
  <c r="K134" i="57"/>
  <c r="J134" i="57"/>
  <c r="I134" i="57"/>
  <c r="H134" i="57"/>
  <c r="G134" i="57"/>
  <c r="F134" i="57"/>
  <c r="E134" i="57"/>
  <c r="X133" i="57"/>
  <c r="W133" i="57"/>
  <c r="V133" i="57"/>
  <c r="U133" i="57"/>
  <c r="T133" i="57"/>
  <c r="S133" i="57"/>
  <c r="R133" i="57"/>
  <c r="Q133" i="57"/>
  <c r="P133" i="57"/>
  <c r="O133" i="57"/>
  <c r="N133" i="57"/>
  <c r="M133" i="57"/>
  <c r="L133" i="57"/>
  <c r="K133" i="57"/>
  <c r="J133" i="57"/>
  <c r="I133" i="57"/>
  <c r="H133" i="57"/>
  <c r="G133" i="57"/>
  <c r="F133" i="57"/>
  <c r="E133" i="57"/>
  <c r="X132" i="57"/>
  <c r="W132" i="57"/>
  <c r="V132" i="57"/>
  <c r="U132" i="57"/>
  <c r="T132" i="57"/>
  <c r="S132" i="57"/>
  <c r="R132" i="57"/>
  <c r="Q132" i="57"/>
  <c r="P132" i="57"/>
  <c r="O132" i="57"/>
  <c r="N132" i="57"/>
  <c r="M132" i="57"/>
  <c r="L132" i="57"/>
  <c r="K132" i="57"/>
  <c r="J132" i="57"/>
  <c r="I132" i="57"/>
  <c r="H132" i="57"/>
  <c r="G132" i="57"/>
  <c r="F132" i="57"/>
  <c r="E132" i="57"/>
  <c r="X131" i="57"/>
  <c r="W131" i="57"/>
  <c r="V131" i="57"/>
  <c r="U131" i="57"/>
  <c r="T131" i="57"/>
  <c r="S131" i="57"/>
  <c r="R131" i="57"/>
  <c r="Q131" i="57"/>
  <c r="P131" i="57"/>
  <c r="O131" i="57"/>
  <c r="N131" i="57"/>
  <c r="M131" i="57"/>
  <c r="L131" i="57"/>
  <c r="K131" i="57"/>
  <c r="J131" i="57"/>
  <c r="I131" i="57"/>
  <c r="H131" i="57"/>
  <c r="G131" i="57"/>
  <c r="F131" i="57"/>
  <c r="E131" i="57"/>
  <c r="X130" i="57"/>
  <c r="W130" i="57"/>
  <c r="V130" i="57"/>
  <c r="U130" i="57"/>
  <c r="T130" i="57"/>
  <c r="S130" i="57"/>
  <c r="R130" i="57"/>
  <c r="Q130" i="57"/>
  <c r="P130" i="57"/>
  <c r="O130" i="57"/>
  <c r="N130" i="57"/>
  <c r="M130" i="57"/>
  <c r="L130" i="57"/>
  <c r="K130" i="57"/>
  <c r="J130" i="57"/>
  <c r="I130" i="57"/>
  <c r="H130" i="57"/>
  <c r="G130" i="57"/>
  <c r="F130" i="57"/>
  <c r="E130" i="57"/>
  <c r="X129" i="57"/>
  <c r="W129" i="57"/>
  <c r="V129" i="57"/>
  <c r="U129" i="57"/>
  <c r="T129" i="57"/>
  <c r="S129" i="57"/>
  <c r="R129" i="57"/>
  <c r="Q129" i="57"/>
  <c r="P129" i="57"/>
  <c r="O129" i="57"/>
  <c r="N129" i="57"/>
  <c r="M129" i="57"/>
  <c r="L129" i="57"/>
  <c r="K129" i="57"/>
  <c r="J129" i="57"/>
  <c r="I129" i="57"/>
  <c r="H129" i="57"/>
  <c r="G129" i="57"/>
  <c r="F129" i="57"/>
  <c r="E129" i="57"/>
  <c r="X128" i="57"/>
  <c r="W128" i="57"/>
  <c r="V128" i="57"/>
  <c r="U128" i="57"/>
  <c r="T128" i="57"/>
  <c r="S128" i="57"/>
  <c r="R128" i="57"/>
  <c r="Q128" i="57"/>
  <c r="P128" i="57"/>
  <c r="O128" i="57"/>
  <c r="N128" i="57"/>
  <c r="M128" i="57"/>
  <c r="L128" i="57"/>
  <c r="K128" i="57"/>
  <c r="J128" i="57"/>
  <c r="I128" i="57"/>
  <c r="H128" i="57"/>
  <c r="G128" i="57"/>
  <c r="F128" i="57"/>
  <c r="E128" i="57"/>
  <c r="AX127" i="57"/>
  <c r="AW127" i="57"/>
  <c r="AV127" i="57"/>
  <c r="AU127" i="57"/>
  <c r="AT127" i="57"/>
  <c r="AS127" i="57"/>
  <c r="AR127" i="57"/>
  <c r="AQ127" i="57"/>
  <c r="AP127" i="57"/>
  <c r="AO127" i="57"/>
  <c r="AN127" i="57"/>
  <c r="AM127" i="57"/>
  <c r="AL127" i="57"/>
  <c r="AK127" i="57"/>
  <c r="AJ127" i="57"/>
  <c r="AI127" i="57"/>
  <c r="AH127" i="57"/>
  <c r="AG127" i="57"/>
  <c r="AF127" i="57"/>
  <c r="AE127" i="57"/>
  <c r="X127" i="57"/>
  <c r="W127" i="57"/>
  <c r="V127" i="57"/>
  <c r="U127" i="57"/>
  <c r="T127" i="57"/>
  <c r="S127" i="57"/>
  <c r="R127" i="57"/>
  <c r="Q127" i="57"/>
  <c r="P127" i="57"/>
  <c r="O127" i="57"/>
  <c r="N127" i="57"/>
  <c r="M127" i="57"/>
  <c r="L127" i="57"/>
  <c r="K127" i="57"/>
  <c r="J127" i="57"/>
  <c r="I127" i="57"/>
  <c r="H127" i="57"/>
  <c r="G127" i="57"/>
  <c r="F127" i="57"/>
  <c r="E127" i="57"/>
  <c r="AW126" i="57"/>
  <c r="AV126" i="57"/>
  <c r="AU126" i="57"/>
  <c r="AT126" i="57"/>
  <c r="AS126" i="57"/>
  <c r="AR126" i="57"/>
  <c r="AQ126" i="57"/>
  <c r="AP126" i="57"/>
  <c r="AO126" i="57"/>
  <c r="AN126" i="57"/>
  <c r="AM126" i="57"/>
  <c r="AL126" i="57"/>
  <c r="AK126" i="57"/>
  <c r="AJ126" i="57"/>
  <c r="AI126" i="57"/>
  <c r="AH126" i="57"/>
  <c r="AG126" i="57"/>
  <c r="AF126" i="57"/>
  <c r="AE126" i="57"/>
  <c r="X126" i="57"/>
  <c r="W126" i="57"/>
  <c r="V126" i="57"/>
  <c r="U126" i="57"/>
  <c r="T126" i="57"/>
  <c r="S126" i="57"/>
  <c r="R126" i="57"/>
  <c r="Q126" i="57"/>
  <c r="P126" i="57"/>
  <c r="O126" i="57"/>
  <c r="N126" i="57"/>
  <c r="M126" i="57"/>
  <c r="L126" i="57"/>
  <c r="K126" i="57"/>
  <c r="J126" i="57"/>
  <c r="I126" i="57"/>
  <c r="H126" i="57"/>
  <c r="G126" i="57"/>
  <c r="F126" i="57"/>
  <c r="E126" i="57"/>
  <c r="AV125" i="57"/>
  <c r="AU125" i="57"/>
  <c r="AT125" i="57"/>
  <c r="AS125" i="57"/>
  <c r="AR125" i="57"/>
  <c r="AQ125" i="57"/>
  <c r="AP125" i="57"/>
  <c r="AO125" i="57"/>
  <c r="AN125" i="57"/>
  <c r="AM125" i="57"/>
  <c r="AL125" i="57"/>
  <c r="AK125" i="57"/>
  <c r="AJ125" i="57"/>
  <c r="AI125" i="57"/>
  <c r="AH125" i="57"/>
  <c r="AG125" i="57"/>
  <c r="AF125" i="57"/>
  <c r="AE125" i="57"/>
  <c r="W125" i="57"/>
  <c r="V125" i="57"/>
  <c r="U125" i="57"/>
  <c r="T125" i="57"/>
  <c r="S125" i="57"/>
  <c r="R125" i="57"/>
  <c r="Q125" i="57"/>
  <c r="P125" i="57"/>
  <c r="O125" i="57"/>
  <c r="N125" i="57"/>
  <c r="M125" i="57"/>
  <c r="L125" i="57"/>
  <c r="K125" i="57"/>
  <c r="J125" i="57"/>
  <c r="I125" i="57"/>
  <c r="H125" i="57"/>
  <c r="G125" i="57"/>
  <c r="F125" i="57"/>
  <c r="E125" i="57"/>
  <c r="AU124" i="57"/>
  <c r="AT124" i="57"/>
  <c r="AS124" i="57"/>
  <c r="AR124" i="57"/>
  <c r="AQ124" i="57"/>
  <c r="AP124" i="57"/>
  <c r="AO124" i="57"/>
  <c r="AN124" i="57"/>
  <c r="AM124" i="57"/>
  <c r="AL124" i="57"/>
  <c r="AK124" i="57"/>
  <c r="AJ124" i="57"/>
  <c r="AI124" i="57"/>
  <c r="AH124" i="57"/>
  <c r="AG124" i="57"/>
  <c r="AF124" i="57"/>
  <c r="AE124" i="57"/>
  <c r="V124" i="57"/>
  <c r="U124" i="57"/>
  <c r="T124" i="57"/>
  <c r="S124" i="57"/>
  <c r="R124" i="57"/>
  <c r="Q124" i="57"/>
  <c r="P124" i="57"/>
  <c r="O124" i="57"/>
  <c r="N124" i="57"/>
  <c r="M124" i="57"/>
  <c r="L124" i="57"/>
  <c r="K124" i="57"/>
  <c r="J124" i="57"/>
  <c r="I124" i="57"/>
  <c r="H124" i="57"/>
  <c r="G124" i="57"/>
  <c r="F124" i="57"/>
  <c r="E124" i="57"/>
  <c r="AT123" i="57"/>
  <c r="AS123" i="57"/>
  <c r="AR123" i="57"/>
  <c r="AQ123" i="57"/>
  <c r="AP123" i="57"/>
  <c r="AO123" i="57"/>
  <c r="AN123" i="57"/>
  <c r="AM123" i="57"/>
  <c r="AL123" i="57"/>
  <c r="AK123" i="57"/>
  <c r="AJ123" i="57"/>
  <c r="AI123" i="57"/>
  <c r="AH123" i="57"/>
  <c r="AG123" i="57"/>
  <c r="AF123" i="57"/>
  <c r="AE123" i="57"/>
  <c r="U123" i="57"/>
  <c r="T123" i="57"/>
  <c r="S123" i="57"/>
  <c r="R123" i="57"/>
  <c r="Q123" i="57"/>
  <c r="P123" i="57"/>
  <c r="O123" i="57"/>
  <c r="N123" i="57"/>
  <c r="M123" i="57"/>
  <c r="L123" i="57"/>
  <c r="K123" i="57"/>
  <c r="J123" i="57"/>
  <c r="I123" i="57"/>
  <c r="H123" i="57"/>
  <c r="G123" i="57"/>
  <c r="F123" i="57"/>
  <c r="E123" i="57"/>
  <c r="AS122" i="57"/>
  <c r="AR122" i="57"/>
  <c r="AQ122" i="57"/>
  <c r="AP122" i="57"/>
  <c r="AO122" i="57"/>
  <c r="AN122" i="57"/>
  <c r="AM122" i="57"/>
  <c r="AL122" i="57"/>
  <c r="AK122" i="57"/>
  <c r="AJ122" i="57"/>
  <c r="AI122" i="57"/>
  <c r="AH122" i="57"/>
  <c r="AG122" i="57"/>
  <c r="AF122" i="57"/>
  <c r="AE122" i="57"/>
  <c r="T122" i="57"/>
  <c r="S122" i="57"/>
  <c r="R122" i="57"/>
  <c r="Q122" i="57"/>
  <c r="P122" i="57"/>
  <c r="O122" i="57"/>
  <c r="N122" i="57"/>
  <c r="M122" i="57"/>
  <c r="L122" i="57"/>
  <c r="K122" i="57"/>
  <c r="J122" i="57"/>
  <c r="I122" i="57"/>
  <c r="H122" i="57"/>
  <c r="G122" i="57"/>
  <c r="F122" i="57"/>
  <c r="E122" i="57"/>
  <c r="AR121" i="57"/>
  <c r="AQ121" i="57"/>
  <c r="AP121" i="57"/>
  <c r="AO121" i="57"/>
  <c r="AN121" i="57"/>
  <c r="AM121" i="57"/>
  <c r="AL121" i="57"/>
  <c r="AK121" i="57"/>
  <c r="AJ121" i="57"/>
  <c r="AI121" i="57"/>
  <c r="AH121" i="57"/>
  <c r="AG121" i="57"/>
  <c r="AF121" i="57"/>
  <c r="AE121" i="57"/>
  <c r="S121" i="57"/>
  <c r="R121" i="57"/>
  <c r="Q121" i="57"/>
  <c r="P121" i="57"/>
  <c r="O121" i="57"/>
  <c r="N121" i="57"/>
  <c r="M121" i="57"/>
  <c r="L121" i="57"/>
  <c r="K121" i="57"/>
  <c r="J121" i="57"/>
  <c r="I121" i="57"/>
  <c r="H121" i="57"/>
  <c r="G121" i="57"/>
  <c r="F121" i="57"/>
  <c r="E121" i="57"/>
  <c r="AQ120" i="57"/>
  <c r="AP120" i="57"/>
  <c r="AO120" i="57"/>
  <c r="AN120" i="57"/>
  <c r="AM120" i="57"/>
  <c r="AL120" i="57"/>
  <c r="AK120" i="57"/>
  <c r="AJ120" i="57"/>
  <c r="AI120" i="57"/>
  <c r="AH120" i="57"/>
  <c r="AG120" i="57"/>
  <c r="AF120" i="57"/>
  <c r="AE120" i="57"/>
  <c r="R120" i="57"/>
  <c r="Q120" i="57"/>
  <c r="P120" i="57"/>
  <c r="O120" i="57"/>
  <c r="N120" i="57"/>
  <c r="M120" i="57"/>
  <c r="L120" i="57"/>
  <c r="K120" i="57"/>
  <c r="J120" i="57"/>
  <c r="I120" i="57"/>
  <c r="H120" i="57"/>
  <c r="G120" i="57"/>
  <c r="F120" i="57"/>
  <c r="E120" i="57"/>
  <c r="AP119" i="57"/>
  <c r="AO119" i="57"/>
  <c r="AN119" i="57"/>
  <c r="AM119" i="57"/>
  <c r="AL119" i="57"/>
  <c r="AK119" i="57"/>
  <c r="AJ119" i="57"/>
  <c r="AI119" i="57"/>
  <c r="AH119" i="57"/>
  <c r="AG119" i="57"/>
  <c r="Q25" i="57" s="1" a="1"/>
  <c r="AF119" i="57"/>
  <c r="AE119" i="57"/>
  <c r="Q119" i="57"/>
  <c r="P119" i="57"/>
  <c r="O119" i="57"/>
  <c r="N119" i="57"/>
  <c r="M119" i="57"/>
  <c r="L119" i="57"/>
  <c r="K119" i="57"/>
  <c r="J119" i="57"/>
  <c r="I119" i="57"/>
  <c r="H119" i="57"/>
  <c r="G119" i="57"/>
  <c r="F119" i="57"/>
  <c r="E119" i="57"/>
  <c r="AO118" i="57"/>
  <c r="AN118" i="57"/>
  <c r="AM118" i="57"/>
  <c r="AL118" i="57"/>
  <c r="AK118" i="57"/>
  <c r="AJ118" i="57"/>
  <c r="AI118" i="57"/>
  <c r="AH118" i="57"/>
  <c r="AG118" i="57"/>
  <c r="AF118" i="57"/>
  <c r="AE118" i="57"/>
  <c r="P118" i="57"/>
  <c r="O118" i="57"/>
  <c r="N118" i="57"/>
  <c r="M118" i="57"/>
  <c r="L118" i="57"/>
  <c r="K118" i="57"/>
  <c r="J118" i="57"/>
  <c r="I118" i="57"/>
  <c r="H118" i="57"/>
  <c r="G118" i="57"/>
  <c r="F118" i="57"/>
  <c r="E118" i="57"/>
  <c r="AN117" i="57"/>
  <c r="AM117" i="57"/>
  <c r="AL117" i="57"/>
  <c r="AK117" i="57"/>
  <c r="AJ117" i="57"/>
  <c r="AI117" i="57"/>
  <c r="AH117" i="57"/>
  <c r="AG117" i="57"/>
  <c r="AF117" i="57"/>
  <c r="AE117" i="57"/>
  <c r="O117" i="57"/>
  <c r="N117" i="57"/>
  <c r="M117" i="57"/>
  <c r="L117" i="57"/>
  <c r="K117" i="57"/>
  <c r="J117" i="57"/>
  <c r="I117" i="57"/>
  <c r="H117" i="57"/>
  <c r="G117" i="57"/>
  <c r="F117" i="57"/>
  <c r="E117" i="57"/>
  <c r="AM116" i="57"/>
  <c r="AL116" i="57"/>
  <c r="AK116" i="57"/>
  <c r="AJ116" i="57"/>
  <c r="AI116" i="57"/>
  <c r="AH116" i="57"/>
  <c r="AG116" i="57"/>
  <c r="AF116" i="57"/>
  <c r="AE116" i="57"/>
  <c r="N116" i="57"/>
  <c r="M116" i="57"/>
  <c r="L116" i="57"/>
  <c r="K116" i="57"/>
  <c r="J116" i="57"/>
  <c r="I116" i="57"/>
  <c r="H116" i="57"/>
  <c r="G116" i="57"/>
  <c r="F116" i="57"/>
  <c r="E116" i="57"/>
  <c r="AL115" i="57"/>
  <c r="AK115" i="57"/>
  <c r="AJ115" i="57"/>
  <c r="AI115" i="57"/>
  <c r="AH115" i="57"/>
  <c r="AG115" i="57"/>
  <c r="AF115" i="57"/>
  <c r="AE115" i="57"/>
  <c r="M115" i="57"/>
  <c r="L115" i="57"/>
  <c r="K115" i="57"/>
  <c r="J115" i="57"/>
  <c r="I115" i="57"/>
  <c r="H115" i="57"/>
  <c r="G115" i="57"/>
  <c r="F115" i="57"/>
  <c r="E115" i="57"/>
  <c r="AK114" i="57"/>
  <c r="AJ114" i="57"/>
  <c r="AI114" i="57"/>
  <c r="AH114" i="57"/>
  <c r="AG114" i="57"/>
  <c r="AF114" i="57"/>
  <c r="AE114" i="57"/>
  <c r="L114" i="57"/>
  <c r="K114" i="57"/>
  <c r="J114" i="57"/>
  <c r="I114" i="57"/>
  <c r="H114" i="57"/>
  <c r="G114" i="57"/>
  <c r="F114" i="57"/>
  <c r="E114" i="57"/>
  <c r="AJ113" i="57"/>
  <c r="AI113" i="57"/>
  <c r="AH113" i="57"/>
  <c r="AG113" i="57"/>
  <c r="AF113" i="57"/>
  <c r="AE113" i="57"/>
  <c r="K113" i="57"/>
  <c r="J113" i="57"/>
  <c r="I113" i="57"/>
  <c r="H113" i="57"/>
  <c r="G113" i="57"/>
  <c r="F113" i="57"/>
  <c r="E113" i="57"/>
  <c r="AI112" i="57"/>
  <c r="AH112" i="57"/>
  <c r="AG112" i="57"/>
  <c r="AF112" i="57"/>
  <c r="AE112" i="57"/>
  <c r="J112" i="57"/>
  <c r="I112" i="57"/>
  <c r="H112" i="57"/>
  <c r="G112" i="57"/>
  <c r="F112" i="57"/>
  <c r="E112" i="57"/>
  <c r="AH111" i="57"/>
  <c r="AG111" i="57"/>
  <c r="AF111" i="57"/>
  <c r="AE111" i="57"/>
  <c r="I111" i="57"/>
  <c r="H111" i="57"/>
  <c r="G111" i="57"/>
  <c r="F111" i="57"/>
  <c r="E111" i="57"/>
  <c r="AG110" i="57"/>
  <c r="AF110" i="57"/>
  <c r="AE110" i="57"/>
  <c r="H110" i="57"/>
  <c r="G110" i="57"/>
  <c r="F110" i="57"/>
  <c r="E110" i="57"/>
  <c r="AF109" i="57"/>
  <c r="AE109" i="57"/>
  <c r="G109" i="57"/>
  <c r="F109" i="57"/>
  <c r="E109" i="57"/>
  <c r="AE108" i="57"/>
  <c r="F108" i="57"/>
  <c r="E108" i="57"/>
  <c r="E107" i="57"/>
  <c r="E105" i="57" a="1"/>
  <c r="T105" i="57" s="1"/>
  <c r="X103" i="57"/>
  <c r="W103" i="57"/>
  <c r="V103" i="57"/>
  <c r="U103" i="57"/>
  <c r="T103" i="57"/>
  <c r="S103" i="57"/>
  <c r="R103" i="57"/>
  <c r="Q103" i="57"/>
  <c r="P103" i="57"/>
  <c r="O103" i="57"/>
  <c r="N103" i="57"/>
  <c r="M103" i="57"/>
  <c r="L103" i="57"/>
  <c r="K103" i="57"/>
  <c r="J103" i="57"/>
  <c r="I103" i="57"/>
  <c r="H103" i="57"/>
  <c r="G103" i="57"/>
  <c r="F103" i="57"/>
  <c r="E103" i="57"/>
  <c r="X102" i="57"/>
  <c r="W102" i="57"/>
  <c r="V102" i="57"/>
  <c r="U102" i="57"/>
  <c r="T102" i="57"/>
  <c r="S102" i="57"/>
  <c r="R102" i="57"/>
  <c r="Q102" i="57"/>
  <c r="P102" i="57"/>
  <c r="O102" i="57"/>
  <c r="N102" i="57"/>
  <c r="M102" i="57"/>
  <c r="L102" i="57"/>
  <c r="K102" i="57"/>
  <c r="J102" i="57"/>
  <c r="I102" i="57"/>
  <c r="H102" i="57"/>
  <c r="G102" i="57"/>
  <c r="F102" i="57"/>
  <c r="E102" i="57"/>
  <c r="X101" i="57"/>
  <c r="W101" i="57"/>
  <c r="V101" i="57"/>
  <c r="U101" i="57"/>
  <c r="T101" i="57"/>
  <c r="S101" i="57"/>
  <c r="R101" i="57"/>
  <c r="Q101" i="57"/>
  <c r="P101" i="57"/>
  <c r="O101" i="57"/>
  <c r="N101" i="57"/>
  <c r="M101" i="57"/>
  <c r="L101" i="57"/>
  <c r="K101" i="57"/>
  <c r="J101" i="57"/>
  <c r="I101" i="57"/>
  <c r="H101" i="57"/>
  <c r="G101" i="57"/>
  <c r="F101" i="57"/>
  <c r="E101" i="57"/>
  <c r="X100" i="57"/>
  <c r="W100" i="57"/>
  <c r="V100" i="57"/>
  <c r="U100" i="57"/>
  <c r="T100" i="57"/>
  <c r="S100" i="57"/>
  <c r="R100" i="57"/>
  <c r="Q100" i="57"/>
  <c r="P100" i="57"/>
  <c r="O100" i="57"/>
  <c r="N100" i="57"/>
  <c r="M100" i="57"/>
  <c r="L100" i="57"/>
  <c r="K100" i="57"/>
  <c r="J100" i="57"/>
  <c r="I100" i="57"/>
  <c r="H100" i="57"/>
  <c r="G100" i="57"/>
  <c r="F100" i="57"/>
  <c r="E100" i="57"/>
  <c r="X99" i="57"/>
  <c r="W99" i="57"/>
  <c r="V99" i="57"/>
  <c r="U99" i="57"/>
  <c r="T99" i="57"/>
  <c r="S99" i="57"/>
  <c r="R99" i="57"/>
  <c r="Q99" i="57"/>
  <c r="P99" i="57"/>
  <c r="O99" i="57"/>
  <c r="N99" i="57"/>
  <c r="M99" i="57"/>
  <c r="L99" i="57"/>
  <c r="K99" i="57"/>
  <c r="J99" i="57"/>
  <c r="I99" i="57"/>
  <c r="H99" i="57"/>
  <c r="G99" i="57"/>
  <c r="F99" i="57"/>
  <c r="E99" i="57"/>
  <c r="X98" i="57"/>
  <c r="W98" i="57"/>
  <c r="V98" i="57"/>
  <c r="U98" i="57"/>
  <c r="T98" i="57"/>
  <c r="S98" i="57"/>
  <c r="R98" i="57"/>
  <c r="Q98" i="57"/>
  <c r="P98" i="57"/>
  <c r="O98" i="57"/>
  <c r="N98" i="57"/>
  <c r="M98" i="57"/>
  <c r="L98" i="57"/>
  <c r="K98" i="57"/>
  <c r="J98" i="57"/>
  <c r="I98" i="57"/>
  <c r="H98" i="57"/>
  <c r="G98" i="57"/>
  <c r="F98" i="57"/>
  <c r="E98" i="57"/>
  <c r="X97" i="57"/>
  <c r="W97" i="57"/>
  <c r="V97" i="57"/>
  <c r="U97" i="57"/>
  <c r="T97" i="57"/>
  <c r="S97" i="57"/>
  <c r="R97" i="57"/>
  <c r="Q97" i="57"/>
  <c r="P97" i="57"/>
  <c r="O97" i="57"/>
  <c r="N97" i="57"/>
  <c r="M97" i="57"/>
  <c r="L97" i="57"/>
  <c r="K97" i="57"/>
  <c r="J97" i="57"/>
  <c r="I97" i="57"/>
  <c r="H97" i="57"/>
  <c r="G97" i="57"/>
  <c r="F97" i="57"/>
  <c r="E97" i="57"/>
  <c r="X96" i="57"/>
  <c r="W96" i="57"/>
  <c r="V96" i="57"/>
  <c r="U96" i="57"/>
  <c r="T96" i="57"/>
  <c r="S96" i="57"/>
  <c r="R96" i="57"/>
  <c r="Q96" i="57"/>
  <c r="P96" i="57"/>
  <c r="O96" i="57"/>
  <c r="N96" i="57"/>
  <c r="M96" i="57"/>
  <c r="L96" i="57"/>
  <c r="K96" i="57"/>
  <c r="J96" i="57"/>
  <c r="I96" i="57"/>
  <c r="H96" i="57"/>
  <c r="G96" i="57"/>
  <c r="F96" i="57"/>
  <c r="E96" i="57"/>
  <c r="X95" i="57"/>
  <c r="W95" i="57"/>
  <c r="V95" i="57"/>
  <c r="U95" i="57"/>
  <c r="T95" i="57"/>
  <c r="S95" i="57"/>
  <c r="R95" i="57"/>
  <c r="Q95" i="57"/>
  <c r="P95" i="57"/>
  <c r="O95" i="57"/>
  <c r="N95" i="57"/>
  <c r="M95" i="57"/>
  <c r="L95" i="57"/>
  <c r="K95" i="57"/>
  <c r="J95" i="57"/>
  <c r="I95" i="57"/>
  <c r="H95" i="57"/>
  <c r="G95" i="57"/>
  <c r="F95" i="57"/>
  <c r="E95" i="57"/>
  <c r="X94" i="57"/>
  <c r="W94" i="57"/>
  <c r="V94" i="57"/>
  <c r="U94" i="57"/>
  <c r="T94" i="57"/>
  <c r="S94" i="57"/>
  <c r="R94" i="57"/>
  <c r="Q94" i="57"/>
  <c r="P94" i="57"/>
  <c r="O94" i="57"/>
  <c r="N94" i="57"/>
  <c r="M94" i="57"/>
  <c r="L94" i="57"/>
  <c r="K94" i="57"/>
  <c r="J94" i="57"/>
  <c r="I94" i="57"/>
  <c r="H94" i="57"/>
  <c r="G94" i="57"/>
  <c r="F94" i="57"/>
  <c r="E94" i="57"/>
  <c r="AX93" i="57"/>
  <c r="AW93" i="57"/>
  <c r="AV93" i="57"/>
  <c r="AU93" i="57"/>
  <c r="AT93" i="57"/>
  <c r="AS93" i="57"/>
  <c r="AR93" i="57"/>
  <c r="AQ93" i="57"/>
  <c r="AP93" i="57"/>
  <c r="AO93" i="57"/>
  <c r="AN93" i="57"/>
  <c r="AM93" i="57"/>
  <c r="AL93" i="57"/>
  <c r="AK93" i="57"/>
  <c r="AJ93" i="57"/>
  <c r="AI93" i="57"/>
  <c r="AH93" i="57"/>
  <c r="AG93" i="57"/>
  <c r="AF93" i="57"/>
  <c r="AE93" i="57"/>
  <c r="X93" i="57"/>
  <c r="W93" i="57"/>
  <c r="V93" i="57"/>
  <c r="U93" i="57"/>
  <c r="T93" i="57"/>
  <c r="S93" i="57"/>
  <c r="R93" i="57"/>
  <c r="Q93" i="57"/>
  <c r="P93" i="57"/>
  <c r="O93" i="57"/>
  <c r="N93" i="57"/>
  <c r="M93" i="57"/>
  <c r="L93" i="57"/>
  <c r="K93" i="57"/>
  <c r="J93" i="57"/>
  <c r="I93" i="57"/>
  <c r="H93" i="57"/>
  <c r="G93" i="57"/>
  <c r="F93" i="57"/>
  <c r="E93" i="57"/>
  <c r="AW92" i="57"/>
  <c r="AV92" i="57"/>
  <c r="AU92" i="57"/>
  <c r="AT92" i="57"/>
  <c r="AS92" i="57"/>
  <c r="AR92" i="57"/>
  <c r="AQ92" i="57"/>
  <c r="AP92" i="57"/>
  <c r="AO92" i="57"/>
  <c r="AN92" i="57"/>
  <c r="AM92" i="57"/>
  <c r="AL92" i="57"/>
  <c r="AK92" i="57"/>
  <c r="AJ92" i="57"/>
  <c r="AI92" i="57"/>
  <c r="AH92" i="57"/>
  <c r="AG92" i="57"/>
  <c r="AF92" i="57"/>
  <c r="AE92" i="57"/>
  <c r="W92" i="57"/>
  <c r="V92" i="57"/>
  <c r="U92" i="57"/>
  <c r="T92" i="57"/>
  <c r="S92" i="57"/>
  <c r="R92" i="57"/>
  <c r="Q92" i="57"/>
  <c r="P92" i="57"/>
  <c r="O92" i="57"/>
  <c r="N92" i="57"/>
  <c r="M92" i="57"/>
  <c r="L92" i="57"/>
  <c r="K92" i="57"/>
  <c r="J92" i="57"/>
  <c r="I92" i="57"/>
  <c r="H92" i="57"/>
  <c r="G92" i="57"/>
  <c r="F92" i="57"/>
  <c r="E92" i="57"/>
  <c r="AV91" i="57"/>
  <c r="AU91" i="57"/>
  <c r="AT91" i="57"/>
  <c r="AS91" i="57"/>
  <c r="AR91" i="57"/>
  <c r="AQ91" i="57"/>
  <c r="AP91" i="57"/>
  <c r="AO91" i="57"/>
  <c r="AN91" i="57"/>
  <c r="AM91" i="57"/>
  <c r="AL91" i="57"/>
  <c r="AK91" i="57"/>
  <c r="AJ91" i="57"/>
  <c r="AI91" i="57"/>
  <c r="AH91" i="57"/>
  <c r="AG91" i="57"/>
  <c r="AF91" i="57"/>
  <c r="AE91" i="57"/>
  <c r="V91" i="57"/>
  <c r="U91" i="57"/>
  <c r="T91" i="57"/>
  <c r="S91" i="57"/>
  <c r="R91" i="57"/>
  <c r="Q91" i="57"/>
  <c r="P91" i="57"/>
  <c r="O91" i="57"/>
  <c r="N91" i="57"/>
  <c r="M91" i="57"/>
  <c r="L91" i="57"/>
  <c r="K91" i="57"/>
  <c r="J91" i="57"/>
  <c r="I91" i="57"/>
  <c r="H91" i="57"/>
  <c r="G91" i="57"/>
  <c r="F91" i="57"/>
  <c r="E91" i="57"/>
  <c r="AU90" i="57"/>
  <c r="AT90" i="57"/>
  <c r="AS90" i="57"/>
  <c r="AR90" i="57"/>
  <c r="AQ90" i="57"/>
  <c r="AP90" i="57"/>
  <c r="AO90" i="57"/>
  <c r="AN90" i="57"/>
  <c r="AM90" i="57"/>
  <c r="AL90" i="57"/>
  <c r="AK90" i="57"/>
  <c r="AJ90" i="57"/>
  <c r="AI90" i="57"/>
  <c r="AH90" i="57"/>
  <c r="AG90" i="57"/>
  <c r="AF90" i="57"/>
  <c r="AE90" i="57"/>
  <c r="U90" i="57"/>
  <c r="T90" i="57"/>
  <c r="S90" i="57"/>
  <c r="R90" i="57"/>
  <c r="Q90" i="57"/>
  <c r="P90" i="57"/>
  <c r="O90" i="57"/>
  <c r="N90" i="57"/>
  <c r="M90" i="57"/>
  <c r="L90" i="57"/>
  <c r="K90" i="57"/>
  <c r="J90" i="57"/>
  <c r="I90" i="57"/>
  <c r="H90" i="57"/>
  <c r="G90" i="57"/>
  <c r="F90" i="57"/>
  <c r="E90" i="57"/>
  <c r="AT89" i="57"/>
  <c r="AS89" i="57"/>
  <c r="AR89" i="57"/>
  <c r="AQ89" i="57"/>
  <c r="AP89" i="57"/>
  <c r="AO89" i="57"/>
  <c r="AN89" i="57"/>
  <c r="AM89" i="57"/>
  <c r="AL89" i="57"/>
  <c r="AK89" i="57"/>
  <c r="AJ89" i="57"/>
  <c r="AI89" i="57"/>
  <c r="AH89" i="57"/>
  <c r="AG89" i="57"/>
  <c r="AF89" i="57"/>
  <c r="AE89" i="57"/>
  <c r="T89" i="57"/>
  <c r="S89" i="57"/>
  <c r="R89" i="57"/>
  <c r="Q89" i="57"/>
  <c r="P89" i="57"/>
  <c r="O89" i="57"/>
  <c r="N89" i="57"/>
  <c r="M89" i="57"/>
  <c r="L89" i="57"/>
  <c r="K89" i="57"/>
  <c r="J89" i="57"/>
  <c r="I89" i="57"/>
  <c r="H89" i="57"/>
  <c r="G89" i="57"/>
  <c r="F89" i="57"/>
  <c r="E89" i="57"/>
  <c r="AS88" i="57"/>
  <c r="AR88" i="57"/>
  <c r="AQ88" i="57"/>
  <c r="AP88" i="57"/>
  <c r="AO88" i="57"/>
  <c r="AN88" i="57"/>
  <c r="AM88" i="57"/>
  <c r="AL88" i="57"/>
  <c r="AK88" i="57"/>
  <c r="AJ88" i="57"/>
  <c r="AI88" i="57"/>
  <c r="AH88" i="57"/>
  <c r="AG88" i="57"/>
  <c r="AF88" i="57"/>
  <c r="AE88" i="57"/>
  <c r="S88" i="57"/>
  <c r="R88" i="57"/>
  <c r="Q88" i="57"/>
  <c r="P88" i="57"/>
  <c r="O88" i="57"/>
  <c r="N88" i="57"/>
  <c r="M88" i="57"/>
  <c r="L88" i="57"/>
  <c r="K88" i="57"/>
  <c r="J88" i="57"/>
  <c r="I88" i="57"/>
  <c r="H88" i="57"/>
  <c r="G88" i="57"/>
  <c r="F88" i="57"/>
  <c r="E88" i="57"/>
  <c r="AR87" i="57"/>
  <c r="AQ87" i="57"/>
  <c r="AP87" i="57"/>
  <c r="AO87" i="57"/>
  <c r="AN87" i="57"/>
  <c r="AM87" i="57"/>
  <c r="AL87" i="57"/>
  <c r="AK87" i="57"/>
  <c r="AJ87" i="57"/>
  <c r="AI87" i="57"/>
  <c r="AH87" i="57"/>
  <c r="AG87" i="57"/>
  <c r="AF87" i="57"/>
  <c r="AE87" i="57"/>
  <c r="R87" i="57"/>
  <c r="Q87" i="57"/>
  <c r="P87" i="57"/>
  <c r="O87" i="57"/>
  <c r="N87" i="57"/>
  <c r="M87" i="57"/>
  <c r="L87" i="57"/>
  <c r="K87" i="57"/>
  <c r="J87" i="57"/>
  <c r="I87" i="57"/>
  <c r="H87" i="57"/>
  <c r="G87" i="57"/>
  <c r="F87" i="57"/>
  <c r="E87" i="57"/>
  <c r="AQ86" i="57"/>
  <c r="AP86" i="57"/>
  <c r="AO86" i="57"/>
  <c r="AN86" i="57"/>
  <c r="AM86" i="57"/>
  <c r="AL86" i="57"/>
  <c r="AK86" i="57"/>
  <c r="AJ86" i="57"/>
  <c r="AI86" i="57"/>
  <c r="AH86" i="57"/>
  <c r="AG86" i="57"/>
  <c r="AF86" i="57"/>
  <c r="AE86" i="57"/>
  <c r="Q86" i="57"/>
  <c r="P86" i="57"/>
  <c r="O86" i="57"/>
  <c r="N86" i="57"/>
  <c r="M86" i="57"/>
  <c r="L86" i="57"/>
  <c r="K86" i="57"/>
  <c r="J86" i="57"/>
  <c r="I86" i="57"/>
  <c r="H86" i="57"/>
  <c r="G86" i="57"/>
  <c r="F86" i="57"/>
  <c r="E86" i="57"/>
  <c r="AP85" i="57"/>
  <c r="AO85" i="57"/>
  <c r="AN85" i="57"/>
  <c r="AM85" i="57"/>
  <c r="AL85" i="57"/>
  <c r="AK85" i="57"/>
  <c r="AJ85" i="57"/>
  <c r="AI85" i="57"/>
  <c r="AH85" i="57"/>
  <c r="AG85" i="57"/>
  <c r="AF85" i="57"/>
  <c r="AE85" i="57"/>
  <c r="P85" i="57"/>
  <c r="O85" i="57"/>
  <c r="N85" i="57"/>
  <c r="M85" i="57"/>
  <c r="L85" i="57"/>
  <c r="K85" i="57"/>
  <c r="J85" i="57"/>
  <c r="I85" i="57"/>
  <c r="H85" i="57"/>
  <c r="G85" i="57"/>
  <c r="F85" i="57"/>
  <c r="E85" i="57"/>
  <c r="AO84" i="57"/>
  <c r="AN84" i="57"/>
  <c r="AM84" i="57"/>
  <c r="AL84" i="57"/>
  <c r="AK84" i="57"/>
  <c r="AJ84" i="57"/>
  <c r="AI84" i="57"/>
  <c r="AH84" i="57"/>
  <c r="AG84" i="57"/>
  <c r="AF84" i="57"/>
  <c r="AE84" i="57"/>
  <c r="O84" i="57"/>
  <c r="N84" i="57"/>
  <c r="M84" i="57"/>
  <c r="L84" i="57"/>
  <c r="K84" i="57"/>
  <c r="J84" i="57"/>
  <c r="I84" i="57"/>
  <c r="H84" i="57"/>
  <c r="G84" i="57"/>
  <c r="F84" i="57"/>
  <c r="E84" i="57"/>
  <c r="AN83" i="57"/>
  <c r="AM83" i="57"/>
  <c r="AL83" i="57"/>
  <c r="AK83" i="57"/>
  <c r="AJ83" i="57"/>
  <c r="AI83" i="57"/>
  <c r="AH83" i="57"/>
  <c r="AG83" i="57"/>
  <c r="AF83" i="57"/>
  <c r="AE83" i="57"/>
  <c r="N83" i="57"/>
  <c r="M83" i="57"/>
  <c r="L83" i="57"/>
  <c r="K83" i="57"/>
  <c r="J83" i="57"/>
  <c r="I83" i="57"/>
  <c r="H83" i="57"/>
  <c r="G83" i="57"/>
  <c r="F83" i="57"/>
  <c r="E83" i="57"/>
  <c r="AM82" i="57"/>
  <c r="AL82" i="57"/>
  <c r="AK82" i="57"/>
  <c r="AJ82" i="57"/>
  <c r="AI82" i="57"/>
  <c r="AH82" i="57"/>
  <c r="AG82" i="57"/>
  <c r="AF82" i="57"/>
  <c r="AE82" i="57"/>
  <c r="M82" i="57"/>
  <c r="L82" i="57"/>
  <c r="K82" i="57"/>
  <c r="J82" i="57"/>
  <c r="I82" i="57"/>
  <c r="H82" i="57"/>
  <c r="G82" i="57"/>
  <c r="F82" i="57"/>
  <c r="E82" i="57"/>
  <c r="AL81" i="57"/>
  <c r="AK81" i="57"/>
  <c r="AJ81" i="57"/>
  <c r="AI81" i="57"/>
  <c r="AH81" i="57"/>
  <c r="AG81" i="57"/>
  <c r="AF81" i="57"/>
  <c r="P25" i="57" s="1" a="1"/>
  <c r="AE81" i="57"/>
  <c r="L81" i="57"/>
  <c r="K81" i="57"/>
  <c r="J81" i="57"/>
  <c r="I81" i="57"/>
  <c r="H81" i="57"/>
  <c r="G81" i="57"/>
  <c r="F81" i="57"/>
  <c r="E81" i="57"/>
  <c r="AK80" i="57"/>
  <c r="AJ80" i="57"/>
  <c r="AI80" i="57"/>
  <c r="AH80" i="57"/>
  <c r="AG80" i="57"/>
  <c r="AF80" i="57"/>
  <c r="AE80" i="57"/>
  <c r="K80" i="57"/>
  <c r="J80" i="57"/>
  <c r="I80" i="57"/>
  <c r="H80" i="57"/>
  <c r="G80" i="57"/>
  <c r="F80" i="57"/>
  <c r="E80" i="57"/>
  <c r="AJ79" i="57"/>
  <c r="AI79" i="57"/>
  <c r="AH79" i="57"/>
  <c r="AG79" i="57"/>
  <c r="AF79" i="57"/>
  <c r="AE79" i="57"/>
  <c r="J79" i="57"/>
  <c r="I79" i="57"/>
  <c r="H79" i="57"/>
  <c r="G79" i="57"/>
  <c r="F79" i="57"/>
  <c r="E79" i="57"/>
  <c r="AI78" i="57"/>
  <c r="AH78" i="57"/>
  <c r="AG78" i="57"/>
  <c r="AF78" i="57"/>
  <c r="AE78" i="57"/>
  <c r="I78" i="57"/>
  <c r="H78" i="57"/>
  <c r="G78" i="57"/>
  <c r="F78" i="57"/>
  <c r="E78" i="57"/>
  <c r="AH77" i="57"/>
  <c r="AG77" i="57"/>
  <c r="AF77" i="57"/>
  <c r="AE77" i="57"/>
  <c r="H77" i="57"/>
  <c r="G77" i="57"/>
  <c r="F77" i="57"/>
  <c r="E77" i="57"/>
  <c r="AG76" i="57"/>
  <c r="AF76" i="57"/>
  <c r="AE76" i="57"/>
  <c r="G76" i="57"/>
  <c r="F76" i="57"/>
  <c r="E76" i="57"/>
  <c r="AF75" i="57"/>
  <c r="AE75" i="57"/>
  <c r="F75" i="57"/>
  <c r="E75" i="57"/>
  <c r="E72" i="57" a="1"/>
  <c r="W72" i="57" s="1"/>
  <c r="AH24" i="57" a="1"/>
  <c r="AI34" i="57" s="1"/>
  <c r="AE24" i="57" a="1"/>
  <c r="AE39" i="57" s="1"/>
  <c r="I7" i="57" a="1"/>
  <c r="U8" i="57" s="1"/>
  <c r="L3" i="57"/>
  <c r="M3" i="57" s="1"/>
  <c r="N3" i="57" s="1"/>
  <c r="O3" i="57" s="1"/>
  <c r="P3" i="57" s="1"/>
  <c r="Q3" i="57" s="1"/>
  <c r="R3" i="57" s="1"/>
  <c r="S3" i="57" s="1"/>
  <c r="T3" i="57" s="1"/>
  <c r="U3" i="57" s="1"/>
  <c r="V3" i="57" s="1"/>
  <c r="W3" i="57" s="1"/>
  <c r="X3" i="57" s="1"/>
  <c r="Y3" i="57" s="1"/>
  <c r="Z3" i="57" s="1"/>
  <c r="AA3" i="57" s="1"/>
  <c r="AB3" i="57" s="1"/>
  <c r="K3" i="57"/>
  <c r="J3" i="57"/>
  <c r="Y19" i="48"/>
  <c r="G40" i="56" a="1"/>
  <c r="I40" i="56" s="1"/>
  <c r="H39" i="56"/>
  <c r="G39" i="56"/>
  <c r="G39" i="56" a="1"/>
  <c r="I39" i="56" s="1"/>
  <c r="G38" i="56" a="1"/>
  <c r="I38" i="56" s="1"/>
  <c r="G37" i="56"/>
  <c r="G37" i="56" a="1"/>
  <c r="I37" i="56" s="1"/>
  <c r="G36" i="56" a="1"/>
  <c r="I36" i="56" s="1"/>
  <c r="G34" i="56" a="1"/>
  <c r="I34" i="56" s="1"/>
  <c r="G32" i="56" a="1"/>
  <c r="G32" i="56" s="1"/>
  <c r="M7" i="56" a="1"/>
  <c r="M7" i="56" s="1"/>
  <c r="M4" i="56" a="1"/>
  <c r="M4" i="56" s="1"/>
  <c r="G40" i="55" a="1"/>
  <c r="I40" i="55" s="1"/>
  <c r="G39" i="55" a="1"/>
  <c r="I39" i="55" s="1"/>
  <c r="G38" i="55" a="1"/>
  <c r="I38" i="55" s="1"/>
  <c r="G37" i="55" a="1"/>
  <c r="I37" i="55" s="1"/>
  <c r="G36" i="55" a="1"/>
  <c r="H36" i="55" s="1"/>
  <c r="Y49" i="66" a="1"/>
  <c r="Y35" i="66" a="1"/>
  <c r="Y48" i="66" a="1"/>
  <c r="Y39" i="66" a="1"/>
  <c r="Y52" i="66" a="1"/>
  <c r="Y53" i="66" a="1"/>
  <c r="Y46" i="66" a="1"/>
  <c r="Y42" i="66" a="1"/>
  <c r="Y43" i="66" a="1"/>
  <c r="Y45" i="66" a="1"/>
  <c r="Y47" i="66" a="1"/>
  <c r="Y37" i="66" a="1"/>
  <c r="Y51" i="66" a="1"/>
  <c r="Y41" i="66" a="1"/>
  <c r="Y36" i="66" a="1"/>
  <c r="Y44" i="66" a="1"/>
  <c r="Y40" i="66" a="1"/>
  <c r="Y38" i="66" a="1"/>
  <c r="Y50" i="66" a="1"/>
  <c r="Y54" i="66" a="1"/>
  <c r="Y53" i="66" l="1"/>
  <c r="Y47" i="66"/>
  <c r="Y41" i="66"/>
  <c r="Y35" i="66"/>
  <c r="Y52" i="66"/>
  <c r="Y46" i="66"/>
  <c r="Y40" i="66"/>
  <c r="Y45" i="66"/>
  <c r="Y39" i="66"/>
  <c r="Y50" i="66"/>
  <c r="Y44" i="66"/>
  <c r="Y38" i="66"/>
  <c r="Y49" i="66"/>
  <c r="Y43" i="66"/>
  <c r="Y37" i="66"/>
  <c r="Y51" i="66"/>
  <c r="Y54" i="66"/>
  <c r="Y48" i="66"/>
  <c r="Y42" i="66"/>
  <c r="Y36" i="66"/>
  <c r="G18" i="66"/>
  <c r="J17" i="66"/>
  <c r="M17" i="66" s="1"/>
  <c r="V48" i="63" a="1"/>
  <c r="X48" i="63" s="1"/>
  <c r="AC23" i="61"/>
  <c r="AG21" i="61"/>
  <c r="AB23" i="61"/>
  <c r="AA23" i="61"/>
  <c r="Z23" i="61"/>
  <c r="AG18" i="61"/>
  <c r="Y23" i="61"/>
  <c r="AG20" i="61"/>
  <c r="AG19" i="61"/>
  <c r="W17" i="60"/>
  <c r="X18" i="60"/>
  <c r="AA19" i="60"/>
  <c r="W18" i="60"/>
  <c r="Y17" i="60"/>
  <c r="Y19" i="60"/>
  <c r="Y18" i="60"/>
  <c r="AA17" i="60"/>
  <c r="AA18" i="60"/>
  <c r="Z19" i="60"/>
  <c r="X17" i="60"/>
  <c r="Z17" i="60"/>
  <c r="W19" i="60"/>
  <c r="X19" i="60"/>
  <c r="Z18" i="60"/>
  <c r="AF25" i="40"/>
  <c r="AG24" i="40"/>
  <c r="AG23" i="40"/>
  <c r="AG25" i="40"/>
  <c r="M72" i="57"/>
  <c r="W7" i="57"/>
  <c r="R7" i="57"/>
  <c r="AE28" i="57"/>
  <c r="N8" i="57"/>
  <c r="U72" i="57"/>
  <c r="S8" i="57"/>
  <c r="J7" i="57"/>
  <c r="W8" i="57"/>
  <c r="E72" i="57"/>
  <c r="O7" i="57"/>
  <c r="AB8" i="57"/>
  <c r="I72" i="57"/>
  <c r="J72" i="57"/>
  <c r="Z7" i="57"/>
  <c r="AF33" i="57"/>
  <c r="AO33" i="57" s="1"/>
  <c r="Q72" i="57"/>
  <c r="L105" i="57"/>
  <c r="K8" i="57"/>
  <c r="R72" i="57"/>
  <c r="T38" i="57"/>
  <c r="T30" i="57"/>
  <c r="T26" i="57"/>
  <c r="T25" i="57"/>
  <c r="T37" i="57"/>
  <c r="T43" i="57"/>
  <c r="T35" i="57"/>
  <c r="T42" i="57"/>
  <c r="T34" i="57"/>
  <c r="T28" i="57"/>
  <c r="T39" i="57"/>
  <c r="T31" i="57"/>
  <c r="T32" i="57"/>
  <c r="T41" i="57"/>
  <c r="T36" i="57"/>
  <c r="T29" i="57"/>
  <c r="T33" i="57"/>
  <c r="T40" i="57"/>
  <c r="T24" i="57"/>
  <c r="T27" i="57"/>
  <c r="Q37" i="57"/>
  <c r="Q29" i="57"/>
  <c r="Q41" i="57"/>
  <c r="Q33" i="57"/>
  <c r="Q25" i="57"/>
  <c r="Q38" i="57"/>
  <c r="Q27" i="57"/>
  <c r="Q36" i="57"/>
  <c r="Q26" i="57"/>
  <c r="Q35" i="57"/>
  <c r="Q34" i="57"/>
  <c r="Q39" i="57"/>
  <c r="Q43" i="57"/>
  <c r="Q32" i="57"/>
  <c r="Q28" i="57"/>
  <c r="Q42" i="57"/>
  <c r="Q31" i="57"/>
  <c r="Q40" i="57"/>
  <c r="Q30" i="57"/>
  <c r="P41" i="57"/>
  <c r="P33" i="57"/>
  <c r="P25" i="57"/>
  <c r="P37" i="57"/>
  <c r="P29" i="57"/>
  <c r="P36" i="57"/>
  <c r="P26" i="57"/>
  <c r="P35" i="57"/>
  <c r="P34" i="57"/>
  <c r="P27" i="57"/>
  <c r="P43" i="57"/>
  <c r="P32" i="57"/>
  <c r="P42" i="57"/>
  <c r="P31" i="57"/>
  <c r="P40" i="57"/>
  <c r="P30" i="57"/>
  <c r="P39" i="57"/>
  <c r="P28" i="57"/>
  <c r="P38" i="57"/>
  <c r="AI39" i="57"/>
  <c r="AF40" i="57"/>
  <c r="AO40" i="57" s="1"/>
  <c r="AF36" i="57"/>
  <c r="AO36" i="57" s="1"/>
  <c r="AF32" i="57"/>
  <c r="AO32" i="57" s="1"/>
  <c r="AF28" i="57"/>
  <c r="AO28" i="57" s="1"/>
  <c r="AF24" i="57"/>
  <c r="AO24" i="57" s="1"/>
  <c r="AF42" i="57"/>
  <c r="AO42" i="57" s="1"/>
  <c r="AF38" i="57"/>
  <c r="AO38" i="57" s="1"/>
  <c r="AF34" i="57"/>
  <c r="AO34" i="57" s="1"/>
  <c r="AF30" i="57"/>
  <c r="AO30" i="57" s="1"/>
  <c r="AF26" i="57"/>
  <c r="AO26" i="57" s="1"/>
  <c r="AI24" i="57"/>
  <c r="AH35" i="57"/>
  <c r="AI40" i="57"/>
  <c r="K7" i="57"/>
  <c r="O8" i="57"/>
  <c r="AE34" i="57"/>
  <c r="L7" i="57"/>
  <c r="AB7" i="57"/>
  <c r="P8" i="57"/>
  <c r="AE24" i="57"/>
  <c r="AF29" i="57"/>
  <c r="AO29" i="57" s="1"/>
  <c r="AE35" i="57"/>
  <c r="AE40" i="57"/>
  <c r="AH25" i="57"/>
  <c r="AI30" i="57"/>
  <c r="AI35" i="57"/>
  <c r="AH41" i="57"/>
  <c r="AH29" i="57"/>
  <c r="S7" i="57"/>
  <c r="X8" i="57"/>
  <c r="AE29" i="57"/>
  <c r="AF39" i="57"/>
  <c r="AO39" i="57" s="1"/>
  <c r="AI29" i="57"/>
  <c r="T7" i="57"/>
  <c r="Y8" i="57"/>
  <c r="M7" i="57"/>
  <c r="U7" i="57"/>
  <c r="I8" i="57"/>
  <c r="Q8" i="57"/>
  <c r="Z8" i="57"/>
  <c r="AE25" i="57"/>
  <c r="AE30" i="57"/>
  <c r="AF35" i="57"/>
  <c r="AO35" i="57" s="1"/>
  <c r="AE41" i="57"/>
  <c r="AI25" i="57"/>
  <c r="AH31" i="57"/>
  <c r="AI36" i="57"/>
  <c r="AI41" i="57"/>
  <c r="AA7" i="57"/>
  <c r="N7" i="57"/>
  <c r="V7" i="57"/>
  <c r="J8" i="57"/>
  <c r="R8" i="57"/>
  <c r="AA8" i="57"/>
  <c r="AF25" i="57"/>
  <c r="AO25" i="57" s="1"/>
  <c r="AE31" i="57"/>
  <c r="AE36" i="57"/>
  <c r="AF41" i="57"/>
  <c r="AO41" i="57" s="1"/>
  <c r="AI26" i="57"/>
  <c r="AI31" i="57"/>
  <c r="AH37" i="57"/>
  <c r="AI42" i="57"/>
  <c r="AH40" i="57"/>
  <c r="AH36" i="57"/>
  <c r="AH32" i="57"/>
  <c r="AH28" i="57"/>
  <c r="AH24" i="57"/>
  <c r="AH42" i="57"/>
  <c r="AH38" i="57"/>
  <c r="AH34" i="57"/>
  <c r="AH30" i="57"/>
  <c r="AH26" i="57"/>
  <c r="AE26" i="57"/>
  <c r="AF31" i="57"/>
  <c r="AO31" i="57" s="1"/>
  <c r="AE37" i="57"/>
  <c r="AE42" i="57"/>
  <c r="AH27" i="57"/>
  <c r="AI32" i="57"/>
  <c r="AI37" i="57"/>
  <c r="AH43" i="57"/>
  <c r="P7" i="57"/>
  <c r="X7" i="57"/>
  <c r="L8" i="57"/>
  <c r="T8" i="57"/>
  <c r="AE27" i="57"/>
  <c r="AE32" i="57"/>
  <c r="AF37" i="57"/>
  <c r="AO37" i="57" s="1"/>
  <c r="AE43" i="57"/>
  <c r="AI27" i="57"/>
  <c r="AH33" i="57"/>
  <c r="AI38" i="57"/>
  <c r="AI43" i="57"/>
  <c r="I7" i="57"/>
  <c r="Q7" i="57"/>
  <c r="Y7" i="57"/>
  <c r="M8" i="57"/>
  <c r="V8" i="57"/>
  <c r="AF27" i="57"/>
  <c r="AO27" i="57" s="1"/>
  <c r="AE33" i="57"/>
  <c r="AE38" i="57"/>
  <c r="AF43" i="57"/>
  <c r="AO43" i="57" s="1"/>
  <c r="AI28" i="57"/>
  <c r="AI33" i="57"/>
  <c r="AH39" i="57"/>
  <c r="Q105" i="57"/>
  <c r="I105" i="57"/>
  <c r="X105" i="57"/>
  <c r="P105" i="57"/>
  <c r="H105" i="57"/>
  <c r="W105" i="57"/>
  <c r="O105" i="57"/>
  <c r="G105" i="57"/>
  <c r="V105" i="57"/>
  <c r="N105" i="57"/>
  <c r="F105" i="57"/>
  <c r="U105" i="57"/>
  <c r="M105" i="57"/>
  <c r="E105" i="57"/>
  <c r="S105" i="57"/>
  <c r="K105" i="57"/>
  <c r="R105" i="57"/>
  <c r="J105" i="57"/>
  <c r="H72" i="57"/>
  <c r="P72" i="57"/>
  <c r="X72" i="57"/>
  <c r="K72" i="57"/>
  <c r="S72" i="57"/>
  <c r="L72" i="57"/>
  <c r="T72" i="57"/>
  <c r="F72" i="57"/>
  <c r="N72" i="57"/>
  <c r="V72" i="57"/>
  <c r="G72" i="57"/>
  <c r="O72" i="57"/>
  <c r="I42" i="56"/>
  <c r="M5" i="56"/>
  <c r="M6" i="56"/>
  <c r="G34" i="56"/>
  <c r="M8" i="56"/>
  <c r="M9" i="56"/>
  <c r="G36" i="56"/>
  <c r="G38" i="56"/>
  <c r="G40" i="56"/>
  <c r="H36" i="56"/>
  <c r="H38" i="56"/>
  <c r="H40" i="56"/>
  <c r="H34" i="56"/>
  <c r="H37" i="56"/>
  <c r="H40" i="55"/>
  <c r="G40" i="55"/>
  <c r="H39" i="55"/>
  <c r="G39" i="55"/>
  <c r="H38" i="55"/>
  <c r="G38" i="55"/>
  <c r="G37" i="55"/>
  <c r="H37" i="55"/>
  <c r="G36" i="55"/>
  <c r="I36" i="55"/>
  <c r="G32" i="55" a="1"/>
  <c r="G32" i="55" s="1"/>
  <c r="G34" i="55" a="1"/>
  <c r="I34" i="55" s="1"/>
  <c r="M7" i="55" a="1"/>
  <c r="M7" i="55" s="1"/>
  <c r="M4" i="55" a="1"/>
  <c r="M6" i="55" s="1"/>
  <c r="Z53" i="66" a="1"/>
  <c r="Z37" i="66" a="1"/>
  <c r="Z36" i="66" a="1"/>
  <c r="Z54" i="66" a="1"/>
  <c r="Z51" i="66" a="1"/>
  <c r="Z46" i="66" a="1"/>
  <c r="Z38" i="66" a="1"/>
  <c r="Z48" i="66" a="1"/>
  <c r="Z45" i="66" a="1"/>
  <c r="Z50" i="66" a="1"/>
  <c r="Z49" i="66" a="1"/>
  <c r="Z35" i="66" a="1"/>
  <c r="Z40" i="66" a="1"/>
  <c r="Z52" i="66" a="1"/>
  <c r="Z43" i="66" a="1"/>
  <c r="Z42" i="66" a="1"/>
  <c r="Z47" i="66" a="1"/>
  <c r="Z39" i="66" a="1"/>
  <c r="Z41" i="66" a="1"/>
  <c r="Z44" i="66" a="1"/>
  <c r="Z52" i="66" l="1"/>
  <c r="Z46" i="66"/>
  <c r="Z45" i="66"/>
  <c r="Z39" i="66"/>
  <c r="Z40" i="66"/>
  <c r="Z51" i="66"/>
  <c r="Z44" i="66"/>
  <c r="Z50" i="66"/>
  <c r="Z38" i="66"/>
  <c r="Z49" i="66"/>
  <c r="Z43" i="66"/>
  <c r="Z37" i="66"/>
  <c r="Z48" i="66"/>
  <c r="Z42" i="66"/>
  <c r="Z36" i="66"/>
  <c r="Z54" i="66"/>
  <c r="Z53" i="66"/>
  <c r="Z47" i="66"/>
  <c r="Z41" i="66"/>
  <c r="Z35" i="66"/>
  <c r="J18" i="66"/>
  <c r="M18" i="66" s="1"/>
  <c r="D31" i="66" a="1"/>
  <c r="D31" i="66" s="1"/>
  <c r="D33" i="66" a="1"/>
  <c r="D33" i="66" s="1"/>
  <c r="AH23" i="61"/>
  <c r="AG24" i="61"/>
  <c r="V48" i="63"/>
  <c r="W48" i="63"/>
  <c r="Y26" i="61"/>
  <c r="Z21" i="60"/>
  <c r="Z25" i="60" s="1"/>
  <c r="X21" i="60"/>
  <c r="X25" i="60" s="1"/>
  <c r="AE18" i="60"/>
  <c r="Y21" i="60"/>
  <c r="Y25" i="60" s="1"/>
  <c r="AE17" i="60"/>
  <c r="W21" i="60"/>
  <c r="W25" i="60" s="1"/>
  <c r="AE19" i="60"/>
  <c r="Z74" i="57" a="1"/>
  <c r="Z94" i="57" s="1"/>
  <c r="AA94" i="57" s="1"/>
  <c r="Z107" i="57" a="1"/>
  <c r="Z135" i="57" s="1"/>
  <c r="AA135" i="57" s="1"/>
  <c r="V30" i="57" a="1"/>
  <c r="V26" i="57" a="1"/>
  <c r="V37" i="57" a="1"/>
  <c r="V43" i="57" a="1"/>
  <c r="AK24" i="57" a="1"/>
  <c r="AN24" i="57" a="1"/>
  <c r="V28" i="57" a="1"/>
  <c r="V33" i="57" a="1"/>
  <c r="S39" i="57"/>
  <c r="S31" i="57"/>
  <c r="V31" i="57" s="1" a="1"/>
  <c r="S38" i="57"/>
  <c r="V38" i="57" s="1" a="1"/>
  <c r="S30" i="57"/>
  <c r="S26" i="57"/>
  <c r="S36" i="57"/>
  <c r="V36" i="57" s="1" a="1"/>
  <c r="S43" i="57"/>
  <c r="S35" i="57"/>
  <c r="AB24" i="57" a="1"/>
  <c r="AB24" i="57" s="1"/>
  <c r="S24" i="57"/>
  <c r="V24" i="57" s="1" a="1"/>
  <c r="S40" i="57"/>
  <c r="V40" i="57" s="1" a="1"/>
  <c r="S32" i="57"/>
  <c r="V32" i="57" s="1" a="1"/>
  <c r="S34" i="57"/>
  <c r="S28" i="57"/>
  <c r="S41" i="57"/>
  <c r="V41" i="57" s="1" a="1"/>
  <c r="V25" i="57" a="1"/>
  <c r="S27" i="57"/>
  <c r="V27" i="57" s="1" a="1"/>
  <c r="S29" i="57"/>
  <c r="V29" i="57" s="1" a="1"/>
  <c r="S33" i="57"/>
  <c r="S42" i="57"/>
  <c r="V42" i="57" s="1" a="1"/>
  <c r="S37" i="57"/>
  <c r="V39" i="57" a="1"/>
  <c r="V34" i="57" a="1"/>
  <c r="V35" i="57" a="1"/>
  <c r="G42" i="56"/>
  <c r="H42" i="56"/>
  <c r="H34" i="55"/>
  <c r="G34" i="55"/>
  <c r="M9" i="55"/>
  <c r="M8" i="55"/>
  <c r="M4" i="55"/>
  <c r="M5" i="55"/>
  <c r="V4" i="51" a="1"/>
  <c r="V4" i="51"/>
  <c r="AN24" i="48" a="1"/>
  <c r="X127" i="48"/>
  <c r="X128" i="48"/>
  <c r="X129" i="48"/>
  <c r="X130" i="48"/>
  <c r="X131" i="48"/>
  <c r="X132" i="48"/>
  <c r="X133" i="48"/>
  <c r="X134" i="48"/>
  <c r="X135" i="48"/>
  <c r="X136" i="48"/>
  <c r="W126" i="48"/>
  <c r="W127" i="48"/>
  <c r="W128" i="48"/>
  <c r="W129" i="48"/>
  <c r="W130" i="48"/>
  <c r="W131" i="48"/>
  <c r="W132" i="48"/>
  <c r="W133" i="48"/>
  <c r="W134" i="48"/>
  <c r="W135" i="48"/>
  <c r="W136" i="48"/>
  <c r="V125" i="48"/>
  <c r="V126" i="48"/>
  <c r="V127" i="48"/>
  <c r="V128" i="48"/>
  <c r="V129" i="48"/>
  <c r="V130" i="48"/>
  <c r="V131" i="48"/>
  <c r="V132" i="48"/>
  <c r="V133" i="48"/>
  <c r="V134" i="48"/>
  <c r="V135" i="48"/>
  <c r="V136" i="48"/>
  <c r="U124" i="48"/>
  <c r="U125" i="48"/>
  <c r="U126" i="48"/>
  <c r="U127" i="48"/>
  <c r="U128" i="48"/>
  <c r="U129" i="48"/>
  <c r="U130" i="48"/>
  <c r="U131" i="48"/>
  <c r="U132" i="48"/>
  <c r="U133" i="48"/>
  <c r="U134" i="48"/>
  <c r="U135" i="48"/>
  <c r="U136" i="48"/>
  <c r="T123" i="48"/>
  <c r="T124" i="48"/>
  <c r="T125" i="48"/>
  <c r="T126" i="48"/>
  <c r="T127" i="48"/>
  <c r="T128" i="48"/>
  <c r="T129" i="48"/>
  <c r="T130" i="48"/>
  <c r="T131" i="48"/>
  <c r="T132" i="48"/>
  <c r="T133" i="48"/>
  <c r="T134" i="48"/>
  <c r="T135" i="48"/>
  <c r="T136" i="48"/>
  <c r="S122" i="48"/>
  <c r="S123" i="48"/>
  <c r="S124" i="48"/>
  <c r="S125" i="48"/>
  <c r="S126" i="48"/>
  <c r="S127" i="48"/>
  <c r="S128" i="48"/>
  <c r="S129" i="48"/>
  <c r="S130" i="48"/>
  <c r="S131" i="48"/>
  <c r="S132" i="48"/>
  <c r="S133" i="48"/>
  <c r="S134" i="48"/>
  <c r="S135" i="48"/>
  <c r="S136" i="48"/>
  <c r="R121" i="48"/>
  <c r="R122" i="48"/>
  <c r="R123" i="48"/>
  <c r="R124" i="48"/>
  <c r="R125" i="48"/>
  <c r="R126" i="48"/>
  <c r="R127" i="48"/>
  <c r="R128" i="48"/>
  <c r="R129" i="48"/>
  <c r="R130" i="48"/>
  <c r="R131" i="48"/>
  <c r="R132" i="48"/>
  <c r="R133" i="48"/>
  <c r="R134" i="48"/>
  <c r="R135" i="48"/>
  <c r="R136" i="48"/>
  <c r="Q120" i="48"/>
  <c r="Q121" i="48"/>
  <c r="Q122" i="48"/>
  <c r="Q123" i="48"/>
  <c r="Q124" i="48"/>
  <c r="Q125" i="48"/>
  <c r="Q126" i="48"/>
  <c r="Q127" i="48"/>
  <c r="Q128" i="48"/>
  <c r="Q129" i="48"/>
  <c r="Q130" i="48"/>
  <c r="Q131" i="48"/>
  <c r="Q132" i="48"/>
  <c r="Q133" i="48"/>
  <c r="Q134" i="48"/>
  <c r="Q135" i="48"/>
  <c r="Q136" i="48"/>
  <c r="P119" i="48"/>
  <c r="P120" i="48"/>
  <c r="P121" i="48"/>
  <c r="P122" i="48"/>
  <c r="P123" i="48"/>
  <c r="P124" i="48"/>
  <c r="P125" i="48"/>
  <c r="P126" i="48"/>
  <c r="P127" i="48"/>
  <c r="P128" i="48"/>
  <c r="P129" i="48"/>
  <c r="P130" i="48"/>
  <c r="P131" i="48"/>
  <c r="P132" i="48"/>
  <c r="P133" i="48"/>
  <c r="P134" i="48"/>
  <c r="P135" i="48"/>
  <c r="P136" i="48"/>
  <c r="O118" i="48"/>
  <c r="O119" i="48"/>
  <c r="O120" i="48"/>
  <c r="O121" i="48"/>
  <c r="O122" i="48"/>
  <c r="O123" i="48"/>
  <c r="O124" i="48"/>
  <c r="O125" i="48"/>
  <c r="O126" i="48"/>
  <c r="O127" i="48"/>
  <c r="O128" i="48"/>
  <c r="O129" i="48"/>
  <c r="O130" i="48"/>
  <c r="O131" i="48"/>
  <c r="O132" i="48"/>
  <c r="O133" i="48"/>
  <c r="O134" i="48"/>
  <c r="O135" i="48"/>
  <c r="O13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M116" i="48"/>
  <c r="M117" i="48"/>
  <c r="M118" i="48"/>
  <c r="M119" i="48"/>
  <c r="M120" i="48"/>
  <c r="M121" i="48"/>
  <c r="M122" i="48"/>
  <c r="M123" i="48"/>
  <c r="M124" i="48"/>
  <c r="M125" i="48"/>
  <c r="M126" i="48"/>
  <c r="M127" i="48"/>
  <c r="M128" i="48"/>
  <c r="M129" i="48"/>
  <c r="M130" i="48"/>
  <c r="M131" i="48"/>
  <c r="M132" i="48"/>
  <c r="M133" i="48"/>
  <c r="M134" i="48"/>
  <c r="M135" i="48"/>
  <c r="M136" i="48"/>
  <c r="L115" i="48"/>
  <c r="L116" i="48"/>
  <c r="L117" i="48"/>
  <c r="L118" i="48"/>
  <c r="L119" i="48"/>
  <c r="L120" i="48"/>
  <c r="L121" i="48"/>
  <c r="L122" i="48"/>
  <c r="L123" i="48"/>
  <c r="L124" i="48"/>
  <c r="L125" i="48"/>
  <c r="L126" i="48"/>
  <c r="L127" i="48"/>
  <c r="L128" i="48"/>
  <c r="L129" i="48"/>
  <c r="L130" i="48"/>
  <c r="L131" i="48"/>
  <c r="L132" i="48"/>
  <c r="L133" i="48"/>
  <c r="L134" i="48"/>
  <c r="L135" i="48"/>
  <c r="L136" i="48"/>
  <c r="K114" i="48"/>
  <c r="K115" i="48"/>
  <c r="K116" i="48"/>
  <c r="K117" i="48"/>
  <c r="K118" i="48"/>
  <c r="K119" i="48"/>
  <c r="K120" i="48"/>
  <c r="K121" i="48"/>
  <c r="K122" i="48"/>
  <c r="K123" i="48"/>
  <c r="K124" i="48"/>
  <c r="K125" i="48"/>
  <c r="K126" i="48"/>
  <c r="K127" i="48"/>
  <c r="K128" i="48"/>
  <c r="K129" i="48"/>
  <c r="K130" i="48"/>
  <c r="K131" i="48"/>
  <c r="K132" i="48"/>
  <c r="K133" i="48"/>
  <c r="K134" i="48"/>
  <c r="K135" i="48"/>
  <c r="K136" i="48"/>
  <c r="J113" i="48"/>
  <c r="J114" i="48"/>
  <c r="J115" i="48"/>
  <c r="J116" i="48"/>
  <c r="J117" i="48"/>
  <c r="J118" i="48"/>
  <c r="J119" i="48"/>
  <c r="J120" i="48"/>
  <c r="J121" i="48"/>
  <c r="J122" i="48"/>
  <c r="J123" i="48"/>
  <c r="J124" i="48"/>
  <c r="J125" i="48"/>
  <c r="J126" i="48"/>
  <c r="J127" i="48"/>
  <c r="J128" i="48"/>
  <c r="J129" i="48"/>
  <c r="J130" i="48"/>
  <c r="J131" i="48"/>
  <c r="J132" i="48"/>
  <c r="J133" i="48"/>
  <c r="J134" i="48"/>
  <c r="J135" i="48"/>
  <c r="J136" i="48"/>
  <c r="I112" i="48"/>
  <c r="I113" i="48"/>
  <c r="I114" i="48"/>
  <c r="I115" i="48"/>
  <c r="I116" i="48"/>
  <c r="I117" i="48"/>
  <c r="I118" i="48"/>
  <c r="I119" i="48"/>
  <c r="I120" i="48"/>
  <c r="I121" i="48"/>
  <c r="I122" i="48"/>
  <c r="I123" i="48"/>
  <c r="I124" i="48"/>
  <c r="I125" i="48"/>
  <c r="I126" i="48"/>
  <c r="I127" i="48"/>
  <c r="I128" i="48"/>
  <c r="I129" i="48"/>
  <c r="I130" i="48"/>
  <c r="I131" i="48"/>
  <c r="I132" i="48"/>
  <c r="I133" i="48"/>
  <c r="I134" i="48"/>
  <c r="I135" i="48"/>
  <c r="I136" i="48"/>
  <c r="H111" i="48"/>
  <c r="H112" i="48"/>
  <c r="H113" i="48"/>
  <c r="H114" i="48"/>
  <c r="H115" i="48"/>
  <c r="H116" i="48"/>
  <c r="H117" i="48"/>
  <c r="H118" i="48"/>
  <c r="H119" i="48"/>
  <c r="H120" i="48"/>
  <c r="H121" i="48"/>
  <c r="H122" i="48"/>
  <c r="H123" i="48"/>
  <c r="H124" i="48"/>
  <c r="H125" i="48"/>
  <c r="H126" i="48"/>
  <c r="H127" i="48"/>
  <c r="H128" i="48"/>
  <c r="H129" i="48"/>
  <c r="H130" i="48"/>
  <c r="H131" i="48"/>
  <c r="H132" i="48"/>
  <c r="H133" i="48"/>
  <c r="H134" i="48"/>
  <c r="H135" i="48"/>
  <c r="H136" i="48"/>
  <c r="G110" i="48"/>
  <c r="G111" i="48"/>
  <c r="G112" i="48"/>
  <c r="G113" i="48"/>
  <c r="G114" i="48"/>
  <c r="G115" i="48"/>
  <c r="G116" i="48"/>
  <c r="G117" i="48"/>
  <c r="G118" i="48"/>
  <c r="G119" i="48"/>
  <c r="G120" i="48"/>
  <c r="G121" i="48"/>
  <c r="G122" i="48"/>
  <c r="G123" i="48"/>
  <c r="G124" i="48"/>
  <c r="G125" i="48"/>
  <c r="G126" i="48"/>
  <c r="G127" i="48"/>
  <c r="G128" i="48"/>
  <c r="G129" i="48"/>
  <c r="G130" i="48"/>
  <c r="G131" i="48"/>
  <c r="G132" i="48"/>
  <c r="G133" i="48"/>
  <c r="G134" i="48"/>
  <c r="G135" i="48"/>
  <c r="G136" i="48"/>
  <c r="F109" i="48"/>
  <c r="F110" i="48"/>
  <c r="F111" i="48"/>
  <c r="F112" i="48"/>
  <c r="F113" i="48"/>
  <c r="F114" i="48"/>
  <c r="F115" i="48"/>
  <c r="F116" i="48"/>
  <c r="F117" i="48"/>
  <c r="F118" i="48"/>
  <c r="F119" i="48"/>
  <c r="F120" i="48"/>
  <c r="F121" i="48"/>
  <c r="F122" i="48"/>
  <c r="F123" i="48"/>
  <c r="F124" i="48"/>
  <c r="F125" i="48"/>
  <c r="F126" i="48"/>
  <c r="F127" i="48"/>
  <c r="F128" i="48"/>
  <c r="F129" i="48"/>
  <c r="F130" i="48"/>
  <c r="F131" i="48"/>
  <c r="F132" i="48"/>
  <c r="F133" i="48"/>
  <c r="F134" i="48"/>
  <c r="F135" i="48"/>
  <c r="F136" i="48"/>
  <c r="X126" i="48"/>
  <c r="W125" i="48"/>
  <c r="V124" i="48"/>
  <c r="U123" i="48"/>
  <c r="T122" i="48"/>
  <c r="S121" i="48"/>
  <c r="R120" i="48"/>
  <c r="Q119" i="48"/>
  <c r="P118" i="48"/>
  <c r="O117" i="48"/>
  <c r="N116" i="48"/>
  <c r="M115" i="48"/>
  <c r="L114" i="48"/>
  <c r="K113" i="48"/>
  <c r="J112" i="48"/>
  <c r="I111" i="48"/>
  <c r="H110" i="48"/>
  <c r="G109" i="48"/>
  <c r="F108" i="48"/>
  <c r="E108" i="48"/>
  <c r="E109" i="48"/>
  <c r="E110" i="48"/>
  <c r="E111" i="48"/>
  <c r="E112" i="48"/>
  <c r="E113" i="48"/>
  <c r="E114" i="48"/>
  <c r="E115" i="48"/>
  <c r="E116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07" i="48"/>
  <c r="E105" i="48" a="1"/>
  <c r="E105" i="48" s="1"/>
  <c r="E72" i="48" a="1"/>
  <c r="G72" i="48" s="1"/>
  <c r="X94" i="48"/>
  <c r="X95" i="48"/>
  <c r="X96" i="48"/>
  <c r="X97" i="48"/>
  <c r="X98" i="48"/>
  <c r="X99" i="48"/>
  <c r="X100" i="48"/>
  <c r="X101" i="48"/>
  <c r="X102" i="48"/>
  <c r="X103" i="48"/>
  <c r="W93" i="48"/>
  <c r="W94" i="48"/>
  <c r="W95" i="48"/>
  <c r="W96" i="48"/>
  <c r="W97" i="48"/>
  <c r="W98" i="48"/>
  <c r="W99" i="48"/>
  <c r="W100" i="48"/>
  <c r="W101" i="48"/>
  <c r="W102" i="48"/>
  <c r="W103" i="48"/>
  <c r="V92" i="48"/>
  <c r="V93" i="48"/>
  <c r="V94" i="48"/>
  <c r="V95" i="48"/>
  <c r="V96" i="48"/>
  <c r="V97" i="48"/>
  <c r="V98" i="48"/>
  <c r="V99" i="48"/>
  <c r="V100" i="48"/>
  <c r="V101" i="48"/>
  <c r="V102" i="48"/>
  <c r="V103" i="48"/>
  <c r="U91" i="48"/>
  <c r="U92" i="48"/>
  <c r="U93" i="48"/>
  <c r="U94" i="48"/>
  <c r="U95" i="48"/>
  <c r="U96" i="48"/>
  <c r="U97" i="48"/>
  <c r="U98" i="48"/>
  <c r="U99" i="48"/>
  <c r="U100" i="48"/>
  <c r="U101" i="48"/>
  <c r="U102" i="48"/>
  <c r="U103" i="48"/>
  <c r="T90" i="48"/>
  <c r="T91" i="48"/>
  <c r="T92" i="48"/>
  <c r="T93" i="48"/>
  <c r="T94" i="48"/>
  <c r="T95" i="48"/>
  <c r="T96" i="48"/>
  <c r="T97" i="48"/>
  <c r="T98" i="48"/>
  <c r="T99" i="48"/>
  <c r="T100" i="48"/>
  <c r="T101" i="48"/>
  <c r="T102" i="48"/>
  <c r="T103" i="48"/>
  <c r="S89" i="48"/>
  <c r="S90" i="48"/>
  <c r="S91" i="48"/>
  <c r="S92" i="48"/>
  <c r="S93" i="48"/>
  <c r="S94" i="48"/>
  <c r="S95" i="48"/>
  <c r="S96" i="48"/>
  <c r="S97" i="48"/>
  <c r="S98" i="48"/>
  <c r="S99" i="48"/>
  <c r="S100" i="48"/>
  <c r="S101" i="48"/>
  <c r="S102" i="48"/>
  <c r="S103" i="48"/>
  <c r="R88" i="48"/>
  <c r="R89" i="48"/>
  <c r="R90" i="48"/>
  <c r="R91" i="48"/>
  <c r="R92" i="48"/>
  <c r="R93" i="48"/>
  <c r="R94" i="48"/>
  <c r="R95" i="48"/>
  <c r="R96" i="48"/>
  <c r="R97" i="48"/>
  <c r="R98" i="48"/>
  <c r="R99" i="48"/>
  <c r="R100" i="48"/>
  <c r="R101" i="48"/>
  <c r="R102" i="48"/>
  <c r="R103" i="48"/>
  <c r="Q87" i="48"/>
  <c r="Q88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2" i="48"/>
  <c r="Q103" i="48"/>
  <c r="P86" i="48"/>
  <c r="P87" i="48"/>
  <c r="P88" i="48"/>
  <c r="P89" i="48"/>
  <c r="P90" i="48"/>
  <c r="P91" i="48"/>
  <c r="P92" i="48"/>
  <c r="P93" i="48"/>
  <c r="P94" i="48"/>
  <c r="P95" i="48"/>
  <c r="P96" i="48"/>
  <c r="P97" i="48"/>
  <c r="P98" i="48"/>
  <c r="P99" i="48"/>
  <c r="P100" i="48"/>
  <c r="P101" i="48"/>
  <c r="P102" i="48"/>
  <c r="P103" i="48"/>
  <c r="O85" i="48"/>
  <c r="O86" i="48"/>
  <c r="O87" i="48"/>
  <c r="O88" i="48"/>
  <c r="O89" i="48"/>
  <c r="O90" i="48"/>
  <c r="O91" i="48"/>
  <c r="O92" i="48"/>
  <c r="O93" i="48"/>
  <c r="O94" i="48"/>
  <c r="O95" i="48"/>
  <c r="O96" i="48"/>
  <c r="O97" i="48"/>
  <c r="O98" i="48"/>
  <c r="O99" i="48"/>
  <c r="O100" i="48"/>
  <c r="O101" i="48"/>
  <c r="O102" i="48"/>
  <c r="O10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M83" i="48"/>
  <c r="M84" i="48"/>
  <c r="M85" i="48"/>
  <c r="M86" i="48"/>
  <c r="M87" i="48"/>
  <c r="M88" i="48"/>
  <c r="M89" i="48"/>
  <c r="M90" i="48"/>
  <c r="M91" i="48"/>
  <c r="M92" i="48"/>
  <c r="M93" i="48"/>
  <c r="M94" i="48"/>
  <c r="M95" i="48"/>
  <c r="M96" i="48"/>
  <c r="M97" i="48"/>
  <c r="M98" i="48"/>
  <c r="M99" i="48"/>
  <c r="M100" i="48"/>
  <c r="M101" i="48"/>
  <c r="M102" i="48"/>
  <c r="M103" i="48"/>
  <c r="L82" i="48"/>
  <c r="L83" i="48"/>
  <c r="L84" i="48"/>
  <c r="L85" i="48"/>
  <c r="L86" i="48"/>
  <c r="L87" i="48"/>
  <c r="L88" i="48"/>
  <c r="L89" i="48"/>
  <c r="L90" i="48"/>
  <c r="L91" i="48"/>
  <c r="L92" i="48"/>
  <c r="L93" i="48"/>
  <c r="L94" i="48"/>
  <c r="L95" i="48"/>
  <c r="L96" i="48"/>
  <c r="L97" i="48"/>
  <c r="L98" i="48"/>
  <c r="L99" i="48"/>
  <c r="L100" i="48"/>
  <c r="L101" i="48"/>
  <c r="L102" i="48"/>
  <c r="L103" i="48"/>
  <c r="K81" i="48"/>
  <c r="K82" i="48"/>
  <c r="K83" i="48"/>
  <c r="K84" i="48"/>
  <c r="K85" i="48"/>
  <c r="K86" i="48"/>
  <c r="K87" i="48"/>
  <c r="K88" i="48"/>
  <c r="K89" i="48"/>
  <c r="K90" i="48"/>
  <c r="K91" i="48"/>
  <c r="K92" i="48"/>
  <c r="K93" i="48"/>
  <c r="K94" i="48"/>
  <c r="K95" i="48"/>
  <c r="K96" i="48"/>
  <c r="K97" i="48"/>
  <c r="K98" i="48"/>
  <c r="K99" i="48"/>
  <c r="K100" i="48"/>
  <c r="K101" i="48"/>
  <c r="K102" i="48"/>
  <c r="K103" i="48"/>
  <c r="J80" i="48"/>
  <c r="J81" i="48"/>
  <c r="J82" i="48"/>
  <c r="J83" i="48"/>
  <c r="J84" i="48"/>
  <c r="J85" i="48"/>
  <c r="J86" i="48"/>
  <c r="J87" i="48"/>
  <c r="J88" i="48"/>
  <c r="J89" i="48"/>
  <c r="J90" i="48"/>
  <c r="J91" i="48"/>
  <c r="J92" i="48"/>
  <c r="J93" i="48"/>
  <c r="J94" i="48"/>
  <c r="J95" i="48"/>
  <c r="J96" i="48"/>
  <c r="J97" i="48"/>
  <c r="J98" i="48"/>
  <c r="J99" i="48"/>
  <c r="J100" i="48"/>
  <c r="J101" i="48"/>
  <c r="J102" i="48"/>
  <c r="J103" i="48"/>
  <c r="I79" i="48"/>
  <c r="I80" i="48"/>
  <c r="I81" i="48"/>
  <c r="I82" i="48"/>
  <c r="I83" i="48"/>
  <c r="I84" i="48"/>
  <c r="I85" i="48"/>
  <c r="I86" i="48"/>
  <c r="I87" i="48"/>
  <c r="I88" i="48"/>
  <c r="I89" i="48"/>
  <c r="I90" i="48"/>
  <c r="I91" i="48"/>
  <c r="I92" i="48"/>
  <c r="I93" i="48"/>
  <c r="I94" i="48"/>
  <c r="I95" i="48"/>
  <c r="I96" i="48"/>
  <c r="I97" i="48"/>
  <c r="I98" i="48"/>
  <c r="I99" i="48"/>
  <c r="I100" i="48"/>
  <c r="I101" i="48"/>
  <c r="I102" i="48"/>
  <c r="I103" i="48"/>
  <c r="H78" i="48"/>
  <c r="H79" i="48"/>
  <c r="H80" i="48"/>
  <c r="H81" i="48"/>
  <c r="H82" i="48"/>
  <c r="H83" i="48"/>
  <c r="H84" i="48"/>
  <c r="H85" i="48"/>
  <c r="H86" i="48"/>
  <c r="H87" i="48"/>
  <c r="H88" i="48"/>
  <c r="H89" i="48"/>
  <c r="H90" i="48"/>
  <c r="H91" i="48"/>
  <c r="H92" i="48"/>
  <c r="H93" i="48"/>
  <c r="H94" i="48"/>
  <c r="H95" i="48"/>
  <c r="H96" i="48"/>
  <c r="H97" i="48"/>
  <c r="H98" i="48"/>
  <c r="H99" i="48"/>
  <c r="H100" i="48"/>
  <c r="H101" i="48"/>
  <c r="H102" i="48"/>
  <c r="H103" i="48"/>
  <c r="G77" i="48"/>
  <c r="G78" i="48"/>
  <c r="G79" i="48"/>
  <c r="G80" i="48"/>
  <c r="G81" i="48"/>
  <c r="G82" i="48"/>
  <c r="G83" i="48"/>
  <c r="G84" i="48"/>
  <c r="G85" i="48"/>
  <c r="G86" i="48"/>
  <c r="G87" i="48"/>
  <c r="G88" i="48"/>
  <c r="G89" i="48"/>
  <c r="G90" i="48"/>
  <c r="G91" i="48"/>
  <c r="G92" i="48"/>
  <c r="G93" i="48"/>
  <c r="G94" i="48"/>
  <c r="G95" i="48"/>
  <c r="G96" i="48"/>
  <c r="G97" i="48"/>
  <c r="G98" i="48"/>
  <c r="G99" i="48"/>
  <c r="G100" i="48"/>
  <c r="G101" i="48"/>
  <c r="G102" i="48"/>
  <c r="G103" i="48"/>
  <c r="F76" i="48"/>
  <c r="F77" i="48"/>
  <c r="F78" i="48"/>
  <c r="F79" i="48"/>
  <c r="F80" i="48"/>
  <c r="F81" i="48"/>
  <c r="F82" i="48"/>
  <c r="F83" i="48"/>
  <c r="F84" i="48"/>
  <c r="F85" i="48"/>
  <c r="F86" i="48"/>
  <c r="F87" i="48"/>
  <c r="F88" i="48"/>
  <c r="F89" i="48"/>
  <c r="F90" i="48"/>
  <c r="F91" i="48"/>
  <c r="F92" i="48"/>
  <c r="F93" i="48"/>
  <c r="F94" i="48"/>
  <c r="F95" i="48"/>
  <c r="F96" i="48"/>
  <c r="F97" i="48"/>
  <c r="F98" i="48"/>
  <c r="F99" i="48"/>
  <c r="F100" i="48"/>
  <c r="F101" i="48"/>
  <c r="F102" i="48"/>
  <c r="F103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X93" i="48"/>
  <c r="W92" i="48"/>
  <c r="V91" i="48"/>
  <c r="T89" i="48"/>
  <c r="S88" i="48"/>
  <c r="R87" i="48"/>
  <c r="Q86" i="48"/>
  <c r="P85" i="48"/>
  <c r="O84" i="48"/>
  <c r="N83" i="48"/>
  <c r="M82" i="48"/>
  <c r="L81" i="48"/>
  <c r="K80" i="48"/>
  <c r="J79" i="48"/>
  <c r="I78" i="48"/>
  <c r="H77" i="48"/>
  <c r="G76" i="48"/>
  <c r="F75" i="48"/>
  <c r="I31" i="51"/>
  <c r="J24" i="51"/>
  <c r="J25" i="51"/>
  <c r="J26" i="51"/>
  <c r="J27" i="51"/>
  <c r="J23" i="51"/>
  <c r="X29" i="51"/>
  <c r="AH112" i="48"/>
  <c r="AH113" i="48"/>
  <c r="AH114" i="48"/>
  <c r="AH115" i="48"/>
  <c r="AH116" i="48"/>
  <c r="AH117" i="48"/>
  <c r="AH118" i="48"/>
  <c r="AH119" i="48"/>
  <c r="AH120" i="48"/>
  <c r="AH121" i="48"/>
  <c r="AH122" i="48"/>
  <c r="AH123" i="48"/>
  <c r="AH124" i="48"/>
  <c r="AH125" i="48"/>
  <c r="AH126" i="48"/>
  <c r="AH127" i="48"/>
  <c r="AH111" i="48"/>
  <c r="AI113" i="48"/>
  <c r="AI114" i="48"/>
  <c r="AI115" i="48"/>
  <c r="AI116" i="48"/>
  <c r="AI117" i="48"/>
  <c r="AI118" i="48"/>
  <c r="AI119" i="48"/>
  <c r="AI120" i="48"/>
  <c r="AI121" i="48"/>
  <c r="AI122" i="48"/>
  <c r="AI123" i="48"/>
  <c r="AI124" i="48"/>
  <c r="AI125" i="48"/>
  <c r="AI126" i="48"/>
  <c r="AI127" i="48"/>
  <c r="AI112" i="48"/>
  <c r="AJ114" i="48"/>
  <c r="AJ115" i="48"/>
  <c r="AJ116" i="48"/>
  <c r="AJ117" i="48"/>
  <c r="AJ118" i="48"/>
  <c r="AJ119" i="48"/>
  <c r="AJ120" i="48"/>
  <c r="AJ121" i="48"/>
  <c r="AJ122" i="48"/>
  <c r="AJ123" i="48"/>
  <c r="AJ124" i="48"/>
  <c r="AJ125" i="48"/>
  <c r="AJ126" i="48"/>
  <c r="AJ127" i="48"/>
  <c r="AJ113" i="48"/>
  <c r="AK115" i="48"/>
  <c r="AK116" i="48"/>
  <c r="AK117" i="48"/>
  <c r="AK118" i="48"/>
  <c r="AK119" i="48"/>
  <c r="AK120" i="48"/>
  <c r="AK121" i="48"/>
  <c r="AK122" i="48"/>
  <c r="AK123" i="48"/>
  <c r="AK124" i="48"/>
  <c r="AK125" i="48"/>
  <c r="AK126" i="48"/>
  <c r="AK127" i="48"/>
  <c r="AK114" i="48"/>
  <c r="AL116" i="48"/>
  <c r="AL117" i="48"/>
  <c r="AL118" i="48"/>
  <c r="AL119" i="48"/>
  <c r="AL120" i="48"/>
  <c r="AL121" i="48"/>
  <c r="AL122" i="48"/>
  <c r="AL123" i="48"/>
  <c r="AL124" i="48"/>
  <c r="AL125" i="48"/>
  <c r="AL126" i="48"/>
  <c r="AL127" i="48"/>
  <c r="AL115" i="48"/>
  <c r="AM117" i="48"/>
  <c r="AM118" i="48"/>
  <c r="AM119" i="48"/>
  <c r="AM120" i="48"/>
  <c r="AM121" i="48"/>
  <c r="AM122" i="48"/>
  <c r="AM123" i="48"/>
  <c r="AM124" i="48"/>
  <c r="AM125" i="48"/>
  <c r="AM126" i="48"/>
  <c r="AM127" i="48"/>
  <c r="AM116" i="48"/>
  <c r="AN118" i="48"/>
  <c r="AN119" i="48"/>
  <c r="AN120" i="48"/>
  <c r="AN121" i="48"/>
  <c r="AN122" i="48"/>
  <c r="AN123" i="48"/>
  <c r="AN124" i="48"/>
  <c r="AN125" i="48"/>
  <c r="AN126" i="48"/>
  <c r="AN127" i="48"/>
  <c r="AN117" i="48"/>
  <c r="AO119" i="48"/>
  <c r="AO120" i="48"/>
  <c r="AO121" i="48"/>
  <c r="AO122" i="48"/>
  <c r="AO123" i="48"/>
  <c r="AO124" i="48"/>
  <c r="AO125" i="48"/>
  <c r="AO126" i="48"/>
  <c r="AO127" i="48"/>
  <c r="AO118" i="48"/>
  <c r="AP120" i="48"/>
  <c r="AP121" i="48"/>
  <c r="AP122" i="48"/>
  <c r="AP123" i="48"/>
  <c r="AP124" i="48"/>
  <c r="AP125" i="48"/>
  <c r="AP126" i="48"/>
  <c r="AP127" i="48"/>
  <c r="AP119" i="48"/>
  <c r="AQ121" i="48"/>
  <c r="AQ122" i="48"/>
  <c r="AQ123" i="48"/>
  <c r="AQ124" i="48"/>
  <c r="AQ125" i="48"/>
  <c r="AQ126" i="48"/>
  <c r="AQ127" i="48"/>
  <c r="AQ120" i="48"/>
  <c r="AR122" i="48"/>
  <c r="AR123" i="48"/>
  <c r="AR124" i="48"/>
  <c r="AR125" i="48"/>
  <c r="AR126" i="48"/>
  <c r="AR127" i="48"/>
  <c r="AR121" i="48"/>
  <c r="AS123" i="48"/>
  <c r="AS124" i="48"/>
  <c r="AS125" i="48"/>
  <c r="AS126" i="48"/>
  <c r="AS127" i="48"/>
  <c r="AS122" i="48"/>
  <c r="AT124" i="48"/>
  <c r="AT125" i="48"/>
  <c r="AT126" i="48"/>
  <c r="AT127" i="48"/>
  <c r="AT123" i="48"/>
  <c r="AU125" i="48"/>
  <c r="AU126" i="48"/>
  <c r="AU127" i="48"/>
  <c r="AU124" i="48"/>
  <c r="AV126" i="48"/>
  <c r="AV127" i="48"/>
  <c r="AV125" i="48"/>
  <c r="AW127" i="48"/>
  <c r="AW126" i="48"/>
  <c r="AX127" i="48"/>
  <c r="AG111" i="48"/>
  <c r="AG112" i="48"/>
  <c r="AG113" i="48"/>
  <c r="AG114" i="48"/>
  <c r="AG115" i="48"/>
  <c r="AG116" i="48"/>
  <c r="AG117" i="48"/>
  <c r="AG118" i="48"/>
  <c r="AG119" i="48"/>
  <c r="AG120" i="48"/>
  <c r="AG121" i="48"/>
  <c r="AG122" i="48"/>
  <c r="AG123" i="48"/>
  <c r="AG124" i="48"/>
  <c r="AG125" i="48"/>
  <c r="AG126" i="48"/>
  <c r="AG127" i="48"/>
  <c r="AG110" i="48"/>
  <c r="AF110" i="48"/>
  <c r="AF111" i="48"/>
  <c r="AF112" i="48"/>
  <c r="AF113" i="48"/>
  <c r="AF114" i="48"/>
  <c r="AF115" i="48"/>
  <c r="AF116" i="48"/>
  <c r="AF117" i="48"/>
  <c r="AF118" i="48"/>
  <c r="AF119" i="48"/>
  <c r="AF120" i="48"/>
  <c r="AF121" i="48"/>
  <c r="AF122" i="48"/>
  <c r="AF123" i="48"/>
  <c r="AF124" i="48"/>
  <c r="AF125" i="48"/>
  <c r="AF126" i="48"/>
  <c r="AF127" i="48"/>
  <c r="AF109" i="48"/>
  <c r="AE109" i="48"/>
  <c r="AE110" i="48"/>
  <c r="AE112" i="48"/>
  <c r="AE113" i="48"/>
  <c r="AE114" i="48"/>
  <c r="AE115" i="48"/>
  <c r="AE116" i="48"/>
  <c r="AE117" i="48"/>
  <c r="AE118" i="48"/>
  <c r="AE119" i="48"/>
  <c r="AE120" i="48"/>
  <c r="AE121" i="48"/>
  <c r="AE122" i="48"/>
  <c r="AE123" i="48"/>
  <c r="AE124" i="48"/>
  <c r="AE125" i="48"/>
  <c r="AE126" i="48"/>
  <c r="AE127" i="48"/>
  <c r="AE108" i="48"/>
  <c r="AX93" i="48"/>
  <c r="AW93" i="48"/>
  <c r="AW92" i="48"/>
  <c r="AV93" i="48"/>
  <c r="AV91" i="48"/>
  <c r="AU91" i="48"/>
  <c r="AU92" i="48"/>
  <c r="AU93" i="48"/>
  <c r="AT90" i="48"/>
  <c r="AT91" i="48"/>
  <c r="AT92" i="48"/>
  <c r="AT93" i="48"/>
  <c r="AS89" i="48"/>
  <c r="AS90" i="48"/>
  <c r="AS91" i="48"/>
  <c r="AS92" i="48"/>
  <c r="AS93" i="48"/>
  <c r="AR88" i="48"/>
  <c r="AR89" i="48"/>
  <c r="AR90" i="48"/>
  <c r="AR91" i="48"/>
  <c r="AR92" i="48"/>
  <c r="AR93" i="48"/>
  <c r="AQ87" i="48"/>
  <c r="AQ88" i="48"/>
  <c r="AQ89" i="48"/>
  <c r="AQ90" i="48"/>
  <c r="AQ91" i="48"/>
  <c r="AQ92" i="48"/>
  <c r="AQ93" i="48"/>
  <c r="AP86" i="48"/>
  <c r="AP87" i="48"/>
  <c r="AP88" i="48"/>
  <c r="AP89" i="48"/>
  <c r="AP90" i="48"/>
  <c r="AP91" i="48"/>
  <c r="AP92" i="48"/>
  <c r="AP93" i="48"/>
  <c r="AU90" i="48"/>
  <c r="AT89" i="48"/>
  <c r="AS88" i="48"/>
  <c r="AR87" i="48"/>
  <c r="AQ86" i="48"/>
  <c r="AP85" i="48"/>
  <c r="AO85" i="48"/>
  <c r="AO86" i="48"/>
  <c r="AO87" i="48"/>
  <c r="AO88" i="48"/>
  <c r="AO89" i="48"/>
  <c r="AO90" i="48"/>
  <c r="AO91" i="48"/>
  <c r="AO92" i="48"/>
  <c r="AO93" i="48"/>
  <c r="AO84" i="48"/>
  <c r="AN84" i="48"/>
  <c r="AN85" i="48"/>
  <c r="AN86" i="48"/>
  <c r="AN87" i="48"/>
  <c r="AN88" i="48"/>
  <c r="AN89" i="48"/>
  <c r="AN90" i="48"/>
  <c r="AN91" i="48"/>
  <c r="AN92" i="48"/>
  <c r="AN93" i="48"/>
  <c r="AN83" i="48"/>
  <c r="AM83" i="48"/>
  <c r="AM84" i="48"/>
  <c r="AM85" i="48"/>
  <c r="AM86" i="48"/>
  <c r="AM87" i="48"/>
  <c r="AM88" i="48"/>
  <c r="AM89" i="48"/>
  <c r="AM90" i="48"/>
  <c r="AM91" i="48"/>
  <c r="AM92" i="48"/>
  <c r="AM93" i="48"/>
  <c r="AM82" i="48"/>
  <c r="AL82" i="48"/>
  <c r="AL83" i="48"/>
  <c r="AL84" i="48"/>
  <c r="AL85" i="48"/>
  <c r="AL86" i="48"/>
  <c r="AL87" i="48"/>
  <c r="AL88" i="48"/>
  <c r="AL89" i="48"/>
  <c r="AL90" i="48"/>
  <c r="AL91" i="48"/>
  <c r="AL92" i="48"/>
  <c r="AL93" i="48"/>
  <c r="AL81" i="48"/>
  <c r="AK81" i="48"/>
  <c r="AK82" i="48"/>
  <c r="AK83" i="48"/>
  <c r="AK84" i="48"/>
  <c r="AK85" i="48"/>
  <c r="AK86" i="48"/>
  <c r="AK87" i="48"/>
  <c r="AK88" i="48"/>
  <c r="AK89" i="48"/>
  <c r="AK90" i="48"/>
  <c r="AK91" i="48"/>
  <c r="AK92" i="48"/>
  <c r="AK93" i="48"/>
  <c r="AK80" i="48"/>
  <c r="AJ80" i="48"/>
  <c r="AJ82" i="48"/>
  <c r="AJ83" i="48"/>
  <c r="AJ84" i="48"/>
  <c r="AJ85" i="48"/>
  <c r="AJ86" i="48"/>
  <c r="AJ87" i="48"/>
  <c r="AJ88" i="48"/>
  <c r="AJ89" i="48"/>
  <c r="AJ90" i="48"/>
  <c r="AJ91" i="48"/>
  <c r="AJ92" i="48"/>
  <c r="AJ93" i="48"/>
  <c r="AJ79" i="48"/>
  <c r="AI79" i="48"/>
  <c r="AI80" i="48"/>
  <c r="AI81" i="48"/>
  <c r="AI82" i="48"/>
  <c r="AI83" i="48"/>
  <c r="AI84" i="48"/>
  <c r="AI85" i="48"/>
  <c r="AI86" i="48"/>
  <c r="AI87" i="48"/>
  <c r="AI88" i="48"/>
  <c r="AI89" i="48"/>
  <c r="AI90" i="48"/>
  <c r="AI91" i="48"/>
  <c r="AI92" i="48"/>
  <c r="AI93" i="48"/>
  <c r="AI78" i="48"/>
  <c r="AH78" i="48"/>
  <c r="AH79" i="48"/>
  <c r="AH80" i="48"/>
  <c r="AH81" i="48"/>
  <c r="AH82" i="48"/>
  <c r="AH83" i="48"/>
  <c r="AH84" i="48"/>
  <c r="AH85" i="48"/>
  <c r="AH86" i="48"/>
  <c r="AH87" i="48"/>
  <c r="AH88" i="48"/>
  <c r="AH89" i="48"/>
  <c r="AH90" i="48"/>
  <c r="AH91" i="48"/>
  <c r="AH92" i="48"/>
  <c r="AH93" i="48"/>
  <c r="AH77" i="48"/>
  <c r="AG77" i="48"/>
  <c r="AG78" i="48"/>
  <c r="AG79" i="48"/>
  <c r="AG80" i="48"/>
  <c r="AG81" i="48"/>
  <c r="AG82" i="48"/>
  <c r="AG83" i="48"/>
  <c r="AG84" i="48"/>
  <c r="AG85" i="48"/>
  <c r="AG86" i="48"/>
  <c r="AG87" i="48"/>
  <c r="AG88" i="48"/>
  <c r="AG89" i="48"/>
  <c r="AG90" i="48"/>
  <c r="AG91" i="48"/>
  <c r="AG92" i="48"/>
  <c r="AG93" i="48"/>
  <c r="AG76" i="48"/>
  <c r="AF76" i="48"/>
  <c r="AF78" i="48"/>
  <c r="AF79" i="48"/>
  <c r="AF80" i="48"/>
  <c r="AF81" i="48"/>
  <c r="AF82" i="48"/>
  <c r="AF83" i="48"/>
  <c r="AF84" i="48"/>
  <c r="AF85" i="48"/>
  <c r="AF86" i="48"/>
  <c r="AF87" i="48"/>
  <c r="AF88" i="48"/>
  <c r="AF89" i="48"/>
  <c r="AF90" i="48"/>
  <c r="AF91" i="48"/>
  <c r="AF92" i="48"/>
  <c r="AF93" i="48"/>
  <c r="AF75" i="48"/>
  <c r="AE75" i="48"/>
  <c r="AE76" i="48"/>
  <c r="AE77" i="48"/>
  <c r="AE78" i="48"/>
  <c r="AE79" i="48"/>
  <c r="AE80" i="48"/>
  <c r="AE81" i="48"/>
  <c r="AE82" i="48"/>
  <c r="AE83" i="48"/>
  <c r="AE84" i="48"/>
  <c r="AE85" i="48"/>
  <c r="AE86" i="48"/>
  <c r="AE87" i="48"/>
  <c r="AE88" i="48"/>
  <c r="AE89" i="48"/>
  <c r="AE90" i="48"/>
  <c r="AE91" i="48"/>
  <c r="AE92" i="48"/>
  <c r="AE93" i="48"/>
  <c r="N133" i="54"/>
  <c r="M133" i="54"/>
  <c r="L133" i="54"/>
  <c r="K133" i="54"/>
  <c r="J133" i="54"/>
  <c r="I133" i="54"/>
  <c r="H133" i="54"/>
  <c r="G133" i="54"/>
  <c r="F133" i="54"/>
  <c r="E133" i="54"/>
  <c r="M132" i="54"/>
  <c r="L132" i="54"/>
  <c r="K132" i="54"/>
  <c r="J132" i="54"/>
  <c r="I132" i="54"/>
  <c r="H132" i="54"/>
  <c r="G132" i="54"/>
  <c r="F132" i="54"/>
  <c r="E132" i="54"/>
  <c r="L131" i="54"/>
  <c r="K131" i="54"/>
  <c r="J131" i="54"/>
  <c r="I131" i="54"/>
  <c r="H131" i="54"/>
  <c r="G131" i="54"/>
  <c r="F131" i="54"/>
  <c r="E131" i="54"/>
  <c r="K130" i="54"/>
  <c r="J130" i="54"/>
  <c r="I130" i="54"/>
  <c r="H130" i="54"/>
  <c r="G130" i="54"/>
  <c r="F130" i="54"/>
  <c r="E130" i="54"/>
  <c r="J129" i="54"/>
  <c r="I129" i="54"/>
  <c r="H129" i="54"/>
  <c r="G129" i="54"/>
  <c r="F129" i="54"/>
  <c r="E129" i="54"/>
  <c r="I128" i="54"/>
  <c r="H128" i="54"/>
  <c r="G128" i="54"/>
  <c r="F128" i="54"/>
  <c r="E128" i="54"/>
  <c r="H127" i="54"/>
  <c r="G127" i="54"/>
  <c r="F127" i="54"/>
  <c r="E127" i="54"/>
  <c r="G126" i="54"/>
  <c r="F126" i="54"/>
  <c r="E126" i="54"/>
  <c r="F125" i="54"/>
  <c r="E125" i="54"/>
  <c r="E124" i="54"/>
  <c r="E102" i="54" a="1"/>
  <c r="T102" i="54" s="1"/>
  <c r="T128" i="54" s="1"/>
  <c r="N100" i="54"/>
  <c r="M100" i="54"/>
  <c r="L100" i="54"/>
  <c r="K100" i="54"/>
  <c r="J100" i="54"/>
  <c r="I100" i="54"/>
  <c r="H100" i="54"/>
  <c r="G100" i="54"/>
  <c r="F100" i="54"/>
  <c r="E100" i="54"/>
  <c r="M99" i="54"/>
  <c r="L99" i="54"/>
  <c r="K99" i="54"/>
  <c r="J99" i="54"/>
  <c r="I99" i="54"/>
  <c r="H99" i="54"/>
  <c r="G99" i="54"/>
  <c r="F99" i="54"/>
  <c r="E99" i="54"/>
  <c r="L98" i="54"/>
  <c r="K98" i="54"/>
  <c r="J98" i="54"/>
  <c r="I98" i="54"/>
  <c r="H98" i="54"/>
  <c r="G98" i="54"/>
  <c r="F98" i="54"/>
  <c r="E98" i="54"/>
  <c r="K97" i="54"/>
  <c r="J97" i="54"/>
  <c r="I97" i="54"/>
  <c r="H97" i="54"/>
  <c r="G97" i="54"/>
  <c r="F97" i="54"/>
  <c r="E97" i="54"/>
  <c r="J96" i="54"/>
  <c r="I96" i="54"/>
  <c r="H96" i="54"/>
  <c r="G96" i="54"/>
  <c r="F96" i="54"/>
  <c r="E96" i="54"/>
  <c r="I95" i="54"/>
  <c r="H95" i="54"/>
  <c r="G95" i="54"/>
  <c r="F95" i="54"/>
  <c r="E95" i="54"/>
  <c r="H94" i="54"/>
  <c r="G94" i="54"/>
  <c r="F94" i="54"/>
  <c r="E94" i="54"/>
  <c r="G93" i="54"/>
  <c r="F93" i="54"/>
  <c r="E93" i="54"/>
  <c r="F92" i="54"/>
  <c r="E92" i="54"/>
  <c r="E91" i="54"/>
  <c r="E69" i="54" a="1"/>
  <c r="Q69" i="54" s="1"/>
  <c r="Q95" i="54" s="1"/>
  <c r="Y23" i="54" a="1"/>
  <c r="Y41" i="54" s="1"/>
  <c r="V23" i="54" a="1"/>
  <c r="W41" i="54" s="1"/>
  <c r="AF41" i="54" s="1"/>
  <c r="P23" i="54"/>
  <c r="I7" i="54" a="1"/>
  <c r="X8" i="54" s="1"/>
  <c r="J3" i="54"/>
  <c r="K3" i="54" s="1"/>
  <c r="L3" i="54" s="1"/>
  <c r="M3" i="54" s="1"/>
  <c r="N3" i="54" s="1"/>
  <c r="O3" i="54" s="1"/>
  <c r="P3" i="54" s="1"/>
  <c r="Q3" i="54" s="1"/>
  <c r="R3" i="54" s="1"/>
  <c r="S3" i="54" s="1"/>
  <c r="T3" i="54" s="1"/>
  <c r="U3" i="54" s="1"/>
  <c r="V3" i="54" s="1"/>
  <c r="W3" i="54" s="1"/>
  <c r="X3" i="54" s="1"/>
  <c r="Y3" i="54" s="1"/>
  <c r="Z3" i="54" s="1"/>
  <c r="AA3" i="54" s="1"/>
  <c r="AB3" i="54" s="1"/>
  <c r="V6" i="51" a="1"/>
  <c r="V6" i="51" s="1"/>
  <c r="AH24" i="48" a="1"/>
  <c r="AH25" i="48" s="1"/>
  <c r="AE24" i="48" a="1"/>
  <c r="AE25" i="48" s="1"/>
  <c r="I7" i="48" a="1"/>
  <c r="J7" i="48" s="1"/>
  <c r="N3" i="48"/>
  <c r="O3" i="48" s="1"/>
  <c r="P3" i="48" s="1"/>
  <c r="Q3" i="48" s="1"/>
  <c r="R3" i="48" s="1"/>
  <c r="S3" i="48" s="1"/>
  <c r="T3" i="48" s="1"/>
  <c r="U3" i="48" s="1"/>
  <c r="V3" i="48" s="1"/>
  <c r="W3" i="48" s="1"/>
  <c r="AF119" i="38" a="1"/>
  <c r="AF119" i="38" s="1"/>
  <c r="P12" i="51" a="1"/>
  <c r="P12" i="51" s="1"/>
  <c r="P9" i="51" a="1"/>
  <c r="R9" i="51" s="1"/>
  <c r="AA10" i="53"/>
  <c r="V10" i="53" a="1"/>
  <c r="X10" i="53" s="1"/>
  <c r="AA12" i="53"/>
  <c r="Z38" i="53" a="1"/>
  <c r="Z40" i="53" s="1"/>
  <c r="AA18" i="53" a="1"/>
  <c r="AA20" i="53" s="1"/>
  <c r="S14" i="53" a="1"/>
  <c r="T15" i="53" s="1"/>
  <c r="K4" i="53"/>
  <c r="J4" i="53"/>
  <c r="S3" i="53" s="1" a="1"/>
  <c r="V8" i="53" s="1"/>
  <c r="O3" i="53" a="1"/>
  <c r="O8" i="53" s="1"/>
  <c r="AA38" i="66" a="1"/>
  <c r="AB47" i="66" a="1"/>
  <c r="AA41" i="66" a="1"/>
  <c r="AB44" i="66" a="1"/>
  <c r="AA42" i="66" a="1"/>
  <c r="AB42" i="66" a="1"/>
  <c r="AB45" i="66" a="1"/>
  <c r="AA50" i="66" a="1"/>
  <c r="AA53" i="66" a="1"/>
  <c r="AB37" i="66" a="1"/>
  <c r="AA35" i="66" a="1"/>
  <c r="AB48" i="66" a="1"/>
  <c r="AA52" i="66" a="1"/>
  <c r="AA48" i="66" a="1"/>
  <c r="AB51" i="66" a="1"/>
  <c r="AB53" i="66" a="1"/>
  <c r="AA45" i="66" a="1"/>
  <c r="AA43" i="66" a="1"/>
  <c r="AA40" i="66" a="1"/>
  <c r="AA46" i="66" a="1"/>
  <c r="AA51" i="66" a="1"/>
  <c r="AB46" i="66" a="1"/>
  <c r="AA54" i="66" a="1"/>
  <c r="AB54" i="66" a="1"/>
  <c r="AB40" i="66" a="1"/>
  <c r="AB41" i="66" a="1"/>
  <c r="AB39" i="66" a="1"/>
  <c r="AB35" i="66" a="1"/>
  <c r="AB38" i="66" a="1"/>
  <c r="AB50" i="66" a="1"/>
  <c r="AA36" i="66" a="1"/>
  <c r="AB49" i="66" a="1"/>
  <c r="AB36" i="66" a="1"/>
  <c r="AA39" i="66" a="1"/>
  <c r="AB43" i="66" a="1"/>
  <c r="AA49" i="66" a="1"/>
  <c r="AA37" i="66" a="1"/>
  <c r="AB52" i="66" a="1"/>
  <c r="AA44" i="66" a="1"/>
  <c r="AA47" i="66" a="1"/>
  <c r="AB39" i="66" l="1"/>
  <c r="AB45" i="66"/>
  <c r="AB51" i="66"/>
  <c r="AB54" i="66"/>
  <c r="AB40" i="66"/>
  <c r="AB46" i="66"/>
  <c r="AB52" i="66"/>
  <c r="AB53" i="66"/>
  <c r="AB35" i="66"/>
  <c r="AB41" i="66"/>
  <c r="AB47" i="66"/>
  <c r="AB42" i="66"/>
  <c r="AB36" i="66"/>
  <c r="AB48" i="66"/>
  <c r="AB37" i="66"/>
  <c r="AB43" i="66"/>
  <c r="AB49" i="66"/>
  <c r="AB44" i="66"/>
  <c r="AB38" i="66"/>
  <c r="AB50" i="66"/>
  <c r="D32" i="66" a="1"/>
  <c r="D32" i="66" s="1"/>
  <c r="AA51" i="66"/>
  <c r="AA39" i="66"/>
  <c r="AA45" i="66"/>
  <c r="AA50" i="66"/>
  <c r="AA44" i="66"/>
  <c r="AA38" i="66"/>
  <c r="AA37" i="66"/>
  <c r="AA49" i="66"/>
  <c r="AA48" i="66"/>
  <c r="AA42" i="66"/>
  <c r="AA36" i="66"/>
  <c r="AA54" i="66"/>
  <c r="AA53" i="66"/>
  <c r="AA47" i="66"/>
  <c r="AA41" i="66"/>
  <c r="AA35" i="66"/>
  <c r="AA43" i="66"/>
  <c r="AA52" i="66"/>
  <c r="AA46" i="66"/>
  <c r="AA40" i="66"/>
  <c r="AB52" i="63" a="1"/>
  <c r="AB54" i="63" s="1"/>
  <c r="AD54" i="63" s="1"/>
  <c r="V56" i="63" a="1"/>
  <c r="X56" i="63" s="1"/>
  <c r="Z81" i="57"/>
  <c r="AA81" i="57" s="1"/>
  <c r="Z103" i="57"/>
  <c r="AA103" i="57" s="1"/>
  <c r="Z88" i="57"/>
  <c r="AA88" i="57" s="1"/>
  <c r="Z85" i="57"/>
  <c r="AA85" i="57" s="1"/>
  <c r="Z99" i="57"/>
  <c r="AA99" i="57" s="1"/>
  <c r="Z100" i="57"/>
  <c r="AA100" i="57" s="1"/>
  <c r="Z77" i="57"/>
  <c r="AA77" i="57" s="1"/>
  <c r="Z84" i="57"/>
  <c r="AA84" i="57" s="1"/>
  <c r="Z102" i="57"/>
  <c r="AA102" i="57" s="1"/>
  <c r="Z74" i="57"/>
  <c r="AA74" i="57" s="1"/>
  <c r="Z82" i="57"/>
  <c r="AA82" i="57" s="1"/>
  <c r="W27" i="60"/>
  <c r="AF21" i="60"/>
  <c r="AE22" i="60"/>
  <c r="P24" i="48" a="1"/>
  <c r="Q24" i="48" a="1"/>
  <c r="Z93" i="57"/>
  <c r="AA93" i="57" s="1"/>
  <c r="Z96" i="57"/>
  <c r="AA96" i="57" s="1"/>
  <c r="Z89" i="57"/>
  <c r="AA89" i="57" s="1"/>
  <c r="Z98" i="57"/>
  <c r="AA98" i="57" s="1"/>
  <c r="Z101" i="57"/>
  <c r="AA101" i="57" s="1"/>
  <c r="Z92" i="57"/>
  <c r="AA92" i="57" s="1"/>
  <c r="Z76" i="57"/>
  <c r="AA76" i="57" s="1"/>
  <c r="Z79" i="57"/>
  <c r="AA79" i="57" s="1"/>
  <c r="Z75" i="57"/>
  <c r="AA75" i="57" s="1"/>
  <c r="Z78" i="57"/>
  <c r="AA78" i="57" s="1"/>
  <c r="Z90" i="57"/>
  <c r="AA90" i="57" s="1"/>
  <c r="Z97" i="57"/>
  <c r="AA97" i="57" s="1"/>
  <c r="Z87" i="57"/>
  <c r="AA87" i="57" s="1"/>
  <c r="Z83" i="57"/>
  <c r="AA83" i="57" s="1"/>
  <c r="Z86" i="57"/>
  <c r="AA86" i="57" s="1"/>
  <c r="Z80" i="57"/>
  <c r="AA80" i="57" s="1"/>
  <c r="Z95" i="57"/>
  <c r="AA95" i="57" s="1"/>
  <c r="Z91" i="57"/>
  <c r="AA91" i="57" s="1"/>
  <c r="Z108" i="57"/>
  <c r="AA108" i="57" s="1"/>
  <c r="Z107" i="57"/>
  <c r="AA107" i="57" s="1"/>
  <c r="Z115" i="57"/>
  <c r="AA115" i="57" s="1"/>
  <c r="Z110" i="57"/>
  <c r="AA110" i="57" s="1"/>
  <c r="Z118" i="57"/>
  <c r="AA118" i="57" s="1"/>
  <c r="Z112" i="57"/>
  <c r="AA112" i="57" s="1"/>
  <c r="Z120" i="57"/>
  <c r="AA120" i="57" s="1"/>
  <c r="Z116" i="57"/>
  <c r="AA116" i="57" s="1"/>
  <c r="Z123" i="57"/>
  <c r="AA123" i="57" s="1"/>
  <c r="Z126" i="57"/>
  <c r="AA126" i="57" s="1"/>
  <c r="Z128" i="57"/>
  <c r="AA128" i="57" s="1"/>
  <c r="Z124" i="57"/>
  <c r="AA124" i="57" s="1"/>
  <c r="Z131" i="57"/>
  <c r="AA131" i="57" s="1"/>
  <c r="Z134" i="57"/>
  <c r="AA134" i="57" s="1"/>
  <c r="Z136" i="57"/>
  <c r="AA136" i="57" s="1"/>
  <c r="Z132" i="57"/>
  <c r="AA132" i="57" s="1"/>
  <c r="Z109" i="57"/>
  <c r="AA109" i="57" s="1"/>
  <c r="Z111" i="57"/>
  <c r="AA111" i="57" s="1"/>
  <c r="Z113" i="57"/>
  <c r="AA113" i="57" s="1"/>
  <c r="Z114" i="57"/>
  <c r="AA114" i="57" s="1"/>
  <c r="Z117" i="57"/>
  <c r="AA117" i="57" s="1"/>
  <c r="Z119" i="57"/>
  <c r="AA119" i="57" s="1"/>
  <c r="Z121" i="57"/>
  <c r="AA121" i="57" s="1"/>
  <c r="Z122" i="57"/>
  <c r="AA122" i="57" s="1"/>
  <c r="Z125" i="57"/>
  <c r="AA125" i="57" s="1"/>
  <c r="Z127" i="57"/>
  <c r="AA127" i="57" s="1"/>
  <c r="Z129" i="57"/>
  <c r="AA129" i="57" s="1"/>
  <c r="Z130" i="57"/>
  <c r="AA130" i="57" s="1"/>
  <c r="Z133" i="57"/>
  <c r="AA133" i="57" s="1"/>
  <c r="V27" i="57"/>
  <c r="W27" i="57"/>
  <c r="W42" i="57"/>
  <c r="V42" i="57"/>
  <c r="W32" i="57"/>
  <c r="V32" i="57"/>
  <c r="W40" i="57"/>
  <c r="V40" i="57"/>
  <c r="W38" i="57"/>
  <c r="V38" i="57"/>
  <c r="W31" i="57"/>
  <c r="V31" i="57"/>
  <c r="W25" i="57"/>
  <c r="V25" i="57"/>
  <c r="Y25" i="57" s="1" a="1"/>
  <c r="V41" i="57"/>
  <c r="W41" i="57"/>
  <c r="V36" i="57"/>
  <c r="W36" i="57"/>
  <c r="V29" i="57"/>
  <c r="W29" i="57"/>
  <c r="W24" i="57"/>
  <c r="V24" i="57"/>
  <c r="AL43" i="57"/>
  <c r="AL39" i="57"/>
  <c r="AL35" i="57"/>
  <c r="AL31" i="57"/>
  <c r="AL27" i="57"/>
  <c r="AL41" i="57"/>
  <c r="AL37" i="57"/>
  <c r="AL33" i="57"/>
  <c r="AL29" i="57"/>
  <c r="AL25" i="57"/>
  <c r="AK40" i="57"/>
  <c r="AL34" i="57"/>
  <c r="AK29" i="57"/>
  <c r="AK24" i="57"/>
  <c r="AK39" i="57"/>
  <c r="AK34" i="57"/>
  <c r="AL28" i="57"/>
  <c r="AL24" i="57"/>
  <c r="AL38" i="57"/>
  <c r="AK33" i="57"/>
  <c r="AK28" i="57"/>
  <c r="AK43" i="57"/>
  <c r="AK38" i="57"/>
  <c r="AL32" i="57"/>
  <c r="AK27" i="57"/>
  <c r="AK35" i="57"/>
  <c r="AL42" i="57"/>
  <c r="AK37" i="57"/>
  <c r="AK32" i="57"/>
  <c r="AL26" i="57"/>
  <c r="AL30" i="57"/>
  <c r="AK30" i="57"/>
  <c r="AK42" i="57"/>
  <c r="AL36" i="57"/>
  <c r="AK31" i="57"/>
  <c r="AK26" i="57"/>
  <c r="AK41" i="57"/>
  <c r="AK36" i="57"/>
  <c r="AK25" i="57"/>
  <c r="AL40" i="57"/>
  <c r="W28" i="57"/>
  <c r="V28" i="57"/>
  <c r="W30" i="57"/>
  <c r="V30" i="57"/>
  <c r="W34" i="57"/>
  <c r="V34" i="57"/>
  <c r="W43" i="57"/>
  <c r="V43" i="57"/>
  <c r="V33" i="57"/>
  <c r="W33" i="57"/>
  <c r="W39" i="57"/>
  <c r="V39" i="57"/>
  <c r="V37" i="57"/>
  <c r="W37" i="57"/>
  <c r="W26" i="57"/>
  <c r="V26" i="57"/>
  <c r="W35" i="57"/>
  <c r="V35" i="57"/>
  <c r="AN38" i="57"/>
  <c r="AN30" i="57"/>
  <c r="AN42" i="57"/>
  <c r="AN34" i="57"/>
  <c r="AN26" i="57"/>
  <c r="AN36" i="57"/>
  <c r="AN25" i="57"/>
  <c r="AN35" i="57"/>
  <c r="AN24" i="57"/>
  <c r="AN33" i="57"/>
  <c r="AN27" i="57"/>
  <c r="AN43" i="57"/>
  <c r="AN32" i="57"/>
  <c r="AN39" i="57"/>
  <c r="AN41" i="57"/>
  <c r="AN31" i="57"/>
  <c r="AN37" i="57"/>
  <c r="AN40" i="57"/>
  <c r="AN29" i="57"/>
  <c r="AN28" i="57"/>
  <c r="K42" i="56"/>
  <c r="I42" i="55"/>
  <c r="H42" i="55"/>
  <c r="G42" i="55"/>
  <c r="AN25" i="48"/>
  <c r="V72" i="48"/>
  <c r="F72" i="48"/>
  <c r="U72" i="48"/>
  <c r="E72" i="48"/>
  <c r="R72" i="48"/>
  <c r="Q72" i="48"/>
  <c r="T105" i="48"/>
  <c r="N72" i="48"/>
  <c r="L105" i="48"/>
  <c r="M72" i="48"/>
  <c r="J72" i="48"/>
  <c r="I72" i="48"/>
  <c r="S105" i="48"/>
  <c r="K105" i="48"/>
  <c r="R105" i="48"/>
  <c r="J105" i="48"/>
  <c r="Q105" i="48"/>
  <c r="I105" i="48"/>
  <c r="X105" i="48"/>
  <c r="P105" i="48"/>
  <c r="H105" i="48"/>
  <c r="W105" i="48"/>
  <c r="O105" i="48"/>
  <c r="G105" i="48"/>
  <c r="V105" i="48"/>
  <c r="N105" i="48"/>
  <c r="F105" i="48"/>
  <c r="U105" i="48"/>
  <c r="M105" i="48"/>
  <c r="T72" i="48"/>
  <c r="L72" i="48"/>
  <c r="S72" i="48"/>
  <c r="K72" i="48"/>
  <c r="X72" i="48"/>
  <c r="P72" i="48"/>
  <c r="H72" i="48"/>
  <c r="W72" i="48"/>
  <c r="O72" i="48"/>
  <c r="V24" i="48" a="1"/>
  <c r="Q98" i="54"/>
  <c r="Q100" i="54"/>
  <c r="Q99" i="54"/>
  <c r="T133" i="54"/>
  <c r="T129" i="54"/>
  <c r="T130" i="54"/>
  <c r="T131" i="54"/>
  <c r="T132" i="54"/>
  <c r="Q93" i="54"/>
  <c r="Q94" i="54"/>
  <c r="Q96" i="54"/>
  <c r="Q97" i="54"/>
  <c r="V25" i="54"/>
  <c r="AE25" i="54" s="1"/>
  <c r="V41" i="54"/>
  <c r="AE41" i="54" s="1"/>
  <c r="I102" i="54"/>
  <c r="J102" i="54"/>
  <c r="M102" i="54"/>
  <c r="N102" i="54"/>
  <c r="Q102" i="54"/>
  <c r="R102" i="54"/>
  <c r="V29" i="54"/>
  <c r="AE29" i="54" s="1"/>
  <c r="E102" i="54"/>
  <c r="U102" i="54"/>
  <c r="V33" i="54"/>
  <c r="AE33" i="54" s="1"/>
  <c r="F102" i="54"/>
  <c r="V102" i="54"/>
  <c r="S7" i="54"/>
  <c r="W8" i="54"/>
  <c r="P24" i="54" a="1"/>
  <c r="S23" i="54" a="1"/>
  <c r="S23" i="54" s="1"/>
  <c r="X7" i="54"/>
  <c r="U8" i="54"/>
  <c r="M8" i="54"/>
  <c r="Y7" i="54"/>
  <c r="Q7" i="54"/>
  <c r="I7" i="54"/>
  <c r="AA8" i="54"/>
  <c r="S8" i="54"/>
  <c r="K8" i="54"/>
  <c r="W7" i="54"/>
  <c r="O7" i="54"/>
  <c r="Z8" i="54"/>
  <c r="R8" i="54"/>
  <c r="J8" i="54"/>
  <c r="V7" i="54"/>
  <c r="N7" i="54"/>
  <c r="Y8" i="54"/>
  <c r="Q8" i="54"/>
  <c r="I8" i="54"/>
  <c r="U7" i="54"/>
  <c r="M7" i="54"/>
  <c r="V8" i="54"/>
  <c r="N8" i="54"/>
  <c r="Z7" i="54"/>
  <c r="R7" i="54"/>
  <c r="J7" i="54"/>
  <c r="AA7" i="54"/>
  <c r="AB8" i="54"/>
  <c r="AB7" i="54"/>
  <c r="K7" i="54"/>
  <c r="L8" i="54"/>
  <c r="L7" i="54"/>
  <c r="O8" i="54"/>
  <c r="P7" i="54"/>
  <c r="P8" i="54"/>
  <c r="T8" i="54"/>
  <c r="Q91" i="54"/>
  <c r="Q89" i="54"/>
  <c r="Q86" i="54"/>
  <c r="Q83" i="54"/>
  <c r="Q85" i="54"/>
  <c r="Q84" i="54"/>
  <c r="Q92" i="54"/>
  <c r="Q88" i="54"/>
  <c r="Q87" i="54"/>
  <c r="Q90" i="54"/>
  <c r="T7" i="54"/>
  <c r="V37" i="54"/>
  <c r="AE37" i="54" s="1"/>
  <c r="Z28" i="54"/>
  <c r="Z40" i="54"/>
  <c r="V26" i="54"/>
  <c r="AE26" i="54" s="1"/>
  <c r="V30" i="54"/>
  <c r="AE30" i="54" s="1"/>
  <c r="V34" i="54"/>
  <c r="AE34" i="54" s="1"/>
  <c r="V38" i="54"/>
  <c r="AE38" i="54" s="1"/>
  <c r="V42" i="54"/>
  <c r="AE42" i="54" s="1"/>
  <c r="Z25" i="54"/>
  <c r="Z29" i="54"/>
  <c r="Z33" i="54"/>
  <c r="Z37" i="54"/>
  <c r="Z41" i="54"/>
  <c r="H69" i="54"/>
  <c r="X69" i="54"/>
  <c r="X100" i="54" s="1"/>
  <c r="T119" i="54"/>
  <c r="T124" i="54"/>
  <c r="W26" i="54"/>
  <c r="AF26" i="54" s="1"/>
  <c r="W30" i="54"/>
  <c r="AF30" i="54" s="1"/>
  <c r="W34" i="54"/>
  <c r="AF34" i="54" s="1"/>
  <c r="W38" i="54"/>
  <c r="AF38" i="54" s="1"/>
  <c r="W42" i="54"/>
  <c r="AF42" i="54" s="1"/>
  <c r="Y26" i="54"/>
  <c r="Y30" i="54"/>
  <c r="Y34" i="54"/>
  <c r="Y38" i="54"/>
  <c r="Y42" i="54"/>
  <c r="I69" i="54"/>
  <c r="L69" i="54"/>
  <c r="T126" i="54"/>
  <c r="V23" i="54"/>
  <c r="V27" i="54"/>
  <c r="AE27" i="54" s="1"/>
  <c r="V31" i="54"/>
  <c r="AE31" i="54" s="1"/>
  <c r="V35" i="54"/>
  <c r="AE35" i="54" s="1"/>
  <c r="V39" i="54"/>
  <c r="AE39" i="54" s="1"/>
  <c r="Z26" i="54"/>
  <c r="W23" i="54"/>
  <c r="AF23" i="54" s="1"/>
  <c r="W27" i="54"/>
  <c r="AF27" i="54" s="1"/>
  <c r="W31" i="54"/>
  <c r="AF31" i="54" s="1"/>
  <c r="W35" i="54"/>
  <c r="AF35" i="54" s="1"/>
  <c r="W39" i="54"/>
  <c r="AF39" i="54" s="1"/>
  <c r="Y23" i="54"/>
  <c r="Y27" i="54"/>
  <c r="Y31" i="54"/>
  <c r="Y35" i="54"/>
  <c r="Y39" i="54"/>
  <c r="M69" i="54"/>
  <c r="Z30" i="54"/>
  <c r="Z34" i="54"/>
  <c r="Z38" i="54"/>
  <c r="Z42" i="54"/>
  <c r="V24" i="54"/>
  <c r="AE24" i="54" s="1"/>
  <c r="V28" i="54"/>
  <c r="AE28" i="54" s="1"/>
  <c r="V32" i="54"/>
  <c r="AE32" i="54" s="1"/>
  <c r="V36" i="54"/>
  <c r="AE36" i="54" s="1"/>
  <c r="V40" i="54"/>
  <c r="AE40" i="54" s="1"/>
  <c r="Z23" i="54"/>
  <c r="Z27" i="54"/>
  <c r="Z31" i="54"/>
  <c r="Z35" i="54"/>
  <c r="Z39" i="54"/>
  <c r="P69" i="54"/>
  <c r="W24" i="54"/>
  <c r="AF24" i="54" s="1"/>
  <c r="W28" i="54"/>
  <c r="AF28" i="54" s="1"/>
  <c r="W32" i="54"/>
  <c r="AF32" i="54" s="1"/>
  <c r="W36" i="54"/>
  <c r="AF36" i="54" s="1"/>
  <c r="W40" i="54"/>
  <c r="AF40" i="54" s="1"/>
  <c r="Y24" i="54"/>
  <c r="Y28" i="54"/>
  <c r="Y32" i="54"/>
  <c r="Y36" i="54"/>
  <c r="Y40" i="54"/>
  <c r="W69" i="54"/>
  <c r="O69" i="54"/>
  <c r="G69" i="54"/>
  <c r="V69" i="54"/>
  <c r="N69" i="54"/>
  <c r="F69" i="54"/>
  <c r="S69" i="54"/>
  <c r="S100" i="54" s="1"/>
  <c r="K69" i="54"/>
  <c r="R69" i="54"/>
  <c r="J69" i="54"/>
  <c r="T69" i="54"/>
  <c r="Z24" i="54"/>
  <c r="Z32" i="54"/>
  <c r="Z36" i="54"/>
  <c r="W25" i="54"/>
  <c r="AF25" i="54" s="1"/>
  <c r="W29" i="54"/>
  <c r="AF29" i="54" s="1"/>
  <c r="W33" i="54"/>
  <c r="AF33" i="54" s="1"/>
  <c r="W37" i="54"/>
  <c r="AF37" i="54" s="1"/>
  <c r="Y25" i="54"/>
  <c r="Y29" i="54"/>
  <c r="Y33" i="54"/>
  <c r="Y37" i="54"/>
  <c r="E69" i="54"/>
  <c r="U69" i="54"/>
  <c r="T127" i="54"/>
  <c r="T123" i="54"/>
  <c r="T121" i="54"/>
  <c r="T125" i="54"/>
  <c r="T120" i="54"/>
  <c r="T122" i="54"/>
  <c r="G102" i="54"/>
  <c r="O102" i="54"/>
  <c r="W102" i="54"/>
  <c r="H102" i="54"/>
  <c r="P102" i="54"/>
  <c r="X102" i="54"/>
  <c r="X133" i="54" s="1"/>
  <c r="K102" i="54"/>
  <c r="S102" i="54"/>
  <c r="S133" i="54" s="1"/>
  <c r="L102" i="54"/>
  <c r="AH43" i="48"/>
  <c r="AH39" i="48"/>
  <c r="AH35" i="48"/>
  <c r="AH31" i="48"/>
  <c r="AH27" i="48"/>
  <c r="AI40" i="48"/>
  <c r="AI36" i="48"/>
  <c r="AI32" i="48"/>
  <c r="AI28" i="48"/>
  <c r="AI24" i="48"/>
  <c r="AH40" i="48"/>
  <c r="AH36" i="48"/>
  <c r="AH32" i="48"/>
  <c r="AH28" i="48"/>
  <c r="AH24" i="48"/>
  <c r="AI43" i="48"/>
  <c r="AI39" i="48"/>
  <c r="AI35" i="48"/>
  <c r="AI31" i="48"/>
  <c r="AI27" i="48"/>
  <c r="AI42" i="48"/>
  <c r="AI38" i="48"/>
  <c r="AI34" i="48"/>
  <c r="AI30" i="48"/>
  <c r="AI26" i="48"/>
  <c r="AH42" i="48"/>
  <c r="AH38" i="48"/>
  <c r="AH34" i="48"/>
  <c r="AH30" i="48"/>
  <c r="AH26" i="48"/>
  <c r="AI41" i="48"/>
  <c r="AI37" i="48"/>
  <c r="AI33" i="48"/>
  <c r="AI29" i="48"/>
  <c r="AI25" i="48"/>
  <c r="AH41" i="48"/>
  <c r="AH37" i="48"/>
  <c r="AH33" i="48"/>
  <c r="AH29" i="48"/>
  <c r="AE43" i="48"/>
  <c r="AN43" i="48" s="1"/>
  <c r="AE39" i="48"/>
  <c r="AN39" i="48" s="1"/>
  <c r="AE35" i="48"/>
  <c r="AN35" i="48" s="1"/>
  <c r="AE31" i="48"/>
  <c r="AN31" i="48" s="1"/>
  <c r="AE27" i="48"/>
  <c r="AN27" i="48" s="1"/>
  <c r="AF40" i="48"/>
  <c r="AO40" i="48" s="1"/>
  <c r="AF36" i="48"/>
  <c r="AO36" i="48" s="1"/>
  <c r="AF32" i="48"/>
  <c r="AO32" i="48" s="1"/>
  <c r="AF28" i="48"/>
  <c r="AO28" i="48" s="1"/>
  <c r="AF24" i="48"/>
  <c r="AO24" i="48" s="1"/>
  <c r="AE40" i="48"/>
  <c r="AN40" i="48" s="1"/>
  <c r="AE36" i="48"/>
  <c r="AN36" i="48" s="1"/>
  <c r="AE32" i="48"/>
  <c r="AN32" i="48" s="1"/>
  <c r="AE28" i="48"/>
  <c r="AN28" i="48" s="1"/>
  <c r="AE24" i="48"/>
  <c r="AN24" i="48" s="1"/>
  <c r="AF43" i="48"/>
  <c r="AO43" i="48" s="1"/>
  <c r="AF39" i="48"/>
  <c r="AO39" i="48" s="1"/>
  <c r="AF35" i="48"/>
  <c r="AO35" i="48" s="1"/>
  <c r="AF31" i="48"/>
  <c r="AO31" i="48" s="1"/>
  <c r="AF27" i="48"/>
  <c r="AF42" i="48"/>
  <c r="AO42" i="48" s="1"/>
  <c r="AF38" i="48"/>
  <c r="AO38" i="48" s="1"/>
  <c r="AF34" i="48"/>
  <c r="AO34" i="48" s="1"/>
  <c r="AF30" i="48"/>
  <c r="AO30" i="48" s="1"/>
  <c r="AF26" i="48"/>
  <c r="AO26" i="48" s="1"/>
  <c r="AE42" i="48"/>
  <c r="AN42" i="48" s="1"/>
  <c r="AE38" i="48"/>
  <c r="AN38" i="48" s="1"/>
  <c r="AE34" i="48"/>
  <c r="AN34" i="48" s="1"/>
  <c r="AE30" i="48"/>
  <c r="AN30" i="48" s="1"/>
  <c r="AE26" i="48"/>
  <c r="AN26" i="48" s="1"/>
  <c r="AF41" i="48"/>
  <c r="AO41" i="48" s="1"/>
  <c r="AF37" i="48"/>
  <c r="AO37" i="48" s="1"/>
  <c r="AF33" i="48"/>
  <c r="AO33" i="48" s="1"/>
  <c r="AF29" i="48"/>
  <c r="AO29" i="48" s="1"/>
  <c r="AF25" i="48"/>
  <c r="AE41" i="48"/>
  <c r="AN41" i="48" s="1"/>
  <c r="AE37" i="48"/>
  <c r="AN37" i="48" s="1"/>
  <c r="AE33" i="48"/>
  <c r="AN33" i="48" s="1"/>
  <c r="AE29" i="48"/>
  <c r="AN29" i="48" s="1"/>
  <c r="W7" i="48"/>
  <c r="O7" i="48"/>
  <c r="Z8" i="48"/>
  <c r="R8" i="48"/>
  <c r="J8" i="48"/>
  <c r="V7" i="48"/>
  <c r="N7" i="48"/>
  <c r="Y7" i="48"/>
  <c r="Q7" i="48"/>
  <c r="AB8" i="48"/>
  <c r="P7" i="48"/>
  <c r="S8" i="48"/>
  <c r="Y8" i="48"/>
  <c r="U7" i="48"/>
  <c r="X8" i="48"/>
  <c r="P8" i="48"/>
  <c r="AB7" i="48"/>
  <c r="T7" i="48"/>
  <c r="L7" i="48"/>
  <c r="U8" i="48"/>
  <c r="I7" i="48"/>
  <c r="T8" i="48"/>
  <c r="X7" i="48"/>
  <c r="AA8" i="48"/>
  <c r="Q8" i="48"/>
  <c r="M7" i="48"/>
  <c r="W8" i="48"/>
  <c r="O8" i="48"/>
  <c r="AA7" i="48"/>
  <c r="S7" i="48"/>
  <c r="K7" i="48"/>
  <c r="M8" i="48"/>
  <c r="L8" i="48"/>
  <c r="K8" i="48"/>
  <c r="I8" i="48"/>
  <c r="V8" i="48"/>
  <c r="N8" i="48"/>
  <c r="Z7" i="48"/>
  <c r="R7" i="48"/>
  <c r="AI140" i="38"/>
  <c r="AI128" i="38"/>
  <c r="AH138" i="38"/>
  <c r="AG132" i="38"/>
  <c r="AI142" i="38"/>
  <c r="AI134" i="38"/>
  <c r="AI126" i="38"/>
  <c r="AI120" i="38"/>
  <c r="AH142" i="38"/>
  <c r="AH134" i="38"/>
  <c r="AH130" i="38"/>
  <c r="AH120" i="38"/>
  <c r="AG142" i="38"/>
  <c r="AG136" i="38"/>
  <c r="AG128" i="38"/>
  <c r="AG124" i="38"/>
  <c r="AF144" i="38"/>
  <c r="AF142" i="38"/>
  <c r="AF138" i="38"/>
  <c r="AF134" i="38"/>
  <c r="AF130" i="38"/>
  <c r="AF126" i="38"/>
  <c r="AF122" i="38"/>
  <c r="AI145" i="38"/>
  <c r="AI141" i="38"/>
  <c r="AI137" i="38"/>
  <c r="AI133" i="38"/>
  <c r="AI131" i="38"/>
  <c r="AI129" i="38"/>
  <c r="AI127" i="38"/>
  <c r="AI125" i="38"/>
  <c r="AI123" i="38"/>
  <c r="AI121" i="38"/>
  <c r="AI119" i="38"/>
  <c r="AI136" i="38"/>
  <c r="AI130" i="38"/>
  <c r="AI122" i="38"/>
  <c r="AH144" i="38"/>
  <c r="AH136" i="38"/>
  <c r="AH128" i="38"/>
  <c r="AH122" i="38"/>
  <c r="AG140" i="38"/>
  <c r="AG134" i="38"/>
  <c r="AG126" i="38"/>
  <c r="AG122" i="38"/>
  <c r="AF140" i="38"/>
  <c r="AF136" i="38"/>
  <c r="AF132" i="38"/>
  <c r="AF128" i="38"/>
  <c r="AF124" i="38"/>
  <c r="AF120" i="38"/>
  <c r="AI143" i="38"/>
  <c r="AI139" i="38"/>
  <c r="AI135" i="38"/>
  <c r="AH145" i="38"/>
  <c r="AH143" i="38"/>
  <c r="AH141" i="38"/>
  <c r="AH139" i="38"/>
  <c r="AH137" i="38"/>
  <c r="AH135" i="38"/>
  <c r="AH133" i="38"/>
  <c r="AH131" i="38"/>
  <c r="AH129" i="38"/>
  <c r="AH127" i="38"/>
  <c r="AH125" i="38"/>
  <c r="AH123" i="38"/>
  <c r="AH121" i="38"/>
  <c r="AH119" i="38"/>
  <c r="AI138" i="38"/>
  <c r="AH126" i="38"/>
  <c r="AI144" i="38"/>
  <c r="AI132" i="38"/>
  <c r="AI124" i="38"/>
  <c r="AH140" i="38"/>
  <c r="AH132" i="38"/>
  <c r="AH124" i="38"/>
  <c r="AG144" i="38"/>
  <c r="AG138" i="38"/>
  <c r="AG130" i="38"/>
  <c r="AG120" i="38"/>
  <c r="AG145" i="38"/>
  <c r="AG143" i="38"/>
  <c r="AG141" i="38"/>
  <c r="AG139" i="38"/>
  <c r="AG137" i="38"/>
  <c r="AG135" i="38"/>
  <c r="AG133" i="38"/>
  <c r="AG131" i="38"/>
  <c r="AG129" i="38"/>
  <c r="AG127" i="38"/>
  <c r="AG125" i="38"/>
  <c r="AG123" i="38"/>
  <c r="AG121" i="38"/>
  <c r="AG119" i="38"/>
  <c r="AF145" i="38"/>
  <c r="AF143" i="38"/>
  <c r="AF141" i="38"/>
  <c r="AF139" i="38"/>
  <c r="AF137" i="38"/>
  <c r="AF135" i="38"/>
  <c r="AF133" i="38"/>
  <c r="AF131" i="38"/>
  <c r="AF129" i="38"/>
  <c r="AF127" i="38"/>
  <c r="AF125" i="38"/>
  <c r="AF123" i="38"/>
  <c r="AF121" i="38"/>
  <c r="T12" i="51"/>
  <c r="S12" i="51"/>
  <c r="R12" i="51"/>
  <c r="Q12" i="51"/>
  <c r="T9" i="51"/>
  <c r="Q9" i="51"/>
  <c r="P9" i="51"/>
  <c r="S9" i="51"/>
  <c r="V10" i="53"/>
  <c r="Y10" i="53"/>
  <c r="W10" i="53"/>
  <c r="O6" i="53"/>
  <c r="W3" i="53"/>
  <c r="X4" i="53"/>
  <c r="Y5" i="53"/>
  <c r="S7" i="53"/>
  <c r="T8" i="53"/>
  <c r="S3" i="53"/>
  <c r="T4" i="53"/>
  <c r="U5" i="53"/>
  <c r="V6" i="53"/>
  <c r="W7" i="53"/>
  <c r="X8" i="53"/>
  <c r="U14" i="53"/>
  <c r="V15" i="53"/>
  <c r="S4" i="53"/>
  <c r="T5" i="53"/>
  <c r="U6" i="53"/>
  <c r="V7" i="53"/>
  <c r="W8" i="53"/>
  <c r="T14" i="53"/>
  <c r="U15" i="53"/>
  <c r="O3" i="53"/>
  <c r="T3" i="53"/>
  <c r="U4" i="53"/>
  <c r="V5" i="53"/>
  <c r="W6" i="53"/>
  <c r="X7" i="53"/>
  <c r="Y8" i="53"/>
  <c r="V14" i="53"/>
  <c r="W15" i="53"/>
  <c r="O4" i="53"/>
  <c r="U3" i="53"/>
  <c r="V4" i="53"/>
  <c r="W5" i="53"/>
  <c r="X6" i="53"/>
  <c r="Y7" i="53"/>
  <c r="W14" i="53"/>
  <c r="X15" i="53"/>
  <c r="AA18" i="53"/>
  <c r="Z38" i="53"/>
  <c r="O5" i="53"/>
  <c r="V3" i="53"/>
  <c r="W4" i="53"/>
  <c r="X5" i="53"/>
  <c r="Y6" i="53"/>
  <c r="S8" i="53"/>
  <c r="X14" i="53"/>
  <c r="Y15" i="53"/>
  <c r="AA19" i="53"/>
  <c r="Z39" i="53"/>
  <c r="Y14" i="53"/>
  <c r="O7" i="53"/>
  <c r="X3" i="53"/>
  <c r="Y4" i="53"/>
  <c r="S6" i="53"/>
  <c r="T7" i="53"/>
  <c r="U8" i="53"/>
  <c r="S15" i="53"/>
  <c r="Y3" i="53"/>
  <c r="S5" i="53"/>
  <c r="T6" i="53"/>
  <c r="U7" i="53"/>
  <c r="S14" i="53"/>
  <c r="P10" i="66" l="1"/>
  <c r="S10" i="66" s="1"/>
  <c r="T58" i="66" a="1"/>
  <c r="AF64" i="66" s="1"/>
  <c r="P15" i="66"/>
  <c r="S15" i="66" s="1"/>
  <c r="P22" i="66"/>
  <c r="S22" i="66" s="1"/>
  <c r="P24" i="66"/>
  <c r="S24" i="66" s="1"/>
  <c r="P14" i="66"/>
  <c r="S14" i="66" s="1"/>
  <c r="P28" i="66"/>
  <c r="S28" i="66" s="1"/>
  <c r="P21" i="66"/>
  <c r="S21" i="66" s="1"/>
  <c r="P19" i="66"/>
  <c r="S19" i="66" s="1"/>
  <c r="P16" i="66"/>
  <c r="S16" i="66" s="1"/>
  <c r="P12" i="66"/>
  <c r="S12" i="66" s="1"/>
  <c r="P20" i="66"/>
  <c r="S20" i="66" s="1"/>
  <c r="P26" i="66"/>
  <c r="S26" i="66" s="1"/>
  <c r="P11" i="66"/>
  <c r="S11" i="66" s="1"/>
  <c r="P29" i="66"/>
  <c r="S29" i="66" s="1"/>
  <c r="P23" i="66"/>
  <c r="S23" i="66" s="1"/>
  <c r="P17" i="66"/>
  <c r="S17" i="66" s="1"/>
  <c r="P27" i="66"/>
  <c r="S27" i="66" s="1"/>
  <c r="P13" i="66"/>
  <c r="S13" i="66" s="1"/>
  <c r="P18" i="66"/>
  <c r="S18" i="66" s="1"/>
  <c r="P25" i="66"/>
  <c r="S25" i="66" s="1"/>
  <c r="AB52" i="63"/>
  <c r="AD52" i="63" s="1"/>
  <c r="AB53" i="63"/>
  <c r="AD53" i="63" s="1"/>
  <c r="W56" i="63"/>
  <c r="V56" i="63"/>
  <c r="Q24" i="48"/>
  <c r="W24" i="48" s="1"/>
  <c r="Z24" i="48" s="1"/>
  <c r="AC24" i="48" s="1"/>
  <c r="Q38" i="48"/>
  <c r="Q26" i="48"/>
  <c r="Q36" i="48"/>
  <c r="Q41" i="48"/>
  <c r="Q34" i="48"/>
  <c r="Q28" i="48"/>
  <c r="Q33" i="48"/>
  <c r="Q40" i="48"/>
  <c r="Q29" i="48"/>
  <c r="Q39" i="48"/>
  <c r="Q43" i="48"/>
  <c r="Q25" i="48"/>
  <c r="Q35" i="48"/>
  <c r="Q31" i="48"/>
  <c r="Q30" i="48"/>
  <c r="Q27" i="48"/>
  <c r="Q32" i="48"/>
  <c r="Q37" i="48"/>
  <c r="Q42" i="48"/>
  <c r="P24" i="48"/>
  <c r="V24" i="48" s="1"/>
  <c r="Y24" i="48" s="1"/>
  <c r="AB24" i="48" s="1"/>
  <c r="P30" i="48"/>
  <c r="P42" i="48"/>
  <c r="P32" i="48"/>
  <c r="P37" i="48"/>
  <c r="P34" i="48"/>
  <c r="P29" i="48"/>
  <c r="P26" i="48"/>
  <c r="P41" i="48"/>
  <c r="P36" i="48"/>
  <c r="P39" i="48"/>
  <c r="P38" i="48"/>
  <c r="P28" i="48"/>
  <c r="P27" i="48"/>
  <c r="P43" i="48"/>
  <c r="P33" i="48"/>
  <c r="P31" i="48"/>
  <c r="P35" i="48"/>
  <c r="P25" i="48"/>
  <c r="P40" i="48"/>
  <c r="B28" i="57"/>
  <c r="Z25" i="57"/>
  <c r="Y25" i="57"/>
  <c r="B30" i="57"/>
  <c r="B27" i="57"/>
  <c r="K42" i="55"/>
  <c r="Z74" i="48" a="1"/>
  <c r="Z74" i="48" s="1"/>
  <c r="AA74" i="48" s="1"/>
  <c r="Z107" i="48" a="1"/>
  <c r="Z107" i="48" s="1"/>
  <c r="AA107" i="48" s="1"/>
  <c r="V25" i="48" a="1"/>
  <c r="I94" i="54"/>
  <c r="I93" i="54"/>
  <c r="I90" i="54"/>
  <c r="I91" i="54"/>
  <c r="I92" i="54"/>
  <c r="F124" i="54"/>
  <c r="F122" i="54"/>
  <c r="F121" i="54"/>
  <c r="F123" i="54"/>
  <c r="F120" i="54"/>
  <c r="M129" i="54"/>
  <c r="M131" i="54"/>
  <c r="M128" i="54"/>
  <c r="M127" i="54"/>
  <c r="M130" i="54"/>
  <c r="G124" i="54"/>
  <c r="G122" i="54"/>
  <c r="G125" i="54"/>
  <c r="G121" i="54"/>
  <c r="G123" i="54"/>
  <c r="P131" i="54"/>
  <c r="P132" i="54"/>
  <c r="P130" i="54"/>
  <c r="P133" i="54"/>
  <c r="G91" i="54"/>
  <c r="G89" i="54"/>
  <c r="G92" i="54"/>
  <c r="G88" i="54"/>
  <c r="G90" i="54"/>
  <c r="J127" i="54"/>
  <c r="J126" i="54"/>
  <c r="J124" i="54"/>
  <c r="J128" i="54"/>
  <c r="J125" i="54"/>
  <c r="K129" i="54"/>
  <c r="K128" i="54"/>
  <c r="K125" i="54"/>
  <c r="K127" i="54"/>
  <c r="K126" i="54"/>
  <c r="L97" i="54"/>
  <c r="L96" i="54"/>
  <c r="L95" i="54"/>
  <c r="L94" i="54"/>
  <c r="L93" i="54"/>
  <c r="N129" i="54"/>
  <c r="N131" i="54"/>
  <c r="N128" i="54"/>
  <c r="N132" i="54"/>
  <c r="N130" i="54"/>
  <c r="H122" i="54"/>
  <c r="H125" i="54"/>
  <c r="H126" i="54"/>
  <c r="H123" i="54"/>
  <c r="H124" i="54"/>
  <c r="J95" i="54"/>
  <c r="J92" i="54"/>
  <c r="J94" i="54"/>
  <c r="J93" i="54"/>
  <c r="J91" i="54"/>
  <c r="O96" i="54"/>
  <c r="O98" i="54"/>
  <c r="O99" i="54"/>
  <c r="O97" i="54"/>
  <c r="O100" i="54"/>
  <c r="I125" i="54"/>
  <c r="I127" i="54"/>
  <c r="I126" i="54"/>
  <c r="I123" i="54"/>
  <c r="I124" i="54"/>
  <c r="R99" i="54"/>
  <c r="R100" i="54"/>
  <c r="E120" i="54"/>
  <c r="E119" i="54"/>
  <c r="E122" i="54"/>
  <c r="E121" i="54"/>
  <c r="E123" i="54"/>
  <c r="E90" i="54"/>
  <c r="E87" i="54"/>
  <c r="E86" i="54"/>
  <c r="E89" i="54"/>
  <c r="E88" i="54"/>
  <c r="N96" i="54"/>
  <c r="N98" i="54"/>
  <c r="N95" i="54"/>
  <c r="N99" i="54"/>
  <c r="N97" i="54"/>
  <c r="O129" i="54"/>
  <c r="O131" i="54"/>
  <c r="O132" i="54"/>
  <c r="O130" i="54"/>
  <c r="O133" i="54"/>
  <c r="K94" i="54"/>
  <c r="K93" i="54"/>
  <c r="K96" i="54"/>
  <c r="K95" i="54"/>
  <c r="K92" i="54"/>
  <c r="L130" i="54"/>
  <c r="L129" i="54"/>
  <c r="L128" i="54"/>
  <c r="L127" i="54"/>
  <c r="L126" i="54"/>
  <c r="M97" i="54"/>
  <c r="M96" i="54"/>
  <c r="M98" i="54"/>
  <c r="M95" i="54"/>
  <c r="M94" i="54"/>
  <c r="R132" i="54"/>
  <c r="R133" i="54"/>
  <c r="F87" i="54"/>
  <c r="F91" i="54"/>
  <c r="F89" i="54"/>
  <c r="F88" i="54"/>
  <c r="F90" i="54"/>
  <c r="P98" i="54"/>
  <c r="P99" i="54"/>
  <c r="P97" i="54"/>
  <c r="P100" i="54"/>
  <c r="H91" i="54"/>
  <c r="H89" i="54"/>
  <c r="H92" i="54"/>
  <c r="H93" i="54"/>
  <c r="H90" i="54"/>
  <c r="Q132" i="54"/>
  <c r="Q133" i="54"/>
  <c r="Q131" i="54"/>
  <c r="P129" i="54"/>
  <c r="P126" i="54"/>
  <c r="P127" i="54"/>
  <c r="P125" i="54"/>
  <c r="P128" i="54"/>
  <c r="F111" i="54"/>
  <c r="F118" i="54"/>
  <c r="F115" i="54"/>
  <c r="F119" i="54"/>
  <c r="F117" i="54"/>
  <c r="F116" i="54"/>
  <c r="M120" i="54"/>
  <c r="M122" i="54"/>
  <c r="M125" i="54"/>
  <c r="M124" i="54"/>
  <c r="M126" i="54"/>
  <c r="M123" i="54"/>
  <c r="H119" i="54"/>
  <c r="H117" i="54"/>
  <c r="H120" i="54"/>
  <c r="H121" i="54"/>
  <c r="H118" i="54"/>
  <c r="J114" i="54"/>
  <c r="J123" i="54"/>
  <c r="J120" i="54"/>
  <c r="J119" i="54"/>
  <c r="J122" i="54"/>
  <c r="J121" i="54"/>
  <c r="Q121" i="54"/>
  <c r="Q130" i="54"/>
  <c r="Q126" i="54"/>
  <c r="Q127" i="54"/>
  <c r="Q128" i="54"/>
  <c r="Q129" i="54"/>
  <c r="V125" i="54"/>
  <c r="V131" i="54"/>
  <c r="V132" i="54"/>
  <c r="V133" i="54"/>
  <c r="N122" i="54"/>
  <c r="N125" i="54"/>
  <c r="N127" i="54"/>
  <c r="N124" i="54"/>
  <c r="N126" i="54"/>
  <c r="N123" i="54"/>
  <c r="W133" i="54"/>
  <c r="W132" i="54"/>
  <c r="U120" i="54"/>
  <c r="U132" i="54"/>
  <c r="U131" i="54"/>
  <c r="U130" i="54"/>
  <c r="U133" i="54"/>
  <c r="I114" i="54"/>
  <c r="I119" i="54"/>
  <c r="I120" i="54"/>
  <c r="I122" i="54"/>
  <c r="I121" i="54"/>
  <c r="I118" i="54"/>
  <c r="O128" i="54"/>
  <c r="O125" i="54"/>
  <c r="O124" i="54"/>
  <c r="O126" i="54"/>
  <c r="O127" i="54"/>
  <c r="E104" i="54"/>
  <c r="Z104" i="54" s="1"/>
  <c r="AA104" i="54" s="1"/>
  <c r="E116" i="54"/>
  <c r="E118" i="54"/>
  <c r="E115" i="54"/>
  <c r="E114" i="54"/>
  <c r="E117" i="54"/>
  <c r="K123" i="54"/>
  <c r="K120" i="54"/>
  <c r="K122" i="54"/>
  <c r="K121" i="54"/>
  <c r="K124" i="54"/>
  <c r="L122" i="54"/>
  <c r="L121" i="54"/>
  <c r="L125" i="54"/>
  <c r="L124" i="54"/>
  <c r="L123" i="54"/>
  <c r="G119" i="54"/>
  <c r="G118" i="54"/>
  <c r="G117" i="54"/>
  <c r="G120" i="54"/>
  <c r="G116" i="54"/>
  <c r="S132" i="54"/>
  <c r="S131" i="54"/>
  <c r="S128" i="54"/>
  <c r="S130" i="54"/>
  <c r="S129" i="54"/>
  <c r="R123" i="54"/>
  <c r="R127" i="54"/>
  <c r="R131" i="54"/>
  <c r="R128" i="54"/>
  <c r="R130" i="54"/>
  <c r="R129" i="54"/>
  <c r="W99" i="54"/>
  <c r="W100" i="54"/>
  <c r="U100" i="54"/>
  <c r="U99" i="54"/>
  <c r="U98" i="54"/>
  <c r="U97" i="54"/>
  <c r="K91" i="54"/>
  <c r="K90" i="54"/>
  <c r="K87" i="54"/>
  <c r="K89" i="54"/>
  <c r="K88" i="54"/>
  <c r="E84" i="54"/>
  <c r="E83" i="54"/>
  <c r="E85" i="54"/>
  <c r="E82" i="54"/>
  <c r="E81" i="54"/>
  <c r="S97" i="54"/>
  <c r="S96" i="54"/>
  <c r="S95" i="54"/>
  <c r="S99" i="54"/>
  <c r="S98" i="54"/>
  <c r="F83" i="54"/>
  <c r="F85" i="54"/>
  <c r="F84" i="54"/>
  <c r="F82" i="54"/>
  <c r="F86" i="54"/>
  <c r="P94" i="54"/>
  <c r="P92" i="54"/>
  <c r="P95" i="54"/>
  <c r="P96" i="54"/>
  <c r="P93" i="54"/>
  <c r="M93" i="54"/>
  <c r="M90" i="54"/>
  <c r="M89" i="54"/>
  <c r="M92" i="54"/>
  <c r="M91" i="54"/>
  <c r="R98" i="54"/>
  <c r="R95" i="54"/>
  <c r="R97" i="54"/>
  <c r="R96" i="54"/>
  <c r="R94" i="54"/>
  <c r="N90" i="54"/>
  <c r="N94" i="54"/>
  <c r="N92" i="54"/>
  <c r="N91" i="54"/>
  <c r="N93" i="54"/>
  <c r="H85" i="54"/>
  <c r="H86" i="54"/>
  <c r="H88" i="54"/>
  <c r="H84" i="54"/>
  <c r="H87" i="54"/>
  <c r="V99" i="54"/>
  <c r="V98" i="54"/>
  <c r="V100" i="54"/>
  <c r="L91" i="54"/>
  <c r="L90" i="54"/>
  <c r="L89" i="54"/>
  <c r="L88" i="54"/>
  <c r="L92" i="54"/>
  <c r="T100" i="54"/>
  <c r="T99" i="54"/>
  <c r="T98" i="54"/>
  <c r="T97" i="54"/>
  <c r="T96" i="54"/>
  <c r="G83" i="54"/>
  <c r="G85" i="54"/>
  <c r="G86" i="54"/>
  <c r="G84" i="54"/>
  <c r="G87" i="54"/>
  <c r="I85" i="54"/>
  <c r="I86" i="54"/>
  <c r="I87" i="54"/>
  <c r="I89" i="54"/>
  <c r="I88" i="54"/>
  <c r="J86" i="54"/>
  <c r="J90" i="54"/>
  <c r="J87" i="54"/>
  <c r="J89" i="54"/>
  <c r="J88" i="54"/>
  <c r="O94" i="54"/>
  <c r="O92" i="54"/>
  <c r="O95" i="54"/>
  <c r="O91" i="54"/>
  <c r="O93" i="54"/>
  <c r="M119" i="54"/>
  <c r="J116" i="54"/>
  <c r="I116" i="54"/>
  <c r="F107" i="54"/>
  <c r="U129" i="54"/>
  <c r="I111" i="54"/>
  <c r="R117" i="54"/>
  <c r="R126" i="54"/>
  <c r="M116" i="54"/>
  <c r="M121" i="54"/>
  <c r="F105" i="54"/>
  <c r="J117" i="54"/>
  <c r="F114" i="54"/>
  <c r="M114" i="54"/>
  <c r="E108" i="54"/>
  <c r="F112" i="54"/>
  <c r="M115" i="54"/>
  <c r="M113" i="54"/>
  <c r="V121" i="54"/>
  <c r="F113" i="54"/>
  <c r="N116" i="54"/>
  <c r="F106" i="54"/>
  <c r="Q119" i="54"/>
  <c r="Q116" i="54"/>
  <c r="Q124" i="54"/>
  <c r="Q123" i="54"/>
  <c r="F110" i="54"/>
  <c r="F108" i="54"/>
  <c r="V122" i="54"/>
  <c r="V129" i="54"/>
  <c r="N119" i="54"/>
  <c r="J115" i="54"/>
  <c r="J113" i="54"/>
  <c r="J112" i="54"/>
  <c r="J109" i="54"/>
  <c r="J111" i="54"/>
  <c r="N113" i="54"/>
  <c r="F109" i="54"/>
  <c r="N120" i="54"/>
  <c r="N115" i="54"/>
  <c r="V126" i="54"/>
  <c r="U125" i="54"/>
  <c r="N117" i="54"/>
  <c r="V128" i="54"/>
  <c r="U128" i="54"/>
  <c r="R118" i="54"/>
  <c r="V127" i="54"/>
  <c r="J118" i="54"/>
  <c r="V130" i="54"/>
  <c r="N118" i="54"/>
  <c r="V124" i="54"/>
  <c r="J110" i="54"/>
  <c r="V123" i="54"/>
  <c r="E111" i="54"/>
  <c r="R122" i="54"/>
  <c r="R120" i="54"/>
  <c r="I112" i="54"/>
  <c r="I108" i="54"/>
  <c r="U121" i="54"/>
  <c r="Q122" i="54"/>
  <c r="Q125" i="54"/>
  <c r="Q117" i="54"/>
  <c r="Q118" i="54"/>
  <c r="Q120" i="54"/>
  <c r="U126" i="54"/>
  <c r="E106" i="54"/>
  <c r="N121" i="54"/>
  <c r="N114" i="54"/>
  <c r="R124" i="54"/>
  <c r="U122" i="54"/>
  <c r="E113" i="54"/>
  <c r="M112" i="54"/>
  <c r="M117" i="54"/>
  <c r="M118" i="54"/>
  <c r="R121" i="54"/>
  <c r="R125" i="54"/>
  <c r="U123" i="54"/>
  <c r="U127" i="54"/>
  <c r="I113" i="54"/>
  <c r="I110" i="54"/>
  <c r="I117" i="54"/>
  <c r="I115" i="54"/>
  <c r="I109" i="54"/>
  <c r="E112" i="54"/>
  <c r="E110" i="54"/>
  <c r="E109" i="54"/>
  <c r="E107" i="54"/>
  <c r="R119" i="54"/>
  <c r="U124" i="54"/>
  <c r="E105" i="54"/>
  <c r="K118" i="54"/>
  <c r="K117" i="54"/>
  <c r="K112" i="54"/>
  <c r="K111" i="54"/>
  <c r="K110" i="54"/>
  <c r="K115" i="54"/>
  <c r="K116" i="54"/>
  <c r="K119" i="54"/>
  <c r="K113" i="54"/>
  <c r="K114" i="54"/>
  <c r="R92" i="54"/>
  <c r="R87" i="54"/>
  <c r="R93" i="54"/>
  <c r="R85" i="54"/>
  <c r="R84" i="54"/>
  <c r="R90" i="54"/>
  <c r="R91" i="54"/>
  <c r="R88" i="54"/>
  <c r="R86" i="54"/>
  <c r="R89" i="54"/>
  <c r="W98" i="54"/>
  <c r="W94" i="54"/>
  <c r="W90" i="54"/>
  <c r="W96" i="54"/>
  <c r="W92" i="54"/>
  <c r="W89" i="54"/>
  <c r="W95" i="54"/>
  <c r="W93" i="54"/>
  <c r="W97" i="54"/>
  <c r="W91" i="54"/>
  <c r="X99" i="54"/>
  <c r="X95" i="54"/>
  <c r="X91" i="54"/>
  <c r="X96" i="54"/>
  <c r="X92" i="54"/>
  <c r="X97" i="54"/>
  <c r="X93" i="54"/>
  <c r="X98" i="54"/>
  <c r="X94" i="54"/>
  <c r="X90" i="54"/>
  <c r="L112" i="54"/>
  <c r="L114" i="54"/>
  <c r="L120" i="54"/>
  <c r="L115" i="54"/>
  <c r="L113" i="54"/>
  <c r="L119" i="54"/>
  <c r="L111" i="54"/>
  <c r="L118" i="54"/>
  <c r="L117" i="54"/>
  <c r="L116" i="54"/>
  <c r="W129" i="54"/>
  <c r="W125" i="54"/>
  <c r="W130" i="54"/>
  <c r="W126" i="54"/>
  <c r="W131" i="54"/>
  <c r="W127" i="54"/>
  <c r="W123" i="54"/>
  <c r="W128" i="54"/>
  <c r="W122" i="54"/>
  <c r="W124" i="54"/>
  <c r="S92" i="54"/>
  <c r="S87" i="54"/>
  <c r="S89" i="54"/>
  <c r="S94" i="54"/>
  <c r="S90" i="54"/>
  <c r="S88" i="54"/>
  <c r="S86" i="54"/>
  <c r="S85" i="54"/>
  <c r="S93" i="54"/>
  <c r="S91" i="54"/>
  <c r="H81" i="54"/>
  <c r="H78" i="54"/>
  <c r="H75" i="54"/>
  <c r="H80" i="54"/>
  <c r="H83" i="54"/>
  <c r="H82" i="54"/>
  <c r="H76" i="54"/>
  <c r="H79" i="54"/>
  <c r="H77" i="54"/>
  <c r="H74" i="54"/>
  <c r="O120" i="54"/>
  <c r="O115" i="54"/>
  <c r="O119" i="54"/>
  <c r="O116" i="54"/>
  <c r="O118" i="54"/>
  <c r="O117" i="54"/>
  <c r="O123" i="54"/>
  <c r="O121" i="54"/>
  <c r="O114" i="54"/>
  <c r="O122" i="54"/>
  <c r="U93" i="54"/>
  <c r="U88" i="54"/>
  <c r="U95" i="54"/>
  <c r="U91" i="54"/>
  <c r="U96" i="54"/>
  <c r="U89" i="54"/>
  <c r="U87" i="54"/>
  <c r="U94" i="54"/>
  <c r="U92" i="54"/>
  <c r="U90" i="54"/>
  <c r="F79" i="54"/>
  <c r="F74" i="54"/>
  <c r="F77" i="54"/>
  <c r="F76" i="54"/>
  <c r="F81" i="54"/>
  <c r="F78" i="54"/>
  <c r="F73" i="54"/>
  <c r="F72" i="54"/>
  <c r="F75" i="54"/>
  <c r="F80" i="54"/>
  <c r="L80" i="54"/>
  <c r="L86" i="54"/>
  <c r="L83" i="54"/>
  <c r="L81" i="54"/>
  <c r="L78" i="54"/>
  <c r="L87" i="54"/>
  <c r="L85" i="54"/>
  <c r="L79" i="54"/>
  <c r="L84" i="54"/>
  <c r="L82" i="54"/>
  <c r="E78" i="54"/>
  <c r="E75" i="54"/>
  <c r="E77" i="54"/>
  <c r="E76" i="54"/>
  <c r="E74" i="54"/>
  <c r="E73" i="54"/>
  <c r="E79" i="54"/>
  <c r="E72" i="54"/>
  <c r="E71" i="54"/>
  <c r="Z71" i="54" s="1"/>
  <c r="AA71" i="54" s="1"/>
  <c r="E80" i="54"/>
  <c r="P120" i="54"/>
  <c r="P115" i="54"/>
  <c r="P122" i="54"/>
  <c r="P118" i="54"/>
  <c r="P117" i="54"/>
  <c r="P123" i="54"/>
  <c r="P121" i="54"/>
  <c r="P124" i="54"/>
  <c r="P119" i="54"/>
  <c r="P116" i="54"/>
  <c r="V94" i="54"/>
  <c r="V90" i="54"/>
  <c r="V95" i="54"/>
  <c r="V91" i="54"/>
  <c r="V96" i="54"/>
  <c r="V92" i="54"/>
  <c r="V88" i="54"/>
  <c r="V89" i="54"/>
  <c r="V93" i="54"/>
  <c r="V97" i="54"/>
  <c r="X129" i="54"/>
  <c r="X125" i="54"/>
  <c r="X131" i="54"/>
  <c r="X127" i="54"/>
  <c r="X123" i="54"/>
  <c r="X128" i="54"/>
  <c r="X130" i="54"/>
  <c r="X126" i="54"/>
  <c r="X132" i="54"/>
  <c r="X124" i="54"/>
  <c r="G110" i="54"/>
  <c r="G109" i="54"/>
  <c r="G115" i="54"/>
  <c r="G112" i="54"/>
  <c r="G107" i="54"/>
  <c r="G106" i="54"/>
  <c r="G113" i="54"/>
  <c r="G111" i="54"/>
  <c r="G108" i="54"/>
  <c r="G114" i="54"/>
  <c r="N85" i="54"/>
  <c r="N84" i="54"/>
  <c r="N87" i="54"/>
  <c r="N82" i="54"/>
  <c r="N80" i="54"/>
  <c r="N88" i="54"/>
  <c r="N81" i="54"/>
  <c r="N86" i="54"/>
  <c r="N83" i="54"/>
  <c r="N89" i="54"/>
  <c r="S118" i="54"/>
  <c r="S127" i="54"/>
  <c r="S123" i="54"/>
  <c r="S124" i="54"/>
  <c r="S125" i="54"/>
  <c r="S120" i="54"/>
  <c r="S119" i="54"/>
  <c r="S121" i="54"/>
  <c r="S122" i="54"/>
  <c r="S126" i="54"/>
  <c r="H115" i="54"/>
  <c r="H113" i="54"/>
  <c r="H112" i="54"/>
  <c r="H107" i="54"/>
  <c r="H114" i="54"/>
  <c r="H110" i="54"/>
  <c r="H116" i="54"/>
  <c r="H109" i="54"/>
  <c r="H111" i="54"/>
  <c r="H108" i="54"/>
  <c r="T89" i="54"/>
  <c r="T93" i="54"/>
  <c r="T86" i="54"/>
  <c r="T94" i="54"/>
  <c r="T90" i="54"/>
  <c r="T88" i="54"/>
  <c r="T95" i="54"/>
  <c r="T91" i="54"/>
  <c r="T87" i="54"/>
  <c r="T92" i="54"/>
  <c r="G79" i="54"/>
  <c r="G74" i="54"/>
  <c r="G81" i="54"/>
  <c r="G82" i="54"/>
  <c r="G80" i="54"/>
  <c r="G73" i="54"/>
  <c r="G78" i="54"/>
  <c r="G76" i="54"/>
  <c r="G75" i="54"/>
  <c r="G77" i="54"/>
  <c r="M86" i="54"/>
  <c r="M83" i="54"/>
  <c r="M85" i="54"/>
  <c r="M84" i="54"/>
  <c r="M88" i="54"/>
  <c r="M87" i="54"/>
  <c r="M79" i="54"/>
  <c r="M80" i="54"/>
  <c r="M82" i="54"/>
  <c r="M81" i="54"/>
  <c r="AE23" i="54"/>
  <c r="B27" i="54" s="1"/>
  <c r="AB23" i="54" a="1"/>
  <c r="J77" i="54"/>
  <c r="J76" i="54"/>
  <c r="J82" i="54"/>
  <c r="J85" i="54"/>
  <c r="J84" i="54"/>
  <c r="J79" i="54"/>
  <c r="J80" i="54"/>
  <c r="J81" i="54"/>
  <c r="J83" i="54"/>
  <c r="J78" i="54"/>
  <c r="O90" i="54"/>
  <c r="O88" i="54"/>
  <c r="O81" i="54"/>
  <c r="O87" i="54"/>
  <c r="O82" i="54"/>
  <c r="O89" i="54"/>
  <c r="O85" i="54"/>
  <c r="O84" i="54"/>
  <c r="O86" i="54"/>
  <c r="O83" i="54"/>
  <c r="P88" i="54"/>
  <c r="P91" i="54"/>
  <c r="P89" i="54"/>
  <c r="P86" i="54"/>
  <c r="P83" i="54"/>
  <c r="P90" i="54"/>
  <c r="P84" i="54"/>
  <c r="P82" i="54"/>
  <c r="P87" i="54"/>
  <c r="P85" i="54"/>
  <c r="Q24" i="54"/>
  <c r="P24" i="54"/>
  <c r="K82" i="54"/>
  <c r="K80" i="54"/>
  <c r="K79" i="54"/>
  <c r="K81" i="54"/>
  <c r="K85" i="54"/>
  <c r="K77" i="54"/>
  <c r="K84" i="54"/>
  <c r="K86" i="54"/>
  <c r="K83" i="54"/>
  <c r="K78" i="54"/>
  <c r="I78" i="54"/>
  <c r="I75" i="54"/>
  <c r="I77" i="54"/>
  <c r="I76" i="54"/>
  <c r="I83" i="54"/>
  <c r="I84" i="54"/>
  <c r="I79" i="54"/>
  <c r="I80" i="54"/>
  <c r="I82" i="54"/>
  <c r="I81" i="54"/>
  <c r="B27" i="48"/>
  <c r="AK24" i="48" a="1"/>
  <c r="AL24" i="48" s="1"/>
  <c r="AK119" i="38" a="1"/>
  <c r="V12" i="53" a="1"/>
  <c r="V12" i="53" s="1"/>
  <c r="V18" i="53" a="1"/>
  <c r="V38" i="53" a="1"/>
  <c r="Z54" i="53" a="1"/>
  <c r="AA22" i="53"/>
  <c r="Z60" i="66" l="1"/>
  <c r="AK75" i="66"/>
  <c r="AI68" i="66"/>
  <c r="T62" i="66"/>
  <c r="Y58" i="66"/>
  <c r="T64" i="66"/>
  <c r="V74" i="66"/>
  <c r="AL66" i="66"/>
  <c r="AH59" i="66"/>
  <c r="AE67" i="66"/>
  <c r="Y75" i="66"/>
  <c r="AC67" i="66"/>
  <c r="Y60" i="66"/>
  <c r="AM66" i="66"/>
  <c r="AJ75" i="66"/>
  <c r="AF68" i="66"/>
  <c r="AB61" i="66"/>
  <c r="AE74" i="66"/>
  <c r="W63" i="66"/>
  <c r="AH72" i="66"/>
  <c r="Z61" i="66"/>
  <c r="U72" i="66"/>
  <c r="AK64" i="66"/>
  <c r="AA73" i="66"/>
  <c r="Z70" i="66"/>
  <c r="AF75" i="66"/>
  <c r="AB68" i="66"/>
  <c r="X61" i="66"/>
  <c r="AA74" i="66"/>
  <c r="AI67" i="66"/>
  <c r="AM59" i="66"/>
  <c r="V73" i="66"/>
  <c r="AL65" i="66"/>
  <c r="AH58" i="66"/>
  <c r="AK71" i="66"/>
  <c r="AG64" i="66"/>
  <c r="AJ77" i="66"/>
  <c r="AF70" i="66"/>
  <c r="AB63" i="66"/>
  <c r="AD67" i="66"/>
  <c r="U68" i="66"/>
  <c r="X69" i="66"/>
  <c r="AL73" i="66"/>
  <c r="AG72" i="66"/>
  <c r="AD71" i="66"/>
  <c r="AM74" i="66"/>
  <c r="U58" i="66"/>
  <c r="AD73" i="66"/>
  <c r="Z66" i="66"/>
  <c r="V59" i="66"/>
  <c r="AA66" i="66"/>
  <c r="AG74" i="66"/>
  <c r="AK66" i="66"/>
  <c r="AG59" i="66"/>
  <c r="AI65" i="66"/>
  <c r="X75" i="66"/>
  <c r="T68" i="66"/>
  <c r="AJ60" i="66"/>
  <c r="AM73" i="66"/>
  <c r="AE62" i="66"/>
  <c r="V72" i="66"/>
  <c r="V60" i="66"/>
  <c r="AC71" i="66"/>
  <c r="Y64" i="66"/>
  <c r="W72" i="66"/>
  <c r="V69" i="66"/>
  <c r="T75" i="66"/>
  <c r="AJ67" i="66"/>
  <c r="AF60" i="66"/>
  <c r="AI73" i="66"/>
  <c r="W67" i="66"/>
  <c r="AA59" i="66"/>
  <c r="AD72" i="66"/>
  <c r="Z65" i="66"/>
  <c r="V58" i="66"/>
  <c r="Y71" i="66"/>
  <c r="U64" i="66"/>
  <c r="X77" i="66"/>
  <c r="T70" i="66"/>
  <c r="AJ62" i="66"/>
  <c r="AH74" i="66"/>
  <c r="W68" i="66"/>
  <c r="AK60" i="66"/>
  <c r="AB76" i="66"/>
  <c r="AI63" i="66"/>
  <c r="AL61" i="66"/>
  <c r="AC65" i="66"/>
  <c r="X76" i="66"/>
  <c r="T69" i="66"/>
  <c r="AJ61" i="66"/>
  <c r="AA68" i="66"/>
  <c r="AE60" i="66"/>
  <c r="AH73" i="66"/>
  <c r="AD66" i="66"/>
  <c r="Z59" i="66"/>
  <c r="X71" i="66"/>
  <c r="AL72" i="66"/>
  <c r="AH65" i="66"/>
  <c r="AD58" i="66"/>
  <c r="W65" i="66"/>
  <c r="U74" i="66"/>
  <c r="Y66" i="66"/>
  <c r="U59" i="66"/>
  <c r="AE64" i="66"/>
  <c r="AF74" i="66"/>
  <c r="AB67" i="66"/>
  <c r="X60" i="66"/>
  <c r="AI72" i="66"/>
  <c r="AM61" i="66"/>
  <c r="AL70" i="66"/>
  <c r="Z58" i="66"/>
  <c r="AK70" i="66"/>
  <c r="AG63" i="66"/>
  <c r="AM70" i="66"/>
  <c r="Z67" i="66"/>
  <c r="AB74" i="66"/>
  <c r="X67" i="66"/>
  <c r="T60" i="66"/>
  <c r="W73" i="66"/>
  <c r="AE66" i="66"/>
  <c r="AI58" i="66"/>
  <c r="AL71" i="66"/>
  <c r="AH64" i="66"/>
  <c r="AK77" i="66"/>
  <c r="AG70" i="66"/>
  <c r="AC63" i="66"/>
  <c r="AF76" i="66"/>
  <c r="AB69" i="66"/>
  <c r="X62" i="66"/>
  <c r="W75" i="66"/>
  <c r="Z72" i="66"/>
  <c r="V65" i="66"/>
  <c r="AI77" i="66"/>
  <c r="AM63" i="66"/>
  <c r="AC73" i="66"/>
  <c r="AG65" i="66"/>
  <c r="AC58" i="66"/>
  <c r="AA63" i="66"/>
  <c r="T74" i="66"/>
  <c r="AJ66" i="66"/>
  <c r="AF59" i="66"/>
  <c r="AE71" i="66"/>
  <c r="AA61" i="66"/>
  <c r="AH69" i="66"/>
  <c r="AC77" i="66"/>
  <c r="Y70" i="66"/>
  <c r="U63" i="66"/>
  <c r="AI69" i="66"/>
  <c r="AD65" i="66"/>
  <c r="AJ73" i="66"/>
  <c r="AF66" i="66"/>
  <c r="AB59" i="66"/>
  <c r="AE72" i="66"/>
  <c r="AA65" i="66"/>
  <c r="W58" i="66"/>
  <c r="Z71" i="66"/>
  <c r="V64" i="66"/>
  <c r="Y77" i="66"/>
  <c r="U70" i="66"/>
  <c r="AK62" i="66"/>
  <c r="T76" i="66"/>
  <c r="AJ68" i="66"/>
  <c r="AF61" i="66"/>
  <c r="AC72" i="66"/>
  <c r="AH71" i="66"/>
  <c r="AD64" i="66"/>
  <c r="AE76" i="66"/>
  <c r="AI62" i="66"/>
  <c r="AK72" i="66"/>
  <c r="U65" i="66"/>
  <c r="W77" i="66"/>
  <c r="W62" i="66"/>
  <c r="AB73" i="66"/>
  <c r="X66" i="66"/>
  <c r="T59" i="66"/>
  <c r="AA70" i="66"/>
  <c r="AI60" i="66"/>
  <c r="AD68" i="66"/>
  <c r="AK76" i="66"/>
  <c r="AG69" i="66"/>
  <c r="AC62" i="66"/>
  <c r="AE68" i="66"/>
  <c r="AH63" i="66"/>
  <c r="X73" i="66"/>
  <c r="T66" i="66"/>
  <c r="AJ58" i="66"/>
  <c r="AM71" i="66"/>
  <c r="AI64" i="66"/>
  <c r="AL77" i="66"/>
  <c r="AH70" i="66"/>
  <c r="AD63" i="66"/>
  <c r="AG76" i="66"/>
  <c r="AC69" i="66"/>
  <c r="Y62" i="66"/>
  <c r="AB75" i="66"/>
  <c r="X68" i="66"/>
  <c r="T61" i="66"/>
  <c r="Y65" i="66"/>
  <c r="V71" i="66"/>
  <c r="AL63" i="66"/>
  <c r="AA75" i="66"/>
  <c r="AM60" i="66"/>
  <c r="Y72" i="66"/>
  <c r="AC64" i="66"/>
  <c r="AM75" i="66"/>
  <c r="AE61" i="66"/>
  <c r="AJ72" i="66"/>
  <c r="AF65" i="66"/>
  <c r="AB58" i="66"/>
  <c r="W69" i="66"/>
  <c r="W60" i="66"/>
  <c r="AL67" i="66"/>
  <c r="Y76" i="66"/>
  <c r="U69" i="66"/>
  <c r="AK61" i="66"/>
  <c r="W66" i="66"/>
  <c r="AD62" i="66"/>
  <c r="AF72" i="66"/>
  <c r="AB65" i="66"/>
  <c r="X58" i="66"/>
  <c r="AA71" i="66"/>
  <c r="W64" i="66"/>
  <c r="Z77" i="66"/>
  <c r="V70" i="66"/>
  <c r="AL62" i="66"/>
  <c r="U76" i="66"/>
  <c r="AK68" i="66"/>
  <c r="AG61" i="66"/>
  <c r="AJ74" i="66"/>
  <c r="AF67" i="66"/>
  <c r="AB60" i="66"/>
  <c r="AH77" i="66"/>
  <c r="AD70" i="66"/>
  <c r="Z63" i="66"/>
  <c r="W74" i="66"/>
  <c r="AA60" i="66"/>
  <c r="AG71" i="66"/>
  <c r="AK63" i="66"/>
  <c r="AI74" i="66"/>
  <c r="AI59" i="66"/>
  <c r="X72" i="66"/>
  <c r="T65" i="66"/>
  <c r="AE77" i="66"/>
  <c r="AA67" i="66"/>
  <c r="AE59" i="66"/>
  <c r="AH66" i="66"/>
  <c r="AG75" i="66"/>
  <c r="AC68" i="66"/>
  <c r="Y61" i="66"/>
  <c r="AM58" i="66"/>
  <c r="AH60" i="66"/>
  <c r="T72" i="66"/>
  <c r="AJ64" i="66"/>
  <c r="AM77" i="66"/>
  <c r="AI70" i="66"/>
  <c r="AE63" i="66"/>
  <c r="AH76" i="66"/>
  <c r="AD69" i="66"/>
  <c r="Z62" i="66"/>
  <c r="AC75" i="66"/>
  <c r="Y68" i="66"/>
  <c r="U61" i="66"/>
  <c r="X74" i="66"/>
  <c r="T67" i="66"/>
  <c r="AJ59" i="66"/>
  <c r="V77" i="66"/>
  <c r="AL69" i="66"/>
  <c r="AH62" i="66"/>
  <c r="AM72" i="66"/>
  <c r="W59" i="66"/>
  <c r="U71" i="66"/>
  <c r="Y63" i="66"/>
  <c r="AE73" i="66"/>
  <c r="AE58" i="66"/>
  <c r="AF71" i="66"/>
  <c r="AB64" i="66"/>
  <c r="AM67" i="66"/>
  <c r="AI66" i="66"/>
  <c r="AA58" i="66"/>
  <c r="AK67" i="66"/>
  <c r="AG60" i="66"/>
  <c r="AL76" i="66"/>
  <c r="AD59" i="66"/>
  <c r="AB71" i="66"/>
  <c r="X64" i="66"/>
  <c r="AA77" i="66"/>
  <c r="AM65" i="66"/>
  <c r="AM62" i="66"/>
  <c r="V76" i="66"/>
  <c r="AL68" i="66"/>
  <c r="AH61" i="66"/>
  <c r="AK74" i="66"/>
  <c r="AG67" i="66"/>
  <c r="AC60" i="66"/>
  <c r="AF73" i="66"/>
  <c r="AB66" i="66"/>
  <c r="X59" i="66"/>
  <c r="V66" i="66"/>
  <c r="AD76" i="66"/>
  <c r="Z69" i="66"/>
  <c r="V62" i="66"/>
  <c r="AI71" i="66"/>
  <c r="AG77" i="66"/>
  <c r="AC70" i="66"/>
  <c r="AG62" i="66"/>
  <c r="AA72" i="66"/>
  <c r="Y69" i="66"/>
  <c r="T71" i="66"/>
  <c r="AJ63" i="66"/>
  <c r="AM76" i="66"/>
  <c r="AE65" i="66"/>
  <c r="AD77" i="66"/>
  <c r="AL64" i="66"/>
  <c r="AC74" i="66"/>
  <c r="Y67" i="66"/>
  <c r="U60" i="66"/>
  <c r="AH75" i="66"/>
  <c r="AL58" i="66"/>
  <c r="AJ70" i="66"/>
  <c r="AF63" i="66"/>
  <c r="AI76" i="66"/>
  <c r="W70" i="66"/>
  <c r="AA62" i="66"/>
  <c r="AD75" i="66"/>
  <c r="Z68" i="66"/>
  <c r="V61" i="66"/>
  <c r="Y74" i="66"/>
  <c r="U67" i="66"/>
  <c r="AK59" i="66"/>
  <c r="T73" i="66"/>
  <c r="AJ65" i="66"/>
  <c r="AF58" i="66"/>
  <c r="U75" i="66"/>
  <c r="AL75" i="66"/>
  <c r="AH68" i="66"/>
  <c r="AD61" i="66"/>
  <c r="AE70" i="66"/>
  <c r="U77" i="66"/>
  <c r="AK69" i="66"/>
  <c r="U62" i="66"/>
  <c r="W71" i="66"/>
  <c r="AF77" i="66"/>
  <c r="AB70" i="66"/>
  <c r="X63" i="66"/>
  <c r="AA76" i="66"/>
  <c r="AM64" i="66"/>
  <c r="Z76" i="66"/>
  <c r="Z64" i="66"/>
  <c r="AK73" i="66"/>
  <c r="AG66" i="66"/>
  <c r="AC59" i="66"/>
  <c r="AD74" i="66"/>
  <c r="AB77" i="66"/>
  <c r="X70" i="66"/>
  <c r="T63" i="66"/>
  <c r="W76" i="66"/>
  <c r="AE69" i="66"/>
  <c r="AI61" i="66"/>
  <c r="AL74" i="66"/>
  <c r="AH67" i="66"/>
  <c r="AD60" i="66"/>
  <c r="AG73" i="66"/>
  <c r="AC66" i="66"/>
  <c r="Y59" i="66"/>
  <c r="AB72" i="66"/>
  <c r="X65" i="66"/>
  <c r="T58" i="66"/>
  <c r="Z75" i="66"/>
  <c r="V68" i="66"/>
  <c r="AL60" i="66"/>
  <c r="AA69" i="66"/>
  <c r="AC76" i="66"/>
  <c r="AG68" i="66"/>
  <c r="AC61" i="66"/>
  <c r="AM69" i="66"/>
  <c r="T77" i="66"/>
  <c r="AJ69" i="66"/>
  <c r="AF62" i="66"/>
  <c r="AI75" i="66"/>
  <c r="AA64" i="66"/>
  <c r="V75" i="66"/>
  <c r="V63" i="66"/>
  <c r="Y73" i="66"/>
  <c r="U66" i="66"/>
  <c r="AK58" i="66"/>
  <c r="Z73" i="66"/>
  <c r="AJ76" i="66"/>
  <c r="AF69" i="66"/>
  <c r="AB62" i="66"/>
  <c r="AE75" i="66"/>
  <c r="AM68" i="66"/>
  <c r="W61" i="66"/>
  <c r="Z74" i="66"/>
  <c r="V67" i="66"/>
  <c r="AL59" i="66"/>
  <c r="U73" i="66"/>
  <c r="AK65" i="66"/>
  <c r="AG58" i="66"/>
  <c r="AJ71" i="66"/>
  <c r="AD57" i="63"/>
  <c r="AE56" i="63"/>
  <c r="W25" i="48"/>
  <c r="B29" i="57"/>
  <c r="Y26" i="57" a="1"/>
  <c r="Z79" i="48"/>
  <c r="AA79" i="48" s="1"/>
  <c r="Z80" i="48"/>
  <c r="AA80" i="48" s="1"/>
  <c r="Z86" i="48"/>
  <c r="AA86" i="48" s="1"/>
  <c r="Z102" i="48"/>
  <c r="AA102" i="48" s="1"/>
  <c r="Z87" i="48"/>
  <c r="AA87" i="48" s="1"/>
  <c r="Z95" i="48"/>
  <c r="AA95" i="48" s="1"/>
  <c r="Z97" i="48"/>
  <c r="AA97" i="48" s="1"/>
  <c r="Z81" i="48"/>
  <c r="AA81" i="48" s="1"/>
  <c r="Z96" i="48"/>
  <c r="AA96" i="48" s="1"/>
  <c r="Z75" i="48"/>
  <c r="AA75" i="48" s="1"/>
  <c r="Z99" i="48"/>
  <c r="AA99" i="48" s="1"/>
  <c r="Z90" i="48"/>
  <c r="AA90" i="48" s="1"/>
  <c r="Z82" i="48"/>
  <c r="AA82" i="48" s="1"/>
  <c r="Z83" i="48"/>
  <c r="AA83" i="48" s="1"/>
  <c r="Z98" i="48"/>
  <c r="AA98" i="48" s="1"/>
  <c r="Z101" i="48"/>
  <c r="AA101" i="48" s="1"/>
  <c r="Z100" i="48"/>
  <c r="AA100" i="48" s="1"/>
  <c r="Z91" i="48"/>
  <c r="AA91" i="48" s="1"/>
  <c r="Z88" i="48"/>
  <c r="AA88" i="48" s="1"/>
  <c r="Z85" i="48"/>
  <c r="AA85" i="48" s="1"/>
  <c r="Z89" i="48"/>
  <c r="AA89" i="48" s="1"/>
  <c r="Z93" i="48"/>
  <c r="AA93" i="48" s="1"/>
  <c r="Z92" i="48"/>
  <c r="AA92" i="48" s="1"/>
  <c r="Z84" i="48"/>
  <c r="AA84" i="48" s="1"/>
  <c r="Z77" i="48"/>
  <c r="AA77" i="48" s="1"/>
  <c r="Z76" i="48"/>
  <c r="AA76" i="48" s="1"/>
  <c r="Z103" i="48"/>
  <c r="AA103" i="48" s="1"/>
  <c r="Z94" i="48"/>
  <c r="AA94" i="48" s="1"/>
  <c r="Z78" i="48"/>
  <c r="AA78" i="48" s="1"/>
  <c r="Z124" i="48"/>
  <c r="AA124" i="48" s="1"/>
  <c r="Z115" i="48"/>
  <c r="AA115" i="48" s="1"/>
  <c r="Z108" i="48"/>
  <c r="AA108" i="48" s="1"/>
  <c r="Z127" i="48"/>
  <c r="AA127" i="48" s="1"/>
  <c r="Z128" i="48"/>
  <c r="AA128" i="48" s="1"/>
  <c r="Z134" i="48"/>
  <c r="AA134" i="48" s="1"/>
  <c r="Z130" i="48"/>
  <c r="AA130" i="48" s="1"/>
  <c r="Z114" i="48"/>
  <c r="AA114" i="48" s="1"/>
  <c r="Z125" i="48"/>
  <c r="AA125" i="48" s="1"/>
  <c r="Z113" i="48"/>
  <c r="AA113" i="48" s="1"/>
  <c r="Z120" i="48"/>
  <c r="AA120" i="48" s="1"/>
  <c r="Z135" i="48"/>
  <c r="AA135" i="48" s="1"/>
  <c r="Z123" i="48"/>
  <c r="AA123" i="48" s="1"/>
  <c r="Z111" i="48"/>
  <c r="AA111" i="48" s="1"/>
  <c r="Z112" i="48"/>
  <c r="AA112" i="48" s="1"/>
  <c r="Z110" i="48"/>
  <c r="AA110" i="48" s="1"/>
  <c r="Z118" i="48"/>
  <c r="AA118" i="48" s="1"/>
  <c r="Z133" i="48"/>
  <c r="AA133" i="48" s="1"/>
  <c r="Z121" i="48"/>
  <c r="AA121" i="48" s="1"/>
  <c r="Z109" i="48"/>
  <c r="AA109" i="48" s="1"/>
  <c r="Z129" i="48"/>
  <c r="AA129" i="48" s="1"/>
  <c r="Z116" i="48"/>
  <c r="AA116" i="48" s="1"/>
  <c r="Z131" i="48"/>
  <c r="AA131" i="48" s="1"/>
  <c r="Z119" i="48"/>
  <c r="AA119" i="48" s="1"/>
  <c r="Z136" i="48"/>
  <c r="AA136" i="48" s="1"/>
  <c r="Z122" i="48"/>
  <c r="AA122" i="48" s="1"/>
  <c r="Z132" i="48"/>
  <c r="AA132" i="48" s="1"/>
  <c r="Z117" i="48"/>
  <c r="AA117" i="48" s="1"/>
  <c r="Z126" i="48"/>
  <c r="AA126" i="48" s="1"/>
  <c r="V42" i="48" a="1"/>
  <c r="W42" i="48" s="1"/>
  <c r="V33" i="48" a="1"/>
  <c r="W33" i="48" s="1"/>
  <c r="V32" i="48" a="1"/>
  <c r="W32" i="48" s="1"/>
  <c r="V39" i="48" a="1"/>
  <c r="W39" i="48" s="1"/>
  <c r="V29" i="48" a="1"/>
  <c r="W29" i="48" s="1"/>
  <c r="V43" i="48" a="1"/>
  <c r="W43" i="48" s="1"/>
  <c r="V37" i="48" a="1"/>
  <c r="W37" i="48" s="1"/>
  <c r="V38" i="48" a="1"/>
  <c r="W38" i="48" s="1"/>
  <c r="V34" i="48" a="1"/>
  <c r="W34" i="48" s="1"/>
  <c r="V40" i="48" a="1"/>
  <c r="W40" i="48" s="1"/>
  <c r="V25" i="48"/>
  <c r="V35" i="48" a="1"/>
  <c r="W35" i="48" s="1"/>
  <c r="V31" i="48" a="1"/>
  <c r="W31" i="48" s="1"/>
  <c r="V26" i="48" a="1"/>
  <c r="W26" i="48" s="1"/>
  <c r="V28" i="48" a="1"/>
  <c r="W28" i="48" s="1"/>
  <c r="V30" i="48" a="1"/>
  <c r="W30" i="48" s="1"/>
  <c r="V36" i="48" a="1"/>
  <c r="W36" i="48" s="1"/>
  <c r="V27" i="48" a="1"/>
  <c r="W27" i="48" s="1"/>
  <c r="V41" i="48" a="1"/>
  <c r="W41" i="48" s="1"/>
  <c r="Z133" i="54"/>
  <c r="AA133" i="54" s="1"/>
  <c r="Z99" i="54"/>
  <c r="AA99" i="54" s="1"/>
  <c r="Z132" i="54"/>
  <c r="AA132" i="54" s="1"/>
  <c r="Z100" i="54"/>
  <c r="AA100" i="54" s="1"/>
  <c r="Z105" i="54"/>
  <c r="AA105" i="54" s="1"/>
  <c r="Z126" i="54"/>
  <c r="AA126" i="54" s="1"/>
  <c r="Z128" i="54"/>
  <c r="AA128" i="54" s="1"/>
  <c r="Z95" i="54"/>
  <c r="AA95" i="54" s="1"/>
  <c r="Z112" i="54"/>
  <c r="AA112" i="54" s="1"/>
  <c r="Z108" i="54"/>
  <c r="AA108" i="54" s="1"/>
  <c r="Z91" i="54"/>
  <c r="AA91" i="54" s="1"/>
  <c r="Z106" i="54"/>
  <c r="AA106" i="54" s="1"/>
  <c r="Z90" i="54"/>
  <c r="AA90" i="54" s="1"/>
  <c r="Z114" i="54"/>
  <c r="AA114" i="54" s="1"/>
  <c r="Z125" i="54"/>
  <c r="AA125" i="54" s="1"/>
  <c r="Z129" i="54"/>
  <c r="AA129" i="54" s="1"/>
  <c r="Z109" i="54"/>
  <c r="AA109" i="54" s="1"/>
  <c r="Z122" i="54"/>
  <c r="AA122" i="54" s="1"/>
  <c r="Z113" i="54"/>
  <c r="AA113" i="54" s="1"/>
  <c r="Z121" i="54"/>
  <c r="AA121" i="54" s="1"/>
  <c r="Z111" i="54"/>
  <c r="AA111" i="54" s="1"/>
  <c r="Z72" i="54"/>
  <c r="AA72" i="54" s="1"/>
  <c r="Z97" i="54"/>
  <c r="AA97" i="54" s="1"/>
  <c r="Z107" i="54"/>
  <c r="AA107" i="54" s="1"/>
  <c r="Z98" i="54"/>
  <c r="AA98" i="54" s="1"/>
  <c r="Z85" i="54"/>
  <c r="AA85" i="54" s="1"/>
  <c r="Z116" i="54"/>
  <c r="AA116" i="54" s="1"/>
  <c r="Z79" i="54"/>
  <c r="AA79" i="54" s="1"/>
  <c r="Z117" i="54"/>
  <c r="AA117" i="54" s="1"/>
  <c r="Z73" i="54"/>
  <c r="AA73" i="54" s="1"/>
  <c r="Z96" i="54"/>
  <c r="AA96" i="54" s="1"/>
  <c r="Z123" i="54"/>
  <c r="AA123" i="54" s="1"/>
  <c r="Z94" i="54"/>
  <c r="AA94" i="54" s="1"/>
  <c r="Z118" i="54"/>
  <c r="AA118" i="54" s="1"/>
  <c r="Z74" i="54"/>
  <c r="AA74" i="54" s="1"/>
  <c r="Z119" i="54"/>
  <c r="AA119" i="54" s="1"/>
  <c r="Z86" i="54"/>
  <c r="AA86" i="54" s="1"/>
  <c r="Z89" i="54"/>
  <c r="AA89" i="54" s="1"/>
  <c r="Z76" i="54"/>
  <c r="AA76" i="54" s="1"/>
  <c r="Z131" i="54"/>
  <c r="AA131" i="54" s="1"/>
  <c r="Z84" i="54"/>
  <c r="AA84" i="54" s="1"/>
  <c r="P25" i="54" a="1"/>
  <c r="Z88" i="54"/>
  <c r="AA88" i="54" s="1"/>
  <c r="Z115" i="54"/>
  <c r="AA115" i="54" s="1"/>
  <c r="Z77" i="54"/>
  <c r="AA77" i="54" s="1"/>
  <c r="Z87" i="54"/>
  <c r="AA87" i="54" s="1"/>
  <c r="AC40" i="54"/>
  <c r="AC36" i="54"/>
  <c r="AC32" i="54"/>
  <c r="AC28" i="54"/>
  <c r="AC24" i="54"/>
  <c r="AB40" i="54"/>
  <c r="AB36" i="54"/>
  <c r="AB32" i="54"/>
  <c r="AB28" i="54"/>
  <c r="AB24" i="54"/>
  <c r="AC39" i="54"/>
  <c r="AC35" i="54"/>
  <c r="AC31" i="54"/>
  <c r="AC27" i="54"/>
  <c r="AC23" i="54"/>
  <c r="AB39" i="54"/>
  <c r="AB35" i="54"/>
  <c r="AB31" i="54"/>
  <c r="AB27" i="54"/>
  <c r="AB23" i="54"/>
  <c r="AB42" i="54"/>
  <c r="AB38" i="54"/>
  <c r="AB34" i="54"/>
  <c r="AB30" i="54"/>
  <c r="AB26" i="54"/>
  <c r="AC42" i="54"/>
  <c r="AC38" i="54"/>
  <c r="AC34" i="54"/>
  <c r="AC30" i="54"/>
  <c r="AC26" i="54"/>
  <c r="AC41" i="54"/>
  <c r="AC37" i="54"/>
  <c r="AC33" i="54"/>
  <c r="AC29" i="54"/>
  <c r="AC25" i="54"/>
  <c r="AB41" i="54"/>
  <c r="AB37" i="54"/>
  <c r="AB33" i="54"/>
  <c r="AB29" i="54"/>
  <c r="AB25" i="54"/>
  <c r="Z124" i="54"/>
  <c r="AA124" i="54" s="1"/>
  <c r="Z80" i="54"/>
  <c r="AA80" i="54" s="1"/>
  <c r="Z75" i="54"/>
  <c r="AA75" i="54" s="1"/>
  <c r="Z83" i="54"/>
  <c r="AA83" i="54" s="1"/>
  <c r="Z130" i="54"/>
  <c r="AA130" i="54" s="1"/>
  <c r="Z93" i="54"/>
  <c r="AA93" i="54" s="1"/>
  <c r="Z110" i="54"/>
  <c r="AA110" i="54" s="1"/>
  <c r="Z78" i="54"/>
  <c r="AA78" i="54" s="1"/>
  <c r="Z82" i="54"/>
  <c r="AA82" i="54" s="1"/>
  <c r="Z127" i="54"/>
  <c r="AA127" i="54" s="1"/>
  <c r="Z81" i="54"/>
  <c r="AA81" i="54" s="1"/>
  <c r="Z120" i="54"/>
  <c r="AA120" i="54" s="1"/>
  <c r="Z92" i="54"/>
  <c r="AA92" i="54" s="1"/>
  <c r="AK42" i="48"/>
  <c r="AL29" i="48"/>
  <c r="AL41" i="48"/>
  <c r="AL33" i="48"/>
  <c r="AK24" i="48"/>
  <c r="AK41" i="48"/>
  <c r="AK25" i="48"/>
  <c r="AK31" i="48"/>
  <c r="AK27" i="48"/>
  <c r="AK43" i="48"/>
  <c r="AL30" i="48"/>
  <c r="AL36" i="48"/>
  <c r="AL43" i="48"/>
  <c r="AL28" i="48"/>
  <c r="AL40" i="48"/>
  <c r="AK37" i="48"/>
  <c r="AK34" i="48"/>
  <c r="AL32" i="48"/>
  <c r="AL38" i="48"/>
  <c r="AL27" i="48"/>
  <c r="AK29" i="48"/>
  <c r="AK39" i="48"/>
  <c r="AL39" i="48"/>
  <c r="AK40" i="48"/>
  <c r="AK35" i="48"/>
  <c r="AK26" i="48"/>
  <c r="AK30" i="48"/>
  <c r="AL35" i="48"/>
  <c r="AK32" i="48"/>
  <c r="AK38" i="48"/>
  <c r="AL25" i="48"/>
  <c r="AK28" i="48"/>
  <c r="AK33" i="48"/>
  <c r="AL37" i="48"/>
  <c r="AK36" i="48"/>
  <c r="AL26" i="48"/>
  <c r="AL42" i="48"/>
  <c r="AL34" i="48"/>
  <c r="AL31" i="48"/>
  <c r="AN122" i="38"/>
  <c r="AN120" i="38"/>
  <c r="AM124" i="38"/>
  <c r="AK121" i="38"/>
  <c r="AM142" i="38"/>
  <c r="AL122" i="38"/>
  <c r="AN135" i="38"/>
  <c r="AM129" i="38"/>
  <c r="AK133" i="38"/>
  <c r="AM136" i="38"/>
  <c r="AL126" i="38"/>
  <c r="AK124" i="38"/>
  <c r="AN125" i="38"/>
  <c r="AL141" i="38"/>
  <c r="AL125" i="38"/>
  <c r="AL142" i="38"/>
  <c r="AN142" i="38"/>
  <c r="AM134" i="38"/>
  <c r="AK140" i="38"/>
  <c r="AN127" i="38"/>
  <c r="AM127" i="38"/>
  <c r="AK123" i="38"/>
  <c r="AM132" i="38"/>
  <c r="AL120" i="38"/>
  <c r="AK120" i="38"/>
  <c r="AN123" i="38"/>
  <c r="AL139" i="38"/>
  <c r="AL123" i="38"/>
  <c r="AL140" i="38"/>
  <c r="AK122" i="38"/>
  <c r="AL131" i="38"/>
  <c r="AM138" i="38"/>
  <c r="AN143" i="38"/>
  <c r="AK145" i="38"/>
  <c r="AL134" i="38"/>
  <c r="AN131" i="38"/>
  <c r="AL129" i="38"/>
  <c r="AK125" i="38"/>
  <c r="AK131" i="38"/>
  <c r="AM140" i="38"/>
  <c r="AN129" i="38"/>
  <c r="AL127" i="38"/>
  <c r="AL128" i="38"/>
  <c r="AL124" i="38"/>
  <c r="AN138" i="38"/>
  <c r="AM128" i="38"/>
  <c r="AK134" i="38"/>
  <c r="AM143" i="38"/>
  <c r="AM125" i="38"/>
  <c r="AN144" i="38"/>
  <c r="AM126" i="38"/>
  <c r="AK144" i="38"/>
  <c r="AN145" i="38"/>
  <c r="AN121" i="38"/>
  <c r="AL137" i="38"/>
  <c r="AL121" i="38"/>
  <c r="AN134" i="38"/>
  <c r="AN140" i="38"/>
  <c r="AM120" i="38"/>
  <c r="AN141" i="38"/>
  <c r="AN119" i="38"/>
  <c r="AL119" i="38"/>
  <c r="AK129" i="38"/>
  <c r="AM137" i="38"/>
  <c r="AN136" i="38"/>
  <c r="AK138" i="38"/>
  <c r="AM145" i="38"/>
  <c r="AK143" i="38"/>
  <c r="AM144" i="38"/>
  <c r="AK141" i="38"/>
  <c r="AN128" i="38"/>
  <c r="AL136" i="38"/>
  <c r="AM135" i="38"/>
  <c r="AM119" i="38"/>
  <c r="AN132" i="38"/>
  <c r="AL138" i="38"/>
  <c r="AK136" i="38"/>
  <c r="AN133" i="38"/>
  <c r="AM141" i="38"/>
  <c r="AK135" i="38"/>
  <c r="AK137" i="38"/>
  <c r="AN124" i="38"/>
  <c r="AL132" i="38"/>
  <c r="AM133" i="38"/>
  <c r="AN126" i="38"/>
  <c r="AK132" i="38"/>
  <c r="AL145" i="38"/>
  <c r="AM130" i="38"/>
  <c r="AN139" i="38"/>
  <c r="AM131" i="38"/>
  <c r="AK139" i="38"/>
  <c r="AL130" i="38"/>
  <c r="AK128" i="38"/>
  <c r="AL143" i="38"/>
  <c r="AK119" i="38"/>
  <c r="AK127" i="38"/>
  <c r="AM122" i="38"/>
  <c r="AK130" i="38"/>
  <c r="AM139" i="38"/>
  <c r="AM123" i="38"/>
  <c r="AK142" i="38"/>
  <c r="AL135" i="38"/>
  <c r="AN130" i="38"/>
  <c r="AK126" i="38"/>
  <c r="AM121" i="38"/>
  <c r="AL144" i="38"/>
  <c r="AN137" i="38"/>
  <c r="AL133" i="38"/>
  <c r="Y12" i="53"/>
  <c r="X12" i="53"/>
  <c r="W12" i="53"/>
  <c r="Z58" i="53"/>
  <c r="AA11" i="53"/>
  <c r="Z54" i="53"/>
  <c r="Z56" i="53"/>
  <c r="Z55" i="53"/>
  <c r="W20" i="53"/>
  <c r="W18" i="53"/>
  <c r="V20" i="53"/>
  <c r="V18" i="53"/>
  <c r="Y19" i="53"/>
  <c r="X19" i="53"/>
  <c r="W19" i="53"/>
  <c r="V19" i="53"/>
  <c r="X20" i="53"/>
  <c r="X18" i="53"/>
  <c r="Y20" i="53"/>
  <c r="Y18" i="53"/>
  <c r="V40" i="53"/>
  <c r="X39" i="53"/>
  <c r="W39" i="53"/>
  <c r="V39" i="53"/>
  <c r="X38" i="53"/>
  <c r="W38" i="53"/>
  <c r="X40" i="53"/>
  <c r="V38" i="53"/>
  <c r="W40" i="53"/>
  <c r="V17" i="66" l="1"/>
  <c r="V19" i="66"/>
  <c r="V24" i="66"/>
  <c r="V20" i="66"/>
  <c r="V12" i="66"/>
  <c r="V23" i="66"/>
  <c r="V15" i="66"/>
  <c r="V11" i="66"/>
  <c r="V26" i="66"/>
  <c r="V22" i="66"/>
  <c r="V27" i="66"/>
  <c r="V25" i="66"/>
  <c r="V16" i="66"/>
  <c r="V13" i="66"/>
  <c r="V18" i="66"/>
  <c r="V28" i="66"/>
  <c r="V21" i="66"/>
  <c r="V29" i="66"/>
  <c r="V14" i="66"/>
  <c r="V10" i="66"/>
  <c r="Y10" i="66" s="1"/>
  <c r="Z26" i="57"/>
  <c r="Y26" i="57"/>
  <c r="V33" i="48"/>
  <c r="V34" i="48"/>
  <c r="V38" i="48"/>
  <c r="V27" i="48"/>
  <c r="V43" i="48"/>
  <c r="V26" i="48"/>
  <c r="V30" i="48"/>
  <c r="V35" i="48"/>
  <c r="V39" i="48"/>
  <c r="Y25" i="48" a="1"/>
  <c r="Z25" i="48" s="1"/>
  <c r="AC25" i="48" s="1"/>
  <c r="V37" i="48"/>
  <c r="V41" i="48"/>
  <c r="V28" i="48"/>
  <c r="V32" i="48"/>
  <c r="V40" i="48"/>
  <c r="V36" i="48"/>
  <c r="V31" i="48"/>
  <c r="V29" i="48"/>
  <c r="V42" i="48"/>
  <c r="B28" i="54"/>
  <c r="B29" i="54" s="1"/>
  <c r="Q25" i="54"/>
  <c r="P25" i="54"/>
  <c r="B24" i="54"/>
  <c r="B28" i="48"/>
  <c r="B29" i="48" s="1"/>
  <c r="B30" i="48"/>
  <c r="Y22" i="53"/>
  <c r="AB39" i="53"/>
  <c r="AC39" i="53" s="1"/>
  <c r="AC19" i="53"/>
  <c r="AB40" i="53"/>
  <c r="AC40" i="53" s="1"/>
  <c r="AB38" i="53"/>
  <c r="AC38" i="53" s="1"/>
  <c r="AC18" i="53"/>
  <c r="V22" i="53"/>
  <c r="AC20" i="53"/>
  <c r="X22" i="53"/>
  <c r="W22" i="53"/>
  <c r="Y11" i="66" l="1"/>
  <c r="Y12" i="66" s="1"/>
  <c r="Y13" i="66" s="1"/>
  <c r="Y14" i="66" s="1"/>
  <c r="Y15" i="66" s="1"/>
  <c r="Y16" i="66" s="1"/>
  <c r="Y17" i="66" s="1"/>
  <c r="Y18" i="66" s="1"/>
  <c r="Y19" i="66" s="1"/>
  <c r="Y20" i="66" s="1"/>
  <c r="Y21" i="66" s="1"/>
  <c r="Y22" i="66" s="1"/>
  <c r="Y23" i="66" s="1"/>
  <c r="Y24" i="66" s="1"/>
  <c r="Y25" i="66" s="1"/>
  <c r="Y26" i="66" s="1"/>
  <c r="Y27" i="66" s="1"/>
  <c r="Y28" i="66" s="1"/>
  <c r="Y29" i="66" s="1"/>
  <c r="Y27" i="57" a="1"/>
  <c r="Y25" i="48"/>
  <c r="P26" i="54" a="1"/>
  <c r="V46" i="53" a="1"/>
  <c r="X47" i="53" s="1"/>
  <c r="V11" i="53" a="1"/>
  <c r="AC23" i="53"/>
  <c r="AD22" i="53"/>
  <c r="V42" i="53" a="1"/>
  <c r="Y26" i="48" l="1" a="1"/>
  <c r="AB25" i="48"/>
  <c r="Z27" i="57"/>
  <c r="Y27" i="57"/>
  <c r="Z26" i="48"/>
  <c r="AC26" i="48" s="1"/>
  <c r="Y26" i="48"/>
  <c r="AB26" i="48" s="1"/>
  <c r="Q26" i="54"/>
  <c r="P26" i="54"/>
  <c r="X46" i="53"/>
  <c r="W48" i="53"/>
  <c r="V48" i="53"/>
  <c r="V46" i="53"/>
  <c r="X48" i="53"/>
  <c r="W46" i="53"/>
  <c r="V47" i="53"/>
  <c r="W47" i="53"/>
  <c r="X11" i="53"/>
  <c r="Y11" i="53"/>
  <c r="V11" i="53"/>
  <c r="W11" i="53"/>
  <c r="X42" i="53"/>
  <c r="W42" i="53"/>
  <c r="V42" i="53"/>
  <c r="V50" i="53" s="1" a="1"/>
  <c r="Y28" i="57" l="1" a="1"/>
  <c r="Y27" i="48" a="1"/>
  <c r="Y27" i="48" s="1"/>
  <c r="AB27" i="48" s="1"/>
  <c r="P27" i="54" a="1"/>
  <c r="AC13" i="53" a="1"/>
  <c r="AC13" i="53" s="1"/>
  <c r="X50" i="53"/>
  <c r="W50" i="53"/>
  <c r="V50" i="53"/>
  <c r="Y28" i="57" l="1"/>
  <c r="Z28" i="57"/>
  <c r="Z27" i="48"/>
  <c r="P27" i="54"/>
  <c r="Q27" i="54"/>
  <c r="AB54" i="53" a="1"/>
  <c r="V58" i="53" a="1"/>
  <c r="Y28" i="48" l="1" a="1"/>
  <c r="Z28" i="48" s="1"/>
  <c r="AC28" i="48" s="1"/>
  <c r="AC27" i="48"/>
  <c r="Y29" i="57" a="1"/>
  <c r="Y28" i="48"/>
  <c r="P28" i="54" a="1"/>
  <c r="X58" i="53"/>
  <c r="W58" i="53"/>
  <c r="V58" i="53"/>
  <c r="AB56" i="53"/>
  <c r="AD56" i="53" s="1"/>
  <c r="AB55" i="53"/>
  <c r="AD55" i="53" s="1"/>
  <c r="AB54" i="53"/>
  <c r="AD54" i="53" s="1"/>
  <c r="Y29" i="48" l="1" a="1"/>
  <c r="Z29" i="48" s="1"/>
  <c r="AC29" i="48" s="1"/>
  <c r="AB28" i="48"/>
  <c r="Z29" i="57"/>
  <c r="Y29" i="57"/>
  <c r="Y29" i="48"/>
  <c r="Q28" i="54"/>
  <c r="P28" i="54"/>
  <c r="AD59" i="53"/>
  <c r="AE58" i="53"/>
  <c r="Y30" i="48" l="1" a="1"/>
  <c r="AB29" i="48"/>
  <c r="Y30" i="57" a="1"/>
  <c r="Y30" i="48"/>
  <c r="AB30" i="48" s="1"/>
  <c r="Z30" i="48"/>
  <c r="AC30" i="48" s="1"/>
  <c r="P29" i="54" a="1"/>
  <c r="E9" i="13" a="1"/>
  <c r="E10" i="13" s="1"/>
  <c r="F9" i="52"/>
  <c r="J39" i="52"/>
  <c r="J40" i="52"/>
  <c r="J41" i="52"/>
  <c r="J42" i="52"/>
  <c r="J38" i="52"/>
  <c r="I39" i="52"/>
  <c r="I40" i="52"/>
  <c r="I41" i="52"/>
  <c r="I42" i="52"/>
  <c r="I38" i="52"/>
  <c r="Z38" i="52" a="1"/>
  <c r="Z39" i="52" s="1"/>
  <c r="Q67" i="52"/>
  <c r="Q53" i="52"/>
  <c r="Y30" i="57" l="1"/>
  <c r="Y31" i="57" s="1" a="1"/>
  <c r="Z30" i="57"/>
  <c r="Y31" i="48" a="1"/>
  <c r="P29" i="54"/>
  <c r="Q29" i="54"/>
  <c r="G9" i="13"/>
  <c r="F9" i="13"/>
  <c r="G11" i="13"/>
  <c r="E9" i="13"/>
  <c r="F11" i="13"/>
  <c r="E11" i="13"/>
  <c r="G10" i="13"/>
  <c r="F10" i="13"/>
  <c r="AA44" i="52"/>
  <c r="Z40" i="52"/>
  <c r="Z47" i="52"/>
  <c r="Z43" i="52"/>
  <c r="AA46" i="52"/>
  <c r="AA42" i="52"/>
  <c r="AA38" i="52"/>
  <c r="Z46" i="52"/>
  <c r="Z42" i="52"/>
  <c r="Z38" i="52"/>
  <c r="AA45" i="52"/>
  <c r="AA41" i="52"/>
  <c r="Z45" i="52"/>
  <c r="Z41" i="52"/>
  <c r="AA48" i="52"/>
  <c r="AA40" i="52"/>
  <c r="Z48" i="52"/>
  <c r="Z44" i="52"/>
  <c r="AA47" i="52"/>
  <c r="AA43" i="52"/>
  <c r="AA39" i="52"/>
  <c r="AC39" i="52" s="1" a="1"/>
  <c r="Z31" i="57" l="1"/>
  <c r="Y31" i="57"/>
  <c r="Y32" i="57" s="1" a="1"/>
  <c r="Y31" i="48"/>
  <c r="AB31" i="48" s="1"/>
  <c r="Z31" i="48"/>
  <c r="AC31" i="48" s="1"/>
  <c r="P30" i="54" a="1"/>
  <c r="AC39" i="52"/>
  <c r="AD39" i="52"/>
  <c r="Z32" i="57" l="1"/>
  <c r="Y32" i="57"/>
  <c r="Y33" i="57" s="1" a="1"/>
  <c r="Y32" i="48" a="1"/>
  <c r="Z32" i="48" s="1"/>
  <c r="AC32" i="48" s="1"/>
  <c r="Q30" i="54"/>
  <c r="P30" i="54"/>
  <c r="J47" i="52"/>
  <c r="J88" i="52"/>
  <c r="J89" i="52"/>
  <c r="J90" i="52"/>
  <c r="J46" i="52"/>
  <c r="J43" i="52"/>
  <c r="J91" i="52"/>
  <c r="J44" i="52"/>
  <c r="J92" i="52"/>
  <c r="J45" i="52"/>
  <c r="I43" i="52"/>
  <c r="I44" i="52"/>
  <c r="I45" i="52"/>
  <c r="I92" i="52"/>
  <c r="I46" i="52"/>
  <c r="I88" i="52"/>
  <c r="I47" i="52"/>
  <c r="I91" i="52"/>
  <c r="I89" i="52"/>
  <c r="I90" i="52"/>
  <c r="AC40" i="52" a="1"/>
  <c r="AC40" i="52" s="1"/>
  <c r="Y33" i="57" l="1"/>
  <c r="Y34" i="57" s="1" a="1"/>
  <c r="Z33" i="57"/>
  <c r="Y32" i="48"/>
  <c r="P31" i="54" a="1"/>
  <c r="I50" i="52"/>
  <c r="I51" i="52"/>
  <c r="I52" i="52"/>
  <c r="I48" i="52"/>
  <c r="I49" i="52"/>
  <c r="AD40" i="52"/>
  <c r="AC41" i="52" a="1"/>
  <c r="Y33" i="48" l="1" a="1"/>
  <c r="Z33" i="48" s="1"/>
  <c r="AC33" i="48" s="1"/>
  <c r="AB32" i="48"/>
  <c r="Y34" i="57"/>
  <c r="Y35" i="57" s="1" a="1"/>
  <c r="Z34" i="57"/>
  <c r="Y33" i="48"/>
  <c r="AB33" i="48" s="1"/>
  <c r="Y34" i="48" a="1"/>
  <c r="Q31" i="54"/>
  <c r="P31" i="54"/>
  <c r="J48" i="52"/>
  <c r="J49" i="52"/>
  <c r="J50" i="52"/>
  <c r="J51" i="52"/>
  <c r="J52" i="52"/>
  <c r="AC41" i="52"/>
  <c r="AD41" i="52"/>
  <c r="Z35" i="57" l="1"/>
  <c r="Y35" i="57"/>
  <c r="Y36" i="57" s="1" a="1"/>
  <c r="Y34" i="48"/>
  <c r="AB34" i="48" s="1"/>
  <c r="Z34" i="48"/>
  <c r="AC34" i="48" s="1"/>
  <c r="P32" i="54" a="1"/>
  <c r="J55" i="52"/>
  <c r="J53" i="52"/>
  <c r="J56" i="52"/>
  <c r="J57" i="52"/>
  <c r="J54" i="52"/>
  <c r="AC42" i="52" a="1"/>
  <c r="AC42" i="52" s="1"/>
  <c r="I53" i="52"/>
  <c r="I54" i="52"/>
  <c r="I56" i="52"/>
  <c r="I55" i="52"/>
  <c r="I57" i="52"/>
  <c r="Z36" i="57" l="1"/>
  <c r="Y36" i="57"/>
  <c r="Y37" i="57" s="1" a="1"/>
  <c r="Y35" i="48" a="1"/>
  <c r="Y35" i="48" s="1"/>
  <c r="AB35" i="48" s="1"/>
  <c r="Q32" i="54"/>
  <c r="P32" i="54"/>
  <c r="AD42" i="52"/>
  <c r="J61" i="52" s="1"/>
  <c r="J62" i="52"/>
  <c r="I58" i="52"/>
  <c r="I60" i="52"/>
  <c r="I61" i="52"/>
  <c r="I62" i="52"/>
  <c r="I59" i="52"/>
  <c r="Z37" i="57" l="1"/>
  <c r="Y37" i="57"/>
  <c r="Y38" i="57" s="1" a="1"/>
  <c r="Z35" i="48"/>
  <c r="P33" i="54" a="1"/>
  <c r="AC43" i="52" a="1"/>
  <c r="AD43" i="52" s="1"/>
  <c r="J67" i="52" s="1"/>
  <c r="J60" i="52"/>
  <c r="J59" i="52"/>
  <c r="J58" i="52"/>
  <c r="Y36" i="48" l="1" a="1"/>
  <c r="AC35" i="48"/>
  <c r="Y38" i="57"/>
  <c r="Y39" i="57" s="1" a="1"/>
  <c r="Z38" i="57"/>
  <c r="Z36" i="48"/>
  <c r="AC36" i="48" s="1"/>
  <c r="Y36" i="48"/>
  <c r="AB36" i="48" s="1"/>
  <c r="P33" i="54"/>
  <c r="Q33" i="54"/>
  <c r="J65" i="52"/>
  <c r="J64" i="52"/>
  <c r="J66" i="52"/>
  <c r="AC43" i="52"/>
  <c r="J63" i="52"/>
  <c r="AC44" i="52" a="1"/>
  <c r="AC44" i="52" s="1"/>
  <c r="I71" i="52" s="1"/>
  <c r="I66" i="52"/>
  <c r="I65" i="52"/>
  <c r="Z39" i="57" l="1"/>
  <c r="Y39" i="57"/>
  <c r="Y37" i="48" a="1"/>
  <c r="Z37" i="48" s="1"/>
  <c r="AC37" i="48" s="1"/>
  <c r="P34" i="54" a="1"/>
  <c r="I64" i="52"/>
  <c r="I67" i="52"/>
  <c r="I63" i="52"/>
  <c r="I70" i="52"/>
  <c r="I72" i="52"/>
  <c r="I69" i="52"/>
  <c r="AD44" i="52"/>
  <c r="J68" i="52" s="1"/>
  <c r="I68" i="52"/>
  <c r="J70" i="52"/>
  <c r="Y40" i="57" l="1" a="1"/>
  <c r="Y37" i="48"/>
  <c r="Q34" i="54"/>
  <c r="P34" i="54"/>
  <c r="P35" i="54" s="1" a="1"/>
  <c r="AC45" i="52" a="1"/>
  <c r="AD45" i="52" s="1"/>
  <c r="J75" i="52" s="1"/>
  <c r="J69" i="52"/>
  <c r="J71" i="52"/>
  <c r="J72" i="52"/>
  <c r="Y38" i="48" l="1" a="1"/>
  <c r="Z38" i="48" s="1"/>
  <c r="AC38" i="48" s="1"/>
  <c r="AB37" i="48"/>
  <c r="Z40" i="57"/>
  <c r="Y40" i="57"/>
  <c r="Y41" i="57" s="1" a="1"/>
  <c r="Y38" i="48"/>
  <c r="Q35" i="54"/>
  <c r="P35" i="54"/>
  <c r="P36" i="54" s="1" a="1"/>
  <c r="J74" i="52"/>
  <c r="J76" i="52"/>
  <c r="AC45" i="52"/>
  <c r="J73" i="52"/>
  <c r="J77" i="52"/>
  <c r="AC46" i="52" a="1"/>
  <c r="AC46" i="52" s="1"/>
  <c r="I80" i="52" s="1"/>
  <c r="I74" i="52"/>
  <c r="I76" i="52"/>
  <c r="Y39" i="48" l="1" a="1"/>
  <c r="Y39" i="48" s="1"/>
  <c r="AB39" i="48" s="1"/>
  <c r="AB38" i="48"/>
  <c r="Y41" i="57"/>
  <c r="Y42" i="57" s="1" a="1"/>
  <c r="Z41" i="57"/>
  <c r="Z39" i="48"/>
  <c r="AC39" i="48" s="1"/>
  <c r="Y40" i="48" a="1"/>
  <c r="Q36" i="54"/>
  <c r="P36" i="54"/>
  <c r="P37" i="54" s="1" a="1"/>
  <c r="I77" i="52"/>
  <c r="I75" i="52"/>
  <c r="I73" i="52"/>
  <c r="AD46" i="52"/>
  <c r="J81" i="52" s="1"/>
  <c r="I81" i="52"/>
  <c r="I82" i="52"/>
  <c r="I78" i="52"/>
  <c r="I79" i="52"/>
  <c r="J78" i="52"/>
  <c r="J80" i="52"/>
  <c r="Y42" i="57" l="1"/>
  <c r="Y43" i="57" s="1" a="1"/>
  <c r="Z42" i="57"/>
  <c r="Y40" i="48"/>
  <c r="AB40" i="48" s="1"/>
  <c r="Z40" i="48"/>
  <c r="AC40" i="48" s="1"/>
  <c r="P37" i="54"/>
  <c r="Q37" i="54"/>
  <c r="J82" i="52"/>
  <c r="AC47" i="52" a="1"/>
  <c r="J79" i="52"/>
  <c r="Z43" i="57" l="1"/>
  <c r="Y43" i="57"/>
  <c r="Y41" i="48" a="1"/>
  <c r="Y41" i="48" s="1"/>
  <c r="AB41" i="48" s="1"/>
  <c r="P38" i="54" a="1"/>
  <c r="AC47" i="52"/>
  <c r="AD47" i="52"/>
  <c r="J24" i="57" l="1" a="1"/>
  <c r="I24" i="57" a="1"/>
  <c r="K24" i="57" a="1"/>
  <c r="AB25" i="57" a="1"/>
  <c r="Z41" i="48"/>
  <c r="Q38" i="54"/>
  <c r="P38" i="54"/>
  <c r="P39" i="54" s="1" a="1"/>
  <c r="I86" i="52"/>
  <c r="I84" i="52"/>
  <c r="I87" i="52"/>
  <c r="I83" i="52"/>
  <c r="AC48" i="52" a="1"/>
  <c r="I85" i="52"/>
  <c r="J83" i="52"/>
  <c r="J85" i="52"/>
  <c r="J87" i="52"/>
  <c r="J84" i="52"/>
  <c r="J86" i="52"/>
  <c r="Y42" i="48" l="1" a="1"/>
  <c r="AC41" i="48"/>
  <c r="J37" i="57"/>
  <c r="J29" i="57"/>
  <c r="J41" i="57"/>
  <c r="J33" i="57"/>
  <c r="J25" i="57"/>
  <c r="J40" i="57"/>
  <c r="J30" i="57"/>
  <c r="J39" i="57"/>
  <c r="J28" i="57"/>
  <c r="J38" i="57"/>
  <c r="J27" i="57"/>
  <c r="J36" i="57"/>
  <c r="J26" i="57"/>
  <c r="J31" i="57"/>
  <c r="J35" i="57"/>
  <c r="J24" i="57"/>
  <c r="J32" i="57"/>
  <c r="J42" i="57"/>
  <c r="J34" i="57"/>
  <c r="J43" i="57"/>
  <c r="AB41" i="57"/>
  <c r="AB37" i="57"/>
  <c r="AB33" i="57"/>
  <c r="AB29" i="57"/>
  <c r="AB25" i="57"/>
  <c r="AC40" i="57"/>
  <c r="AC36" i="57"/>
  <c r="AC32" i="57"/>
  <c r="AC28" i="57"/>
  <c r="AB43" i="57"/>
  <c r="AB39" i="57"/>
  <c r="AB35" i="57"/>
  <c r="AB31" i="57"/>
  <c r="AB27" i="57"/>
  <c r="AB42" i="57"/>
  <c r="AC35" i="57"/>
  <c r="AC29" i="57"/>
  <c r="AC41" i="57"/>
  <c r="AC34" i="57"/>
  <c r="AB28" i="57"/>
  <c r="AB40" i="57"/>
  <c r="AB34" i="57"/>
  <c r="AC27" i="57"/>
  <c r="AC42" i="57"/>
  <c r="AC39" i="57"/>
  <c r="AC33" i="57"/>
  <c r="AC26" i="57"/>
  <c r="AC38" i="57"/>
  <c r="AB32" i="57"/>
  <c r="AB26" i="57"/>
  <c r="AC30" i="57"/>
  <c r="AB36" i="57"/>
  <c r="AB38" i="57"/>
  <c r="AC31" i="57"/>
  <c r="AC25" i="57"/>
  <c r="AB30" i="57"/>
  <c r="AC43" i="57"/>
  <c r="AC37" i="57"/>
  <c r="I38" i="57"/>
  <c r="I30" i="57"/>
  <c r="I41" i="57"/>
  <c r="I32" i="57"/>
  <c r="I40" i="57"/>
  <c r="I31" i="57"/>
  <c r="I39" i="57"/>
  <c r="I29" i="57"/>
  <c r="I24" i="57"/>
  <c r="I37" i="57"/>
  <c r="I28" i="57"/>
  <c r="I25" i="57"/>
  <c r="I36" i="57"/>
  <c r="I27" i="57"/>
  <c r="I35" i="57"/>
  <c r="I43" i="57"/>
  <c r="I33" i="57"/>
  <c r="I26" i="57"/>
  <c r="I34" i="57"/>
  <c r="I42" i="57"/>
  <c r="K40" i="57"/>
  <c r="K32" i="57"/>
  <c r="K24" i="57"/>
  <c r="K36" i="57"/>
  <c r="K28" i="57"/>
  <c r="K41" i="57"/>
  <c r="K30" i="57"/>
  <c r="K39" i="57"/>
  <c r="K29" i="57"/>
  <c r="K38" i="57"/>
  <c r="K27" i="57"/>
  <c r="K42" i="57"/>
  <c r="K37" i="57"/>
  <c r="K26" i="57"/>
  <c r="K33" i="57"/>
  <c r="K35" i="57"/>
  <c r="K25" i="57"/>
  <c r="K43" i="57"/>
  <c r="K34" i="57"/>
  <c r="K31" i="57"/>
  <c r="Y42" i="48"/>
  <c r="AB42" i="48" s="1"/>
  <c r="Z42" i="48"/>
  <c r="AC42" i="48" s="1"/>
  <c r="Q39" i="54"/>
  <c r="P39" i="54"/>
  <c r="AD48" i="52"/>
  <c r="AC48" i="52"/>
  <c r="Y43" i="48" l="1" a="1"/>
  <c r="P40" i="54" a="1"/>
  <c r="S22" i="40"/>
  <c r="Y43" i="48" l="1"/>
  <c r="Z43" i="48"/>
  <c r="Q40" i="54"/>
  <c r="P40" i="54"/>
  <c r="P41" i="54" s="1" a="1"/>
  <c r="W42" i="49"/>
  <c r="X42" i="49"/>
  <c r="Y42" i="49"/>
  <c r="V42" i="49"/>
  <c r="G22" i="49"/>
  <c r="AA27" i="49"/>
  <c r="AA28" i="49"/>
  <c r="AA26" i="49"/>
  <c r="K24" i="48" l="1" a="1"/>
  <c r="K42" i="48" s="1"/>
  <c r="AC43" i="48"/>
  <c r="J24" i="48" a="1"/>
  <c r="AB43" i="48"/>
  <c r="I24" i="48" a="1"/>
  <c r="I25" i="48" s="1"/>
  <c r="J43" i="48"/>
  <c r="P41" i="54"/>
  <c r="P42" i="54" s="1" a="1"/>
  <c r="Q41" i="54"/>
  <c r="K36" i="48"/>
  <c r="K30" i="48"/>
  <c r="K35" i="48"/>
  <c r="K24" i="48"/>
  <c r="K26" i="48"/>
  <c r="K31" i="48"/>
  <c r="K25" i="48"/>
  <c r="K29" i="48"/>
  <c r="K27" i="48"/>
  <c r="K33" i="48"/>
  <c r="K39" i="48"/>
  <c r="K43" i="48"/>
  <c r="K34" i="48"/>
  <c r="K38" i="48"/>
  <c r="K32" i="48"/>
  <c r="K37" i="48"/>
  <c r="K40" i="48"/>
  <c r="K41" i="48"/>
  <c r="K28" i="48"/>
  <c r="I24" i="48"/>
  <c r="I30" i="48"/>
  <c r="J24" i="48"/>
  <c r="J25" i="48"/>
  <c r="J26" i="48"/>
  <c r="J27" i="48"/>
  <c r="J28" i="48"/>
  <c r="J29" i="48"/>
  <c r="J30" i="48"/>
  <c r="J31" i="48"/>
  <c r="J32" i="48"/>
  <c r="J33" i="48"/>
  <c r="J34" i="48"/>
  <c r="J35" i="48"/>
  <c r="J36" i="48"/>
  <c r="J37" i="48"/>
  <c r="J38" i="48"/>
  <c r="J39" i="48"/>
  <c r="J40" i="48"/>
  <c r="J41" i="48"/>
  <c r="J42" i="48"/>
  <c r="I40" i="48" l="1"/>
  <c r="I38" i="48"/>
  <c r="I39" i="48"/>
  <c r="I32" i="48"/>
  <c r="I31" i="48"/>
  <c r="I37" i="48"/>
  <c r="I29" i="48"/>
  <c r="I36" i="48"/>
  <c r="I28" i="48"/>
  <c r="I35" i="48"/>
  <c r="I27" i="48"/>
  <c r="I42" i="48"/>
  <c r="I34" i="48"/>
  <c r="I26" i="48"/>
  <c r="I43" i="48"/>
  <c r="I41" i="48"/>
  <c r="I33" i="48"/>
  <c r="Q42" i="54"/>
  <c r="P42" i="54"/>
  <c r="J8" i="52"/>
  <c r="K8" i="52" s="1"/>
  <c r="L8" i="52" s="1"/>
  <c r="M8" i="52" s="1"/>
  <c r="N8" i="52" s="1"/>
  <c r="O8" i="52" s="1"/>
  <c r="P8" i="52" s="1"/>
  <c r="Q8" i="52" s="1"/>
  <c r="R8" i="52" s="1"/>
  <c r="S8" i="52" s="1"/>
  <c r="J5" i="52"/>
  <c r="K5" i="52" s="1"/>
  <c r="L5" i="52" s="1"/>
  <c r="M5" i="52" s="1"/>
  <c r="N5" i="52" s="1"/>
  <c r="O5" i="52" s="1"/>
  <c r="P5" i="52" s="1"/>
  <c r="Q5" i="52" s="1"/>
  <c r="R5" i="52" s="1"/>
  <c r="S5" i="52" s="1"/>
  <c r="F19" i="52"/>
  <c r="F20" i="52"/>
  <c r="F21" i="52"/>
  <c r="F22" i="52"/>
  <c r="F18" i="52"/>
  <c r="P7" i="51" a="1"/>
  <c r="P7" i="51" s="1"/>
  <c r="P5" i="51" a="1"/>
  <c r="P5" i="51" s="1"/>
  <c r="AC30" i="50" a="1"/>
  <c r="AC32" i="50" s="1"/>
  <c r="I29" i="51"/>
  <c r="I32" i="51" s="1"/>
  <c r="H29" i="51"/>
  <c r="F29" i="51"/>
  <c r="Z27" i="51"/>
  <c r="T27" i="51"/>
  <c r="Z26" i="51"/>
  <c r="T26" i="51"/>
  <c r="Z25" i="51"/>
  <c r="T25" i="51"/>
  <c r="Z24" i="51"/>
  <c r="T24" i="51"/>
  <c r="AA23" i="51" a="1"/>
  <c r="AA27" i="51" s="1"/>
  <c r="Z23" i="51"/>
  <c r="T23" i="51"/>
  <c r="AF36" i="50" a="1"/>
  <c r="AF36" i="50" s="1"/>
  <c r="G22" i="50"/>
  <c r="E22" i="50"/>
  <c r="D22" i="50"/>
  <c r="C22" i="50"/>
  <c r="J16" i="50"/>
  <c r="H15" i="50"/>
  <c r="G14" i="50"/>
  <c r="G19" i="50" s="1"/>
  <c r="N12" i="50"/>
  <c r="J22" i="50" s="1"/>
  <c r="N11" i="50"/>
  <c r="I22" i="50" s="1"/>
  <c r="N10" i="50"/>
  <c r="H19" i="50" s="1"/>
  <c r="N9" i="50"/>
  <c r="N7" i="50"/>
  <c r="L7" i="50"/>
  <c r="N6" i="50"/>
  <c r="L6" i="50" s="1"/>
  <c r="N5" i="50"/>
  <c r="R9" i="50" s="1" a="1"/>
  <c r="I5" i="50"/>
  <c r="H15" i="49"/>
  <c r="J19" i="49"/>
  <c r="I19" i="49"/>
  <c r="AI41" i="49" a="1"/>
  <c r="AI36" i="49" a="1"/>
  <c r="AF36" i="49" a="1"/>
  <c r="AF36" i="49" s="1"/>
  <c r="J23" i="54" l="1" a="1"/>
  <c r="I23" i="54" a="1"/>
  <c r="K23" i="54" a="1"/>
  <c r="S24" i="54" a="1"/>
  <c r="T7" i="51"/>
  <c r="S7" i="51"/>
  <c r="R7" i="51"/>
  <c r="Q7" i="51"/>
  <c r="K29" i="51" a="1"/>
  <c r="K29" i="51" s="1"/>
  <c r="T5" i="51"/>
  <c r="S5" i="51"/>
  <c r="R5" i="51"/>
  <c r="Q5" i="51"/>
  <c r="AC31" i="50"/>
  <c r="AC30" i="50"/>
  <c r="AC33" i="50"/>
  <c r="AA24" i="51"/>
  <c r="AA25" i="51"/>
  <c r="AA23" i="51"/>
  <c r="AA26" i="51"/>
  <c r="T11" i="50"/>
  <c r="R9" i="50"/>
  <c r="S11" i="50"/>
  <c r="R11" i="50"/>
  <c r="T10" i="50"/>
  <c r="T12" i="50"/>
  <c r="R10" i="50"/>
  <c r="S12" i="50"/>
  <c r="T9" i="50"/>
  <c r="R12" i="50"/>
  <c r="S9" i="50"/>
  <c r="S10" i="50"/>
  <c r="I19" i="50"/>
  <c r="AF37" i="50"/>
  <c r="V14" i="50" a="1"/>
  <c r="J19" i="50"/>
  <c r="V19" i="50" s="1" a="1"/>
  <c r="AF38" i="50"/>
  <c r="H22" i="50"/>
  <c r="L5" i="50"/>
  <c r="V5" i="50" a="1"/>
  <c r="AF38" i="49"/>
  <c r="AF37" i="49"/>
  <c r="D22" i="49"/>
  <c r="E22" i="49"/>
  <c r="C22" i="49"/>
  <c r="N10" i="49"/>
  <c r="N11" i="49"/>
  <c r="N12" i="49"/>
  <c r="N9" i="49"/>
  <c r="G19" i="49" s="1"/>
  <c r="K36" i="54" l="1"/>
  <c r="K28" i="54"/>
  <c r="K42" i="54"/>
  <c r="K34" i="54"/>
  <c r="K26" i="54"/>
  <c r="K41" i="54"/>
  <c r="K33" i="54"/>
  <c r="K25" i="54"/>
  <c r="K40" i="54"/>
  <c r="K32" i="54"/>
  <c r="K24" i="54"/>
  <c r="K39" i="54"/>
  <c r="K31" i="54"/>
  <c r="K37" i="54"/>
  <c r="K29" i="54"/>
  <c r="K35" i="54"/>
  <c r="K30" i="54"/>
  <c r="K27" i="54"/>
  <c r="K23" i="54"/>
  <c r="K38" i="54"/>
  <c r="T39" i="54"/>
  <c r="S42" i="54"/>
  <c r="S38" i="54"/>
  <c r="T38" i="54"/>
  <c r="S34" i="54"/>
  <c r="S30" i="54"/>
  <c r="S26" i="54"/>
  <c r="T37" i="54"/>
  <c r="T25" i="54"/>
  <c r="T42" i="54"/>
  <c r="S37" i="54"/>
  <c r="S33" i="54"/>
  <c r="S29" i="54"/>
  <c r="S25" i="54"/>
  <c r="T41" i="54"/>
  <c r="T36" i="54"/>
  <c r="T32" i="54"/>
  <c r="T28" i="54"/>
  <c r="T24" i="54"/>
  <c r="S41" i="54"/>
  <c r="S36" i="54"/>
  <c r="S32" i="54"/>
  <c r="S28" i="54"/>
  <c r="S24" i="54"/>
  <c r="T40" i="54"/>
  <c r="T35" i="54"/>
  <c r="T31" i="54"/>
  <c r="T27" i="54"/>
  <c r="S40" i="54"/>
  <c r="S35" i="54"/>
  <c r="S31" i="54"/>
  <c r="S27" i="54"/>
  <c r="S39" i="54"/>
  <c r="T34" i="54"/>
  <c r="T30" i="54"/>
  <c r="T26" i="54"/>
  <c r="T33" i="54"/>
  <c r="T29" i="54"/>
  <c r="J41" i="54"/>
  <c r="J33" i="54"/>
  <c r="J25" i="54"/>
  <c r="J39" i="54"/>
  <c r="J31" i="54"/>
  <c r="J23" i="54"/>
  <c r="J38" i="54"/>
  <c r="J30" i="54"/>
  <c r="J37" i="54"/>
  <c r="J29" i="54"/>
  <c r="J42" i="54"/>
  <c r="J34" i="54"/>
  <c r="J26" i="54"/>
  <c r="J35" i="54"/>
  <c r="J32" i="54"/>
  <c r="J28" i="54"/>
  <c r="J27" i="54"/>
  <c r="J24" i="54"/>
  <c r="J40" i="54"/>
  <c r="J36" i="54"/>
  <c r="I38" i="54"/>
  <c r="I30" i="54"/>
  <c r="I36" i="54"/>
  <c r="I28" i="54"/>
  <c r="I35" i="54"/>
  <c r="I27" i="54"/>
  <c r="I42" i="54"/>
  <c r="I34" i="54"/>
  <c r="I26" i="54"/>
  <c r="I39" i="54"/>
  <c r="I31" i="54"/>
  <c r="I23" i="54"/>
  <c r="I32" i="54"/>
  <c r="I29" i="54"/>
  <c r="I25" i="54"/>
  <c r="I24" i="54"/>
  <c r="I41" i="54"/>
  <c r="I40" i="54"/>
  <c r="I37" i="54"/>
  <c r="I33" i="54"/>
  <c r="Y19" i="50"/>
  <c r="X19" i="50"/>
  <c r="W19" i="50"/>
  <c r="V19" i="50"/>
  <c r="X7" i="50"/>
  <c r="W7" i="50"/>
  <c r="W5" i="50"/>
  <c r="V7" i="50"/>
  <c r="V5" i="50"/>
  <c r="Y6" i="50"/>
  <c r="W6" i="50"/>
  <c r="X6" i="50"/>
  <c r="V6" i="50"/>
  <c r="Y7" i="50"/>
  <c r="Y5" i="50"/>
  <c r="X5" i="50"/>
  <c r="X15" i="50"/>
  <c r="W15" i="50"/>
  <c r="V15" i="50"/>
  <c r="X16" i="50"/>
  <c r="X14" i="50"/>
  <c r="Y16" i="50"/>
  <c r="W16" i="50"/>
  <c r="W14" i="50"/>
  <c r="V16" i="50"/>
  <c r="V14" i="50"/>
  <c r="Y15" i="50"/>
  <c r="Y14" i="50"/>
  <c r="AF41" i="50" a="1"/>
  <c r="AF26" i="50" a="1"/>
  <c r="R30" i="50" a="1"/>
  <c r="AF30" i="50" a="1"/>
  <c r="H22" i="49"/>
  <c r="I22" i="49"/>
  <c r="J22" i="49"/>
  <c r="J16" i="49"/>
  <c r="I5" i="49"/>
  <c r="V5" i="49" s="1" a="1"/>
  <c r="H19" i="49"/>
  <c r="G14" i="49"/>
  <c r="N6" i="49"/>
  <c r="L6" i="49" s="1"/>
  <c r="AF43" i="50" l="1"/>
  <c r="AF44" i="50"/>
  <c r="AF42" i="50"/>
  <c r="AF41" i="50"/>
  <c r="AI41" i="50" s="1" a="1"/>
  <c r="AF32" i="50"/>
  <c r="AF33" i="50"/>
  <c r="AF31" i="50"/>
  <c r="AF30" i="50"/>
  <c r="T33" i="50"/>
  <c r="R31" i="50"/>
  <c r="S33" i="50"/>
  <c r="T30" i="50"/>
  <c r="R33" i="50"/>
  <c r="S30" i="50"/>
  <c r="T32" i="50"/>
  <c r="R30" i="50"/>
  <c r="R32" i="50"/>
  <c r="S32" i="50"/>
  <c r="T31" i="50"/>
  <c r="S31" i="50"/>
  <c r="AF28" i="50"/>
  <c r="AF27" i="50"/>
  <c r="AF26" i="50"/>
  <c r="V14" i="49" a="1"/>
  <c r="V5" i="49"/>
  <c r="X7" i="49"/>
  <c r="X5" i="49"/>
  <c r="W6" i="49"/>
  <c r="W7" i="49"/>
  <c r="V6" i="49"/>
  <c r="W5" i="49"/>
  <c r="Y6" i="49"/>
  <c r="V7" i="49"/>
  <c r="Y7" i="49"/>
  <c r="Y5" i="49"/>
  <c r="X6" i="49"/>
  <c r="L5" i="49"/>
  <c r="N7" i="49"/>
  <c r="L7" i="49" s="1"/>
  <c r="AI44" i="50" l="1"/>
  <c r="T42" i="50"/>
  <c r="AI42" i="50"/>
  <c r="AI41" i="50"/>
  <c r="AI43" i="50"/>
  <c r="S42" i="50"/>
  <c r="R42" i="50"/>
  <c r="AK30" i="50" a="1"/>
  <c r="AG36" i="49" a="1"/>
  <c r="AG36" i="49" s="1"/>
  <c r="AI36" i="49" s="1"/>
  <c r="AG30" i="49" a="1"/>
  <c r="AG26" i="49" a="1"/>
  <c r="V19" i="49" a="1"/>
  <c r="V19" i="49" s="1"/>
  <c r="V26" i="49" a="1"/>
  <c r="V14" i="49"/>
  <c r="W15" i="49"/>
  <c r="W14" i="49"/>
  <c r="X15" i="49"/>
  <c r="V16" i="49"/>
  <c r="V15" i="49"/>
  <c r="Y16" i="49"/>
  <c r="W16" i="49"/>
  <c r="Y14" i="49"/>
  <c r="X16" i="49"/>
  <c r="X14" i="49"/>
  <c r="Y15" i="49"/>
  <c r="R9" i="49" a="1"/>
  <c r="T5" i="44" a="1"/>
  <c r="V6" i="44" s="1"/>
  <c r="AG34" i="44" a="1"/>
  <c r="AG36" i="44" s="1"/>
  <c r="AB43" i="44"/>
  <c r="AB42" i="44"/>
  <c r="AB41" i="44"/>
  <c r="AB40" i="44"/>
  <c r="AB34" i="44" a="1"/>
  <c r="AB34" i="44" s="1"/>
  <c r="Z38" i="44"/>
  <c r="Y38" i="44"/>
  <c r="X38" i="44"/>
  <c r="Z37" i="44"/>
  <c r="Y37" i="44"/>
  <c r="X37" i="44"/>
  <c r="Z36" i="44"/>
  <c r="Y36" i="44"/>
  <c r="X36" i="44"/>
  <c r="Z35" i="44"/>
  <c r="Y35" i="44"/>
  <c r="X35" i="44"/>
  <c r="Z34" i="44"/>
  <c r="Y34" i="44"/>
  <c r="X34" i="44"/>
  <c r="P7" i="42" a="1"/>
  <c r="R7" i="42" s="1"/>
  <c r="P4" i="42" a="1"/>
  <c r="R4" i="42" s="1"/>
  <c r="AB29" i="42" a="1"/>
  <c r="AB31" i="42" s="1"/>
  <c r="Z29" i="42" a="1"/>
  <c r="Z29" i="42" s="1"/>
  <c r="T22" i="40" a="1"/>
  <c r="T24" i="40" s="1"/>
  <c r="O22" i="40" a="1"/>
  <c r="O24" i="40" s="1"/>
  <c r="L4" i="40" a="1"/>
  <c r="N4" i="40" s="1"/>
  <c r="Q5" i="26" a="1"/>
  <c r="T5" i="26" s="1"/>
  <c r="S29" i="26"/>
  <c r="R29" i="26"/>
  <c r="S28" i="26"/>
  <c r="R28" i="26"/>
  <c r="S27" i="26"/>
  <c r="R27" i="26"/>
  <c r="S26" i="26"/>
  <c r="R26" i="26"/>
  <c r="S25" i="26"/>
  <c r="R25" i="26"/>
  <c r="T5" i="24" a="1"/>
  <c r="V5" i="24" s="1"/>
  <c r="T7" i="24" a="1"/>
  <c r="T7" i="24" s="1"/>
  <c r="W39" i="24"/>
  <c r="W38" i="24"/>
  <c r="W37" i="24"/>
  <c r="W36" i="24"/>
  <c r="W35" i="24"/>
  <c r="V39" i="24"/>
  <c r="V38" i="24"/>
  <c r="V37" i="24"/>
  <c r="V36" i="24"/>
  <c r="V35" i="24"/>
  <c r="Z23" i="45"/>
  <c r="Z24" i="45"/>
  <c r="Z25" i="45"/>
  <c r="Z26" i="45"/>
  <c r="Z27" i="45"/>
  <c r="P7" i="45" a="1"/>
  <c r="P7" i="45" s="1"/>
  <c r="V26" i="50" l="1" a="1"/>
  <c r="AG26" i="50" a="1"/>
  <c r="AI30" i="50" a="1"/>
  <c r="AH30" i="50" a="1"/>
  <c r="AG30" i="50" a="1"/>
  <c r="V35" i="50" a="1"/>
  <c r="V40" i="50" a="1"/>
  <c r="AG36" i="50" a="1"/>
  <c r="AG38" i="49"/>
  <c r="AI38" i="49" s="1"/>
  <c r="AG37" i="49"/>
  <c r="AI37" i="49" s="1"/>
  <c r="AH30" i="49" a="1"/>
  <c r="AG28" i="49"/>
  <c r="AG27" i="49"/>
  <c r="AG26" i="49"/>
  <c r="AG31" i="49"/>
  <c r="AG30" i="49"/>
  <c r="AG33" i="49"/>
  <c r="AG32" i="49"/>
  <c r="Y19" i="49"/>
  <c r="W19" i="49"/>
  <c r="X19" i="49"/>
  <c r="V35" i="49" a="1"/>
  <c r="X27" i="49"/>
  <c r="Y28" i="49"/>
  <c r="Y27" i="49"/>
  <c r="Y26" i="49"/>
  <c r="X28" i="49"/>
  <c r="X26" i="49"/>
  <c r="V27" i="49"/>
  <c r="W28" i="49"/>
  <c r="W26" i="49"/>
  <c r="W27" i="49"/>
  <c r="V28" i="49"/>
  <c r="V26" i="49"/>
  <c r="S9" i="49"/>
  <c r="R11" i="49"/>
  <c r="R9" i="49"/>
  <c r="T10" i="49"/>
  <c r="S10" i="49"/>
  <c r="T12" i="49"/>
  <c r="R10" i="49"/>
  <c r="R12" i="49"/>
  <c r="S11" i="49"/>
  <c r="S12" i="49"/>
  <c r="T9" i="49"/>
  <c r="T11" i="49"/>
  <c r="U6" i="44"/>
  <c r="X7" i="44"/>
  <c r="W7" i="44"/>
  <c r="T6" i="44"/>
  <c r="V7" i="44"/>
  <c r="X5" i="44"/>
  <c r="U7" i="44"/>
  <c r="W5" i="44"/>
  <c r="T7" i="44"/>
  <c r="V5" i="44"/>
  <c r="U5" i="44"/>
  <c r="X6" i="44"/>
  <c r="W6" i="44"/>
  <c r="T5" i="44"/>
  <c r="AG34" i="44"/>
  <c r="AG35" i="44"/>
  <c r="AG38" i="44"/>
  <c r="AG37" i="44"/>
  <c r="AB35" i="44"/>
  <c r="AB38" i="44"/>
  <c r="AB37" i="44"/>
  <c r="AB36" i="44"/>
  <c r="T9" i="42"/>
  <c r="Q8" i="42"/>
  <c r="T8" i="42"/>
  <c r="Q7" i="42"/>
  <c r="S8" i="42"/>
  <c r="P7" i="42"/>
  <c r="R8" i="42"/>
  <c r="S9" i="42"/>
  <c r="P8" i="42"/>
  <c r="R9" i="42"/>
  <c r="T7" i="42"/>
  <c r="Q9" i="42"/>
  <c r="S7" i="42"/>
  <c r="P9" i="42"/>
  <c r="T5" i="42"/>
  <c r="Q4" i="42"/>
  <c r="S5" i="42"/>
  <c r="P4" i="42"/>
  <c r="R5" i="42"/>
  <c r="T6" i="42"/>
  <c r="Q5" i="42"/>
  <c r="S6" i="42"/>
  <c r="P5" i="42"/>
  <c r="R6" i="42"/>
  <c r="T4" i="42"/>
  <c r="Q6" i="42"/>
  <c r="S4" i="42"/>
  <c r="P6" i="42"/>
  <c r="AB30" i="42"/>
  <c r="AB29" i="42"/>
  <c r="AB33" i="42"/>
  <c r="AB32" i="42"/>
  <c r="Z32" i="42"/>
  <c r="Z31" i="42"/>
  <c r="Z33" i="42"/>
  <c r="Z30" i="42"/>
  <c r="T26" i="40"/>
  <c r="T25" i="40"/>
  <c r="T23" i="40"/>
  <c r="T22" i="40"/>
  <c r="O23" i="40"/>
  <c r="O22" i="40"/>
  <c r="O26" i="40"/>
  <c r="O25" i="40"/>
  <c r="M4" i="40"/>
  <c r="L4" i="40"/>
  <c r="P4" i="40"/>
  <c r="O4" i="40"/>
  <c r="R6" i="26"/>
  <c r="S5" i="26"/>
  <c r="U6" i="26"/>
  <c r="R5" i="26"/>
  <c r="T6" i="26"/>
  <c r="Q5" i="26"/>
  <c r="S6" i="26"/>
  <c r="Q6" i="26"/>
  <c r="U5" i="26"/>
  <c r="U5" i="24"/>
  <c r="X5" i="24"/>
  <c r="W5" i="24"/>
  <c r="T5" i="24"/>
  <c r="X7" i="24"/>
  <c r="W7" i="24"/>
  <c r="V7" i="24"/>
  <c r="U7" i="24"/>
  <c r="Q7" i="45"/>
  <c r="T7" i="45"/>
  <c r="S7" i="45"/>
  <c r="R7" i="45"/>
  <c r="P11" i="45" a="1"/>
  <c r="S11" i="45" s="1"/>
  <c r="AF23" i="45" a="1"/>
  <c r="AF27" i="45" s="1"/>
  <c r="AE24" i="45"/>
  <c r="AE25" i="45"/>
  <c r="AE26" i="45"/>
  <c r="AE27" i="45"/>
  <c r="AE23" i="45"/>
  <c r="T23" i="45"/>
  <c r="T24" i="45"/>
  <c r="T25" i="45"/>
  <c r="T26" i="45"/>
  <c r="P5" i="45" s="1" a="1"/>
  <c r="R5" i="45" s="1"/>
  <c r="T27" i="45"/>
  <c r="Q8" i="26" a="1"/>
  <c r="S8" i="26" s="1"/>
  <c r="I29" i="45"/>
  <c r="H29" i="45"/>
  <c r="F29" i="45"/>
  <c r="T11" i="24" a="1"/>
  <c r="U11" i="24" s="1"/>
  <c r="T9" i="24" a="1"/>
  <c r="V9" i="24" s="1"/>
  <c r="T9" i="44" a="1"/>
  <c r="W9" i="44" s="1"/>
  <c r="L5" i="40" a="1"/>
  <c r="O5" i="40" s="1"/>
  <c r="N6" i="44"/>
  <c r="J40" i="44"/>
  <c r="K40" i="44"/>
  <c r="F40" i="44"/>
  <c r="G40" i="44"/>
  <c r="AF35" i="44"/>
  <c r="AF36" i="44"/>
  <c r="AF37" i="44"/>
  <c r="AF38" i="44"/>
  <c r="AF34" i="44"/>
  <c r="O20" i="44"/>
  <c r="L4" i="44"/>
  <c r="W36" i="50" l="1"/>
  <c r="V35" i="50"/>
  <c r="V36" i="50"/>
  <c r="W35" i="50"/>
  <c r="W37" i="50"/>
  <c r="Y36" i="50"/>
  <c r="X37" i="50"/>
  <c r="Y37" i="50"/>
  <c r="X36" i="50"/>
  <c r="Y35" i="50"/>
  <c r="V37" i="50"/>
  <c r="X35" i="50"/>
  <c r="AG38" i="50"/>
  <c r="AI38" i="50" s="1"/>
  <c r="AG37" i="50"/>
  <c r="AI37" i="50" s="1"/>
  <c r="AG36" i="50"/>
  <c r="W40" i="50"/>
  <c r="Y40" i="50"/>
  <c r="V40" i="50"/>
  <c r="X40" i="50"/>
  <c r="AH32" i="50"/>
  <c r="AH30" i="50"/>
  <c r="AH33" i="50"/>
  <c r="AH31" i="50"/>
  <c r="AI30" i="50"/>
  <c r="AI33" i="50"/>
  <c r="AI32" i="50"/>
  <c r="AI31" i="50"/>
  <c r="AG28" i="50"/>
  <c r="AI28" i="50" s="1"/>
  <c r="AG27" i="50"/>
  <c r="AG26" i="50"/>
  <c r="AI26" i="50" s="1"/>
  <c r="AG30" i="50"/>
  <c r="AG32" i="50"/>
  <c r="AG33" i="50"/>
  <c r="AG31" i="50"/>
  <c r="W27" i="50"/>
  <c r="V26" i="50"/>
  <c r="Y28" i="50"/>
  <c r="W28" i="50"/>
  <c r="V27" i="50"/>
  <c r="Y26" i="50"/>
  <c r="X28" i="50"/>
  <c r="W26" i="50"/>
  <c r="X27" i="50"/>
  <c r="V28" i="50"/>
  <c r="X26" i="50"/>
  <c r="Y27" i="50"/>
  <c r="AF41" i="49" a="1"/>
  <c r="AI30" i="49" a="1"/>
  <c r="AI33" i="49" s="1"/>
  <c r="V40" i="49" a="1"/>
  <c r="W40" i="49" s="1"/>
  <c r="AF26" i="49" a="1"/>
  <c r="AF30" i="49" a="1"/>
  <c r="AH32" i="49"/>
  <c r="AH30" i="49"/>
  <c r="AH33" i="49"/>
  <c r="AH31" i="49"/>
  <c r="R30" i="49" a="1"/>
  <c r="S32" i="49" s="1"/>
  <c r="V35" i="49"/>
  <c r="Y35" i="49"/>
  <c r="X37" i="49"/>
  <c r="X35" i="49"/>
  <c r="Y36" i="49"/>
  <c r="W37" i="49"/>
  <c r="Y37" i="49"/>
  <c r="W35" i="49"/>
  <c r="V36" i="49"/>
  <c r="V37" i="49"/>
  <c r="X36" i="49"/>
  <c r="W36" i="49"/>
  <c r="V6" i="45" a="1"/>
  <c r="V6" i="45" s="1"/>
  <c r="P11" i="45"/>
  <c r="T11" i="45"/>
  <c r="R11" i="45"/>
  <c r="Q11" i="45"/>
  <c r="AF26" i="45"/>
  <c r="AF25" i="45"/>
  <c r="AF24" i="45"/>
  <c r="AF23" i="45"/>
  <c r="V4" i="45" a="1"/>
  <c r="V4" i="45" s="1"/>
  <c r="Q5" i="45"/>
  <c r="P5" i="45"/>
  <c r="T5" i="45"/>
  <c r="S5" i="45"/>
  <c r="U9" i="26"/>
  <c r="R8" i="26"/>
  <c r="T9" i="26"/>
  <c r="Q8" i="26"/>
  <c r="S9" i="26"/>
  <c r="R9" i="26"/>
  <c r="Q9" i="26"/>
  <c r="U8" i="26"/>
  <c r="T8" i="26"/>
  <c r="K29" i="45" a="1"/>
  <c r="K29" i="45" s="1"/>
  <c r="X11" i="24"/>
  <c r="W11" i="24"/>
  <c r="T11" i="24"/>
  <c r="V11" i="24"/>
  <c r="T9" i="24"/>
  <c r="W9" i="24"/>
  <c r="U9" i="24"/>
  <c r="X9" i="24"/>
  <c r="T11" i="44"/>
  <c r="V12" i="44"/>
  <c r="X10" i="44"/>
  <c r="U12" i="44"/>
  <c r="T9" i="44"/>
  <c r="X11" i="44"/>
  <c r="U10" i="44"/>
  <c r="W12" i="44"/>
  <c r="V9" i="44"/>
  <c r="U9" i="44"/>
  <c r="W10" i="44"/>
  <c r="T12" i="44"/>
  <c r="V10" i="44"/>
  <c r="W11" i="44"/>
  <c r="T10" i="44"/>
  <c r="X12" i="44"/>
  <c r="V11" i="44"/>
  <c r="X9" i="44"/>
  <c r="U11" i="44"/>
  <c r="M5" i="40"/>
  <c r="O6" i="40"/>
  <c r="N6" i="40"/>
  <c r="M6" i="40"/>
  <c r="P6" i="40"/>
  <c r="L5" i="40"/>
  <c r="L6" i="40"/>
  <c r="N5" i="40"/>
  <c r="P5" i="40"/>
  <c r="O40" i="44"/>
  <c r="H40" i="44"/>
  <c r="N40" i="44"/>
  <c r="M40" i="44"/>
  <c r="L40" i="44"/>
  <c r="K17" i="41"/>
  <c r="K17" i="42"/>
  <c r="U36" i="42"/>
  <c r="L35" i="42"/>
  <c r="K35" i="42"/>
  <c r="J35" i="42"/>
  <c r="I35" i="42"/>
  <c r="H35" i="42"/>
  <c r="G35" i="42"/>
  <c r="F35" i="42"/>
  <c r="E35" i="42"/>
  <c r="Y33" i="42"/>
  <c r="Y32" i="42"/>
  <c r="Y31" i="42"/>
  <c r="Y30" i="42"/>
  <c r="Y29" i="42"/>
  <c r="U38" i="42"/>
  <c r="U35" i="42"/>
  <c r="U29" i="42" s="1" a="1"/>
  <c r="AF4" i="41" a="1"/>
  <c r="AF6" i="41" s="1"/>
  <c r="AE4" i="41" a="1"/>
  <c r="AE6" i="41" s="1"/>
  <c r="AD4" i="41" a="1"/>
  <c r="AD4" i="41" s="1"/>
  <c r="AC4" i="41" a="1"/>
  <c r="AC6" i="41" s="1"/>
  <c r="AB4" i="41" a="1"/>
  <c r="AB6" i="41" s="1"/>
  <c r="AF7" i="41" a="1"/>
  <c r="AF9" i="41" s="1"/>
  <c r="AE7" i="41" a="1"/>
  <c r="AE9" i="41" s="1"/>
  <c r="AD7" i="41" a="1"/>
  <c r="AD7" i="41" s="1"/>
  <c r="AC7" i="41" a="1"/>
  <c r="AC7" i="41" s="1"/>
  <c r="AB7" i="41" a="1"/>
  <c r="AB8" i="41" s="1"/>
  <c r="G34" i="41"/>
  <c r="H34" i="41"/>
  <c r="I34" i="41"/>
  <c r="J34" i="41"/>
  <c r="K34" i="41"/>
  <c r="F34" i="41"/>
  <c r="E34" i="41"/>
  <c r="E47" i="44" l="1" a="1"/>
  <c r="N50" i="44" s="1"/>
  <c r="W42" i="50"/>
  <c r="X42" i="50"/>
  <c r="Y42" i="50"/>
  <c r="V42" i="50"/>
  <c r="AK32" i="50"/>
  <c r="AK31" i="50"/>
  <c r="AK30" i="50"/>
  <c r="AI36" i="50" a="1"/>
  <c r="AI36" i="50"/>
  <c r="AI26" i="50" a="1"/>
  <c r="AI27" i="50"/>
  <c r="AK33" i="50"/>
  <c r="AF41" i="49"/>
  <c r="AI41" i="49" s="1"/>
  <c r="AF44" i="49"/>
  <c r="AI44" i="49" s="1"/>
  <c r="AF43" i="49"/>
  <c r="AI43" i="49" s="1"/>
  <c r="AF42" i="49"/>
  <c r="AI42" i="49" s="1"/>
  <c r="AI31" i="49"/>
  <c r="V40" i="49"/>
  <c r="X40" i="49"/>
  <c r="Y40" i="49"/>
  <c r="AI30" i="49"/>
  <c r="AI32" i="49"/>
  <c r="AF32" i="49"/>
  <c r="AF33" i="49"/>
  <c r="AF30" i="49"/>
  <c r="AF31" i="49"/>
  <c r="AF28" i="49"/>
  <c r="AF26" i="49"/>
  <c r="AF27" i="49"/>
  <c r="R30" i="49"/>
  <c r="R31" i="49"/>
  <c r="R32" i="49"/>
  <c r="T31" i="49"/>
  <c r="T30" i="49"/>
  <c r="R33" i="49"/>
  <c r="S33" i="49"/>
  <c r="T33" i="49"/>
  <c r="T32" i="49"/>
  <c r="S31" i="49"/>
  <c r="S30" i="49"/>
  <c r="Z4" i="44" a="1"/>
  <c r="Z4" i="44" s="1"/>
  <c r="Z8" i="44" a="1"/>
  <c r="Z8" i="44" s="1"/>
  <c r="U31" i="42"/>
  <c r="U29" i="42"/>
  <c r="U33" i="42"/>
  <c r="U30" i="42"/>
  <c r="U32" i="42"/>
  <c r="AI40" i="44" a="1"/>
  <c r="AI40" i="44" s="1"/>
  <c r="AF5" i="41"/>
  <c r="AF4" i="41"/>
  <c r="AE5" i="41"/>
  <c r="AE4" i="41"/>
  <c r="AD6" i="41"/>
  <c r="AD5" i="41"/>
  <c r="AC5" i="41"/>
  <c r="AC4" i="41"/>
  <c r="AB5" i="41"/>
  <c r="AB4" i="41"/>
  <c r="AF7" i="41"/>
  <c r="AF8" i="41"/>
  <c r="AE8" i="41"/>
  <c r="AE7" i="41"/>
  <c r="AD9" i="41"/>
  <c r="AD8" i="41"/>
  <c r="AC9" i="41"/>
  <c r="AC8" i="41"/>
  <c r="AB9" i="41"/>
  <c r="AB7" i="41"/>
  <c r="M32" i="41"/>
  <c r="M31" i="41"/>
  <c r="M30" i="41"/>
  <c r="M29" i="41"/>
  <c r="P28" i="41" a="1"/>
  <c r="P32" i="41" s="1"/>
  <c r="N28" i="41" a="1"/>
  <c r="N31" i="41" s="1"/>
  <c r="M28" i="41"/>
  <c r="Z12" i="41"/>
  <c r="W12" i="41"/>
  <c r="Z11" i="41"/>
  <c r="W11" i="41"/>
  <c r="V9" i="41" s="1" a="1"/>
  <c r="X9" i="41" s="1"/>
  <c r="O31" i="40"/>
  <c r="O30" i="40"/>
  <c r="H28" i="40"/>
  <c r="G28" i="40"/>
  <c r="F28" i="40"/>
  <c r="E28" i="40"/>
  <c r="S26" i="40"/>
  <c r="S25" i="40"/>
  <c r="S24" i="40"/>
  <c r="S23" i="40"/>
  <c r="V22" i="40" a="1"/>
  <c r="V26" i="40" s="1"/>
  <c r="U9" i="39"/>
  <c r="AD5" i="39" a="1"/>
  <c r="AD5" i="39" s="1"/>
  <c r="AC5" i="39" a="1"/>
  <c r="AC5" i="39" s="1"/>
  <c r="AB5" i="39" a="1"/>
  <c r="AB5" i="39" s="1"/>
  <c r="AA5" i="39" a="1"/>
  <c r="AA5" i="39" s="1"/>
  <c r="Z5" i="39" a="1"/>
  <c r="Z5" i="39" s="1"/>
  <c r="I25" i="39"/>
  <c r="H25" i="39"/>
  <c r="G25" i="39"/>
  <c r="F25" i="39"/>
  <c r="E25" i="39"/>
  <c r="K23" i="39"/>
  <c r="K22" i="39"/>
  <c r="K21" i="39"/>
  <c r="K20" i="39"/>
  <c r="N19" i="39" a="1"/>
  <c r="N23" i="39" s="1"/>
  <c r="L19" i="39" a="1"/>
  <c r="L21" i="39" s="1"/>
  <c r="K19" i="39"/>
  <c r="T6" i="39" a="1"/>
  <c r="X6" i="39" s="1"/>
  <c r="AD4" i="39" a="1"/>
  <c r="AD4" i="39" s="1"/>
  <c r="AC4" i="39" a="1"/>
  <c r="AC4" i="39" s="1"/>
  <c r="AB4" i="39" a="1"/>
  <c r="AB4" i="39" s="1"/>
  <c r="AA4" i="39" a="1"/>
  <c r="AA4" i="39" s="1"/>
  <c r="Z4" i="39" a="1"/>
  <c r="Z4" i="39" s="1"/>
  <c r="J49" i="44" l="1"/>
  <c r="J53" i="44"/>
  <c r="E49" i="44"/>
  <c r="F47" i="44"/>
  <c r="I50" i="44"/>
  <c r="M48" i="44"/>
  <c r="L48" i="44"/>
  <c r="H53" i="44"/>
  <c r="K52" i="44"/>
  <c r="I47" i="44"/>
  <c r="N52" i="44"/>
  <c r="G52" i="44"/>
  <c r="K51" i="44"/>
  <c r="E55" i="44"/>
  <c r="F50" i="44"/>
  <c r="O47" i="44"/>
  <c r="M53" i="44"/>
  <c r="G51" i="44"/>
  <c r="N48" i="44"/>
  <c r="K50" i="44"/>
  <c r="E53" i="44"/>
  <c r="I48" i="44"/>
  <c r="I51" i="44"/>
  <c r="F51" i="44"/>
  <c r="G49" i="44"/>
  <c r="G47" i="44"/>
  <c r="H50" i="44"/>
  <c r="O55" i="44"/>
  <c r="K47" i="44"/>
  <c r="F49" i="44"/>
  <c r="N55" i="44"/>
  <c r="F53" i="44"/>
  <c r="M49" i="44"/>
  <c r="E51" i="44"/>
  <c r="K55" i="44"/>
  <c r="F48" i="44"/>
  <c r="N49" i="44"/>
  <c r="M50" i="44"/>
  <c r="I54" i="44"/>
  <c r="L50" i="44"/>
  <c r="G53" i="44"/>
  <c r="L52" i="44"/>
  <c r="E50" i="44"/>
  <c r="H52" i="44"/>
  <c r="K48" i="44"/>
  <c r="J50" i="44"/>
  <c r="E52" i="44"/>
  <c r="H55" i="44"/>
  <c r="J47" i="44"/>
  <c r="I49" i="44"/>
  <c r="H51" i="44"/>
  <c r="G50" i="44"/>
  <c r="N51" i="44"/>
  <c r="I53" i="44"/>
  <c r="E48" i="44"/>
  <c r="H48" i="44"/>
  <c r="O54" i="44"/>
  <c r="M52" i="44"/>
  <c r="O49" i="44"/>
  <c r="L54" i="44"/>
  <c r="G55" i="44"/>
  <c r="J55" i="44"/>
  <c r="E47" i="44"/>
  <c r="N54" i="44"/>
  <c r="M54" i="44"/>
  <c r="K53" i="44"/>
  <c r="L55" i="44"/>
  <c r="O51" i="44"/>
  <c r="I55" i="44"/>
  <c r="F55" i="44"/>
  <c r="H54" i="44"/>
  <c r="K54" i="44"/>
  <c r="H47" i="44"/>
  <c r="L47" i="44"/>
  <c r="M55" i="44"/>
  <c r="L49" i="44"/>
  <c r="J48" i="44"/>
  <c r="O53" i="44"/>
  <c r="J54" i="44"/>
  <c r="O48" i="44"/>
  <c r="M47" i="44"/>
  <c r="F52" i="44"/>
  <c r="O50" i="44"/>
  <c r="G54" i="44"/>
  <c r="I52" i="44"/>
  <c r="K49" i="44"/>
  <c r="H49" i="44"/>
  <c r="G48" i="44"/>
  <c r="N47" i="44"/>
  <c r="N53" i="44"/>
  <c r="O52" i="44"/>
  <c r="F54" i="44"/>
  <c r="J52" i="44"/>
  <c r="E54" i="44"/>
  <c r="L53" i="44"/>
  <c r="L51" i="44"/>
  <c r="J51" i="44"/>
  <c r="M51" i="44"/>
  <c r="S42" i="49"/>
  <c r="T42" i="49"/>
  <c r="R42" i="49"/>
  <c r="AK30" i="49" a="1"/>
  <c r="AI26" i="49" a="1"/>
  <c r="W9" i="41"/>
  <c r="Y9" i="41"/>
  <c r="Z9" i="41"/>
  <c r="V9" i="41"/>
  <c r="AB35" i="42"/>
  <c r="N32" i="41"/>
  <c r="P28" i="41"/>
  <c r="P29" i="41"/>
  <c r="N28" i="41"/>
  <c r="P30" i="41"/>
  <c r="N29" i="41"/>
  <c r="P31" i="41"/>
  <c r="N30" i="41"/>
  <c r="V22" i="40"/>
  <c r="V23" i="40"/>
  <c r="V24" i="40"/>
  <c r="V25" i="40"/>
  <c r="AD6" i="39"/>
  <c r="AC6" i="39"/>
  <c r="AB6" i="39"/>
  <c r="AA6" i="39"/>
  <c r="Z6" i="39"/>
  <c r="L22" i="39"/>
  <c r="L23" i="39"/>
  <c r="T6" i="39"/>
  <c r="N19" i="39"/>
  <c r="N20" i="39"/>
  <c r="V6" i="39"/>
  <c r="L19" i="39"/>
  <c r="N21" i="39"/>
  <c r="L20" i="39"/>
  <c r="N22" i="39"/>
  <c r="U6" i="39"/>
  <c r="W6" i="39"/>
  <c r="AK31" i="49" l="1"/>
  <c r="AK30" i="49"/>
  <c r="AK33" i="49"/>
  <c r="AK32" i="49"/>
  <c r="AI28" i="49"/>
  <c r="AI27" i="49"/>
  <c r="AI26" i="49"/>
  <c r="P34" i="41"/>
  <c r="V28" i="40"/>
  <c r="N25" i="39"/>
  <c r="Z36" i="36" l="1" a="1"/>
  <c r="Z36" i="36" s="1"/>
  <c r="AU79" i="38"/>
  <c r="AV79" i="38" s="1"/>
  <c r="AJ67" i="38" a="1"/>
  <c r="AQ67" i="38" s="1"/>
  <c r="AJ66" i="38" a="1"/>
  <c r="AO66" i="38" s="1"/>
  <c r="AJ65" i="38" a="1"/>
  <c r="AQ65" i="38" s="1"/>
  <c r="AJ64" i="38" a="1"/>
  <c r="AJ63" i="38" a="1"/>
  <c r="AM63" i="38" s="1"/>
  <c r="AJ62" i="38" a="1"/>
  <c r="AM62" i="38" s="1"/>
  <c r="AJ60" i="38" a="1"/>
  <c r="AP60" i="38" s="1"/>
  <c r="AJ59" i="38" a="1"/>
  <c r="AJ58" i="38" a="1"/>
  <c r="AQ58" i="38" s="1"/>
  <c r="AJ57" i="38" a="1"/>
  <c r="AK57" i="38" s="1"/>
  <c r="AJ56" i="38" a="1"/>
  <c r="AQ56" i="38" s="1"/>
  <c r="AJ55" i="38" a="1"/>
  <c r="AK55" i="38" s="1"/>
  <c r="AJ54" i="38" a="1"/>
  <c r="AO54" i="38" s="1"/>
  <c r="AS53" i="38" a="1"/>
  <c r="AS62" i="38" s="1"/>
  <c r="L37" i="38"/>
  <c r="K37" i="38"/>
  <c r="J37" i="38"/>
  <c r="I37" i="38"/>
  <c r="L36" i="38"/>
  <c r="K36" i="38"/>
  <c r="J36" i="38"/>
  <c r="I36" i="38"/>
  <c r="L33" i="38"/>
  <c r="K33" i="38"/>
  <c r="J33" i="38"/>
  <c r="I33" i="38"/>
  <c r="AN80" i="38" s="1" a="1"/>
  <c r="H32" i="38"/>
  <c r="R26" i="38"/>
  <c r="S26" i="38" s="1"/>
  <c r="T26" i="38" s="1"/>
  <c r="U26" i="38" s="1"/>
  <c r="V26" i="38" s="1"/>
  <c r="W26" i="38" s="1"/>
  <c r="X26" i="38" s="1"/>
  <c r="Y26" i="38" s="1"/>
  <c r="Z26" i="38" s="1"/>
  <c r="AA26" i="38" s="1"/>
  <c r="AB26" i="38" s="1"/>
  <c r="AC26" i="38" s="1"/>
  <c r="AD26" i="38" s="1"/>
  <c r="AE26" i="38" s="1"/>
  <c r="AF26" i="38" s="1"/>
  <c r="AG26" i="38" s="1"/>
  <c r="AH26" i="38" s="1"/>
  <c r="AI26" i="38" s="1"/>
  <c r="Q26" i="38"/>
  <c r="Q25" i="38"/>
  <c r="R25" i="38" s="1"/>
  <c r="S25" i="38" s="1"/>
  <c r="T25" i="38" s="1"/>
  <c r="U25" i="38" s="1"/>
  <c r="V25" i="38" s="1"/>
  <c r="W25" i="38" s="1"/>
  <c r="X25" i="38" s="1"/>
  <c r="Y25" i="38" s="1"/>
  <c r="Z25" i="38" s="1"/>
  <c r="AA25" i="38" s="1"/>
  <c r="AB25" i="38" s="1"/>
  <c r="AC25" i="38" s="1"/>
  <c r="AD25" i="38" s="1"/>
  <c r="AE25" i="38" s="1"/>
  <c r="AF25" i="38" s="1"/>
  <c r="AG25" i="38" s="1"/>
  <c r="AH25" i="38" s="1"/>
  <c r="AI25" i="38" s="1"/>
  <c r="L25" i="38"/>
  <c r="Q24" i="38"/>
  <c r="R24" i="38" s="1"/>
  <c r="S24" i="38" s="1"/>
  <c r="T24" i="38" s="1"/>
  <c r="U24" i="38" s="1"/>
  <c r="V24" i="38" s="1"/>
  <c r="W24" i="38" s="1"/>
  <c r="X24" i="38" s="1"/>
  <c r="Y24" i="38" s="1"/>
  <c r="Z24" i="38" s="1"/>
  <c r="AA24" i="38" s="1"/>
  <c r="AB24" i="38" s="1"/>
  <c r="AC24" i="38" s="1"/>
  <c r="AD24" i="38" s="1"/>
  <c r="AE24" i="38" s="1"/>
  <c r="AF24" i="38" s="1"/>
  <c r="AG24" i="38" s="1"/>
  <c r="AH24" i="38" s="1"/>
  <c r="AI24" i="38" s="1"/>
  <c r="N24" i="38"/>
  <c r="N53" i="38" s="1" a="1"/>
  <c r="N65" i="38" s="1"/>
  <c r="K24" i="38"/>
  <c r="I24" i="38"/>
  <c r="P32" i="38" s="1" a="1"/>
  <c r="V9" i="38"/>
  <c r="Z38" i="36" l="1"/>
  <c r="Z37" i="36"/>
  <c r="AO58" i="38"/>
  <c r="AQ60" i="38"/>
  <c r="AM60" i="38"/>
  <c r="AK65" i="38"/>
  <c r="AO60" i="38"/>
  <c r="AD37" i="38"/>
  <c r="V37" i="38"/>
  <c r="AH36" i="38"/>
  <c r="Z36" i="38"/>
  <c r="R36" i="38"/>
  <c r="AD35" i="38"/>
  <c r="V35" i="38"/>
  <c r="AH34" i="38"/>
  <c r="Z34" i="38"/>
  <c r="R34" i="38"/>
  <c r="AD33" i="38"/>
  <c r="V33" i="38"/>
  <c r="AH32" i="38"/>
  <c r="Z32" i="38"/>
  <c r="R32" i="38"/>
  <c r="AH37" i="38"/>
  <c r="Z37" i="38"/>
  <c r="R37" i="38"/>
  <c r="AD36" i="38"/>
  <c r="V36" i="38"/>
  <c r="AH35" i="38"/>
  <c r="Z35" i="38"/>
  <c r="R35" i="38"/>
  <c r="AD34" i="38"/>
  <c r="V34" i="38"/>
  <c r="AH33" i="38"/>
  <c r="Z33" i="38"/>
  <c r="R33" i="38"/>
  <c r="AD32" i="38"/>
  <c r="V32" i="38"/>
  <c r="T35" i="38"/>
  <c r="Q33" i="38"/>
  <c r="AG37" i="38"/>
  <c r="W37" i="38"/>
  <c r="AF36" i="38"/>
  <c r="U36" i="38"/>
  <c r="AC34" i="38"/>
  <c r="S34" i="38"/>
  <c r="AA32" i="38"/>
  <c r="AF37" i="38"/>
  <c r="U37" i="38"/>
  <c r="AE36" i="38"/>
  <c r="T36" i="38"/>
  <c r="AC35" i="38"/>
  <c r="S35" i="38"/>
  <c r="AB34" i="38"/>
  <c r="Q34" i="38"/>
  <c r="AA33" i="38"/>
  <c r="P33" i="38"/>
  <c r="Y32" i="38"/>
  <c r="AI36" i="38"/>
  <c r="X36" i="38"/>
  <c r="AG35" i="38"/>
  <c r="AF34" i="38"/>
  <c r="AE33" i="38"/>
  <c r="AC32" i="38"/>
  <c r="W36" i="38"/>
  <c r="U35" i="38"/>
  <c r="T34" i="38"/>
  <c r="S33" i="38"/>
  <c r="AB32" i="38"/>
  <c r="AE37" i="38"/>
  <c r="T37" i="38"/>
  <c r="AC36" i="38"/>
  <c r="S36" i="38"/>
  <c r="AB35" i="38"/>
  <c r="Q35" i="38"/>
  <c r="AA34" i="38"/>
  <c r="P34" i="38"/>
  <c r="Y33" i="38"/>
  <c r="AI32" i="38"/>
  <c r="X32" i="38"/>
  <c r="AC37" i="38"/>
  <c r="S37" i="38"/>
  <c r="AB36" i="38"/>
  <c r="Q36" i="38"/>
  <c r="AA35" i="38"/>
  <c r="P35" i="38"/>
  <c r="Y34" i="38"/>
  <c r="AI33" i="38"/>
  <c r="X33" i="38"/>
  <c r="AG32" i="38"/>
  <c r="W32" i="38"/>
  <c r="AB37" i="38"/>
  <c r="Q37" i="38"/>
  <c r="AA36" i="38"/>
  <c r="P36" i="38"/>
  <c r="Y35" i="38"/>
  <c r="AI34" i="38"/>
  <c r="X34" i="38"/>
  <c r="AG33" i="38"/>
  <c r="W33" i="38"/>
  <c r="AF32" i="38"/>
  <c r="U32" i="38"/>
  <c r="Y37" i="38"/>
  <c r="W35" i="38"/>
  <c r="U34" i="38"/>
  <c r="T33" i="38"/>
  <c r="S32" i="38"/>
  <c r="AI37" i="38"/>
  <c r="X37" i="38"/>
  <c r="AG36" i="38"/>
  <c r="AF35" i="38"/>
  <c r="AE34" i="38"/>
  <c r="AC33" i="38"/>
  <c r="Q32" i="38"/>
  <c r="AA37" i="38"/>
  <c r="P37" i="38"/>
  <c r="Y36" i="38"/>
  <c r="AI35" i="38"/>
  <c r="X35" i="38"/>
  <c r="AG34" i="38"/>
  <c r="W34" i="38"/>
  <c r="AF33" i="38"/>
  <c r="U33" i="38"/>
  <c r="AE32" i="38"/>
  <c r="T32" i="38"/>
  <c r="AE35" i="38"/>
  <c r="AB33" i="38"/>
  <c r="P32" i="38"/>
  <c r="AP98" i="38"/>
  <c r="AP96" i="38"/>
  <c r="AP94" i="38"/>
  <c r="AP92" i="38"/>
  <c r="AP90" i="38"/>
  <c r="AP88" i="38"/>
  <c r="AP86" i="38"/>
  <c r="AP84" i="38"/>
  <c r="AP82" i="38"/>
  <c r="AP80" i="38"/>
  <c r="AQ97" i="38"/>
  <c r="AQ95" i="38"/>
  <c r="AQ93" i="38"/>
  <c r="AQ91" i="38"/>
  <c r="AQ89" i="38"/>
  <c r="AQ87" i="38"/>
  <c r="AQ85" i="38"/>
  <c r="AQ83" i="38"/>
  <c r="AQ81" i="38"/>
  <c r="AQ96" i="38"/>
  <c r="AN94" i="38"/>
  <c r="AO91" i="38"/>
  <c r="AQ88" i="38"/>
  <c r="AN86" i="38"/>
  <c r="AO83" i="38"/>
  <c r="AQ80" i="38"/>
  <c r="AO96" i="38"/>
  <c r="AP93" i="38"/>
  <c r="AN91" i="38"/>
  <c r="AO88" i="38"/>
  <c r="AP85" i="38"/>
  <c r="AN83" i="38"/>
  <c r="AO80" i="38"/>
  <c r="AQ98" i="38"/>
  <c r="AN96" i="38"/>
  <c r="AO93" i="38"/>
  <c r="AQ90" i="38"/>
  <c r="AN88" i="38"/>
  <c r="AO85" i="38"/>
  <c r="AQ82" i="38"/>
  <c r="AN80" i="38"/>
  <c r="AO98" i="38"/>
  <c r="AP95" i="38"/>
  <c r="AN93" i="38"/>
  <c r="AO90" i="38"/>
  <c r="AP87" i="38"/>
  <c r="AN85" i="38"/>
  <c r="AO82" i="38"/>
  <c r="AN98" i="38"/>
  <c r="AO95" i="38"/>
  <c r="AQ92" i="38"/>
  <c r="AN90" i="38"/>
  <c r="AO87" i="38"/>
  <c r="AQ84" i="38"/>
  <c r="AN82" i="38"/>
  <c r="AP97" i="38"/>
  <c r="AN95" i="38"/>
  <c r="AO92" i="38"/>
  <c r="AP89" i="38"/>
  <c r="AN87" i="38"/>
  <c r="AO84" i="38"/>
  <c r="AP81" i="38"/>
  <c r="AO97" i="38"/>
  <c r="AQ94" i="38"/>
  <c r="AN92" i="38"/>
  <c r="AO89" i="38"/>
  <c r="AQ86" i="38"/>
  <c r="AN84" i="38"/>
  <c r="AO81" i="38"/>
  <c r="AP83" i="38"/>
  <c r="AN81" i="38"/>
  <c r="AN97" i="38"/>
  <c r="AO94" i="38"/>
  <c r="AN89" i="38"/>
  <c r="B114" i="38"/>
  <c r="S93" i="38"/>
  <c r="S85" i="38"/>
  <c r="S98" i="38"/>
  <c r="S90" i="38"/>
  <c r="S95" i="38"/>
  <c r="S92" i="38"/>
  <c r="S84" i="38"/>
  <c r="S91" i="38"/>
  <c r="S80" i="38"/>
  <c r="S97" i="38"/>
  <c r="S86" i="38"/>
  <c r="S87" i="38"/>
  <c r="S89" i="38"/>
  <c r="S88" i="38"/>
  <c r="S79" i="38"/>
  <c r="S83" i="38"/>
  <c r="S82" i="38"/>
  <c r="S81" i="38"/>
  <c r="S96" i="38"/>
  <c r="S94" i="38"/>
  <c r="N59" i="38"/>
  <c r="AS54" i="38"/>
  <c r="AM54" i="38"/>
  <c r="AP59" i="38"/>
  <c r="AO59" i="38"/>
  <c r="AN59" i="38"/>
  <c r="AL59" i="38"/>
  <c r="AK59" i="38"/>
  <c r="AJ59" i="38"/>
  <c r="T98" i="38"/>
  <c r="T90" i="38"/>
  <c r="T82" i="38"/>
  <c r="T95" i="38"/>
  <c r="T87" i="38"/>
  <c r="B136" i="38"/>
  <c r="T92" i="38"/>
  <c r="T97" i="38"/>
  <c r="T89" i="38"/>
  <c r="T81" i="38"/>
  <c r="T80" i="38"/>
  <c r="T86" i="38"/>
  <c r="T85" i="38"/>
  <c r="T88" i="38"/>
  <c r="T93" i="38"/>
  <c r="T79" i="38"/>
  <c r="T96" i="38"/>
  <c r="T94" i="38"/>
  <c r="T83" i="38"/>
  <c r="T91" i="38"/>
  <c r="T84" i="38"/>
  <c r="N61" i="38"/>
  <c r="AS58" i="38"/>
  <c r="AP57" i="38"/>
  <c r="AO57" i="38"/>
  <c r="AN57" i="38"/>
  <c r="AM57" i="38"/>
  <c r="AL57" i="38"/>
  <c r="AJ57" i="38"/>
  <c r="AM59" i="38"/>
  <c r="AL66" i="38"/>
  <c r="AK66" i="38"/>
  <c r="AP66" i="38"/>
  <c r="AN66" i="38"/>
  <c r="AM66" i="38"/>
  <c r="AJ66" i="38"/>
  <c r="AL56" i="38"/>
  <c r="AK56" i="38"/>
  <c r="AP56" i="38"/>
  <c r="AO56" i="38"/>
  <c r="AN56" i="38"/>
  <c r="AJ56" i="38"/>
  <c r="N57" i="38"/>
  <c r="N71" i="38"/>
  <c r="N63" i="38"/>
  <c r="AS60" i="38"/>
  <c r="AL64" i="38"/>
  <c r="AK64" i="38"/>
  <c r="AP64" i="38"/>
  <c r="AO64" i="38"/>
  <c r="AN64" i="38"/>
  <c r="AJ64" i="38"/>
  <c r="B180" i="38"/>
  <c r="V92" i="38"/>
  <c r="V84" i="38"/>
  <c r="V97" i="38"/>
  <c r="V89" i="38"/>
  <c r="V94" i="38"/>
  <c r="V91" i="38"/>
  <c r="V83" i="38"/>
  <c r="V86" i="38"/>
  <c r="V95" i="38"/>
  <c r="V88" i="38"/>
  <c r="V87" i="38"/>
  <c r="V93" i="38"/>
  <c r="V98" i="38"/>
  <c r="V96" i="38"/>
  <c r="V90" i="38"/>
  <c r="V82" i="38"/>
  <c r="V81" i="38"/>
  <c r="V80" i="38"/>
  <c r="V85" i="38"/>
  <c r="N64" i="38"/>
  <c r="AQ57" i="38"/>
  <c r="AL62" i="38"/>
  <c r="AK62" i="38"/>
  <c r="AJ62" i="38"/>
  <c r="AQ62" i="38"/>
  <c r="AP62" i="38"/>
  <c r="AN62" i="38"/>
  <c r="AM64" i="38"/>
  <c r="AQ66" i="38"/>
  <c r="AO86" i="38"/>
  <c r="AS71" i="38"/>
  <c r="AS70" i="38"/>
  <c r="AS67" i="38"/>
  <c r="AS59" i="38"/>
  <c r="AS65" i="38"/>
  <c r="AS57" i="38"/>
  <c r="AS64" i="38"/>
  <c r="AS56" i="38"/>
  <c r="AS63" i="38"/>
  <c r="AS55" i="38"/>
  <c r="AS69" i="38"/>
  <c r="AS61" i="38"/>
  <c r="AS53" i="38"/>
  <c r="AP55" i="38"/>
  <c r="AO55" i="38"/>
  <c r="AJ55" i="38"/>
  <c r="AQ55" i="38"/>
  <c r="AN55" i="38"/>
  <c r="AL55" i="38"/>
  <c r="AQ59" i="38"/>
  <c r="N53" i="38"/>
  <c r="O53" i="38" s="1"/>
  <c r="O54" i="38" s="1"/>
  <c r="O55" i="38" s="1"/>
  <c r="O56" i="38" s="1"/>
  <c r="O57" i="38" s="1"/>
  <c r="O58" i="38" s="1"/>
  <c r="O59" i="38" s="1"/>
  <c r="O60" i="38" s="1"/>
  <c r="O61" i="38" s="1"/>
  <c r="O62" i="38" s="1"/>
  <c r="O63" i="38" s="1"/>
  <c r="O64" i="38" s="1"/>
  <c r="O65" i="38" s="1"/>
  <c r="O66" i="38" s="1"/>
  <c r="O67" i="38" s="1"/>
  <c r="O68" i="38" s="1"/>
  <c r="O69" i="38" s="1"/>
  <c r="O70" i="38" s="1"/>
  <c r="O71" i="38" s="1"/>
  <c r="AS66" i="38"/>
  <c r="AM55" i="38"/>
  <c r="AQ64" i="38"/>
  <c r="AP67" i="38"/>
  <c r="AO67" i="38"/>
  <c r="AN67" i="38"/>
  <c r="AL67" i="38"/>
  <c r="AK67" i="38"/>
  <c r="AJ67" i="38"/>
  <c r="V79" i="38"/>
  <c r="AP91" i="38"/>
  <c r="N68" i="38"/>
  <c r="N60" i="38"/>
  <c r="N66" i="38"/>
  <c r="N58" i="38"/>
  <c r="N72" i="38"/>
  <c r="N70" i="38"/>
  <c r="N62" i="38"/>
  <c r="N54" i="38"/>
  <c r="N55" i="38"/>
  <c r="N67" i="38"/>
  <c r="AS68" i="38"/>
  <c r="AL58" i="38"/>
  <c r="AK58" i="38"/>
  <c r="AP58" i="38"/>
  <c r="AN58" i="38"/>
  <c r="AM58" i="38"/>
  <c r="AJ58" i="38"/>
  <c r="AO62" i="38"/>
  <c r="AP65" i="38"/>
  <c r="AO65" i="38"/>
  <c r="AN65" i="38"/>
  <c r="AM65" i="38"/>
  <c r="AL65" i="38"/>
  <c r="AJ65" i="38"/>
  <c r="AM67" i="38"/>
  <c r="N56" i="38"/>
  <c r="N69" i="38"/>
  <c r="AS72" i="38"/>
  <c r="AP63" i="38"/>
  <c r="AO63" i="38"/>
  <c r="AJ63" i="38"/>
  <c r="AQ63" i="38"/>
  <c r="AN63" i="38"/>
  <c r="AL63" i="38"/>
  <c r="AL54" i="38"/>
  <c r="AK54" i="38"/>
  <c r="AJ54" i="38"/>
  <c r="AQ54" i="38"/>
  <c r="AP54" i="38"/>
  <c r="AN54" i="38"/>
  <c r="AM56" i="38"/>
  <c r="AK63" i="38"/>
  <c r="AJ70" i="38" a="1"/>
  <c r="AJ72" i="38" a="1"/>
  <c r="AJ71" i="38" a="1"/>
  <c r="AL60" i="38"/>
  <c r="AK60" i="38"/>
  <c r="AJ61" i="38" a="1"/>
  <c r="AJ69" i="38" a="1"/>
  <c r="AJ68" i="38" a="1"/>
  <c r="U96" i="38"/>
  <c r="B158" i="38"/>
  <c r="U95" i="38"/>
  <c r="U87" i="38"/>
  <c r="U92" i="38"/>
  <c r="U84" i="38"/>
  <c r="U97" i="38"/>
  <c r="U94" i="38"/>
  <c r="U86" i="38"/>
  <c r="U85" i="38"/>
  <c r="U80" i="38"/>
  <c r="U88" i="38"/>
  <c r="U93" i="38"/>
  <c r="U89" i="38"/>
  <c r="U79" i="38"/>
  <c r="U83" i="38"/>
  <c r="U98" i="38"/>
  <c r="U91" i="38"/>
  <c r="U90" i="38"/>
  <c r="U82" i="38"/>
  <c r="U81" i="38"/>
  <c r="AJ60" i="38"/>
  <c r="AJ53" i="38" a="1"/>
  <c r="AN60" i="38"/>
  <c r="AU85" i="38" l="1"/>
  <c r="AV85" i="38" s="1"/>
  <c r="AU92" i="38"/>
  <c r="AV92" i="38" s="1"/>
  <c r="AU95" i="38"/>
  <c r="AV95" i="38" s="1"/>
  <c r="AU98" i="38"/>
  <c r="AV98" i="38" s="1"/>
  <c r="AU80" i="38"/>
  <c r="AV80" i="38" s="1"/>
  <c r="AU91" i="38"/>
  <c r="AV91" i="38" s="1"/>
  <c r="AU56" i="38"/>
  <c r="AV56" i="38" s="1"/>
  <c r="AU67" i="38"/>
  <c r="AV67" i="38" s="1"/>
  <c r="AU97" i="38"/>
  <c r="AV97" i="38" s="1"/>
  <c r="AU83" i="38"/>
  <c r="AV83" i="38" s="1"/>
  <c r="AU86" i="38"/>
  <c r="AV86" i="38" s="1"/>
  <c r="AU81" i="38"/>
  <c r="AV81" i="38" s="1"/>
  <c r="AQ70" i="38"/>
  <c r="AL70" i="38"/>
  <c r="AK70" i="38"/>
  <c r="AM70" i="38"/>
  <c r="AO70" i="38"/>
  <c r="AN70" i="38"/>
  <c r="AJ70" i="38"/>
  <c r="AP70" i="38"/>
  <c r="AU82" i="38"/>
  <c r="AV82" i="38" s="1"/>
  <c r="AL68" i="38"/>
  <c r="AK68" i="38"/>
  <c r="AN68" i="38"/>
  <c r="AJ68" i="38"/>
  <c r="AP68" i="38"/>
  <c r="AQ68" i="38"/>
  <c r="AO68" i="38"/>
  <c r="AM68" i="38"/>
  <c r="T156" i="38"/>
  <c r="L156" i="38"/>
  <c r="O155" i="38"/>
  <c r="G155" i="38"/>
  <c r="Q154" i="38"/>
  <c r="I154" i="38"/>
  <c r="R153" i="38"/>
  <c r="J153" i="38"/>
  <c r="R152" i="38"/>
  <c r="J152" i="38"/>
  <c r="Q151" i="38"/>
  <c r="I151" i="38"/>
  <c r="O150" i="38"/>
  <c r="G150" i="38"/>
  <c r="L149" i="38"/>
  <c r="H148" i="38"/>
  <c r="K147" i="38"/>
  <c r="M146" i="38"/>
  <c r="E146" i="38"/>
  <c r="F145" i="38"/>
  <c r="F144" i="38"/>
  <c r="E143" i="38"/>
  <c r="H141" i="38"/>
  <c r="S156" i="38"/>
  <c r="K156" i="38"/>
  <c r="V155" i="38"/>
  <c r="N155" i="38"/>
  <c r="F155" i="38"/>
  <c r="P154" i="38"/>
  <c r="H154" i="38"/>
  <c r="Q153" i="38"/>
  <c r="I153" i="38"/>
  <c r="Q152" i="38"/>
  <c r="I152" i="38"/>
  <c r="P151" i="38"/>
  <c r="H151" i="38"/>
  <c r="N150" i="38"/>
  <c r="F150" i="38"/>
  <c r="K149" i="38"/>
  <c r="O148" i="38"/>
  <c r="G148" i="38"/>
  <c r="J147" i="38"/>
  <c r="L146" i="38"/>
  <c r="E145" i="38"/>
  <c r="E144" i="38"/>
  <c r="G141" i="38"/>
  <c r="F139" i="38"/>
  <c r="R156" i="38"/>
  <c r="J156" i="38"/>
  <c r="U155" i="38"/>
  <c r="M155" i="38"/>
  <c r="E155" i="38"/>
  <c r="O154" i="38"/>
  <c r="G154" i="38"/>
  <c r="P153" i="38"/>
  <c r="H153" i="38"/>
  <c r="P152" i="38"/>
  <c r="H152" i="38"/>
  <c r="O151" i="38"/>
  <c r="G151" i="38"/>
  <c r="M150" i="38"/>
  <c r="E150" i="38"/>
  <c r="J149" i="38"/>
  <c r="N148" i="38"/>
  <c r="F148" i="38"/>
  <c r="I147" i="38"/>
  <c r="K146" i="38"/>
  <c r="L145" i="38"/>
  <c r="I142" i="38"/>
  <c r="F141" i="38"/>
  <c r="E139" i="38"/>
  <c r="W156" i="38"/>
  <c r="O156" i="38"/>
  <c r="G156" i="38"/>
  <c r="R155" i="38"/>
  <c r="J155" i="38"/>
  <c r="T154" i="38"/>
  <c r="L154" i="38"/>
  <c r="M153" i="38"/>
  <c r="E153" i="38"/>
  <c r="M152" i="38"/>
  <c r="E152" i="38"/>
  <c r="L151" i="38"/>
  <c r="J150" i="38"/>
  <c r="O149" i="38"/>
  <c r="G149" i="38"/>
  <c r="K148" i="38"/>
  <c r="N147" i="38"/>
  <c r="F147" i="38"/>
  <c r="H146" i="38"/>
  <c r="I145" i="38"/>
  <c r="I144" i="38"/>
  <c r="H143" i="38"/>
  <c r="F142" i="38"/>
  <c r="G140" i="38"/>
  <c r="N156" i="38"/>
  <c r="Q155" i="38"/>
  <c r="S154" i="38"/>
  <c r="T153" i="38"/>
  <c r="Q150" i="38"/>
  <c r="N149" i="38"/>
  <c r="J148" i="38"/>
  <c r="E147" i="38"/>
  <c r="H145" i="38"/>
  <c r="G143" i="38"/>
  <c r="F140" i="38"/>
  <c r="M156" i="38"/>
  <c r="P155" i="38"/>
  <c r="R154" i="38"/>
  <c r="S153" i="38"/>
  <c r="S152" i="38"/>
  <c r="R151" i="38"/>
  <c r="P150" i="38"/>
  <c r="M149" i="38"/>
  <c r="I156" i="38"/>
  <c r="L155" i="38"/>
  <c r="N154" i="38"/>
  <c r="O153" i="38"/>
  <c r="O152" i="38"/>
  <c r="N151" i="38"/>
  <c r="L150" i="38"/>
  <c r="H156" i="38"/>
  <c r="K155" i="38"/>
  <c r="M154" i="38"/>
  <c r="N153" i="38"/>
  <c r="N152" i="38"/>
  <c r="M151" i="38"/>
  <c r="K150" i="38"/>
  <c r="H149" i="38"/>
  <c r="I146" i="38"/>
  <c r="J144" i="38"/>
  <c r="G142" i="38"/>
  <c r="E138" i="38"/>
  <c r="V156" i="38"/>
  <c r="F156" i="38"/>
  <c r="I155" i="38"/>
  <c r="K154" i="38"/>
  <c r="L153" i="38"/>
  <c r="L152" i="38"/>
  <c r="K151" i="38"/>
  <c r="I150" i="38"/>
  <c r="F149" i="38"/>
  <c r="M147" i="38"/>
  <c r="G146" i="38"/>
  <c r="H144" i="38"/>
  <c r="E142" i="38"/>
  <c r="D137" i="38"/>
  <c r="U156" i="38"/>
  <c r="E156" i="38"/>
  <c r="H155" i="38"/>
  <c r="J154" i="38"/>
  <c r="K153" i="38"/>
  <c r="K152" i="38"/>
  <c r="J151" i="38"/>
  <c r="H150" i="38"/>
  <c r="E149" i="38"/>
  <c r="L147" i="38"/>
  <c r="F146" i="38"/>
  <c r="G144" i="38"/>
  <c r="Q156" i="38"/>
  <c r="T155" i="38"/>
  <c r="F154" i="38"/>
  <c r="G153" i="38"/>
  <c r="G152" i="38"/>
  <c r="F151" i="38"/>
  <c r="M148" i="38"/>
  <c r="H147" i="38"/>
  <c r="K145" i="38"/>
  <c r="J143" i="38"/>
  <c r="E141" i="38"/>
  <c r="F153" i="38"/>
  <c r="G147" i="38"/>
  <c r="H142" i="38"/>
  <c r="F152" i="38"/>
  <c r="E151" i="38"/>
  <c r="J146" i="38"/>
  <c r="E140" i="38"/>
  <c r="P149" i="38"/>
  <c r="J145" i="38"/>
  <c r="P156" i="38"/>
  <c r="I149" i="38"/>
  <c r="G145" i="38"/>
  <c r="S155" i="38"/>
  <c r="L148" i="38"/>
  <c r="K144" i="38"/>
  <c r="U154" i="38"/>
  <c r="I148" i="38"/>
  <c r="I143" i="38"/>
  <c r="E154" i="38"/>
  <c r="E148" i="38"/>
  <c r="F143" i="38"/>
  <c r="AU88" i="38"/>
  <c r="AV88" i="38" s="1"/>
  <c r="AU54" i="38"/>
  <c r="AV54" i="38" s="1"/>
  <c r="AP69" i="38"/>
  <c r="AO69" i="38"/>
  <c r="AL69" i="38"/>
  <c r="AJ69" i="38"/>
  <c r="AN69" i="38"/>
  <c r="AQ69" i="38"/>
  <c r="AM69" i="38"/>
  <c r="AK69" i="38"/>
  <c r="AU62" i="38"/>
  <c r="AV62" i="38" s="1"/>
  <c r="AU57" i="38"/>
  <c r="AV57" i="38" s="1"/>
  <c r="AU94" i="38"/>
  <c r="AV94" i="38" s="1"/>
  <c r="AJ72" i="38"/>
  <c r="AQ72" i="38"/>
  <c r="AN72" i="38"/>
  <c r="AM72" i="38"/>
  <c r="AL72" i="38"/>
  <c r="AP72" i="38"/>
  <c r="AO72" i="38"/>
  <c r="AK72" i="38"/>
  <c r="AU58" i="38"/>
  <c r="AV58" i="38" s="1"/>
  <c r="W200" i="38"/>
  <c r="O200" i="38"/>
  <c r="G200" i="38"/>
  <c r="R199" i="38"/>
  <c r="J199" i="38"/>
  <c r="T198" i="38"/>
  <c r="L198" i="38"/>
  <c r="D198" i="38"/>
  <c r="M197" i="38"/>
  <c r="E197" i="38"/>
  <c r="M196" i="38"/>
  <c r="E196" i="38"/>
  <c r="L195" i="38"/>
  <c r="D195" i="38"/>
  <c r="J194" i="38"/>
  <c r="O193" i="38"/>
  <c r="G193" i="38"/>
  <c r="K192" i="38"/>
  <c r="N191" i="38"/>
  <c r="F191" i="38"/>
  <c r="H190" i="38"/>
  <c r="I189" i="38"/>
  <c r="I188" i="38"/>
  <c r="H187" i="38"/>
  <c r="F186" i="38"/>
  <c r="G184" i="38"/>
  <c r="D182" i="38"/>
  <c r="V200" i="38"/>
  <c r="N200" i="38"/>
  <c r="F200" i="38"/>
  <c r="Q199" i="38"/>
  <c r="I199" i="38"/>
  <c r="S198" i="38"/>
  <c r="K198" i="38"/>
  <c r="T197" i="38"/>
  <c r="L197" i="38"/>
  <c r="D197" i="38"/>
  <c r="L196" i="38"/>
  <c r="D196" i="38"/>
  <c r="K195" i="38"/>
  <c r="Q194" i="38"/>
  <c r="I194" i="38"/>
  <c r="N193" i="38"/>
  <c r="F193" i="38"/>
  <c r="J192" i="38"/>
  <c r="M191" i="38"/>
  <c r="E191" i="38"/>
  <c r="G190" i="38"/>
  <c r="H189" i="38"/>
  <c r="H188" i="38"/>
  <c r="G187" i="38"/>
  <c r="E186" i="38"/>
  <c r="F184" i="38"/>
  <c r="D181" i="38"/>
  <c r="U200" i="38"/>
  <c r="M200" i="38"/>
  <c r="E200" i="38"/>
  <c r="P199" i="38"/>
  <c r="H199" i="38"/>
  <c r="R198" i="38"/>
  <c r="J198" i="38"/>
  <c r="S197" i="38"/>
  <c r="K197" i="38"/>
  <c r="S196" i="38"/>
  <c r="K196" i="38"/>
  <c r="R195" i="38"/>
  <c r="J195" i="38"/>
  <c r="P194" i="38"/>
  <c r="H194" i="38"/>
  <c r="M193" i="38"/>
  <c r="E193" i="38"/>
  <c r="I192" i="38"/>
  <c r="L191" i="38"/>
  <c r="D191" i="38"/>
  <c r="F190" i="38"/>
  <c r="G189" i="38"/>
  <c r="G188" i="38"/>
  <c r="F187" i="38"/>
  <c r="D186" i="38"/>
  <c r="E184" i="38"/>
  <c r="T200" i="38"/>
  <c r="L200" i="38"/>
  <c r="D200" i="38"/>
  <c r="O199" i="38"/>
  <c r="G199" i="38"/>
  <c r="Q198" i="38"/>
  <c r="I198" i="38"/>
  <c r="R197" i="38"/>
  <c r="J197" i="38"/>
  <c r="R196" i="38"/>
  <c r="J196" i="38"/>
  <c r="Q195" i="38"/>
  <c r="I195" i="38"/>
  <c r="O194" i="38"/>
  <c r="G194" i="38"/>
  <c r="L193" i="38"/>
  <c r="D193" i="38"/>
  <c r="H192" i="38"/>
  <c r="K191" i="38"/>
  <c r="M190" i="38"/>
  <c r="E190" i="38"/>
  <c r="F189" i="38"/>
  <c r="F188" i="38"/>
  <c r="E187" i="38"/>
  <c r="H185" i="38"/>
  <c r="D184" i="38"/>
  <c r="S200" i="38"/>
  <c r="K200" i="38"/>
  <c r="V199" i="38"/>
  <c r="N199" i="38"/>
  <c r="F199" i="38"/>
  <c r="P198" i="38"/>
  <c r="H198" i="38"/>
  <c r="Q197" i="38"/>
  <c r="I197" i="38"/>
  <c r="Q196" i="38"/>
  <c r="I196" i="38"/>
  <c r="P195" i="38"/>
  <c r="H195" i="38"/>
  <c r="N194" i="38"/>
  <c r="F194" i="38"/>
  <c r="K193" i="38"/>
  <c r="O192" i="38"/>
  <c r="G192" i="38"/>
  <c r="J191" i="38"/>
  <c r="L190" i="38"/>
  <c r="D190" i="38"/>
  <c r="E189" i="38"/>
  <c r="E188" i="38"/>
  <c r="D187" i="38"/>
  <c r="G185" i="38"/>
  <c r="F183" i="38"/>
  <c r="R200" i="38"/>
  <c r="J200" i="38"/>
  <c r="U199" i="38"/>
  <c r="M199" i="38"/>
  <c r="E199" i="38"/>
  <c r="O198" i="38"/>
  <c r="G198" i="38"/>
  <c r="P197" i="38"/>
  <c r="H197" i="38"/>
  <c r="P196" i="38"/>
  <c r="H196" i="38"/>
  <c r="O195" i="38"/>
  <c r="G195" i="38"/>
  <c r="M194" i="38"/>
  <c r="E194" i="38"/>
  <c r="J193" i="38"/>
  <c r="N192" i="38"/>
  <c r="F192" i="38"/>
  <c r="I191" i="38"/>
  <c r="K190" i="38"/>
  <c r="L189" i="38"/>
  <c r="D189" i="38"/>
  <c r="D188" i="38"/>
  <c r="I186" i="38"/>
  <c r="F185" i="38"/>
  <c r="E183" i="38"/>
  <c r="Q200" i="38"/>
  <c r="I200" i="38"/>
  <c r="T199" i="38"/>
  <c r="L199" i="38"/>
  <c r="D199" i="38"/>
  <c r="N198" i="38"/>
  <c r="F198" i="38"/>
  <c r="O197" i="38"/>
  <c r="G197" i="38"/>
  <c r="O196" i="38"/>
  <c r="G196" i="38"/>
  <c r="N195" i="38"/>
  <c r="F195" i="38"/>
  <c r="L194" i="38"/>
  <c r="D194" i="38"/>
  <c r="I193" i="38"/>
  <c r="M192" i="38"/>
  <c r="E192" i="38"/>
  <c r="H191" i="38"/>
  <c r="J190" i="38"/>
  <c r="K189" i="38"/>
  <c r="K188" i="38"/>
  <c r="J187" i="38"/>
  <c r="H186" i="38"/>
  <c r="E185" i="38"/>
  <c r="D183" i="38"/>
  <c r="P200" i="38"/>
  <c r="F197" i="38"/>
  <c r="L192" i="38"/>
  <c r="D185" i="38"/>
  <c r="H200" i="38"/>
  <c r="N196" i="38"/>
  <c r="D192" i="38"/>
  <c r="E182" i="38"/>
  <c r="S199" i="38"/>
  <c r="F196" i="38"/>
  <c r="G191" i="38"/>
  <c r="K199" i="38"/>
  <c r="M195" i="38"/>
  <c r="I190" i="38"/>
  <c r="U198" i="38"/>
  <c r="E195" i="38"/>
  <c r="J189" i="38"/>
  <c r="M198" i="38"/>
  <c r="K194" i="38"/>
  <c r="J188" i="38"/>
  <c r="E198" i="38"/>
  <c r="P193" i="38"/>
  <c r="I187" i="38"/>
  <c r="N197" i="38"/>
  <c r="H193" i="38"/>
  <c r="G186" i="38"/>
  <c r="AP61" i="38"/>
  <c r="AO61" i="38"/>
  <c r="AL61" i="38"/>
  <c r="AJ61" i="38"/>
  <c r="AN61" i="38"/>
  <c r="AQ61" i="38"/>
  <c r="AM61" i="38"/>
  <c r="AK61" i="38"/>
  <c r="AU65" i="38"/>
  <c r="AV65" i="38" s="1"/>
  <c r="AU64" i="38"/>
  <c r="AV64" i="38" s="1"/>
  <c r="AU66" i="38"/>
  <c r="AV66" i="38" s="1"/>
  <c r="AU84" i="38"/>
  <c r="AV84" i="38" s="1"/>
  <c r="AU87" i="38"/>
  <c r="AV87" i="38" s="1"/>
  <c r="AU90" i="38"/>
  <c r="AV90" i="38" s="1"/>
  <c r="AU93" i="38"/>
  <c r="AV93" i="38" s="1"/>
  <c r="AM71" i="38"/>
  <c r="AQ71" i="38"/>
  <c r="AP71" i="38"/>
  <c r="AO71" i="38"/>
  <c r="AN71" i="38"/>
  <c r="AK71" i="38"/>
  <c r="AJ71" i="38"/>
  <c r="AL71" i="38"/>
  <c r="R178" i="38"/>
  <c r="J178" i="38"/>
  <c r="Q178" i="38"/>
  <c r="I178" i="38"/>
  <c r="T177" i="38"/>
  <c r="L177" i="38"/>
  <c r="D177" i="38"/>
  <c r="N176" i="38"/>
  <c r="F176" i="38"/>
  <c r="O175" i="38"/>
  <c r="G175" i="38"/>
  <c r="O174" i="38"/>
  <c r="G174" i="38"/>
  <c r="N173" i="38"/>
  <c r="F173" i="38"/>
  <c r="L172" i="38"/>
  <c r="D172" i="38"/>
  <c r="I171" i="38"/>
  <c r="M170" i="38"/>
  <c r="E170" i="38"/>
  <c r="H169" i="38"/>
  <c r="J168" i="38"/>
  <c r="K167" i="38"/>
  <c r="K166" i="38"/>
  <c r="J165" i="38"/>
  <c r="H164" i="38"/>
  <c r="E163" i="38"/>
  <c r="D161" i="38"/>
  <c r="P178" i="38"/>
  <c r="H178" i="38"/>
  <c r="S177" i="38"/>
  <c r="K177" i="38"/>
  <c r="U176" i="38"/>
  <c r="M176" i="38"/>
  <c r="E176" i="38"/>
  <c r="N175" i="38"/>
  <c r="F175" i="38"/>
  <c r="N174" i="38"/>
  <c r="F174" i="38"/>
  <c r="M173" i="38"/>
  <c r="E173" i="38"/>
  <c r="K172" i="38"/>
  <c r="P171" i="38"/>
  <c r="H171" i="38"/>
  <c r="L170" i="38"/>
  <c r="D170" i="38"/>
  <c r="G169" i="38"/>
  <c r="I168" i="38"/>
  <c r="J167" i="38"/>
  <c r="J166" i="38"/>
  <c r="I165" i="38"/>
  <c r="G164" i="38"/>
  <c r="D163" i="38"/>
  <c r="E160" i="38"/>
  <c r="W178" i="38"/>
  <c r="O178" i="38"/>
  <c r="G178" i="38"/>
  <c r="R177" i="38"/>
  <c r="J177" i="38"/>
  <c r="T176" i="38"/>
  <c r="L176" i="38"/>
  <c r="D176" i="38"/>
  <c r="M175" i="38"/>
  <c r="E175" i="38"/>
  <c r="M174" i="38"/>
  <c r="E174" i="38"/>
  <c r="L173" i="38"/>
  <c r="D173" i="38"/>
  <c r="J172" i="38"/>
  <c r="O171" i="38"/>
  <c r="G171" i="38"/>
  <c r="K170" i="38"/>
  <c r="N169" i="38"/>
  <c r="F169" i="38"/>
  <c r="H168" i="38"/>
  <c r="I167" i="38"/>
  <c r="I166" i="38"/>
  <c r="H165" i="38"/>
  <c r="F164" i="38"/>
  <c r="G162" i="38"/>
  <c r="D160" i="38"/>
  <c r="V178" i="38"/>
  <c r="N178" i="38"/>
  <c r="F178" i="38"/>
  <c r="Q177" i="38"/>
  <c r="I177" i="38"/>
  <c r="S176" i="38"/>
  <c r="K176" i="38"/>
  <c r="T175" i="38"/>
  <c r="L175" i="38"/>
  <c r="D175" i="38"/>
  <c r="L174" i="38"/>
  <c r="D174" i="38"/>
  <c r="K173" i="38"/>
  <c r="Q172" i="38"/>
  <c r="I172" i="38"/>
  <c r="N171" i="38"/>
  <c r="F171" i="38"/>
  <c r="J170" i="38"/>
  <c r="M169" i="38"/>
  <c r="E169" i="38"/>
  <c r="G168" i="38"/>
  <c r="H167" i="38"/>
  <c r="H166" i="38"/>
  <c r="G165" i="38"/>
  <c r="E164" i="38"/>
  <c r="F162" i="38"/>
  <c r="D159" i="38"/>
  <c r="U178" i="38"/>
  <c r="M178" i="38"/>
  <c r="E178" i="38"/>
  <c r="T178" i="38"/>
  <c r="L178" i="38"/>
  <c r="D178" i="38"/>
  <c r="O177" i="38"/>
  <c r="G177" i="38"/>
  <c r="Q176" i="38"/>
  <c r="I176" i="38"/>
  <c r="R175" i="38"/>
  <c r="J175" i="38"/>
  <c r="R174" i="38"/>
  <c r="J174" i="38"/>
  <c r="Q173" i="38"/>
  <c r="I173" i="38"/>
  <c r="O172" i="38"/>
  <c r="G172" i="38"/>
  <c r="L171" i="38"/>
  <c r="D171" i="38"/>
  <c r="H170" i="38"/>
  <c r="K169" i="38"/>
  <c r="M168" i="38"/>
  <c r="E168" i="38"/>
  <c r="F167" i="38"/>
  <c r="F166" i="38"/>
  <c r="E165" i="38"/>
  <c r="H163" i="38"/>
  <c r="D162" i="38"/>
  <c r="M177" i="38"/>
  <c r="H176" i="38"/>
  <c r="S174" i="38"/>
  <c r="O173" i="38"/>
  <c r="F172" i="38"/>
  <c r="I170" i="38"/>
  <c r="K168" i="38"/>
  <c r="E166" i="38"/>
  <c r="E162" i="38"/>
  <c r="H177" i="38"/>
  <c r="G176" i="38"/>
  <c r="Q174" i="38"/>
  <c r="J173" i="38"/>
  <c r="E172" i="38"/>
  <c r="G170" i="38"/>
  <c r="F168" i="38"/>
  <c r="D166" i="38"/>
  <c r="F161" i="38"/>
  <c r="S178" i="38"/>
  <c r="F177" i="38"/>
  <c r="S175" i="38"/>
  <c r="P174" i="38"/>
  <c r="H173" i="38"/>
  <c r="M171" i="38"/>
  <c r="F170" i="38"/>
  <c r="D168" i="38"/>
  <c r="F165" i="38"/>
  <c r="E161" i="38"/>
  <c r="K178" i="38"/>
  <c r="E177" i="38"/>
  <c r="Q175" i="38"/>
  <c r="K174" i="38"/>
  <c r="G173" i="38"/>
  <c r="K171" i="38"/>
  <c r="L169" i="38"/>
  <c r="L167" i="38"/>
  <c r="D165" i="38"/>
  <c r="V177" i="38"/>
  <c r="R176" i="38"/>
  <c r="P175" i="38"/>
  <c r="I174" i="38"/>
  <c r="P172" i="38"/>
  <c r="J171" i="38"/>
  <c r="J169" i="38"/>
  <c r="G167" i="38"/>
  <c r="I164" i="38"/>
  <c r="U177" i="38"/>
  <c r="P176" i="38"/>
  <c r="K175" i="38"/>
  <c r="H174" i="38"/>
  <c r="N172" i="38"/>
  <c r="E171" i="38"/>
  <c r="I169" i="38"/>
  <c r="E167" i="38"/>
  <c r="D164" i="38"/>
  <c r="P177" i="38"/>
  <c r="O176" i="38"/>
  <c r="I175" i="38"/>
  <c r="R173" i="38"/>
  <c r="M172" i="38"/>
  <c r="O170" i="38"/>
  <c r="D169" i="38"/>
  <c r="D167" i="38"/>
  <c r="G163" i="38"/>
  <c r="N170" i="38"/>
  <c r="L168" i="38"/>
  <c r="G166" i="38"/>
  <c r="N177" i="38"/>
  <c r="F163" i="38"/>
  <c r="J176" i="38"/>
  <c r="H175" i="38"/>
  <c r="P173" i="38"/>
  <c r="H172" i="38"/>
  <c r="AQ53" i="38"/>
  <c r="AO53" i="38"/>
  <c r="AN53" i="38"/>
  <c r="AM53" i="38"/>
  <c r="AK53" i="38"/>
  <c r="AP53" i="38"/>
  <c r="AL53" i="38"/>
  <c r="AJ53" i="38"/>
  <c r="AU60" i="38"/>
  <c r="AV60" i="38" s="1"/>
  <c r="AU63" i="38"/>
  <c r="AV63" i="38" s="1"/>
  <c r="AU55" i="38"/>
  <c r="AV55" i="38" s="1"/>
  <c r="D156" i="38"/>
  <c r="D149" i="38"/>
  <c r="D140" i="38"/>
  <c r="W134" i="38"/>
  <c r="O134" i="38"/>
  <c r="G134" i="38"/>
  <c r="R133" i="38"/>
  <c r="J133" i="38"/>
  <c r="T132" i="38"/>
  <c r="D146" i="38"/>
  <c r="D143" i="38"/>
  <c r="V134" i="38"/>
  <c r="N134" i="38"/>
  <c r="F134" i="38"/>
  <c r="Q133" i="38"/>
  <c r="I133" i="38"/>
  <c r="S132" i="38"/>
  <c r="D145" i="38"/>
  <c r="D144" i="38"/>
  <c r="U134" i="38"/>
  <c r="M134" i="38"/>
  <c r="E134" i="38"/>
  <c r="P133" i="38"/>
  <c r="H133" i="38"/>
  <c r="R132" i="38"/>
  <c r="D154" i="38"/>
  <c r="D151" i="38"/>
  <c r="D138" i="38"/>
  <c r="R134" i="38"/>
  <c r="J134" i="38"/>
  <c r="U133" i="38"/>
  <c r="M133" i="38"/>
  <c r="E133" i="38"/>
  <c r="O132" i="38"/>
  <c r="D153" i="38"/>
  <c r="D152" i="38"/>
  <c r="Q134" i="38"/>
  <c r="T133" i="38"/>
  <c r="D133" i="38"/>
  <c r="J132" i="38"/>
  <c r="S131" i="38"/>
  <c r="K131" i="38"/>
  <c r="S130" i="38"/>
  <c r="K130" i="38"/>
  <c r="R129" i="38"/>
  <c r="J129" i="38"/>
  <c r="P128" i="38"/>
  <c r="H128" i="38"/>
  <c r="M127" i="38"/>
  <c r="E127" i="38"/>
  <c r="I126" i="38"/>
  <c r="L125" i="38"/>
  <c r="D125" i="38"/>
  <c r="F124" i="38"/>
  <c r="G123" i="38"/>
  <c r="G122" i="38"/>
  <c r="F121" i="38"/>
  <c r="D120" i="38"/>
  <c r="E118" i="38"/>
  <c r="D148" i="38"/>
  <c r="K134" i="38"/>
  <c r="N133" i="38"/>
  <c r="P132" i="38"/>
  <c r="G132" i="38"/>
  <c r="P131" i="38"/>
  <c r="H131" i="38"/>
  <c r="P130" i="38"/>
  <c r="H130" i="38"/>
  <c r="O129" i="38"/>
  <c r="G129" i="38"/>
  <c r="M128" i="38"/>
  <c r="E128" i="38"/>
  <c r="J127" i="38"/>
  <c r="N126" i="38"/>
  <c r="F126" i="38"/>
  <c r="I125" i="38"/>
  <c r="K124" i="38"/>
  <c r="L123" i="38"/>
  <c r="D123" i="38"/>
  <c r="D122" i="38"/>
  <c r="I120" i="38"/>
  <c r="F119" i="38"/>
  <c r="E117" i="38"/>
  <c r="I134" i="38"/>
  <c r="L133" i="38"/>
  <c r="N132" i="38"/>
  <c r="F132" i="38"/>
  <c r="O131" i="38"/>
  <c r="G131" i="38"/>
  <c r="O130" i="38"/>
  <c r="G130" i="38"/>
  <c r="N129" i="38"/>
  <c r="F129" i="38"/>
  <c r="L128" i="38"/>
  <c r="D128" i="38"/>
  <c r="I127" i="38"/>
  <c r="M126" i="38"/>
  <c r="E126" i="38"/>
  <c r="H125" i="38"/>
  <c r="J124" i="38"/>
  <c r="K123" i="38"/>
  <c r="K122" i="38"/>
  <c r="J121" i="38"/>
  <c r="H120" i="38"/>
  <c r="E119" i="38"/>
  <c r="D117" i="38"/>
  <c r="D142" i="38"/>
  <c r="H134" i="38"/>
  <c r="K133" i="38"/>
  <c r="M132" i="38"/>
  <c r="E132" i="38"/>
  <c r="N131" i="38"/>
  <c r="F131" i="38"/>
  <c r="N130" i="38"/>
  <c r="F130" i="38"/>
  <c r="M129" i="38"/>
  <c r="E129" i="38"/>
  <c r="K128" i="38"/>
  <c r="P127" i="38"/>
  <c r="H127" i="38"/>
  <c r="L126" i="38"/>
  <c r="D126" i="38"/>
  <c r="G125" i="38"/>
  <c r="I124" i="38"/>
  <c r="J123" i="38"/>
  <c r="J122" i="38"/>
  <c r="I121" i="38"/>
  <c r="G120" i="38"/>
  <c r="D119" i="38"/>
  <c r="E116" i="38"/>
  <c r="D155" i="38"/>
  <c r="D150" i="38"/>
  <c r="T134" i="38"/>
  <c r="D134" i="38"/>
  <c r="G133" i="38"/>
  <c r="L132" i="38"/>
  <c r="D132" i="38"/>
  <c r="M131" i="38"/>
  <c r="E131" i="38"/>
  <c r="M130" i="38"/>
  <c r="E130" i="38"/>
  <c r="L129" i="38"/>
  <c r="D129" i="38"/>
  <c r="J128" i="38"/>
  <c r="O127" i="38"/>
  <c r="G127" i="38"/>
  <c r="K126" i="38"/>
  <c r="N125" i="38"/>
  <c r="F125" i="38"/>
  <c r="H124" i="38"/>
  <c r="I123" i="38"/>
  <c r="I122" i="38"/>
  <c r="H121" i="38"/>
  <c r="F120" i="38"/>
  <c r="G118" i="38"/>
  <c r="D116" i="38"/>
  <c r="S133" i="38"/>
  <c r="T131" i="38"/>
  <c r="Q130" i="38"/>
  <c r="I129" i="38"/>
  <c r="N127" i="38"/>
  <c r="G126" i="38"/>
  <c r="E124" i="38"/>
  <c r="G121" i="38"/>
  <c r="F117" i="38"/>
  <c r="D147" i="38"/>
  <c r="D141" i="38"/>
  <c r="O133" i="38"/>
  <c r="R131" i="38"/>
  <c r="L130" i="38"/>
  <c r="H129" i="38"/>
  <c r="L127" i="38"/>
  <c r="M125" i="38"/>
  <c r="D124" i="38"/>
  <c r="E121" i="38"/>
  <c r="D115" i="38"/>
  <c r="F133" i="38"/>
  <c r="Q131" i="38"/>
  <c r="J130" i="38"/>
  <c r="Q128" i="38"/>
  <c r="K127" i="38"/>
  <c r="K125" i="38"/>
  <c r="H123" i="38"/>
  <c r="D121" i="38"/>
  <c r="D139" i="38"/>
  <c r="U132" i="38"/>
  <c r="L131" i="38"/>
  <c r="I130" i="38"/>
  <c r="O128" i="38"/>
  <c r="F127" i="38"/>
  <c r="J125" i="38"/>
  <c r="F123" i="38"/>
  <c r="E120" i="38"/>
  <c r="S134" i="38"/>
  <c r="Q132" i="38"/>
  <c r="J131" i="38"/>
  <c r="D130" i="38"/>
  <c r="N128" i="38"/>
  <c r="D127" i="38"/>
  <c r="E125" i="38"/>
  <c r="E123" i="38"/>
  <c r="H119" i="38"/>
  <c r="P134" i="38"/>
  <c r="K132" i="38"/>
  <c r="I131" i="38"/>
  <c r="Q129" i="38"/>
  <c r="I128" i="38"/>
  <c r="O126" i="38"/>
  <c r="M124" i="38"/>
  <c r="H122" i="38"/>
  <c r="G119" i="38"/>
  <c r="L134" i="38"/>
  <c r="I132" i="38"/>
  <c r="D131" i="38"/>
  <c r="P129" i="38"/>
  <c r="G128" i="38"/>
  <c r="J126" i="38"/>
  <c r="L124" i="38"/>
  <c r="F122" i="38"/>
  <c r="F118" i="38"/>
  <c r="F128" i="38"/>
  <c r="H126" i="38"/>
  <c r="G124" i="38"/>
  <c r="E122" i="38"/>
  <c r="V133" i="38"/>
  <c r="D118" i="38"/>
  <c r="R130" i="38"/>
  <c r="K129" i="38"/>
  <c r="H132" i="38"/>
  <c r="AU96" i="38"/>
  <c r="AV96" i="38" s="1"/>
  <c r="AU89" i="38"/>
  <c r="AV89" i="38" s="1"/>
  <c r="AU59" i="38"/>
  <c r="AV59" i="38" s="1"/>
  <c r="AU70" i="38" l="1"/>
  <c r="AV70" i="38" s="1"/>
  <c r="N80" i="38" a="1"/>
  <c r="AU71" i="38"/>
  <c r="AV71" i="38" s="1"/>
  <c r="Q80" i="38" a="1"/>
  <c r="AU72" i="38"/>
  <c r="AV72" i="38" s="1"/>
  <c r="AU69" i="38"/>
  <c r="AV69" i="38" s="1"/>
  <c r="O80" i="38" a="1"/>
  <c r="P80" i="38" a="1"/>
  <c r="AU68" i="38"/>
  <c r="AV68" i="38" s="1"/>
  <c r="AU61" i="38"/>
  <c r="AV61" i="38" s="1"/>
  <c r="AU53" i="38"/>
  <c r="AV53" i="38" s="1"/>
  <c r="P94" i="38" l="1"/>
  <c r="P86" i="38"/>
  <c r="P93" i="38"/>
  <c r="P85" i="38"/>
  <c r="P92" i="38"/>
  <c r="P84" i="38"/>
  <c r="P98" i="38"/>
  <c r="P90" i="38"/>
  <c r="P82" i="38"/>
  <c r="P97" i="38"/>
  <c r="P89" i="38"/>
  <c r="P81" i="38"/>
  <c r="P96" i="38"/>
  <c r="P88" i="38"/>
  <c r="P80" i="38"/>
  <c r="P83" i="38"/>
  <c r="P91" i="38"/>
  <c r="P95" i="38"/>
  <c r="P87" i="38"/>
  <c r="O98" i="38"/>
  <c r="O90" i="38"/>
  <c r="O82" i="38"/>
  <c r="O97" i="38"/>
  <c r="O89" i="38"/>
  <c r="O81" i="38"/>
  <c r="O96" i="38"/>
  <c r="O88" i="38"/>
  <c r="O80" i="38"/>
  <c r="O94" i="38"/>
  <c r="O86" i="38"/>
  <c r="O93" i="38"/>
  <c r="O85" i="38"/>
  <c r="O92" i="38"/>
  <c r="O84" i="38"/>
  <c r="O95" i="38"/>
  <c r="O91" i="38"/>
  <c r="O87" i="38"/>
  <c r="O83" i="38"/>
  <c r="Q95" i="38"/>
  <c r="Q87" i="38"/>
  <c r="Q91" i="38"/>
  <c r="Q82" i="38"/>
  <c r="Q90" i="38"/>
  <c r="Q81" i="38"/>
  <c r="Q98" i="38"/>
  <c r="Q89" i="38"/>
  <c r="Q80" i="38"/>
  <c r="Q97" i="38"/>
  <c r="Q88" i="38"/>
  <c r="Q96" i="38"/>
  <c r="Q86" i="38"/>
  <c r="Q94" i="38"/>
  <c r="Q85" i="38"/>
  <c r="Q93" i="38"/>
  <c r="Q84" i="38"/>
  <c r="Q92" i="38"/>
  <c r="Q83" i="38"/>
  <c r="AW100" i="38"/>
  <c r="N94" i="38"/>
  <c r="N86" i="38"/>
  <c r="N93" i="38"/>
  <c r="N85" i="38"/>
  <c r="N92" i="38"/>
  <c r="N84" i="38"/>
  <c r="N98" i="38"/>
  <c r="N90" i="38"/>
  <c r="N82" i="38"/>
  <c r="N97" i="38"/>
  <c r="N89" i="38"/>
  <c r="N81" i="38"/>
  <c r="N96" i="38"/>
  <c r="N88" i="38"/>
  <c r="N80" i="38"/>
  <c r="X79" i="38" s="1" a="1"/>
  <c r="N91" i="38"/>
  <c r="N83" i="38"/>
  <c r="N95" i="38"/>
  <c r="N87" i="38"/>
  <c r="Y97" i="38" l="1"/>
  <c r="Y95" i="38"/>
  <c r="Y93" i="38"/>
  <c r="Y91" i="38"/>
  <c r="Y89" i="38"/>
  <c r="Y87" i="38"/>
  <c r="Y85" i="38"/>
  <c r="Y83" i="38"/>
  <c r="Y81" i="38"/>
  <c r="Y79" i="38"/>
  <c r="X97" i="38"/>
  <c r="X95" i="38"/>
  <c r="X93" i="38"/>
  <c r="X91" i="38"/>
  <c r="X89" i="38"/>
  <c r="X87" i="38"/>
  <c r="X85" i="38"/>
  <c r="X83" i="38"/>
  <c r="X81" i="38"/>
  <c r="X79" i="38"/>
  <c r="AA98" i="38"/>
  <c r="AA96" i="38"/>
  <c r="AA94" i="38"/>
  <c r="AA92" i="38"/>
  <c r="AA90" i="38"/>
  <c r="AA88" i="38"/>
  <c r="AA86" i="38"/>
  <c r="AA84" i="38"/>
  <c r="AA82" i="38"/>
  <c r="AA80" i="38"/>
  <c r="Y98" i="38"/>
  <c r="Y96" i="38"/>
  <c r="Y94" i="38"/>
  <c r="Y92" i="38"/>
  <c r="Y90" i="38"/>
  <c r="Y88" i="38"/>
  <c r="Y86" i="38"/>
  <c r="Y84" i="38"/>
  <c r="Y82" i="38"/>
  <c r="Y80" i="38"/>
  <c r="X98" i="38"/>
  <c r="X96" i="38"/>
  <c r="X94" i="38"/>
  <c r="X92" i="38"/>
  <c r="X90" i="38"/>
  <c r="X88" i="38"/>
  <c r="X86" i="38"/>
  <c r="X84" i="38"/>
  <c r="X82" i="38"/>
  <c r="X80" i="38"/>
  <c r="AC80" i="38" s="1" a="1"/>
  <c r="AA97" i="38"/>
  <c r="AA95" i="38"/>
  <c r="AA93" i="38"/>
  <c r="AA91" i="38"/>
  <c r="AA89" i="38"/>
  <c r="AA87" i="38"/>
  <c r="AA85" i="38"/>
  <c r="AA83" i="38"/>
  <c r="AA81" i="38"/>
  <c r="AA79" i="38"/>
  <c r="Z95" i="38"/>
  <c r="Z87" i="38"/>
  <c r="Z79" i="38"/>
  <c r="Z93" i="38"/>
  <c r="Z85" i="38"/>
  <c r="Z92" i="38"/>
  <c r="Z84" i="38"/>
  <c r="Z91" i="38"/>
  <c r="Z83" i="38"/>
  <c r="Z97" i="38"/>
  <c r="Z89" i="38"/>
  <c r="Z81" i="38"/>
  <c r="Z86" i="38"/>
  <c r="Z82" i="38"/>
  <c r="Z80" i="38"/>
  <c r="Z98" i="38"/>
  <c r="Z96" i="38"/>
  <c r="Z94" i="38"/>
  <c r="Z90" i="38"/>
  <c r="Z88" i="38"/>
  <c r="AF80" i="38" l="1"/>
  <c r="AE80" i="38"/>
  <c r="AD80" i="38"/>
  <c r="AC80" i="38"/>
  <c r="AC81" i="38" l="1" a="1"/>
  <c r="AF81" i="38" l="1"/>
  <c r="AE81" i="38"/>
  <c r="AD81" i="38"/>
  <c r="AC81" i="38"/>
  <c r="AC82" i="38" l="1" a="1"/>
  <c r="AD82" i="38" l="1"/>
  <c r="AF82" i="38"/>
  <c r="AE82" i="38"/>
  <c r="AC82" i="38"/>
  <c r="AC83" i="38" l="1" a="1"/>
  <c r="AD83" i="38" l="1"/>
  <c r="AC83" i="38"/>
  <c r="AC84" i="38" s="1" a="1"/>
  <c r="AF83" i="38"/>
  <c r="AE83" i="38"/>
  <c r="AF84" i="38" l="1"/>
  <c r="AE84" i="38"/>
  <c r="AD84" i="38"/>
  <c r="AC84" i="38"/>
  <c r="AC85" i="38" l="1" a="1"/>
  <c r="AF85" i="38" l="1"/>
  <c r="AE85" i="38"/>
  <c r="AC85" i="38"/>
  <c r="AC86" i="38" s="1" a="1"/>
  <c r="AD85" i="38"/>
  <c r="AC86" i="38" l="1"/>
  <c r="AF86" i="38"/>
  <c r="AE86" i="38"/>
  <c r="AD86" i="38"/>
  <c r="AC87" i="38" l="1" a="1"/>
  <c r="AE87" i="38" l="1"/>
  <c r="AC87" i="38"/>
  <c r="AC88" i="38" s="1" a="1"/>
  <c r="AF87" i="38"/>
  <c r="AD87" i="38"/>
  <c r="AE88" i="38" l="1"/>
  <c r="AD88" i="38"/>
  <c r="AF88" i="38"/>
  <c r="AC88" i="38"/>
  <c r="AC89" i="38" s="1" a="1"/>
  <c r="AF89" i="38" l="1"/>
  <c r="AE89" i="38"/>
  <c r="AD89" i="38"/>
  <c r="AC89" i="38"/>
  <c r="AC90" i="38" s="1" a="1"/>
  <c r="AF90" i="38" l="1"/>
  <c r="AD90" i="38"/>
  <c r="AE90" i="38"/>
  <c r="AC90" i="38"/>
  <c r="AC91" i="38" s="1" a="1"/>
  <c r="AD91" i="38" l="1"/>
  <c r="AC91" i="38"/>
  <c r="AF91" i="38"/>
  <c r="AE91" i="38"/>
  <c r="AC92" i="38" l="1" a="1"/>
  <c r="AF92" i="38" l="1"/>
  <c r="AC92" i="38"/>
  <c r="AE92" i="38"/>
  <c r="AD92" i="38"/>
  <c r="AC93" i="38" l="1" a="1"/>
  <c r="AF93" i="38" l="1"/>
  <c r="AE93" i="38"/>
  <c r="AD93" i="38"/>
  <c r="AC93" i="38"/>
  <c r="AC94" i="38" s="1" a="1"/>
  <c r="AF94" i="38" l="1"/>
  <c r="AC94" i="38"/>
  <c r="AE94" i="38"/>
  <c r="AD94" i="38"/>
  <c r="AC95" i="38" l="1" a="1"/>
  <c r="AC95" i="38" l="1"/>
  <c r="AF95" i="38"/>
  <c r="AE95" i="38"/>
  <c r="AD95" i="38"/>
  <c r="AC96" i="38" l="1" a="1"/>
  <c r="AE96" i="38" l="1"/>
  <c r="AD96" i="38"/>
  <c r="AC96" i="38"/>
  <c r="AF96" i="38"/>
  <c r="AC97" i="38" l="1" a="1"/>
  <c r="AE97" i="38" l="1"/>
  <c r="AD97" i="38"/>
  <c r="AC97" i="38"/>
  <c r="AF97" i="38"/>
  <c r="AC98" i="38" l="1" a="1"/>
  <c r="AF98" i="38" l="1"/>
  <c r="AE53" i="38" s="1" a="1"/>
  <c r="AE98" i="38"/>
  <c r="AD98" i="38"/>
  <c r="AC53" i="38" s="1" a="1"/>
  <c r="AC98" i="38"/>
  <c r="AD69" i="38" l="1"/>
  <c r="AD65" i="38"/>
  <c r="AD61" i="38"/>
  <c r="AD57" i="38"/>
  <c r="AD53" i="38"/>
  <c r="AD72" i="38"/>
  <c r="AD68" i="38"/>
  <c r="AD64" i="38"/>
  <c r="AD60" i="38"/>
  <c r="AD56" i="38"/>
  <c r="AC72" i="38"/>
  <c r="AD71" i="38"/>
  <c r="AD67" i="38"/>
  <c r="AD63" i="38"/>
  <c r="AD59" i="38"/>
  <c r="AD55" i="38"/>
  <c r="AD70" i="38"/>
  <c r="AD66" i="38"/>
  <c r="AD62" i="38"/>
  <c r="AD58" i="38"/>
  <c r="AD54" i="38"/>
  <c r="AC66" i="38"/>
  <c r="AC58" i="38"/>
  <c r="AC65" i="38"/>
  <c r="AC57" i="38"/>
  <c r="AC64" i="38"/>
  <c r="AC56" i="38"/>
  <c r="AC71" i="38"/>
  <c r="AC63" i="38"/>
  <c r="AC55" i="38"/>
  <c r="AC70" i="38"/>
  <c r="AC62" i="38"/>
  <c r="AC54" i="38"/>
  <c r="AC67" i="38"/>
  <c r="AC59" i="38"/>
  <c r="AC69" i="38"/>
  <c r="AC61" i="38"/>
  <c r="AC53" i="38"/>
  <c r="AC68" i="38"/>
  <c r="AC60" i="38"/>
  <c r="AE69" i="38"/>
  <c r="AE65" i="38"/>
  <c r="AE61" i="38"/>
  <c r="AE57" i="38"/>
  <c r="AE53" i="38"/>
  <c r="AE72" i="38"/>
  <c r="AE68" i="38"/>
  <c r="AE64" i="38"/>
  <c r="AE60" i="38"/>
  <c r="AE56" i="38"/>
  <c r="AF71" i="38"/>
  <c r="AF67" i="38"/>
  <c r="AF63" i="38"/>
  <c r="AF59" i="38"/>
  <c r="AF55" i="38"/>
  <c r="AE71" i="38"/>
  <c r="AE67" i="38"/>
  <c r="AE63" i="38"/>
  <c r="AE59" i="38"/>
  <c r="AE55" i="38"/>
  <c r="AE70" i="38"/>
  <c r="AE66" i="38"/>
  <c r="AE62" i="38"/>
  <c r="AE58" i="38"/>
  <c r="AE54" i="38"/>
  <c r="AF65" i="38"/>
  <c r="AF64" i="38"/>
  <c r="AF53" i="38"/>
  <c r="AF56" i="38"/>
  <c r="AF62" i="38"/>
  <c r="AF72" i="38"/>
  <c r="AF61" i="38"/>
  <c r="AF70" i="38"/>
  <c r="AF60" i="38"/>
  <c r="AF66" i="38"/>
  <c r="AF69" i="38"/>
  <c r="AF58" i="38"/>
  <c r="AF68" i="38"/>
  <c r="AF57" i="38"/>
  <c r="AF54" i="38"/>
  <c r="AP23" i="37" l="1" a="1"/>
  <c r="AP28" i="37" s="1"/>
  <c r="AA19" i="37" a="1"/>
  <c r="AD19" i="37" s="1"/>
  <c r="AA17" i="37" a="1"/>
  <c r="AC17" i="37" s="1"/>
  <c r="AA4" i="37" a="1"/>
  <c r="AC4" i="37" s="1"/>
  <c r="W4" i="37" a="1"/>
  <c r="W5" i="37" s="1"/>
  <c r="AH11" i="37" l="1"/>
  <c r="AM10" i="37"/>
  <c r="AG11" i="37"/>
  <c r="AD5" i="37"/>
  <c r="AF11" i="37"/>
  <c r="AL6" i="37"/>
  <c r="AH15" i="37"/>
  <c r="AI12" i="37"/>
  <c r="AA8" i="37"/>
  <c r="AL13" i="37"/>
  <c r="AN7" i="37"/>
  <c r="AB12" i="37"/>
  <c r="AC9" i="37"/>
  <c r="AH7" i="37"/>
  <c r="AD6" i="37"/>
  <c r="AI4" i="37"/>
  <c r="AL14" i="37"/>
  <c r="AD10" i="37"/>
  <c r="AN6" i="37"/>
  <c r="AF14" i="37"/>
  <c r="AL9" i="37"/>
  <c r="AM6" i="37"/>
  <c r="AN15" i="37"/>
  <c r="AJ12" i="37"/>
  <c r="AB8" i="37"/>
  <c r="AC5" i="37"/>
  <c r="AD14" i="37"/>
  <c r="AJ9" i="37"/>
  <c r="AG15" i="37"/>
  <c r="AH12" i="37"/>
  <c r="AD9" i="37"/>
  <c r="AE6" i="37"/>
  <c r="AJ4" i="37"/>
  <c r="AF15" i="37"/>
  <c r="AK13" i="37"/>
  <c r="AL10" i="37"/>
  <c r="AN14" i="37"/>
  <c r="AJ13" i="37"/>
  <c r="AA12" i="37"/>
  <c r="AF10" i="37"/>
  <c r="AB9" i="37"/>
  <c r="AG7" i="37"/>
  <c r="AL5" i="37"/>
  <c r="AB4" i="37"/>
  <c r="AM14" i="37"/>
  <c r="AD13" i="37"/>
  <c r="AN11" i="37"/>
  <c r="AE10" i="37"/>
  <c r="AJ8" i="37"/>
  <c r="AF7" i="37"/>
  <c r="AK5" i="37"/>
  <c r="AA4" i="37"/>
  <c r="AC13" i="37"/>
  <c r="AI8" i="37"/>
  <c r="AJ5" i="37"/>
  <c r="AB13" i="37"/>
  <c r="AH8" i="37"/>
  <c r="AE14" i="37"/>
  <c r="AK9" i="37"/>
  <c r="AN10" i="37"/>
  <c r="AF6" i="37"/>
  <c r="AB5" i="37"/>
  <c r="AP27" i="37"/>
  <c r="AP26" i="37"/>
  <c r="AP25" i="37"/>
  <c r="AP24" i="37"/>
  <c r="AP23" i="37"/>
  <c r="AM20" i="37"/>
  <c r="AC19" i="37"/>
  <c r="AL20" i="37"/>
  <c r="AJ19" i="37"/>
  <c r="AK20" i="37"/>
  <c r="AA19" i="37"/>
  <c r="AH19" i="37"/>
  <c r="AI20" i="37"/>
  <c r="AA20" i="37"/>
  <c r="AG19" i="37"/>
  <c r="AK19" i="37"/>
  <c r="AD20" i="37"/>
  <c r="AB19" i="37"/>
  <c r="AC20" i="37"/>
  <c r="AI19" i="37"/>
  <c r="AJ20" i="37"/>
  <c r="AB20" i="37"/>
  <c r="AH20" i="37"/>
  <c r="AN19" i="37"/>
  <c r="AF19" i="37"/>
  <c r="AE20" i="37"/>
  <c r="AG20" i="37"/>
  <c r="AM19" i="37"/>
  <c r="AE19" i="37"/>
  <c r="AN20" i="37"/>
  <c r="AF20" i="37"/>
  <c r="AL19" i="37"/>
  <c r="AG17" i="37"/>
  <c r="AJ17" i="37"/>
  <c r="AB17" i="37"/>
  <c r="AI17" i="37"/>
  <c r="AA17" i="37"/>
  <c r="AH17" i="37"/>
  <c r="AN17" i="37"/>
  <c r="AF17" i="37"/>
  <c r="AM17" i="37"/>
  <c r="AE17" i="37"/>
  <c r="AL17" i="37"/>
  <c r="AD17" i="37"/>
  <c r="AK17" i="37"/>
  <c r="AM15" i="37"/>
  <c r="AE15" i="37"/>
  <c r="AK14" i="37"/>
  <c r="AC14" i="37"/>
  <c r="AI13" i="37"/>
  <c r="AA13" i="37"/>
  <c r="AG12" i="37"/>
  <c r="AM11" i="37"/>
  <c r="AE11" i="37"/>
  <c r="AK10" i="37"/>
  <c r="AC10" i="37"/>
  <c r="AI9" i="37"/>
  <c r="AA9" i="37"/>
  <c r="AG8" i="37"/>
  <c r="AM7" i="37"/>
  <c r="AE7" i="37"/>
  <c r="AK6" i="37"/>
  <c r="AC6" i="37"/>
  <c r="AI5" i="37"/>
  <c r="AA5" i="37"/>
  <c r="AG4" i="37"/>
  <c r="AH4" i="37"/>
  <c r="AL15" i="37"/>
  <c r="AD15" i="37"/>
  <c r="AJ14" i="37"/>
  <c r="AB14" i="37"/>
  <c r="AH13" i="37"/>
  <c r="AN12" i="37"/>
  <c r="AF12" i="37"/>
  <c r="AL11" i="37"/>
  <c r="AD11" i="37"/>
  <c r="AJ10" i="37"/>
  <c r="AB10" i="37"/>
  <c r="AH9" i="37"/>
  <c r="AN8" i="37"/>
  <c r="AF8" i="37"/>
  <c r="AL7" i="37"/>
  <c r="AD7" i="37"/>
  <c r="AJ6" i="37"/>
  <c r="AB6" i="37"/>
  <c r="AH5" i="37"/>
  <c r="AN4" i="37"/>
  <c r="AF4" i="37"/>
  <c r="AK15" i="37"/>
  <c r="AC15" i="37"/>
  <c r="AI14" i="37"/>
  <c r="AA14" i="37"/>
  <c r="AG13" i="37"/>
  <c r="AM12" i="37"/>
  <c r="AE12" i="37"/>
  <c r="AK11" i="37"/>
  <c r="AC11" i="37"/>
  <c r="AI10" i="37"/>
  <c r="AA10" i="37"/>
  <c r="AG9" i="37"/>
  <c r="AM8" i="37"/>
  <c r="AE8" i="37"/>
  <c r="AK7" i="37"/>
  <c r="AC7" i="37"/>
  <c r="AI6" i="37"/>
  <c r="AA6" i="37"/>
  <c r="AG5" i="37"/>
  <c r="AM4" i="37"/>
  <c r="AE4" i="37"/>
  <c r="AJ15" i="37"/>
  <c r="AB15" i="37"/>
  <c r="AH14" i="37"/>
  <c r="AN13" i="37"/>
  <c r="AF13" i="37"/>
  <c r="AL12" i="37"/>
  <c r="AD12" i="37"/>
  <c r="AJ11" i="37"/>
  <c r="AB11" i="37"/>
  <c r="AH10" i="37"/>
  <c r="AN9" i="37"/>
  <c r="AF9" i="37"/>
  <c r="AL8" i="37"/>
  <c r="AD8" i="37"/>
  <c r="AJ7" i="37"/>
  <c r="AB7" i="37"/>
  <c r="AH6" i="37"/>
  <c r="AN5" i="37"/>
  <c r="AF5" i="37"/>
  <c r="AL4" i="37"/>
  <c r="AD4" i="37"/>
  <c r="AI15" i="37"/>
  <c r="AA15" i="37"/>
  <c r="AG14" i="37"/>
  <c r="AM13" i="37"/>
  <c r="AE13" i="37"/>
  <c r="AK12" i="37"/>
  <c r="AC12" i="37"/>
  <c r="AI11" i="37"/>
  <c r="AA11" i="37"/>
  <c r="AG10" i="37"/>
  <c r="AM9" i="37"/>
  <c r="AE9" i="37"/>
  <c r="AK8" i="37"/>
  <c r="AC8" i="37"/>
  <c r="AI7" i="37"/>
  <c r="AA7" i="37"/>
  <c r="AG6" i="37"/>
  <c r="AM5" i="37"/>
  <c r="AE5" i="37"/>
  <c r="AK4" i="37"/>
  <c r="W15" i="37"/>
  <c r="W14" i="37"/>
  <c r="W6" i="37"/>
  <c r="W12" i="37"/>
  <c r="W4" i="37"/>
  <c r="W11" i="37"/>
  <c r="W10" i="37"/>
  <c r="W9" i="37"/>
  <c r="W8" i="37"/>
  <c r="W7" i="37"/>
  <c r="W13" i="37"/>
  <c r="S8" i="37"/>
  <c r="R8" i="37"/>
  <c r="O5" i="37"/>
  <c r="N5" i="37"/>
  <c r="AA16" i="36" a="1"/>
  <c r="AA18" i="36" s="1"/>
  <c r="S12" i="36" a="1"/>
  <c r="U12" i="36" s="1"/>
  <c r="S10" i="36" a="1"/>
  <c r="U10" i="36" s="1"/>
  <c r="K4" i="36"/>
  <c r="J4" i="36"/>
  <c r="V10" i="12" a="1"/>
  <c r="X10" i="12" s="1"/>
  <c r="V3" i="12" a="1"/>
  <c r="X3" i="12" s="1"/>
  <c r="O3" i="12" a="1"/>
  <c r="O5" i="12" s="1"/>
  <c r="AS4" i="37" l="1" a="1"/>
  <c r="AP30" i="37"/>
  <c r="AP17" i="37"/>
  <c r="AG23" i="37" a="1"/>
  <c r="AA17" i="36"/>
  <c r="AA16" i="36"/>
  <c r="Z52" i="36" s="1" a="1"/>
  <c r="O3" i="36" a="1"/>
  <c r="O5" i="36" s="1"/>
  <c r="U13" i="36"/>
  <c r="T12" i="36"/>
  <c r="T13" i="36"/>
  <c r="S12" i="36"/>
  <c r="S13" i="36"/>
  <c r="Y12" i="36"/>
  <c r="Y13" i="36"/>
  <c r="W12" i="36"/>
  <c r="W13" i="36"/>
  <c r="V12" i="36"/>
  <c r="X12" i="36"/>
  <c r="X13" i="36"/>
  <c r="V13" i="36"/>
  <c r="X10" i="36"/>
  <c r="W10" i="36"/>
  <c r="V10" i="36"/>
  <c r="T10" i="36"/>
  <c r="S10" i="36"/>
  <c r="Y10" i="36"/>
  <c r="S3" i="36" a="1"/>
  <c r="X11" i="12"/>
  <c r="W10" i="12"/>
  <c r="W11" i="12"/>
  <c r="V10" i="12"/>
  <c r="V11" i="12"/>
  <c r="AB10" i="12"/>
  <c r="AB11" i="12"/>
  <c r="AA10" i="12"/>
  <c r="AA11" i="12"/>
  <c r="Z10" i="12"/>
  <c r="Z11" i="12"/>
  <c r="Y10" i="12"/>
  <c r="Y11" i="12"/>
  <c r="AB8" i="12"/>
  <c r="AA7" i="12"/>
  <c r="Z6" i="12"/>
  <c r="Y5" i="12"/>
  <c r="X4" i="12"/>
  <c r="W3" i="12"/>
  <c r="AA8" i="12"/>
  <c r="Z7" i="12"/>
  <c r="Y6" i="12"/>
  <c r="X5" i="12"/>
  <c r="W4" i="12"/>
  <c r="V3" i="12"/>
  <c r="Z8" i="12"/>
  <c r="Y7" i="12"/>
  <c r="X6" i="12"/>
  <c r="W5" i="12"/>
  <c r="V4" i="12"/>
  <c r="Y8" i="12"/>
  <c r="X7" i="12"/>
  <c r="W6" i="12"/>
  <c r="V5" i="12"/>
  <c r="AB3" i="12"/>
  <c r="X8" i="12"/>
  <c r="W7" i="12"/>
  <c r="V6" i="12"/>
  <c r="AB4" i="12"/>
  <c r="AA3" i="12"/>
  <c r="W8" i="12"/>
  <c r="V7" i="12"/>
  <c r="AB5" i="12"/>
  <c r="AA4" i="12"/>
  <c r="Z3" i="12"/>
  <c r="V8" i="12"/>
  <c r="AB6" i="12"/>
  <c r="AA5" i="12"/>
  <c r="Z4" i="12"/>
  <c r="Y3" i="12"/>
  <c r="AB7" i="12"/>
  <c r="AA6" i="12"/>
  <c r="Z5" i="12"/>
  <c r="Y4" i="12"/>
  <c r="O4" i="12"/>
  <c r="O3" i="12"/>
  <c r="O8" i="12"/>
  <c r="O7" i="12"/>
  <c r="O6" i="12"/>
  <c r="Z52" i="36" l="1"/>
  <c r="Z53" i="36"/>
  <c r="Z54" i="36"/>
  <c r="AX4" i="37"/>
  <c r="AY6" i="37"/>
  <c r="AW4" i="37"/>
  <c r="AU8" i="37"/>
  <c r="AT6" i="37"/>
  <c r="AS4" i="37"/>
  <c r="AX8" i="37"/>
  <c r="AY5" i="37"/>
  <c r="AV9" i="37"/>
  <c r="AU7" i="37"/>
  <c r="AT5" i="37"/>
  <c r="AZ9" i="37"/>
  <c r="AX7" i="37"/>
  <c r="AW8" i="37"/>
  <c r="AU4" i="37"/>
  <c r="AS8" i="37"/>
  <c r="AZ6" i="37"/>
  <c r="AY9" i="37"/>
  <c r="AT9" i="37"/>
  <c r="AZ5" i="37"/>
  <c r="AW6" i="37"/>
  <c r="AT8" i="37"/>
  <c r="AZ4" i="37"/>
  <c r="AY7" i="37"/>
  <c r="AU9" i="37"/>
  <c r="AS5" i="37"/>
  <c r="AY4" i="37"/>
  <c r="AV8" i="37"/>
  <c r="AU6" i="37"/>
  <c r="AT4" i="37"/>
  <c r="AZ8" i="37"/>
  <c r="AX6" i="37"/>
  <c r="AV6" i="37"/>
  <c r="AV4" i="37"/>
  <c r="AW9" i="37"/>
  <c r="AV7" i="37"/>
  <c r="AU5" i="37"/>
  <c r="AS9" i="37"/>
  <c r="AZ7" i="37"/>
  <c r="AX5" i="37"/>
  <c r="AW7" i="37"/>
  <c r="AV5" i="37"/>
  <c r="AS7" i="37"/>
  <c r="AY8" i="37"/>
  <c r="AS6" i="37"/>
  <c r="AW5" i="37"/>
  <c r="AT7" i="37"/>
  <c r="AX9" i="37"/>
  <c r="AG23" i="37"/>
  <c r="AJ25" i="37"/>
  <c r="AI25" i="37"/>
  <c r="AL25" i="37"/>
  <c r="AM27" i="37"/>
  <c r="AK26" i="37"/>
  <c r="AG24" i="37"/>
  <c r="AN24" i="37"/>
  <c r="AM24" i="37"/>
  <c r="AL26" i="37"/>
  <c r="AL28" i="37"/>
  <c r="AI28" i="37"/>
  <c r="AH25" i="37"/>
  <c r="AG27" i="37"/>
  <c r="AJ27" i="37"/>
  <c r="AH24" i="37"/>
  <c r="AG26" i="37"/>
  <c r="AI26" i="37"/>
  <c r="AH23" i="37"/>
  <c r="AG25" i="37"/>
  <c r="AJ24" i="37"/>
  <c r="AI24" i="37"/>
  <c r="AL23" i="37"/>
  <c r="AM26" i="37"/>
  <c r="AK25" i="37"/>
  <c r="AJ23" i="37"/>
  <c r="AI23" i="37"/>
  <c r="AH28" i="37"/>
  <c r="AK24" i="37"/>
  <c r="AN25" i="37"/>
  <c r="AH26" i="37"/>
  <c r="AM25" i="37"/>
  <c r="AN28" i="37"/>
  <c r="AN26" i="37"/>
  <c r="AN27" i="37"/>
  <c r="AH27" i="37"/>
  <c r="AM23" i="37"/>
  <c r="AK23" i="37"/>
  <c r="AG28" i="37"/>
  <c r="AN23" i="37"/>
  <c r="AJ28" i="37"/>
  <c r="AM28" i="37"/>
  <c r="AL24" i="37"/>
  <c r="AI27" i="37"/>
  <c r="AK28" i="37"/>
  <c r="AJ26" i="37"/>
  <c r="AL27" i="37"/>
  <c r="AK27" i="37"/>
  <c r="O6" i="36"/>
  <c r="O8" i="36"/>
  <c r="O3" i="36"/>
  <c r="O7" i="36"/>
  <c r="O4" i="36"/>
  <c r="AA20" i="36"/>
  <c r="Z56" i="36" s="1"/>
  <c r="AA10" i="36"/>
  <c r="S8" i="36"/>
  <c r="Y6" i="36"/>
  <c r="X5" i="36"/>
  <c r="W4" i="36"/>
  <c r="V3" i="36"/>
  <c r="U8" i="36"/>
  <c r="S6" i="36"/>
  <c r="Y4" i="36"/>
  <c r="T8" i="36"/>
  <c r="Y5" i="36"/>
  <c r="W3" i="36"/>
  <c r="Y7" i="36"/>
  <c r="X6" i="36"/>
  <c r="W5" i="36"/>
  <c r="V4" i="36"/>
  <c r="U3" i="36"/>
  <c r="X8" i="36"/>
  <c r="W7" i="36"/>
  <c r="U5" i="36"/>
  <c r="T4" i="36"/>
  <c r="Y8" i="36"/>
  <c r="X7" i="36"/>
  <c r="W6" i="36"/>
  <c r="V5" i="36"/>
  <c r="U4" i="36"/>
  <c r="T3" i="36"/>
  <c r="V6" i="36"/>
  <c r="S3" i="36"/>
  <c r="W8" i="36"/>
  <c r="V7" i="36"/>
  <c r="U6" i="36"/>
  <c r="T5" i="36"/>
  <c r="S4" i="36"/>
  <c r="V8" i="36"/>
  <c r="U7" i="36"/>
  <c r="T6" i="36"/>
  <c r="S5" i="36"/>
  <c r="Y3" i="36"/>
  <c r="T7" i="36"/>
  <c r="X3" i="36"/>
  <c r="S7" i="36"/>
  <c r="X4" i="36"/>
  <c r="AD11" i="12"/>
  <c r="AD10" i="12"/>
  <c r="V36" i="36" l="1" a="1"/>
  <c r="X36" i="36" s="1"/>
  <c r="AR26" i="37"/>
  <c r="AN30" i="37"/>
  <c r="AL30" i="37"/>
  <c r="AR24" i="37"/>
  <c r="AK30" i="37"/>
  <c r="AM30" i="37"/>
  <c r="AR28" i="37"/>
  <c r="AR27" i="37"/>
  <c r="AI30" i="37"/>
  <c r="AH30" i="37"/>
  <c r="AR25" i="37"/>
  <c r="AJ30" i="37"/>
  <c r="AR23" i="37"/>
  <c r="AG30" i="37"/>
  <c r="V16" i="36" a="1"/>
  <c r="W38" i="36" l="1"/>
  <c r="V36" i="36"/>
  <c r="V38" i="36"/>
  <c r="X38" i="36"/>
  <c r="V37" i="36"/>
  <c r="W36" i="36"/>
  <c r="X37" i="36"/>
  <c r="W37" i="36"/>
  <c r="AS30" i="37"/>
  <c r="AR31" i="37"/>
  <c r="X16" i="36"/>
  <c r="W17" i="36"/>
  <c r="Y18" i="36"/>
  <c r="W16" i="36"/>
  <c r="Y16" i="36"/>
  <c r="V18" i="36"/>
  <c r="X18" i="36"/>
  <c r="V16" i="36"/>
  <c r="V17" i="36"/>
  <c r="W18" i="36"/>
  <c r="Y17" i="36"/>
  <c r="X17" i="36"/>
  <c r="Y62" i="29"/>
  <c r="U62" i="29"/>
  <c r="T62" i="29"/>
  <c r="S62" i="29"/>
  <c r="Y61" i="29"/>
  <c r="U61" i="29"/>
  <c r="T61" i="29"/>
  <c r="S61" i="29"/>
  <c r="Y60" i="29"/>
  <c r="U60" i="29"/>
  <c r="T60" i="29"/>
  <c r="S60" i="29"/>
  <c r="Y59" i="29"/>
  <c r="U59" i="29"/>
  <c r="T59" i="29"/>
  <c r="S59" i="29"/>
  <c r="Y58" i="29"/>
  <c r="U58" i="29"/>
  <c r="T58" i="29"/>
  <c r="S58" i="29"/>
  <c r="J40" i="29" a="1"/>
  <c r="J41" i="29" s="1"/>
  <c r="J53" i="29" s="1"/>
  <c r="I40" i="29" a="1"/>
  <c r="I42" i="29" s="1"/>
  <c r="J20" i="29"/>
  <c r="L20" i="29" s="1"/>
  <c r="G15" i="29"/>
  <c r="F15" i="29"/>
  <c r="J14" i="29"/>
  <c r="Y9" i="29"/>
  <c r="X9" i="29"/>
  <c r="W9" i="29"/>
  <c r="U9" i="29"/>
  <c r="T9" i="29"/>
  <c r="S9" i="29"/>
  <c r="AA9" i="29" s="1"/>
  <c r="U14" i="29" s="1"/>
  <c r="U55" i="29" s="1"/>
  <c r="L9" i="29"/>
  <c r="G14" i="29" s="1"/>
  <c r="G11" i="29" s="1"/>
  <c r="Y8" i="29"/>
  <c r="Y16" i="29" s="1"/>
  <c r="X8" i="29"/>
  <c r="X16" i="29" s="1"/>
  <c r="X41" i="29" s="1" a="1"/>
  <c r="W8" i="29"/>
  <c r="U8" i="29"/>
  <c r="T8" i="29"/>
  <c r="AA8" i="29" s="1"/>
  <c r="S14" i="29" s="1"/>
  <c r="S8" i="29"/>
  <c r="L8" i="29"/>
  <c r="E14" i="29" s="1"/>
  <c r="E11" i="29" s="1"/>
  <c r="L7" i="29"/>
  <c r="D14" i="29" s="1"/>
  <c r="AB36" i="36" l="1"/>
  <c r="AC36" i="36" s="1"/>
  <c r="AB37" i="36"/>
  <c r="AC37" i="36" s="1"/>
  <c r="AB38" i="36"/>
  <c r="AC38" i="36" s="1"/>
  <c r="V44" i="36" s="1" a="1"/>
  <c r="AC16" i="36"/>
  <c r="AC17" i="36"/>
  <c r="AC18" i="36"/>
  <c r="X20" i="36"/>
  <c r="V20" i="36"/>
  <c r="W20" i="36"/>
  <c r="Y20" i="36"/>
  <c r="I54" i="29" a="1"/>
  <c r="J55" i="29" s="1"/>
  <c r="W16" i="29"/>
  <c r="W41" i="29" s="1" a="1"/>
  <c r="W41" i="29" s="1"/>
  <c r="I40" i="29"/>
  <c r="I52" i="29" s="1"/>
  <c r="I41" i="29"/>
  <c r="I53" i="29" s="1"/>
  <c r="J42" i="29"/>
  <c r="D11" i="29"/>
  <c r="D44" i="29" s="1" a="1"/>
  <c r="D40" i="29" a="1"/>
  <c r="S11" i="29"/>
  <c r="X42" i="29"/>
  <c r="X41" i="29"/>
  <c r="F14" i="29"/>
  <c r="F11" i="29" s="1"/>
  <c r="J40" i="29"/>
  <c r="J52" i="29" s="1"/>
  <c r="Y41" i="29" a="1"/>
  <c r="I55" i="29"/>
  <c r="T14" i="29"/>
  <c r="T55" i="29" s="1"/>
  <c r="X45" i="36" l="1"/>
  <c r="V46" i="36"/>
  <c r="W46" i="36"/>
  <c r="W44" i="36"/>
  <c r="X44" i="36"/>
  <c r="V44" i="36"/>
  <c r="V45" i="36"/>
  <c r="X46" i="36"/>
  <c r="W45" i="36"/>
  <c r="V40" i="36" a="1"/>
  <c r="X40" i="36" s="1"/>
  <c r="AC21" i="36"/>
  <c r="AD20" i="36"/>
  <c r="J54" i="29"/>
  <c r="W42" i="29"/>
  <c r="I54" i="29"/>
  <c r="S47" i="29" a="1"/>
  <c r="Y42" i="29"/>
  <c r="Y41" i="29"/>
  <c r="G45" i="29"/>
  <c r="G58" i="29" s="1"/>
  <c r="F45" i="29"/>
  <c r="F58" i="29" s="1"/>
  <c r="E44" i="29"/>
  <c r="E57" i="29" s="1"/>
  <c r="D44" i="29"/>
  <c r="D57" i="29" s="1"/>
  <c r="E45" i="29"/>
  <c r="E58" i="29" s="1"/>
  <c r="D45" i="29"/>
  <c r="D58" i="29" s="1"/>
  <c r="G44" i="29"/>
  <c r="G57" i="29" s="1"/>
  <c r="F44" i="29"/>
  <c r="F57" i="29" s="1"/>
  <c r="S41" i="29" a="1"/>
  <c r="D41" i="29"/>
  <c r="D53" i="29" s="1"/>
  <c r="G42" i="29"/>
  <c r="G40" i="29"/>
  <c r="G52" i="29" s="1"/>
  <c r="F41" i="29"/>
  <c r="F53" i="29" s="1"/>
  <c r="E41" i="29"/>
  <c r="E53" i="29" s="1"/>
  <c r="F42" i="29"/>
  <c r="F40" i="29"/>
  <c r="F52" i="29" s="1"/>
  <c r="E42" i="29"/>
  <c r="E40" i="29"/>
  <c r="E52" i="29" s="1"/>
  <c r="D42" i="29"/>
  <c r="D40" i="29"/>
  <c r="D52" i="29" s="1"/>
  <c r="G41" i="29"/>
  <c r="G53" i="29" s="1"/>
  <c r="L11" i="29"/>
  <c r="I14" i="29" s="1"/>
  <c r="I12" i="29" s="1"/>
  <c r="V40" i="36" l="1"/>
  <c r="W40" i="36"/>
  <c r="I16" i="29"/>
  <c r="L12" i="29"/>
  <c r="S47" i="29"/>
  <c r="U47" i="29"/>
  <c r="T47" i="29"/>
  <c r="D54" i="29" a="1"/>
  <c r="T41" i="29"/>
  <c r="U42" i="29"/>
  <c r="T42" i="29"/>
  <c r="S42" i="29"/>
  <c r="U41" i="29"/>
  <c r="S41" i="29"/>
  <c r="V48" i="36" l="1" a="1"/>
  <c r="F55" i="29"/>
  <c r="E55" i="29"/>
  <c r="D54" i="29"/>
  <c r="G55" i="29"/>
  <c r="D55" i="29"/>
  <c r="G54" i="29"/>
  <c r="F54" i="29"/>
  <c r="E54" i="29"/>
  <c r="X48" i="36" l="1"/>
  <c r="W48" i="36"/>
  <c r="V48" i="36"/>
  <c r="P16" i="3" a="1"/>
  <c r="P17" i="3" s="1"/>
  <c r="N16" i="3" a="1"/>
  <c r="N18" i="3" s="1"/>
  <c r="E21" i="3" a="1"/>
  <c r="G21" i="3" s="1"/>
  <c r="E16" i="3" a="1"/>
  <c r="G16" i="3" s="1"/>
  <c r="L41" i="24"/>
  <c r="K41" i="24"/>
  <c r="I41" i="24"/>
  <c r="G41" i="24"/>
  <c r="N41" i="24"/>
  <c r="O10" i="10" a="1"/>
  <c r="S10" i="10" s="1"/>
  <c r="O3" i="10" a="1"/>
  <c r="P3" i="10" s="1"/>
  <c r="Y3" i="10" a="1"/>
  <c r="Y6" i="10" s="1"/>
  <c r="O41" i="24"/>
  <c r="AB5" i="11" a="1"/>
  <c r="AB8" i="11" s="1"/>
  <c r="T5" i="11" a="1"/>
  <c r="W5" i="11" s="1"/>
  <c r="T13" i="11" a="1"/>
  <c r="U13" i="11" s="1"/>
  <c r="P5" i="11" a="1"/>
  <c r="P8" i="11" s="1"/>
  <c r="Z10" i="24" l="1" a="1"/>
  <c r="Z10" i="24" s="1"/>
  <c r="Z8" i="24" a="1"/>
  <c r="Z8" i="24" s="1"/>
  <c r="Z6" i="24" a="1"/>
  <c r="Z6" i="24" s="1"/>
  <c r="Z4" i="24" a="1"/>
  <c r="Z4" i="24" s="1"/>
  <c r="AB52" i="36" a="1"/>
  <c r="V56" i="36" a="1"/>
  <c r="P16" i="3"/>
  <c r="Q27" i="3" s="1"/>
  <c r="P19" i="3"/>
  <c r="P18" i="3"/>
  <c r="N16" i="3"/>
  <c r="N17" i="3"/>
  <c r="N19" i="3"/>
  <c r="H22" i="3"/>
  <c r="F21" i="3"/>
  <c r="G22" i="3"/>
  <c r="E21" i="3"/>
  <c r="F22" i="3"/>
  <c r="E22" i="3"/>
  <c r="J21" i="3"/>
  <c r="I21" i="3"/>
  <c r="J22" i="3"/>
  <c r="H21" i="3"/>
  <c r="I22" i="3"/>
  <c r="J18" i="3"/>
  <c r="H17" i="3"/>
  <c r="I18" i="3"/>
  <c r="J19" i="3"/>
  <c r="F17" i="3"/>
  <c r="G18" i="3"/>
  <c r="H19" i="3"/>
  <c r="F18" i="3"/>
  <c r="E18" i="3"/>
  <c r="F19" i="3"/>
  <c r="J17" i="3"/>
  <c r="H16" i="3"/>
  <c r="F16" i="3"/>
  <c r="G17" i="3"/>
  <c r="E16" i="3"/>
  <c r="H18" i="3"/>
  <c r="I19" i="3"/>
  <c r="E17" i="3"/>
  <c r="J16" i="3"/>
  <c r="G19" i="3"/>
  <c r="I16" i="3"/>
  <c r="E19" i="3"/>
  <c r="I17" i="3"/>
  <c r="S11" i="10"/>
  <c r="R10" i="10"/>
  <c r="R11" i="10"/>
  <c r="Q10" i="10"/>
  <c r="Q11" i="10"/>
  <c r="P10" i="10"/>
  <c r="P11" i="10"/>
  <c r="O10" i="10"/>
  <c r="O11" i="10"/>
  <c r="U10" i="10"/>
  <c r="U11" i="10"/>
  <c r="T10" i="10"/>
  <c r="T11" i="10"/>
  <c r="T8" i="10"/>
  <c r="Q5" i="10"/>
  <c r="S8" i="10"/>
  <c r="P5" i="10"/>
  <c r="R8" i="10"/>
  <c r="Q8" i="10"/>
  <c r="Q15" i="10" s="1"/>
  <c r="R3" i="10"/>
  <c r="S7" i="10"/>
  <c r="O3" i="10"/>
  <c r="Q6" i="10"/>
  <c r="P6" i="10"/>
  <c r="U3" i="10"/>
  <c r="O6" i="10"/>
  <c r="T3" i="10"/>
  <c r="O7" i="10"/>
  <c r="T4" i="10"/>
  <c r="U6" i="10"/>
  <c r="S4" i="10"/>
  <c r="U7" i="10"/>
  <c r="T6" i="10"/>
  <c r="S5" i="10"/>
  <c r="R4" i="10"/>
  <c r="Q3" i="10"/>
  <c r="R6" i="10"/>
  <c r="P4" i="10"/>
  <c r="R7" i="10"/>
  <c r="O4" i="10"/>
  <c r="Q7" i="10"/>
  <c r="O5" i="10"/>
  <c r="P7" i="10"/>
  <c r="U4" i="10"/>
  <c r="P8" i="10"/>
  <c r="U5" i="10"/>
  <c r="S3" i="10"/>
  <c r="O8" i="10"/>
  <c r="T5" i="10"/>
  <c r="U8" i="10"/>
  <c r="T7" i="10"/>
  <c r="S6" i="10"/>
  <c r="R5" i="10"/>
  <c r="Q4" i="10"/>
  <c r="Y5" i="10"/>
  <c r="Y4" i="10"/>
  <c r="Y3" i="10"/>
  <c r="Y8" i="10"/>
  <c r="Y7" i="10"/>
  <c r="AB6" i="11"/>
  <c r="AB7" i="11"/>
  <c r="AB5" i="11"/>
  <c r="AB11" i="11"/>
  <c r="AB10" i="11"/>
  <c r="AB9" i="11"/>
  <c r="U14" i="11"/>
  <c r="T13" i="11"/>
  <c r="T11" i="11"/>
  <c r="Z9" i="11"/>
  <c r="Y8" i="11"/>
  <c r="X7" i="11"/>
  <c r="W6" i="11"/>
  <c r="V5" i="11"/>
  <c r="T14" i="11"/>
  <c r="Z11" i="11"/>
  <c r="Z10" i="11"/>
  <c r="Y9" i="11"/>
  <c r="X8" i="11"/>
  <c r="W7" i="11"/>
  <c r="V6" i="11"/>
  <c r="U5" i="11"/>
  <c r="Z14" i="11"/>
  <c r="Z13" i="11"/>
  <c r="V7" i="11"/>
  <c r="Y11" i="11"/>
  <c r="W9" i="11"/>
  <c r="Y14" i="11"/>
  <c r="Y5" i="11"/>
  <c r="Y10" i="11"/>
  <c r="X9" i="11"/>
  <c r="W8" i="11"/>
  <c r="U6" i="11"/>
  <c r="T5" i="11"/>
  <c r="Y13" i="11"/>
  <c r="X10" i="11"/>
  <c r="V8" i="11"/>
  <c r="U7" i="11"/>
  <c r="T6" i="11"/>
  <c r="X13" i="11"/>
  <c r="X11" i="11"/>
  <c r="W10" i="11"/>
  <c r="V9" i="11"/>
  <c r="U8" i="11"/>
  <c r="T7" i="11"/>
  <c r="Z5" i="11"/>
  <c r="X14" i="11"/>
  <c r="AB14" i="11" s="1"/>
  <c r="W13" i="11"/>
  <c r="W11" i="11"/>
  <c r="V10" i="11"/>
  <c r="U9" i="11"/>
  <c r="T8" i="11"/>
  <c r="Z6" i="11"/>
  <c r="W14" i="11"/>
  <c r="V13" i="11"/>
  <c r="V11" i="11"/>
  <c r="U10" i="11"/>
  <c r="T9" i="11"/>
  <c r="Z7" i="11"/>
  <c r="Y6" i="11"/>
  <c r="X5" i="11"/>
  <c r="V14" i="11"/>
  <c r="U11" i="11"/>
  <c r="T10" i="11"/>
  <c r="Z8" i="11"/>
  <c r="Y7" i="11"/>
  <c r="X6" i="11"/>
  <c r="P7" i="11"/>
  <c r="P6" i="11"/>
  <c r="P5" i="11"/>
  <c r="P11" i="11"/>
  <c r="P10" i="11"/>
  <c r="P9" i="11"/>
  <c r="Q49" i="24" a="1"/>
  <c r="Q51" i="24" s="1"/>
  <c r="M39" i="26" a="1"/>
  <c r="M39" i="26" s="1"/>
  <c r="K31" i="26"/>
  <c r="J31" i="26"/>
  <c r="I31" i="26"/>
  <c r="G31" i="26"/>
  <c r="F31" i="26"/>
  <c r="K11" i="26"/>
  <c r="I4" i="26"/>
  <c r="N13" i="24"/>
  <c r="O13" i="24"/>
  <c r="L13" i="24"/>
  <c r="N41" i="18" a="1"/>
  <c r="N41" i="18" s="1"/>
  <c r="AB13" i="11" l="1"/>
  <c r="I11" i="26"/>
  <c r="X56" i="36"/>
  <c r="W56" i="36"/>
  <c r="V56" i="36"/>
  <c r="AB53" i="36"/>
  <c r="AD53" i="36" s="1"/>
  <c r="AB52" i="36"/>
  <c r="AD52" i="36" s="1"/>
  <c r="AB54" i="36"/>
  <c r="AD54" i="36" s="1"/>
  <c r="M31" i="26" a="1"/>
  <c r="M31" i="26" s="1"/>
  <c r="N31" i="26" a="1"/>
  <c r="N31" i="26" s="1"/>
  <c r="P22" i="3"/>
  <c r="P21" i="3"/>
  <c r="Y10" i="10"/>
  <c r="Y11" i="10"/>
  <c r="S49" i="24" a="1"/>
  <c r="S51" i="24" s="1"/>
  <c r="U49" i="24" a="1"/>
  <c r="U49" i="24" s="1"/>
  <c r="F49" i="24" a="1"/>
  <c r="G49" i="24" s="1"/>
  <c r="F58" i="24" a="1"/>
  <c r="G58" i="24" s="1"/>
  <c r="Q55" i="24"/>
  <c r="Q54" i="24"/>
  <c r="Q49" i="24"/>
  <c r="Q53" i="24"/>
  <c r="Q50" i="24"/>
  <c r="Q56" i="24"/>
  <c r="Q52" i="24"/>
  <c r="O39" i="26" a="1"/>
  <c r="O41" i="26" s="1"/>
  <c r="E39" i="26" a="1"/>
  <c r="G39" i="26" s="1"/>
  <c r="Q39" i="26" a="1"/>
  <c r="Q42" i="26" s="1"/>
  <c r="E46" i="26" a="1"/>
  <c r="G46" i="26" s="1"/>
  <c r="M44" i="26"/>
  <c r="M43" i="26"/>
  <c r="M42" i="26"/>
  <c r="M41" i="26"/>
  <c r="M40" i="26"/>
  <c r="N47" i="18"/>
  <c r="N46" i="18"/>
  <c r="N45" i="18"/>
  <c r="N43" i="18"/>
  <c r="N42" i="18"/>
  <c r="N44" i="18"/>
  <c r="G8" i="13"/>
  <c r="E11" i="16" a="1"/>
  <c r="G11" i="16" s="1"/>
  <c r="AE56" i="36" l="1"/>
  <c r="AD57" i="36"/>
  <c r="S52" i="24"/>
  <c r="S56" i="24"/>
  <c r="S49" i="24"/>
  <c r="S50" i="24"/>
  <c r="S55" i="24"/>
  <c r="S53" i="24"/>
  <c r="S54" i="24"/>
  <c r="U56" i="24"/>
  <c r="U50" i="24"/>
  <c r="U51" i="24"/>
  <c r="U52" i="24"/>
  <c r="U53" i="24"/>
  <c r="U54" i="24"/>
  <c r="U55" i="24"/>
  <c r="O49" i="24"/>
  <c r="I56" i="24"/>
  <c r="I53" i="24"/>
  <c r="N51" i="24"/>
  <c r="M53" i="24"/>
  <c r="H54" i="24"/>
  <c r="K49" i="24"/>
  <c r="O55" i="24"/>
  <c r="J54" i="24"/>
  <c r="O56" i="24"/>
  <c r="M59" i="24"/>
  <c r="K59" i="24"/>
  <c r="H59" i="24"/>
  <c r="M50" i="24"/>
  <c r="G54" i="24"/>
  <c r="G56" i="24"/>
  <c r="I50" i="24"/>
  <c r="H55" i="24"/>
  <c r="K58" i="24"/>
  <c r="F58" i="24"/>
  <c r="K51" i="24"/>
  <c r="N54" i="24"/>
  <c r="O54" i="24"/>
  <c r="J53" i="24"/>
  <c r="L50" i="24"/>
  <c r="N49" i="24"/>
  <c r="G51" i="24"/>
  <c r="L49" i="24"/>
  <c r="F56" i="24"/>
  <c r="J51" i="24"/>
  <c r="M58" i="24"/>
  <c r="I58" i="24"/>
  <c r="H49" i="24"/>
  <c r="L52" i="24"/>
  <c r="I55" i="24"/>
  <c r="M56" i="24"/>
  <c r="F49" i="24"/>
  <c r="L59" i="24"/>
  <c r="I52" i="24"/>
  <c r="I49" i="24"/>
  <c r="M55" i="24"/>
  <c r="F55" i="24"/>
  <c r="F53" i="24"/>
  <c r="H52" i="24"/>
  <c r="O51" i="24"/>
  <c r="J50" i="24"/>
  <c r="N56" i="24"/>
  <c r="L54" i="24"/>
  <c r="H58" i="24"/>
  <c r="G59" i="24"/>
  <c r="G53" i="24"/>
  <c r="G50" i="24"/>
  <c r="K56" i="24"/>
  <c r="N55" i="24"/>
  <c r="J55" i="24"/>
  <c r="N53" i="24"/>
  <c r="M52" i="24"/>
  <c r="H51" i="24"/>
  <c r="K50" i="24"/>
  <c r="H56" i="24"/>
  <c r="F59" i="24"/>
  <c r="O59" i="24"/>
  <c r="O53" i="24"/>
  <c r="O50" i="24"/>
  <c r="J49" i="24"/>
  <c r="L56" i="24"/>
  <c r="N50" i="24"/>
  <c r="F50" i="24"/>
  <c r="K53" i="24"/>
  <c r="F52" i="24"/>
  <c r="I51" i="24"/>
  <c r="L51" i="24"/>
  <c r="N59" i="24"/>
  <c r="J59" i="24"/>
  <c r="K55" i="24"/>
  <c r="K52" i="24"/>
  <c r="F51" i="24"/>
  <c r="G52" i="24"/>
  <c r="J56" i="24"/>
  <c r="L55" i="24"/>
  <c r="G55" i="24"/>
  <c r="L53" i="24"/>
  <c r="K54" i="24"/>
  <c r="O58" i="24"/>
  <c r="L58" i="24"/>
  <c r="J58" i="24"/>
  <c r="M54" i="24"/>
  <c r="M51" i="24"/>
  <c r="H50" i="24"/>
  <c r="M49" i="24"/>
  <c r="H53" i="24"/>
  <c r="J52" i="24"/>
  <c r="I54" i="24"/>
  <c r="N52" i="24"/>
  <c r="O52" i="24"/>
  <c r="F54" i="24"/>
  <c r="I59" i="24"/>
  <c r="N58" i="24"/>
  <c r="O42" i="26"/>
  <c r="O43" i="26"/>
  <c r="O44" i="26"/>
  <c r="O39" i="26"/>
  <c r="O40" i="26"/>
  <c r="H43" i="26"/>
  <c r="F39" i="26"/>
  <c r="F42" i="26"/>
  <c r="J41" i="26"/>
  <c r="J39" i="26"/>
  <c r="K42" i="26"/>
  <c r="K40" i="26"/>
  <c r="I44" i="26"/>
  <c r="G40" i="26"/>
  <c r="G43" i="26"/>
  <c r="H40" i="26"/>
  <c r="E44" i="26"/>
  <c r="E39" i="26"/>
  <c r="H41" i="26"/>
  <c r="H44" i="26"/>
  <c r="I41" i="26"/>
  <c r="I39" i="26"/>
  <c r="F43" i="26"/>
  <c r="F40" i="26"/>
  <c r="I42" i="26"/>
  <c r="K46" i="26"/>
  <c r="J42" i="26"/>
  <c r="J40" i="26"/>
  <c r="G44" i="26"/>
  <c r="G41" i="26"/>
  <c r="J43" i="26"/>
  <c r="K43" i="26"/>
  <c r="K41" i="26"/>
  <c r="E40" i="26"/>
  <c r="H42" i="26"/>
  <c r="K44" i="26"/>
  <c r="E42" i="26"/>
  <c r="H39" i="26"/>
  <c r="E43" i="26"/>
  <c r="F41" i="26"/>
  <c r="I43" i="26"/>
  <c r="K39" i="26"/>
  <c r="I40" i="26"/>
  <c r="F44" i="26"/>
  <c r="G42" i="26"/>
  <c r="J44" i="26"/>
  <c r="E41" i="26"/>
  <c r="Q43" i="26"/>
  <c r="J47" i="26"/>
  <c r="Q44" i="26"/>
  <c r="J46" i="26"/>
  <c r="Q39" i="26"/>
  <c r="K47" i="26"/>
  <c r="Q40" i="26"/>
  <c r="E47" i="26"/>
  <c r="Q41" i="26"/>
  <c r="H47" i="26"/>
  <c r="E46" i="26"/>
  <c r="F47" i="26"/>
  <c r="H46" i="26"/>
  <c r="I47" i="26"/>
  <c r="F46" i="26"/>
  <c r="I46" i="26"/>
  <c r="G47" i="26"/>
  <c r="G13" i="16"/>
  <c r="F13" i="16"/>
  <c r="F11" i="16"/>
  <c r="E13" i="16"/>
  <c r="E11" i="16"/>
  <c r="H14" i="16"/>
  <c r="H12" i="16"/>
  <c r="G14" i="16"/>
  <c r="G12" i="16"/>
  <c r="F14" i="16"/>
  <c r="F12" i="16"/>
  <c r="E14" i="16"/>
  <c r="E12" i="16"/>
  <c r="H13" i="16"/>
  <c r="H11" i="16"/>
  <c r="W7" i="22"/>
  <c r="W5" i="22"/>
  <c r="W32" i="22" a="1"/>
  <c r="Y32" i="22" s="1"/>
  <c r="W25" i="22" a="1"/>
  <c r="Z25" i="22" s="1"/>
  <c r="AJ25" i="22" a="1"/>
  <c r="AJ26" i="22" s="1"/>
  <c r="AH25" i="22" a="1"/>
  <c r="AH28" i="22" s="1"/>
  <c r="E25" i="22" a="1"/>
  <c r="J26" i="22" s="1"/>
  <c r="P18" i="22" a="1"/>
  <c r="P20" i="22" s="1"/>
  <c r="N18" i="22" a="1"/>
  <c r="N19" i="22" s="1"/>
  <c r="E18" i="22" a="1"/>
  <c r="E23" i="22" s="1"/>
  <c r="E25" i="20" a="1"/>
  <c r="G25" i="20" s="1"/>
  <c r="P18" i="20" a="1"/>
  <c r="P18" i="20" s="1"/>
  <c r="N18" i="20" a="1"/>
  <c r="N18" i="20" s="1"/>
  <c r="E18" i="20" a="1"/>
  <c r="E18" i="20" s="1"/>
  <c r="W3" i="16" a="1"/>
  <c r="W3" i="16" s="1"/>
  <c r="P3" i="13" a="1"/>
  <c r="P4" i="13" s="1"/>
  <c r="U59" i="24" l="1"/>
  <c r="U58" i="24"/>
  <c r="X32" i="22"/>
  <c r="W32" i="22"/>
  <c r="AD32" i="22"/>
  <c r="AC32" i="22"/>
  <c r="AB32" i="22"/>
  <c r="AA32" i="22"/>
  <c r="Z32" i="22"/>
  <c r="AC30" i="22"/>
  <c r="AC29" i="22"/>
  <c r="AC28" i="22"/>
  <c r="AC27" i="22"/>
  <c r="AC26" i="22"/>
  <c r="AC25" i="22"/>
  <c r="Y30" i="22"/>
  <c r="Y29" i="22"/>
  <c r="Y28" i="22"/>
  <c r="Y27" i="22"/>
  <c r="Y26" i="22"/>
  <c r="Y25" i="22"/>
  <c r="X30" i="22"/>
  <c r="X29" i="22"/>
  <c r="X28" i="22"/>
  <c r="X27" i="22"/>
  <c r="X26" i="22"/>
  <c r="X25" i="22"/>
  <c r="W30" i="22"/>
  <c r="W29" i="22"/>
  <c r="W28" i="22"/>
  <c r="W27" i="22"/>
  <c r="W26" i="22"/>
  <c r="W25" i="22"/>
  <c r="AD30" i="22"/>
  <c r="AD29" i="22"/>
  <c r="AD28" i="22"/>
  <c r="AD27" i="22"/>
  <c r="AD26" i="22"/>
  <c r="AD25" i="22"/>
  <c r="AB30" i="22"/>
  <c r="AB29" i="22"/>
  <c r="AB28" i="22"/>
  <c r="AB27" i="22"/>
  <c r="AB26" i="22"/>
  <c r="AB25" i="22"/>
  <c r="AA30" i="22"/>
  <c r="AA29" i="22"/>
  <c r="AA28" i="22"/>
  <c r="AA27" i="22"/>
  <c r="AA26" i="22"/>
  <c r="AA25" i="22"/>
  <c r="Z30" i="22"/>
  <c r="Z29" i="22"/>
  <c r="Z28" i="22"/>
  <c r="Z27" i="22"/>
  <c r="Z26" i="22"/>
  <c r="AJ28" i="22"/>
  <c r="AJ25" i="22"/>
  <c r="AJ30" i="22"/>
  <c r="AJ27" i="22"/>
  <c r="AJ29" i="22"/>
  <c r="AH26" i="22"/>
  <c r="AH30" i="22"/>
  <c r="AH27" i="22"/>
  <c r="AH25" i="22"/>
  <c r="AH29" i="22"/>
  <c r="F19" i="22"/>
  <c r="H20" i="22"/>
  <c r="J21" i="22"/>
  <c r="F23" i="22"/>
  <c r="N20" i="22"/>
  <c r="P21" i="22"/>
  <c r="I25" i="22"/>
  <c r="E18" i="22"/>
  <c r="G19" i="22"/>
  <c r="I20" i="22"/>
  <c r="E22" i="22"/>
  <c r="G23" i="22"/>
  <c r="N21" i="22"/>
  <c r="P22" i="22"/>
  <c r="J25" i="22"/>
  <c r="F18" i="22"/>
  <c r="H19" i="22"/>
  <c r="J20" i="22"/>
  <c r="F22" i="22"/>
  <c r="H23" i="22"/>
  <c r="N22" i="22"/>
  <c r="P23" i="22"/>
  <c r="E26" i="22"/>
  <c r="F26" i="22"/>
  <c r="E25" i="22"/>
  <c r="G26" i="22"/>
  <c r="P18" i="22"/>
  <c r="F25" i="22"/>
  <c r="H26" i="22"/>
  <c r="G18" i="22"/>
  <c r="I19" i="22"/>
  <c r="E21" i="22"/>
  <c r="G22" i="22"/>
  <c r="I23" i="22"/>
  <c r="N23" i="22"/>
  <c r="H18" i="22"/>
  <c r="J19" i="22"/>
  <c r="F21" i="22"/>
  <c r="H22" i="22"/>
  <c r="J23" i="22"/>
  <c r="I18" i="22"/>
  <c r="E20" i="22"/>
  <c r="G21" i="22"/>
  <c r="I22" i="22"/>
  <c r="J18" i="22"/>
  <c r="F20" i="22"/>
  <c r="H21" i="22"/>
  <c r="J22" i="22"/>
  <c r="N18" i="22"/>
  <c r="P19" i="22"/>
  <c r="G25" i="22"/>
  <c r="I26" i="22"/>
  <c r="E19" i="22"/>
  <c r="G20" i="22"/>
  <c r="I21" i="22"/>
  <c r="H25" i="22"/>
  <c r="H26" i="20"/>
  <c r="F25" i="20"/>
  <c r="G26" i="20"/>
  <c r="E25" i="20"/>
  <c r="F26" i="20"/>
  <c r="E26" i="20"/>
  <c r="J25" i="20"/>
  <c r="I25" i="20"/>
  <c r="J26" i="20"/>
  <c r="H25" i="20"/>
  <c r="I26" i="20"/>
  <c r="P20" i="20"/>
  <c r="P23" i="20"/>
  <c r="P22" i="20"/>
  <c r="P19" i="20"/>
  <c r="P21" i="20"/>
  <c r="N21" i="20"/>
  <c r="N23" i="20"/>
  <c r="N22" i="20"/>
  <c r="N20" i="20"/>
  <c r="N19" i="20"/>
  <c r="F19" i="20"/>
  <c r="H20" i="20"/>
  <c r="J22" i="20"/>
  <c r="G18" i="20"/>
  <c r="F23" i="20"/>
  <c r="E23" i="20"/>
  <c r="G20" i="20"/>
  <c r="H21" i="20"/>
  <c r="F20" i="20"/>
  <c r="G21" i="20"/>
  <c r="I18" i="20"/>
  <c r="F21" i="20"/>
  <c r="H18" i="20"/>
  <c r="G22" i="20"/>
  <c r="H23" i="20"/>
  <c r="F22" i="20"/>
  <c r="J20" i="20"/>
  <c r="H19" i="20"/>
  <c r="F18" i="20"/>
  <c r="J21" i="20"/>
  <c r="I21" i="20"/>
  <c r="E19" i="20"/>
  <c r="J18" i="20"/>
  <c r="I22" i="20"/>
  <c r="E20" i="20"/>
  <c r="J23" i="20"/>
  <c r="H22" i="20"/>
  <c r="J19" i="20"/>
  <c r="I23" i="20"/>
  <c r="E21" i="20"/>
  <c r="I19" i="20"/>
  <c r="G23" i="20"/>
  <c r="E22" i="20"/>
  <c r="I20" i="20"/>
  <c r="G19" i="20"/>
  <c r="Y4" i="16"/>
  <c r="X4" i="16"/>
  <c r="W4" i="16"/>
  <c r="Z3" i="16"/>
  <c r="Z8" i="16" s="1"/>
  <c r="X3" i="16"/>
  <c r="Z6" i="16"/>
  <c r="Z4" i="16"/>
  <c r="Y6" i="16"/>
  <c r="X6" i="16"/>
  <c r="W6" i="16"/>
  <c r="Z5" i="16"/>
  <c r="Y5" i="16"/>
  <c r="Y3" i="16"/>
  <c r="Y8" i="16" s="1"/>
  <c r="X5" i="16"/>
  <c r="X9" i="16" s="1"/>
  <c r="W5" i="16"/>
  <c r="W9" i="16" s="1"/>
  <c r="P5" i="13"/>
  <c r="R4" i="13"/>
  <c r="R3" i="13"/>
  <c r="Q3" i="13"/>
  <c r="R5" i="13"/>
  <c r="P3" i="13"/>
  <c r="Q5" i="13"/>
  <c r="Q4" i="13"/>
  <c r="Z9" i="16" l="1"/>
  <c r="W8" i="16"/>
  <c r="X8" i="16"/>
  <c r="Y9" i="16"/>
  <c r="AJ32" i="22"/>
  <c r="P26" i="22"/>
  <c r="P25" i="22"/>
  <c r="P26" i="20"/>
  <c r="P25" i="20"/>
  <c r="E31" i="13" l="1" a="1"/>
  <c r="H31" i="13" s="1"/>
  <c r="S21" i="13" a="1"/>
  <c r="S23" i="13" s="1"/>
  <c r="Q21" i="13" a="1"/>
  <c r="Q22" i="13" s="1"/>
  <c r="E21" i="13" a="1"/>
  <c r="H21" i="13" s="1"/>
  <c r="F32" i="13" l="1"/>
  <c r="G31" i="13"/>
  <c r="M32" i="13"/>
  <c r="E32" i="13"/>
  <c r="F31" i="13"/>
  <c r="L32" i="13"/>
  <c r="M31" i="13"/>
  <c r="E31" i="13"/>
  <c r="K32" i="13"/>
  <c r="L31" i="13"/>
  <c r="J32" i="13"/>
  <c r="K31" i="13"/>
  <c r="I32" i="13"/>
  <c r="J31" i="13"/>
  <c r="H32" i="13"/>
  <c r="I31" i="13"/>
  <c r="G32" i="13"/>
  <c r="S22" i="13"/>
  <c r="S29" i="13"/>
  <c r="S21" i="13"/>
  <c r="S28" i="13"/>
  <c r="S27" i="13"/>
  <c r="S26" i="13"/>
  <c r="S25" i="13"/>
  <c r="S24" i="13"/>
  <c r="Q29" i="13"/>
  <c r="Q21" i="13"/>
  <c r="Q28" i="13"/>
  <c r="Q27" i="13"/>
  <c r="Q26" i="13"/>
  <c r="Q25" i="13"/>
  <c r="Q24" i="13"/>
  <c r="Q23" i="13"/>
  <c r="K29" i="13"/>
  <c r="L28" i="13"/>
  <c r="M27" i="13"/>
  <c r="E27" i="13"/>
  <c r="F26" i="13"/>
  <c r="G25" i="13"/>
  <c r="H24" i="13"/>
  <c r="I23" i="13"/>
  <c r="J22" i="13"/>
  <c r="K21" i="13"/>
  <c r="G29" i="13"/>
  <c r="H28" i="13"/>
  <c r="I27" i="13"/>
  <c r="J26" i="13"/>
  <c r="K25" i="13"/>
  <c r="L24" i="13"/>
  <c r="M23" i="13"/>
  <c r="E23" i="13"/>
  <c r="F22" i="13"/>
  <c r="G21" i="13"/>
  <c r="F29" i="13"/>
  <c r="G28" i="13"/>
  <c r="H27" i="13"/>
  <c r="I26" i="13"/>
  <c r="J25" i="13"/>
  <c r="K24" i="13"/>
  <c r="L23" i="13"/>
  <c r="M22" i="13"/>
  <c r="E22" i="13"/>
  <c r="F21" i="13"/>
  <c r="M29" i="13"/>
  <c r="E29" i="13"/>
  <c r="F28" i="13"/>
  <c r="G27" i="13"/>
  <c r="H26" i="13"/>
  <c r="I25" i="13"/>
  <c r="J24" i="13"/>
  <c r="K23" i="13"/>
  <c r="L22" i="13"/>
  <c r="M21" i="13"/>
  <c r="E21" i="13"/>
  <c r="L29" i="13"/>
  <c r="M28" i="13"/>
  <c r="E28" i="13"/>
  <c r="F27" i="13"/>
  <c r="G26" i="13"/>
  <c r="H25" i="13"/>
  <c r="I24" i="13"/>
  <c r="J23" i="13"/>
  <c r="K22" i="13"/>
  <c r="L21" i="13"/>
  <c r="J29" i="13"/>
  <c r="K28" i="13"/>
  <c r="L27" i="13"/>
  <c r="M26" i="13"/>
  <c r="E26" i="13"/>
  <c r="F25" i="13"/>
  <c r="G24" i="13"/>
  <c r="H23" i="13"/>
  <c r="I22" i="13"/>
  <c r="J21" i="13"/>
  <c r="I29" i="13"/>
  <c r="J28" i="13"/>
  <c r="K27" i="13"/>
  <c r="L26" i="13"/>
  <c r="M25" i="13"/>
  <c r="E25" i="13"/>
  <c r="F24" i="13"/>
  <c r="G23" i="13"/>
  <c r="H22" i="13"/>
  <c r="I21" i="13"/>
  <c r="H29" i="13"/>
  <c r="I28" i="13"/>
  <c r="J27" i="13"/>
  <c r="K26" i="13"/>
  <c r="L25" i="13"/>
  <c r="M24" i="13"/>
  <c r="E24" i="13"/>
  <c r="F23" i="13"/>
  <c r="G22" i="13"/>
  <c r="Q6" i="18"/>
  <c r="AD5" i="18" s="1" a="1"/>
  <c r="AD5" i="18" s="1"/>
  <c r="R6" i="18"/>
  <c r="S6" i="18"/>
  <c r="T6" i="18"/>
  <c r="U6" i="18"/>
  <c r="AF5" i="18" a="1"/>
  <c r="AF5" i="18" s="1"/>
  <c r="AH8" i="18" a="1"/>
  <c r="AH9" i="18" s="1"/>
  <c r="AG8" i="18" a="1"/>
  <c r="AG10" i="18" s="1"/>
  <c r="AF8" i="18" a="1"/>
  <c r="AF10" i="18" s="1"/>
  <c r="AE8" i="18" a="1"/>
  <c r="AE9" i="18" s="1"/>
  <c r="AD8" i="18" a="1"/>
  <c r="AD9" i="18" s="1"/>
  <c r="AH5" i="18" a="1"/>
  <c r="AH5" i="18" s="1"/>
  <c r="AG5" i="18" a="1"/>
  <c r="AG6" i="18" s="1"/>
  <c r="AE5" i="18" a="1"/>
  <c r="AE5" i="18" s="1"/>
  <c r="F33" i="18"/>
  <c r="G33" i="18"/>
  <c r="H33" i="18"/>
  <c r="J33" i="18"/>
  <c r="K33" i="18"/>
  <c r="L33" i="18"/>
  <c r="R5" i="18"/>
  <c r="S5" i="18"/>
  <c r="T5" i="18"/>
  <c r="U5" i="18"/>
  <c r="Q5" i="18"/>
  <c r="E48" i="13" l="1" a="1"/>
  <c r="E47" i="13" a="1"/>
  <c r="E41" i="18" a="1"/>
  <c r="P41" i="18" a="1"/>
  <c r="R41" i="18" a="1"/>
  <c r="AL4" i="18" a="1"/>
  <c r="J33" i="13"/>
  <c r="I33" i="13"/>
  <c r="H33" i="13"/>
  <c r="S31" i="13"/>
  <c r="S32" i="13"/>
  <c r="N33" i="18" a="1"/>
  <c r="N33" i="18" s="1"/>
  <c r="AJ4" i="18" a="1"/>
  <c r="AJ4" i="18" s="1"/>
  <c r="AJ7" i="18" a="1"/>
  <c r="AJ7" i="18" s="1"/>
  <c r="AH10" i="18"/>
  <c r="AH8" i="18"/>
  <c r="AG9" i="18"/>
  <c r="AG8" i="18"/>
  <c r="AF9" i="18"/>
  <c r="AF8" i="18"/>
  <c r="AE8" i="18"/>
  <c r="AE10" i="18"/>
  <c r="AD8" i="18"/>
  <c r="AD10" i="18"/>
  <c r="AH6" i="18"/>
  <c r="AG5" i="18"/>
  <c r="AF6" i="18"/>
  <c r="AE6" i="18"/>
  <c r="AD6" i="18"/>
  <c r="O33" i="18" a="1"/>
  <c r="O33" i="18" s="1"/>
  <c r="L12" i="18"/>
  <c r="J4" i="18"/>
  <c r="E37" i="16" a="1"/>
  <c r="G37" i="16" s="1"/>
  <c r="E24" i="16" a="1"/>
  <c r="J24" i="16" s="1"/>
  <c r="M16" i="14"/>
  <c r="R14" i="14" s="1" a="1"/>
  <c r="T14" i="14" s="1"/>
  <c r="L15" i="14"/>
  <c r="K14" i="14"/>
  <c r="R19" i="14" a="1"/>
  <c r="R19" i="14" s="1"/>
  <c r="R3" i="14" a="1"/>
  <c r="R3" i="14" s="1"/>
  <c r="V24" i="16" a="1"/>
  <c r="V34" i="16" s="1"/>
  <c r="T24" i="16" a="1"/>
  <c r="T31" i="16" s="1"/>
  <c r="AH3" i="14" a="1"/>
  <c r="AH5" i="14" s="1"/>
  <c r="J4" i="14"/>
  <c r="AE3" i="14" a="1"/>
  <c r="AE3" i="14" s="1"/>
  <c r="AD37" i="12" a="1"/>
  <c r="AD39" i="12" s="1"/>
  <c r="I15" i="12"/>
  <c r="G48" i="13" l="1"/>
  <c r="F48" i="13"/>
  <c r="M48" i="13"/>
  <c r="E48" i="13"/>
  <c r="L48" i="13"/>
  <c r="K48" i="13"/>
  <c r="J48" i="13"/>
  <c r="I48" i="13"/>
  <c r="H48" i="13"/>
  <c r="G47" i="13"/>
  <c r="F47" i="13"/>
  <c r="L47" i="13"/>
  <c r="H47" i="13"/>
  <c r="M47" i="13"/>
  <c r="E47" i="13"/>
  <c r="K47" i="13"/>
  <c r="J47" i="13"/>
  <c r="I47" i="13"/>
  <c r="P43" i="18"/>
  <c r="P47" i="18"/>
  <c r="P46" i="18"/>
  <c r="P45" i="18"/>
  <c r="P44" i="18"/>
  <c r="P41" i="18"/>
  <c r="P42" i="18"/>
  <c r="G41" i="18"/>
  <c r="K41" i="18"/>
  <c r="E47" i="18"/>
  <c r="L46" i="18"/>
  <c r="J45" i="18"/>
  <c r="I44" i="18"/>
  <c r="H43" i="18"/>
  <c r="G42" i="18"/>
  <c r="F44" i="18"/>
  <c r="J41" i="18"/>
  <c r="K44" i="18"/>
  <c r="I47" i="18"/>
  <c r="K43" i="18"/>
  <c r="I46" i="18"/>
  <c r="L47" i="18"/>
  <c r="F47" i="18"/>
  <c r="E46" i="18"/>
  <c r="L45" i="18"/>
  <c r="J44" i="18"/>
  <c r="I43" i="18"/>
  <c r="H42" i="18"/>
  <c r="K47" i="18"/>
  <c r="F46" i="18"/>
  <c r="E45" i="18"/>
  <c r="L44" i="18"/>
  <c r="J43" i="18"/>
  <c r="I42" i="18"/>
  <c r="H41" i="18"/>
  <c r="K46" i="18"/>
  <c r="F45" i="18"/>
  <c r="E44" i="18"/>
  <c r="L43" i="18"/>
  <c r="J42" i="18"/>
  <c r="I41" i="18"/>
  <c r="G47" i="18"/>
  <c r="K45" i="18"/>
  <c r="E43" i="18"/>
  <c r="L42" i="18"/>
  <c r="H47" i="18"/>
  <c r="E42" i="18"/>
  <c r="G45" i="18"/>
  <c r="H45" i="18"/>
  <c r="F41" i="18"/>
  <c r="H44" i="18"/>
  <c r="F43" i="18"/>
  <c r="H46" i="18"/>
  <c r="F42" i="18"/>
  <c r="J47" i="18"/>
  <c r="J46" i="18"/>
  <c r="G46" i="18"/>
  <c r="L41" i="18"/>
  <c r="E41" i="18"/>
  <c r="G44" i="18"/>
  <c r="K42" i="18"/>
  <c r="I45" i="18"/>
  <c r="G43" i="18"/>
  <c r="AL5" i="18"/>
  <c r="AL4" i="18"/>
  <c r="AL10" i="18"/>
  <c r="AL9" i="18"/>
  <c r="AL7" i="18"/>
  <c r="AL8" i="18"/>
  <c r="AL6" i="18"/>
  <c r="R41" i="18"/>
  <c r="R45" i="18"/>
  <c r="R44" i="18"/>
  <c r="R46" i="18"/>
  <c r="R43" i="18"/>
  <c r="R47" i="18"/>
  <c r="R42" i="18"/>
  <c r="J12" i="18"/>
  <c r="E35" i="16"/>
  <c r="K33" i="16"/>
  <c r="E31" i="16"/>
  <c r="I28" i="16"/>
  <c r="M25" i="16"/>
  <c r="M31" i="16"/>
  <c r="L35" i="16"/>
  <c r="M33" i="16"/>
  <c r="E29" i="16"/>
  <c r="P34" i="16"/>
  <c r="E33" i="16"/>
  <c r="P30" i="16"/>
  <c r="H28" i="16"/>
  <c r="L25" i="16"/>
  <c r="O34" i="16"/>
  <c r="P32" i="16"/>
  <c r="I30" i="16"/>
  <c r="M27" i="16"/>
  <c r="E25" i="16"/>
  <c r="K35" i="16"/>
  <c r="L33" i="16"/>
  <c r="L31" i="16"/>
  <c r="P28" i="16"/>
  <c r="H26" i="16"/>
  <c r="I34" i="16"/>
  <c r="O32" i="16"/>
  <c r="H30" i="16"/>
  <c r="L27" i="16"/>
  <c r="P24" i="16"/>
  <c r="H34" i="16"/>
  <c r="I32" i="16"/>
  <c r="M29" i="16"/>
  <c r="E27" i="16"/>
  <c r="I24" i="16"/>
  <c r="M35" i="16"/>
  <c r="G34" i="16"/>
  <c r="H32" i="16"/>
  <c r="L29" i="16"/>
  <c r="P26" i="16"/>
  <c r="H24" i="16"/>
  <c r="I26" i="16"/>
  <c r="O38" i="16"/>
  <c r="G38" i="16"/>
  <c r="K37" i="16"/>
  <c r="J38" i="16"/>
  <c r="N37" i="16"/>
  <c r="F37" i="16"/>
  <c r="I38" i="16"/>
  <c r="M37" i="16"/>
  <c r="E37" i="16"/>
  <c r="P38" i="16"/>
  <c r="H38" i="16"/>
  <c r="L37" i="16"/>
  <c r="N38" i="16"/>
  <c r="F38" i="16"/>
  <c r="J37" i="16"/>
  <c r="M38" i="16"/>
  <c r="E38" i="16"/>
  <c r="I37" i="16"/>
  <c r="L38" i="16"/>
  <c r="P37" i="16"/>
  <c r="H37" i="16"/>
  <c r="K38" i="16"/>
  <c r="O37" i="16"/>
  <c r="O35" i="16"/>
  <c r="G35" i="16"/>
  <c r="K34" i="16"/>
  <c r="O33" i="16"/>
  <c r="G33" i="16"/>
  <c r="K32" i="16"/>
  <c r="O31" i="16"/>
  <c r="G31" i="16"/>
  <c r="K30" i="16"/>
  <c r="O29" i="16"/>
  <c r="G29" i="16"/>
  <c r="K28" i="16"/>
  <c r="O27" i="16"/>
  <c r="G27" i="16"/>
  <c r="K26" i="16"/>
  <c r="O25" i="16"/>
  <c r="G25" i="16"/>
  <c r="K24" i="16"/>
  <c r="G32" i="16"/>
  <c r="K31" i="16"/>
  <c r="O30" i="16"/>
  <c r="G30" i="16"/>
  <c r="K29" i="16"/>
  <c r="O28" i="16"/>
  <c r="G28" i="16"/>
  <c r="K27" i="16"/>
  <c r="O26" i="16"/>
  <c r="G26" i="16"/>
  <c r="K25" i="16"/>
  <c r="O24" i="16"/>
  <c r="G24" i="16"/>
  <c r="J35" i="16"/>
  <c r="N34" i="16"/>
  <c r="F34" i="16"/>
  <c r="J33" i="16"/>
  <c r="N32" i="16"/>
  <c r="F32" i="16"/>
  <c r="J31" i="16"/>
  <c r="N30" i="16"/>
  <c r="F30" i="16"/>
  <c r="J29" i="16"/>
  <c r="N28" i="16"/>
  <c r="F28" i="16"/>
  <c r="J27" i="16"/>
  <c r="N26" i="16"/>
  <c r="F26" i="16"/>
  <c r="J25" i="16"/>
  <c r="N24" i="16"/>
  <c r="F24" i="16"/>
  <c r="I35" i="16"/>
  <c r="M34" i="16"/>
  <c r="E34" i="16"/>
  <c r="I33" i="16"/>
  <c r="M32" i="16"/>
  <c r="E32" i="16"/>
  <c r="I31" i="16"/>
  <c r="M30" i="16"/>
  <c r="E30" i="16"/>
  <c r="I29" i="16"/>
  <c r="M28" i="16"/>
  <c r="E28" i="16"/>
  <c r="I27" i="16"/>
  <c r="M26" i="16"/>
  <c r="E26" i="16"/>
  <c r="I25" i="16"/>
  <c r="M24" i="16"/>
  <c r="E24" i="16"/>
  <c r="P35" i="16"/>
  <c r="H35" i="16"/>
  <c r="L34" i="16"/>
  <c r="P33" i="16"/>
  <c r="H33" i="16"/>
  <c r="L32" i="16"/>
  <c r="P31" i="16"/>
  <c r="H31" i="16"/>
  <c r="L30" i="16"/>
  <c r="P29" i="16"/>
  <c r="H29" i="16"/>
  <c r="L28" i="16"/>
  <c r="P27" i="16"/>
  <c r="H27" i="16"/>
  <c r="L26" i="16"/>
  <c r="P25" i="16"/>
  <c r="H25" i="16"/>
  <c r="L24" i="16"/>
  <c r="N35" i="16"/>
  <c r="F35" i="16"/>
  <c r="J34" i="16"/>
  <c r="N33" i="16"/>
  <c r="F33" i="16"/>
  <c r="J32" i="16"/>
  <c r="N31" i="16"/>
  <c r="F31" i="16"/>
  <c r="J30" i="16"/>
  <c r="N29" i="16"/>
  <c r="F29" i="16"/>
  <c r="J28" i="16"/>
  <c r="N27" i="16"/>
  <c r="F27" i="16"/>
  <c r="J26" i="16"/>
  <c r="N25" i="16"/>
  <c r="F25" i="16"/>
  <c r="V19" i="14"/>
  <c r="X20" i="14"/>
  <c r="Y19" i="14"/>
  <c r="W20" i="14"/>
  <c r="V20" i="14"/>
  <c r="W19" i="14"/>
  <c r="U20" i="14"/>
  <c r="T20" i="14"/>
  <c r="U19" i="14"/>
  <c r="S20" i="14"/>
  <c r="T19" i="14"/>
  <c r="X19" i="14"/>
  <c r="Z20" i="14"/>
  <c r="R20" i="14"/>
  <c r="S19" i="14"/>
  <c r="Y20" i="14"/>
  <c r="Z19" i="14"/>
  <c r="Y16" i="14"/>
  <c r="Z15" i="14"/>
  <c r="R15" i="14"/>
  <c r="S14" i="14"/>
  <c r="X16" i="14"/>
  <c r="Y15" i="14"/>
  <c r="Z14" i="14"/>
  <c r="R14" i="14"/>
  <c r="W16" i="14"/>
  <c r="X15" i="14"/>
  <c r="Y14" i="14"/>
  <c r="V16" i="14"/>
  <c r="W15" i="14"/>
  <c r="X14" i="14"/>
  <c r="U16" i="14"/>
  <c r="V15" i="14"/>
  <c r="W14" i="14"/>
  <c r="T16" i="14"/>
  <c r="U15" i="14"/>
  <c r="V14" i="14"/>
  <c r="S16" i="14"/>
  <c r="T15" i="14"/>
  <c r="U14" i="14"/>
  <c r="Z16" i="14"/>
  <c r="R16" i="14"/>
  <c r="S15" i="14"/>
  <c r="W7" i="14"/>
  <c r="S3" i="14"/>
  <c r="Z10" i="14"/>
  <c r="X3" i="14"/>
  <c r="U9" i="14"/>
  <c r="R4" i="14"/>
  <c r="Y11" i="14"/>
  <c r="S9" i="14"/>
  <c r="U7" i="14"/>
  <c r="U6" i="14"/>
  <c r="T10" i="14"/>
  <c r="X6" i="14"/>
  <c r="W5" i="14"/>
  <c r="Y3" i="14"/>
  <c r="Y10" i="14"/>
  <c r="R9" i="14"/>
  <c r="T7" i="14"/>
  <c r="W4" i="14"/>
  <c r="W11" i="14"/>
  <c r="Y9" i="14"/>
  <c r="R8" i="14"/>
  <c r="S7" i="14"/>
  <c r="T6" i="14"/>
  <c r="V4" i="14"/>
  <c r="W10" i="14"/>
  <c r="X9" i="14"/>
  <c r="Z7" i="14"/>
  <c r="S6" i="14"/>
  <c r="V3" i="14"/>
  <c r="U11" i="14"/>
  <c r="V10" i="14"/>
  <c r="W9" i="14"/>
  <c r="X8" i="14"/>
  <c r="Y7" i="14"/>
  <c r="Z6" i="14"/>
  <c r="R6" i="14"/>
  <c r="S5" i="14"/>
  <c r="T4" i="14"/>
  <c r="U3" i="14"/>
  <c r="V8" i="14"/>
  <c r="Y5" i="14"/>
  <c r="R10" i="14"/>
  <c r="T8" i="14"/>
  <c r="V6" i="14"/>
  <c r="X4" i="14"/>
  <c r="X11" i="14"/>
  <c r="Z9" i="14"/>
  <c r="S8" i="14"/>
  <c r="V5" i="14"/>
  <c r="X10" i="14"/>
  <c r="Z8" i="14"/>
  <c r="U5" i="14"/>
  <c r="W3" i="14"/>
  <c r="V11" i="14"/>
  <c r="Y8" i="14"/>
  <c r="R7" i="14"/>
  <c r="T5" i="14"/>
  <c r="U4" i="14"/>
  <c r="T11" i="14"/>
  <c r="U10" i="14"/>
  <c r="V9" i="14"/>
  <c r="W8" i="14"/>
  <c r="X7" i="14"/>
  <c r="Y6" i="14"/>
  <c r="Z5" i="14"/>
  <c r="R5" i="14"/>
  <c r="S4" i="14"/>
  <c r="T3" i="14"/>
  <c r="S11" i="14"/>
  <c r="Z4" i="14"/>
  <c r="Z11" i="14"/>
  <c r="R11" i="14"/>
  <c r="S10" i="14"/>
  <c r="T9" i="14"/>
  <c r="U8" i="14"/>
  <c r="V7" i="14"/>
  <c r="W6" i="14"/>
  <c r="X5" i="14"/>
  <c r="Y4" i="14"/>
  <c r="Z3" i="14"/>
  <c r="V24" i="16"/>
  <c r="V25" i="16"/>
  <c r="V32" i="16"/>
  <c r="V33" i="16"/>
  <c r="T29" i="16"/>
  <c r="T28" i="16"/>
  <c r="T30" i="16"/>
  <c r="T24" i="16"/>
  <c r="T32" i="16"/>
  <c r="V27" i="16"/>
  <c r="V35" i="16"/>
  <c r="T25" i="16"/>
  <c r="T33" i="16"/>
  <c r="V28" i="16"/>
  <c r="T26" i="16"/>
  <c r="T34" i="16"/>
  <c r="V29" i="16"/>
  <c r="T27" i="16"/>
  <c r="T35" i="16"/>
  <c r="V30" i="16"/>
  <c r="V31" i="16"/>
  <c r="V26" i="16"/>
  <c r="AE14" i="14" a="1"/>
  <c r="AE14" i="14" s="1"/>
  <c r="AH4" i="14"/>
  <c r="AH3" i="14"/>
  <c r="AG3" i="14" a="1"/>
  <c r="AG5" i="14" s="1"/>
  <c r="AE9" i="14"/>
  <c r="AE7" i="14"/>
  <c r="AE5" i="14"/>
  <c r="AE4" i="14"/>
  <c r="AE10" i="14"/>
  <c r="AE8" i="14"/>
  <c r="AE6" i="14"/>
  <c r="AE11" i="14"/>
  <c r="AD38" i="12"/>
  <c r="AD37" i="12"/>
  <c r="K4" i="12"/>
  <c r="J4" i="12"/>
  <c r="V37" i="16" l="1"/>
  <c r="V38" i="16"/>
  <c r="AE15" i="14"/>
  <c r="AE16" i="14"/>
  <c r="AG9" i="14"/>
  <c r="AG7" i="14"/>
  <c r="AG8" i="14"/>
  <c r="AG10" i="14"/>
  <c r="AG6" i="14"/>
  <c r="AG3" i="14"/>
  <c r="AG11" i="14"/>
  <c r="AG4" i="14"/>
  <c r="AE20" i="14"/>
  <c r="AE19" i="14"/>
  <c r="AD41" i="12"/>
  <c r="J6" i="11"/>
  <c r="D48" i="9" a="1"/>
  <c r="F48" i="9" s="1"/>
  <c r="I5" i="11"/>
  <c r="D31" i="9" a="1"/>
  <c r="F31" i="9" s="1"/>
  <c r="AJ3" i="14" l="1" a="1"/>
  <c r="AJ5" i="14" s="1"/>
  <c r="Y45" i="12" a="1"/>
  <c r="AA45" i="12" s="1"/>
  <c r="E48" i="9"/>
  <c r="H48" i="9"/>
  <c r="F49" i="9"/>
  <c r="D48" i="9"/>
  <c r="D49" i="9"/>
  <c r="G48" i="9"/>
  <c r="E49" i="9"/>
  <c r="J48" i="9"/>
  <c r="J49" i="9"/>
  <c r="I48" i="9"/>
  <c r="I49" i="9"/>
  <c r="H49" i="9"/>
  <c r="G49" i="9"/>
  <c r="G31" i="9"/>
  <c r="F32" i="9"/>
  <c r="E31" i="9"/>
  <c r="E32" i="9"/>
  <c r="D31" i="9"/>
  <c r="D32" i="9"/>
  <c r="J31" i="9"/>
  <c r="J32" i="9"/>
  <c r="I31" i="9"/>
  <c r="I32" i="9"/>
  <c r="H31" i="9"/>
  <c r="H32" i="9"/>
  <c r="G32" i="9"/>
  <c r="AA40" i="9" a="1"/>
  <c r="AA46" i="9" s="1"/>
  <c r="AA23" i="9" a="1"/>
  <c r="AA28" i="9" s="1"/>
  <c r="AA5" i="9" a="1"/>
  <c r="AA6" i="9" s="1"/>
  <c r="I43" i="9"/>
  <c r="L41" i="9"/>
  <c r="L42" i="9"/>
  <c r="L43" i="9"/>
  <c r="L40" i="9"/>
  <c r="J41" i="9"/>
  <c r="I40" i="9"/>
  <c r="L24" i="9"/>
  <c r="L25" i="9"/>
  <c r="L26" i="9"/>
  <c r="L23" i="9"/>
  <c r="G29" i="9"/>
  <c r="G28" i="9"/>
  <c r="J24" i="9"/>
  <c r="I23" i="9"/>
  <c r="S13" i="9" a="1"/>
  <c r="S13" i="9" s="1"/>
  <c r="N16" i="9" a="1"/>
  <c r="N16" i="9" s="1"/>
  <c r="I5" i="9"/>
  <c r="J6" i="9"/>
  <c r="N23" i="9" l="1" a="1"/>
  <c r="N29" i="9" s="1"/>
  <c r="N51" i="9" a="1"/>
  <c r="N51" i="9" s="1"/>
  <c r="S48" i="9" a="1"/>
  <c r="Y48" i="9" s="1"/>
  <c r="AJ11" i="14"/>
  <c r="AJ4" i="14"/>
  <c r="AJ9" i="14"/>
  <c r="AJ8" i="14"/>
  <c r="AJ10" i="14"/>
  <c r="AJ7" i="14"/>
  <c r="AJ3" i="14"/>
  <c r="AJ6" i="14"/>
  <c r="Y45" i="12"/>
  <c r="Z45" i="12"/>
  <c r="AB45" i="12"/>
  <c r="Y37" i="12" a="1"/>
  <c r="AA37" i="12" s="1"/>
  <c r="S31" i="9" a="1"/>
  <c r="Y32" i="9" s="1"/>
  <c r="N34" i="9" a="1"/>
  <c r="N34" i="9" s="1"/>
  <c r="N5" i="9" a="1"/>
  <c r="N11" i="9" s="1"/>
  <c r="N40" i="9" a="1"/>
  <c r="N43" i="9" s="1"/>
  <c r="S5" i="9" a="1"/>
  <c r="S5" i="9" s="1"/>
  <c r="S40" i="9" a="1"/>
  <c r="W46" i="9" s="1"/>
  <c r="AA41" i="9"/>
  <c r="AA43" i="9"/>
  <c r="AA44" i="9"/>
  <c r="AA45" i="9"/>
  <c r="AA40" i="9"/>
  <c r="AA42" i="9"/>
  <c r="AA24" i="9"/>
  <c r="AA26" i="9"/>
  <c r="AA29" i="9"/>
  <c r="AA23" i="9"/>
  <c r="AA25" i="9"/>
  <c r="AA27" i="9"/>
  <c r="AA8" i="9"/>
  <c r="AA5" i="9"/>
  <c r="AA11" i="9"/>
  <c r="AA7" i="9"/>
  <c r="AA10" i="9"/>
  <c r="AA9" i="9"/>
  <c r="S23" i="9" a="1"/>
  <c r="X28" i="9" s="1"/>
  <c r="S14" i="9"/>
  <c r="Y13" i="9"/>
  <c r="Y14" i="9"/>
  <c r="X13" i="9"/>
  <c r="X14" i="9"/>
  <c r="W13" i="9"/>
  <c r="W14" i="9"/>
  <c r="V13" i="9"/>
  <c r="V14" i="9"/>
  <c r="U13" i="9"/>
  <c r="U14" i="9"/>
  <c r="T13" i="9"/>
  <c r="T14" i="9"/>
  <c r="N55" i="9" l="1"/>
  <c r="N27" i="9"/>
  <c r="N25" i="9"/>
  <c r="N28" i="9"/>
  <c r="N26" i="9"/>
  <c r="N24" i="9"/>
  <c r="N23" i="9"/>
  <c r="U49" i="9"/>
  <c r="W49" i="9"/>
  <c r="V48" i="9"/>
  <c r="V49" i="9"/>
  <c r="Y49" i="9"/>
  <c r="T48" i="9"/>
  <c r="S49" i="9"/>
  <c r="X48" i="9"/>
  <c r="X49" i="9"/>
  <c r="T49" i="9"/>
  <c r="W48" i="9"/>
  <c r="S48" i="9"/>
  <c r="U48" i="9"/>
  <c r="AA38" i="12"/>
  <c r="Y37" i="12"/>
  <c r="AA39" i="12"/>
  <c r="Y39" i="12"/>
  <c r="AB39" i="12"/>
  <c r="Y38" i="12"/>
  <c r="AB38" i="12"/>
  <c r="Z39" i="12"/>
  <c r="Z38" i="12"/>
  <c r="AB37" i="12"/>
  <c r="Z37" i="12"/>
  <c r="X32" i="9"/>
  <c r="T31" i="9"/>
  <c r="W31" i="9"/>
  <c r="W32" i="9"/>
  <c r="S32" i="9"/>
  <c r="Y31" i="9"/>
  <c r="V32" i="9"/>
  <c r="T32" i="9"/>
  <c r="U31" i="9"/>
  <c r="V31" i="9"/>
  <c r="S31" i="9"/>
  <c r="X31" i="9"/>
  <c r="U32" i="9"/>
  <c r="N6" i="9"/>
  <c r="N10" i="9"/>
  <c r="X7" i="9"/>
  <c r="W5" i="9"/>
  <c r="N7" i="9"/>
  <c r="S11" i="9"/>
  <c r="W11" i="9"/>
  <c r="X6" i="9"/>
  <c r="V11" i="9"/>
  <c r="N9" i="9"/>
  <c r="V8" i="9"/>
  <c r="S9" i="9"/>
  <c r="V9" i="9"/>
  <c r="N5" i="9"/>
  <c r="T5" i="9"/>
  <c r="Y5" i="9"/>
  <c r="X11" i="9"/>
  <c r="N8" i="9"/>
  <c r="U6" i="9"/>
  <c r="X9" i="9"/>
  <c r="U5" i="9"/>
  <c r="W10" i="9"/>
  <c r="X8" i="9"/>
  <c r="T10" i="9"/>
  <c r="T6" i="9"/>
  <c r="V7" i="9"/>
  <c r="V5" i="9"/>
  <c r="X5" i="9"/>
  <c r="Y9" i="9"/>
  <c r="U11" i="9"/>
  <c r="N42" i="9"/>
  <c r="U7" i="9"/>
  <c r="W8" i="9"/>
  <c r="W6" i="9"/>
  <c r="S8" i="9"/>
  <c r="Y7" i="9"/>
  <c r="T9" i="9"/>
  <c r="N46" i="9"/>
  <c r="W9" i="9"/>
  <c r="Y10" i="9"/>
  <c r="Y8" i="9"/>
  <c r="V10" i="9"/>
  <c r="Y6" i="9"/>
  <c r="S7" i="9"/>
  <c r="U10" i="9"/>
  <c r="N44" i="9"/>
  <c r="X10" i="9"/>
  <c r="V6" i="9"/>
  <c r="S10" i="9"/>
  <c r="S6" i="9"/>
  <c r="U9" i="9"/>
  <c r="Y11" i="9"/>
  <c r="W7" i="9"/>
  <c r="T11" i="9"/>
  <c r="U8" i="9"/>
  <c r="T8" i="9"/>
  <c r="T7" i="9"/>
  <c r="N45" i="9"/>
  <c r="N41" i="9"/>
  <c r="N40" i="9"/>
  <c r="T44" i="9"/>
  <c r="W42" i="9"/>
  <c r="X42" i="9"/>
  <c r="V41" i="9"/>
  <c r="W45" i="9"/>
  <c r="T41" i="9"/>
  <c r="V45" i="9"/>
  <c r="S43" i="9"/>
  <c r="U46" i="9"/>
  <c r="W41" i="9"/>
  <c r="U40" i="9"/>
  <c r="U43" i="9"/>
  <c r="S40" i="9"/>
  <c r="Y44" i="9"/>
  <c r="U45" i="9"/>
  <c r="Y43" i="9"/>
  <c r="X43" i="9"/>
  <c r="U42" i="9"/>
  <c r="Y41" i="9"/>
  <c r="V40" i="9"/>
  <c r="V46" i="9"/>
  <c r="W40" i="9"/>
  <c r="S45" i="9"/>
  <c r="T40" i="9"/>
  <c r="T42" i="9"/>
  <c r="V43" i="9"/>
  <c r="U44" i="9"/>
  <c r="T45" i="9"/>
  <c r="X44" i="9"/>
  <c r="Y45" i="9"/>
  <c r="S41" i="9"/>
  <c r="S42" i="9"/>
  <c r="X40" i="9"/>
  <c r="S44" i="9"/>
  <c r="W43" i="9"/>
  <c r="Y46" i="9"/>
  <c r="T43" i="9"/>
  <c r="Y42" i="9"/>
  <c r="V42" i="9"/>
  <c r="X46" i="9"/>
  <c r="X45" i="9"/>
  <c r="Y40" i="9"/>
  <c r="X41" i="9"/>
  <c r="T46" i="9"/>
  <c r="S46" i="9"/>
  <c r="U41" i="9"/>
  <c r="V44" i="9"/>
  <c r="W44" i="9"/>
  <c r="W25" i="9"/>
  <c r="X23" i="9"/>
  <c r="T26" i="9"/>
  <c r="Y29" i="9"/>
  <c r="U24" i="9"/>
  <c r="X26" i="9"/>
  <c r="Y24" i="9"/>
  <c r="U27" i="9"/>
  <c r="V25" i="9"/>
  <c r="Y27" i="9"/>
  <c r="Y25" i="9"/>
  <c r="V28" i="9"/>
  <c r="S23" i="9"/>
  <c r="W26" i="9"/>
  <c r="S27" i="9"/>
  <c r="T27" i="9"/>
  <c r="W29" i="9"/>
  <c r="T24" i="9"/>
  <c r="X27" i="9"/>
  <c r="V23" i="9"/>
  <c r="T28" i="9"/>
  <c r="U28" i="9"/>
  <c r="T25" i="9"/>
  <c r="U25" i="9"/>
  <c r="T23" i="9"/>
  <c r="W23" i="9"/>
  <c r="S24" i="9"/>
  <c r="X24" i="9"/>
  <c r="U26" i="9"/>
  <c r="S26" i="9"/>
  <c r="Y28" i="9"/>
  <c r="X25" i="9"/>
  <c r="U29" i="9"/>
  <c r="V29" i="9"/>
  <c r="V27" i="9"/>
  <c r="V26" i="9"/>
  <c r="S29" i="9"/>
  <c r="U23" i="9"/>
  <c r="Y26" i="9"/>
  <c r="W24" i="9"/>
  <c r="Y23" i="9"/>
  <c r="W28" i="9"/>
  <c r="W27" i="9"/>
  <c r="V24" i="9"/>
  <c r="T29" i="9"/>
  <c r="S28" i="9"/>
  <c r="S25" i="9"/>
  <c r="X29" i="9"/>
  <c r="AF38" i="12" l="1"/>
  <c r="AA41" i="12"/>
  <c r="AF39" i="12"/>
  <c r="Z41" i="12"/>
  <c r="AB41" i="12"/>
  <c r="AF37" i="12"/>
  <c r="Y41" i="12"/>
  <c r="AF41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tc={46242756-8B12-479D-8B93-F339152F1E3C}</author>
  </authors>
  <commentList>
    <comment ref="R12" authorId="0" shapeId="0" xr:uid="{46242756-8B12-479D-8B93-F339152F1E3C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emissions included in the flows. pay attention that emissions in one flow may be simply converted in other flows without being emitted.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tc={7F254847-7D8F-4064-A09D-359355B450AB}</author>
  </authors>
  <commentList>
    <comment ref="R12" authorId="0" shapeId="0" xr:uid="{7F254847-7D8F-4064-A09D-359355B450AB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emissions included in the flows. pay attention that emissions in one flow may be simply converted in other flows without being emitted.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tc={0D284FBE-F297-49A9-89EE-3EED81AB63DB}</author>
    <author>tc={F5F4B37C-F461-4862-B36B-C42BC24A35F4}</author>
    <author>tc={A66FF630-28C5-4C7A-BCBA-074EBBFDFCD5}</author>
  </authors>
  <commentList>
    <comment ref="R14" authorId="0" shapeId="0" xr:uid="{0D284FBE-F297-49A9-89EE-3EED81AB63DB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emissions included in the flows. pay attention that emissions in one flow may be simply converted in other flows without being emitted.</t>
      </text>
    </comment>
    <comment ref="V18" authorId="1" shapeId="0" xr:uid="{F5F4B37C-F461-4862-B36B-C42BC24A35F4}">
      <text>
        <t>[Threaded comment]
Your version of Excel allows you to read this threaded comment; however, any edits to it will get removed if the file is opened in a newer version of Excel. Learn more: https://go.microsoft.com/fwlink/?linkid=870924
Comment:
    BV_U</t>
      </text>
    </comment>
    <comment ref="AA18" authorId="2" shapeId="0" xr:uid="{A66FF630-28C5-4C7A-BCBA-074EBBFDFCD5}">
      <text>
        <t>[Threaded comment]
Your version of Excel allows you to read this threaded comment; however, any edits to it will get removed if the file is opened in a newer version of Excel. Learn more: https://go.microsoft.com/fwlink/?linkid=870924
Comment:
    BV_E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tc={EDAB7E1C-BE45-4794-9E06-7D3CF8FBAD3E}</author>
  </authors>
  <commentList>
    <comment ref="S13" authorId="0" shapeId="0" xr:uid="{EDAB7E1C-BE45-4794-9E06-7D3CF8FBAD3E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emissions included in the flows. pay attention that emissions in one flow may be simply converted in other flows without being emitted.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tc={14D782FB-6477-4FC0-959F-547911F779FF}</author>
  </authors>
  <commentList>
    <comment ref="T14" authorId="0" shapeId="0" xr:uid="{14D782FB-6477-4FC0-959F-547911F779FF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emissions included in the flows. pay attention that emissions in one flow may be simply converted in other flows without being emitted.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tc={5760D0CE-F93E-46EF-98DD-C8FFAD5E9F6E}</author>
    <author>tc={BDBCAF6B-CD4F-4735-AEC9-2BA7E68C7F8F}</author>
  </authors>
  <commentList>
    <comment ref="Q20" authorId="0" shapeId="0" xr:uid="{5760D0CE-F93E-46EF-98DD-C8FFAD5E9F6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industries dispatching yearly products and for final demand, the consumption of hourly products must be defined as a function of time.
Reply:
    the demand of industries dispatching hourly products is implicitly defined by their production profile (endogenous).</t>
      </text>
    </comment>
    <comment ref="X20" authorId="1" shapeId="0" xr:uid="{BDBCAF6B-CD4F-4735-AEC9-2BA7E68C7F8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industries dispatching yearly products, the PRODUCTION of hourly products must be defined as a function of time.
Reply:
    the production of industries dispatching hourly products is implicitly defined by their production profile (endogenous).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tc={FE53D246-93FF-4480-A311-1BF4C4833FB6}</author>
  </authors>
  <commentList>
    <comment ref="Q20" authorId="0" shapeId="0" xr:uid="{FE53D246-93FF-4480-A311-1BF4C4833FB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industries dispatching yearly products and for final demand, the consumption of hourly products must be defined as a function of time.
Reply:
    the demand of industries dispatching hourly products is implicitly defined by their production profile (endogenous).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tc={0F55B582-3D4F-4A0B-8521-94090F2FE709}</author>
    <author>tc={92D03782-A6AD-418D-9593-12EAC84899D2}</author>
    <author>tc={AD201F9B-D49F-4BDE-AB6D-0CC0B1E3C331}</author>
    <author>tc={CF565BDD-0FDF-481A-A229-0B2DB3FCDFFF}</author>
  </authors>
  <commentList>
    <comment ref="AY9" authorId="0" shapeId="0" xr:uid="{0F55B582-3D4F-4A0B-8521-94090F2FE70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properties of flows (e.g. carbon content of energy carriers)</t>
      </text>
    </comment>
    <comment ref="BA9" authorId="1" shapeId="0" xr:uid="{92D03782-A6AD-418D-9593-12EAC84899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of energy flows by sector (either intermediate or final sectors)</t>
      </text>
    </comment>
    <comment ref="A10" authorId="2" shapeId="0" xr:uid="{AD201F9B-D49F-4BDE-AB6D-0CC0B1E3C331}">
      <text>
        <t>[Threaded comment]
Your version of Excel allows you to read this threaded comment; however, any edits to it will get removed if the file is opened in a newer version of Excel. Learn more: https://go.microsoft.com/fwlink/?linkid=870924
Comment:
    endogenous transactions;
energy-related flows;
- it includes either commodities (gasoline) or services (heating)</t>
      </text>
    </comment>
    <comment ref="A40" authorId="3" shapeId="0" xr:uid="{CF565BDD-0FDF-481A-A229-0B2DB3FCDFF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may consist in one technology or a cluster of technologies in competition;
it can be a real industry (natural gas industry) or a ficticious industry (heat provisioning)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<sst xmlns="http://schemas.openxmlformats.org/spreadsheetml/2006/main" count="5507" uniqueCount="678">
  <si>
    <t xml:space="preserve">Model a - PxP IOTs, product technology </t>
  </si>
  <si>
    <t xml:space="preserve">Model c - IxI IOTs, fixed industry sales structure </t>
  </si>
  <si>
    <t>A</t>
  </si>
  <si>
    <t>p.1.a</t>
  </si>
  <si>
    <t>p.1.b</t>
  </si>
  <si>
    <t>p.2</t>
  </si>
  <si>
    <t>p.3</t>
  </si>
  <si>
    <t>i.1</t>
  </si>
  <si>
    <t>i.2</t>
  </si>
  <si>
    <t>i.3</t>
  </si>
  <si>
    <t>y</t>
  </si>
  <si>
    <t>(I-A)*x</t>
  </si>
  <si>
    <t>Z</t>
  </si>
  <si>
    <t>I*x</t>
  </si>
  <si>
    <t>flow</t>
  </si>
  <si>
    <t>fuel a</t>
  </si>
  <si>
    <t>fuel b</t>
  </si>
  <si>
    <t>electricity</t>
  </si>
  <si>
    <t>heat</t>
  </si>
  <si>
    <t>technologies</t>
  </si>
  <si>
    <t>refinery</t>
  </si>
  <si>
    <t>power plant</t>
  </si>
  <si>
    <t>boiler</t>
  </si>
  <si>
    <t>primary res</t>
  </si>
  <si>
    <t>cost</t>
  </si>
  <si>
    <t>production</t>
  </si>
  <si>
    <t>x</t>
  </si>
  <si>
    <t xml:space="preserve">Model b - PxP IOTs, industry technology </t>
  </si>
  <si>
    <t>Model d - IxI IOTs, fixed product sales structure</t>
  </si>
  <si>
    <t>Stone's model</t>
  </si>
  <si>
    <t>Z_tot</t>
  </si>
  <si>
    <t>curtailment</t>
  </si>
  <si>
    <t>y_c</t>
  </si>
  <si>
    <t>(I-A)*x - yc</t>
  </si>
  <si>
    <t>NG</t>
  </si>
  <si>
    <t>H2</t>
  </si>
  <si>
    <t>p.1</t>
  </si>
  <si>
    <t>i.3.a</t>
  </si>
  <si>
    <t>i.3.b</t>
  </si>
  <si>
    <t>natural gas</t>
  </si>
  <si>
    <t>hydrogen</t>
  </si>
  <si>
    <t>blended gas</t>
  </si>
  <si>
    <t>electrolyzer</t>
  </si>
  <si>
    <t>blender</t>
  </si>
  <si>
    <t>emissions</t>
  </si>
  <si>
    <t>F.1</t>
  </si>
  <si>
    <t>F.2</t>
  </si>
  <si>
    <t>constraints</t>
  </si>
  <si>
    <t>h2 mix</t>
  </si>
  <si>
    <t>I</t>
  </si>
  <si>
    <t>fossil</t>
  </si>
  <si>
    <t>pv</t>
  </si>
  <si>
    <t>pv_off</t>
  </si>
  <si>
    <t>grid</t>
  </si>
  <si>
    <t>p.1.on</t>
  </si>
  <si>
    <t>p.1.off</t>
  </si>
  <si>
    <t>i.1.on.a</t>
  </si>
  <si>
    <t>i.1.on.b</t>
  </si>
  <si>
    <t>i.1.off</t>
  </si>
  <si>
    <t>power</t>
  </si>
  <si>
    <t>kWh</t>
  </si>
  <si>
    <t>power system</t>
  </si>
  <si>
    <t>i.1.on</t>
  </si>
  <si>
    <t>off grid system</t>
  </si>
  <si>
    <t>€/kWh</t>
  </si>
  <si>
    <t>kg/kWh</t>
  </si>
  <si>
    <t>const</t>
  </si>
  <si>
    <t>kg</t>
  </si>
  <si>
    <t/>
  </si>
  <si>
    <t>grid rate</t>
  </si>
  <si>
    <t>-</t>
  </si>
  <si>
    <t>Ad</t>
  </si>
  <si>
    <t>i.t.1</t>
  </si>
  <si>
    <t>i.t.2</t>
  </si>
  <si>
    <t xml:space="preserve">i.t.3 </t>
  </si>
  <si>
    <t>Zd</t>
  </si>
  <si>
    <t>yd</t>
  </si>
  <si>
    <t>ye</t>
  </si>
  <si>
    <t>(I-Ad)xd</t>
  </si>
  <si>
    <t>yd+ye</t>
  </si>
  <si>
    <t>tot</t>
  </si>
  <si>
    <t>crude oil</t>
  </si>
  <si>
    <t>oil products</t>
  </si>
  <si>
    <t>oil extraction</t>
  </si>
  <si>
    <t>oil refining</t>
  </si>
  <si>
    <t>pipelines</t>
  </si>
  <si>
    <t>distribution</t>
  </si>
  <si>
    <t>power grid</t>
  </si>
  <si>
    <t>Am</t>
  </si>
  <si>
    <t>Zm</t>
  </si>
  <si>
    <t>xm</t>
  </si>
  <si>
    <t>F</t>
  </si>
  <si>
    <t>min</t>
  </si>
  <si>
    <t>xd</t>
  </si>
  <si>
    <t>r1</t>
  </si>
  <si>
    <t>r2</t>
  </si>
  <si>
    <t>r3</t>
  </si>
  <si>
    <t>corresponding IOT</t>
  </si>
  <si>
    <t>tech</t>
  </si>
  <si>
    <t>trade</t>
  </si>
  <si>
    <t>primary oil</t>
  </si>
  <si>
    <t>y_tot</t>
  </si>
  <si>
    <t>F.1.tot</t>
  </si>
  <si>
    <t>F.2.tot</t>
  </si>
  <si>
    <t>oil</t>
  </si>
  <si>
    <t>ee.ff</t>
  </si>
  <si>
    <t>ee.rw</t>
  </si>
  <si>
    <t>ee</t>
  </si>
  <si>
    <t>(I-A)*y</t>
  </si>
  <si>
    <t>refined oil</t>
  </si>
  <si>
    <t>i.t.3</t>
  </si>
  <si>
    <t>i.t.4</t>
  </si>
  <si>
    <t>PP</t>
  </si>
  <si>
    <t>PP/CCS</t>
  </si>
  <si>
    <t>e_flow (CO2)</t>
  </si>
  <si>
    <t>kg_CO2</t>
  </si>
  <si>
    <t>flows</t>
  </si>
  <si>
    <t xml:space="preserve">refined oil </t>
  </si>
  <si>
    <t>crude oil extraction</t>
  </si>
  <si>
    <t>crude oil refining</t>
  </si>
  <si>
    <t>power sector</t>
  </si>
  <si>
    <t>€</t>
  </si>
  <si>
    <t>primary energy</t>
  </si>
  <si>
    <t>e_process (Nox)</t>
  </si>
  <si>
    <t>e_flow_filter</t>
  </si>
  <si>
    <t>p.3.a</t>
  </si>
  <si>
    <t>i.1.a</t>
  </si>
  <si>
    <t>i.1.b</t>
  </si>
  <si>
    <t>i.1.c</t>
  </si>
  <si>
    <t>i.1.d</t>
  </si>
  <si>
    <t>emissions, flows (CO2)</t>
  </si>
  <si>
    <t>E_Z</t>
  </si>
  <si>
    <t>E_y</t>
  </si>
  <si>
    <t>E_tot_P</t>
  </si>
  <si>
    <t>E_tot_I</t>
  </si>
  <si>
    <t>emissions, process (NOx)</t>
  </si>
  <si>
    <t>time constraints</t>
  </si>
  <si>
    <t>year</t>
  </si>
  <si>
    <t>hour</t>
  </si>
  <si>
    <t>t.1</t>
  </si>
  <si>
    <t>t.2</t>
  </si>
  <si>
    <t>t.3</t>
  </si>
  <si>
    <t>t.4</t>
  </si>
  <si>
    <t>t.5</t>
  </si>
  <si>
    <t>p.3.b</t>
  </si>
  <si>
    <t>I*x - A*x - y</t>
  </si>
  <si>
    <t>transport</t>
  </si>
  <si>
    <t>oil refinery</t>
  </si>
  <si>
    <t>BEV</t>
  </si>
  <si>
    <t>ICE</t>
  </si>
  <si>
    <t>sut table</t>
  </si>
  <si>
    <t>CO2</t>
  </si>
  <si>
    <t>E.1</t>
  </si>
  <si>
    <t>NOx</t>
  </si>
  <si>
    <t>E.2</t>
  </si>
  <si>
    <t>E.1.y</t>
  </si>
  <si>
    <t>by flow</t>
  </si>
  <si>
    <t>embodied</t>
  </si>
  <si>
    <t>E.1.f</t>
  </si>
  <si>
    <t>E.1.Z</t>
  </si>
  <si>
    <t>by sect</t>
  </si>
  <si>
    <t>embodied emissions</t>
  </si>
  <si>
    <t>Z_sq</t>
  </si>
  <si>
    <t>x_doped</t>
  </si>
  <si>
    <t>R</t>
  </si>
  <si>
    <t>A_sq</t>
  </si>
  <si>
    <t>B</t>
  </si>
  <si>
    <t>E_tot</t>
  </si>
  <si>
    <t>PBA</t>
  </si>
  <si>
    <t>CBA</t>
  </si>
  <si>
    <t>co2 tax</t>
  </si>
  <si>
    <t>€/ton</t>
  </si>
  <si>
    <t>oil tax</t>
  </si>
  <si>
    <t>F.3</t>
  </si>
  <si>
    <t>i.4</t>
  </si>
  <si>
    <t>biogenic stock</t>
  </si>
  <si>
    <t>m2</t>
  </si>
  <si>
    <t>sink</t>
  </si>
  <si>
    <t>totCO2</t>
  </si>
  <si>
    <t>cnst</t>
  </si>
  <si>
    <t>min(Z)</t>
  </si>
  <si>
    <t>p.4</t>
  </si>
  <si>
    <t>fe</t>
  </si>
  <si>
    <t>pi</t>
  </si>
  <si>
    <t>F*x.tot</t>
  </si>
  <si>
    <t>€/€</t>
  </si>
  <si>
    <t>co2 emissions</t>
  </si>
  <si>
    <t>ton/kWh</t>
  </si>
  <si>
    <t>ton</t>
  </si>
  <si>
    <t>PRIMAL MODEL</t>
  </si>
  <si>
    <t>MIN(Z)</t>
  </si>
  <si>
    <t>CORREGGERE, SECONDO ME C'è QUALCOSA CHE NON VA, GUARDARE IL MILLER P.43 E SS</t>
  </si>
  <si>
    <t>p</t>
  </si>
  <si>
    <t>prices</t>
  </si>
  <si>
    <t>r</t>
  </si>
  <si>
    <t>scarcity rents</t>
  </si>
  <si>
    <t>co2</t>
  </si>
  <si>
    <t>lab</t>
  </si>
  <si>
    <t>t</t>
  </si>
  <si>
    <t>(I-A)'*p</t>
  </si>
  <si>
    <t>F'*r</t>
  </si>
  <si>
    <t>F'*pi</t>
  </si>
  <si>
    <t>price balance</t>
  </si>
  <si>
    <t>power sector (PP)</t>
  </si>
  <si>
    <t>power sector (PP/CCS)</t>
  </si>
  <si>
    <t>objective function</t>
  </si>
  <si>
    <t>max(W)</t>
  </si>
  <si>
    <t>R1</t>
  </si>
  <si>
    <t>R2</t>
  </si>
  <si>
    <t>pp</t>
  </si>
  <si>
    <t>balances</t>
  </si>
  <si>
    <t>dispatch.</t>
  </si>
  <si>
    <t>i.2.a</t>
  </si>
  <si>
    <t>i.2.b</t>
  </si>
  <si>
    <t>fuels</t>
  </si>
  <si>
    <t>I*xp' - A*xi' - y*t = 0</t>
  </si>
  <si>
    <t>i</t>
  </si>
  <si>
    <t>V*xp' - I*xi' = 0</t>
  </si>
  <si>
    <t>fuels manuf</t>
  </si>
  <si>
    <t>energy system</t>
  </si>
  <si>
    <t>considering supply curves in V</t>
  </si>
  <si>
    <t>technical data</t>
  </si>
  <si>
    <t>capacity</t>
  </si>
  <si>
    <t>T.1</t>
  </si>
  <si>
    <t>availability</t>
  </si>
  <si>
    <t>T.2</t>
  </si>
  <si>
    <t>f(t)</t>
  </si>
  <si>
    <t>demand curves</t>
  </si>
  <si>
    <t>supply curves</t>
  </si>
  <si>
    <t>x_max</t>
  </si>
  <si>
    <t>from</t>
  </si>
  <si>
    <t>i.1-pp</t>
  </si>
  <si>
    <t>i.1-pv</t>
  </si>
  <si>
    <t>to</t>
  </si>
  <si>
    <t>q - u*x - Y = 0</t>
  </si>
  <si>
    <t>v*q - x = 0</t>
  </si>
  <si>
    <t>avg</t>
  </si>
  <si>
    <t>region A</t>
  </si>
  <si>
    <t>region B</t>
  </si>
  <si>
    <t>C</t>
  </si>
  <si>
    <t>r.A</t>
  </si>
  <si>
    <t>r.B</t>
  </si>
  <si>
    <t>single-region model</t>
  </si>
  <si>
    <t>archetypes</t>
  </si>
  <si>
    <t>LHV</t>
  </si>
  <si>
    <t>rho</t>
  </si>
  <si>
    <t>cons</t>
  </si>
  <si>
    <t>eta</t>
  </si>
  <si>
    <t>availab</t>
  </si>
  <si>
    <t>lifetime</t>
  </si>
  <si>
    <t>e_CO2</t>
  </si>
  <si>
    <t>MJ/kg</t>
  </si>
  <si>
    <t>kg/l</t>
  </si>
  <si>
    <t>km/l</t>
  </si>
  <si>
    <t>kWh/km</t>
  </si>
  <si>
    <t>km/u/yr</t>
  </si>
  <si>
    <t>yr</t>
  </si>
  <si>
    <t>€/l</t>
  </si>
  <si>
    <t>€/kW</t>
  </si>
  <si>
    <t>€/u</t>
  </si>
  <si>
    <t>PV</t>
  </si>
  <si>
    <t>discount rate</t>
  </si>
  <si>
    <t>demand growht</t>
  </si>
  <si>
    <t>disposal shape factor</t>
  </si>
  <si>
    <t>co2 price</t>
  </si>
  <si>
    <t>i.2a</t>
  </si>
  <si>
    <t>i.2b</t>
  </si>
  <si>
    <t>e_co2</t>
  </si>
  <si>
    <t>t.6</t>
  </si>
  <si>
    <t>t.7</t>
  </si>
  <si>
    <t>t.8</t>
  </si>
  <si>
    <t>t.9</t>
  </si>
  <si>
    <t>t.10</t>
  </si>
  <si>
    <t>t.11</t>
  </si>
  <si>
    <t>t.12</t>
  </si>
  <si>
    <t>t.13</t>
  </si>
  <si>
    <t>t.14</t>
  </si>
  <si>
    <t>t.15</t>
  </si>
  <si>
    <t>t.16</t>
  </si>
  <si>
    <t>t.17</t>
  </si>
  <si>
    <t>t.18</t>
  </si>
  <si>
    <t>t.19</t>
  </si>
  <si>
    <t>t.20</t>
  </si>
  <si>
    <t>km</t>
  </si>
  <si>
    <t>y.hh</t>
  </si>
  <si>
    <t>sector</t>
  </si>
  <si>
    <t xml:space="preserve">electricity </t>
  </si>
  <si>
    <t>operative cost</t>
  </si>
  <si>
    <t>investment cost</t>
  </si>
  <si>
    <t>T</t>
  </si>
  <si>
    <t>data</t>
  </si>
  <si>
    <t>I*</t>
  </si>
  <si>
    <t>production - x</t>
  </si>
  <si>
    <t>maximum production - x</t>
  </si>
  <si>
    <t>operational costs - F.1</t>
  </si>
  <si>
    <t>F.1.tot_disc</t>
  </si>
  <si>
    <t>E_CO2</t>
  </si>
  <si>
    <t>E_CO2 constr</t>
  </si>
  <si>
    <t>years</t>
  </si>
  <si>
    <t>new capacity</t>
  </si>
  <si>
    <t>disposed capacity, new</t>
  </si>
  <si>
    <t>disposed capacity, operative</t>
  </si>
  <si>
    <t>disposed capacity, total</t>
  </si>
  <si>
    <t>operative capacity</t>
  </si>
  <si>
    <t>investment costs - F.2</t>
  </si>
  <si>
    <t>F.2.tot_disc</t>
  </si>
  <si>
    <t>kW</t>
  </si>
  <si>
    <t>units</t>
  </si>
  <si>
    <t>M€</t>
  </si>
  <si>
    <t>WEIBULL FUNCTION</t>
  </si>
  <si>
    <t>cap_o</t>
  </si>
  <si>
    <t>lt</t>
  </si>
  <si>
    <t>div</t>
  </si>
  <si>
    <t>sh</t>
  </si>
  <si>
    <t>DATA</t>
  </si>
  <si>
    <t>s.1</t>
  </si>
  <si>
    <t>hh (kWh)</t>
  </si>
  <si>
    <t>t.wte</t>
  </si>
  <si>
    <t>t.pv</t>
  </si>
  <si>
    <t>y.0</t>
  </si>
  <si>
    <t>y.1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</si>
  <si>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</si>
  <si>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</si>
  <si>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</si>
  <si>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</si>
  <si>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</si>
  <si>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</si>
  <si>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</si>
  <si>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</si>
  <si>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</si>
  <si>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waste prod</t>
  </si>
  <si>
    <t>w.p</t>
  </si>
  <si>
    <t>waste use</t>
  </si>
  <si>
    <t>w.u</t>
  </si>
  <si>
    <t>opex</t>
  </si>
  <si>
    <t>capex</t>
  </si>
  <si>
    <t>identity</t>
  </si>
  <si>
    <t>ds</t>
  </si>
  <si>
    <t>availabil</t>
  </si>
  <si>
    <t>t.h.1</t>
  </si>
  <si>
    <t>t.h.2</t>
  </si>
  <si>
    <t>t.h.3</t>
  </si>
  <si>
    <t>da finire</t>
  </si>
  <si>
    <t>t.h.4</t>
  </si>
  <si>
    <t>ma non dovrebbero esserci criticità particolari</t>
  </si>
  <si>
    <t>t.h.5</t>
  </si>
  <si>
    <t>il vincolo sull'uso di waste è annuale… no problem at all</t>
  </si>
  <si>
    <t>pp.wte</t>
  </si>
  <si>
    <t>pp.pv</t>
  </si>
  <si>
    <t>eta_I</t>
  </si>
  <si>
    <t>t.y</t>
  </si>
  <si>
    <t>t.h</t>
  </si>
  <si>
    <t>total cost</t>
  </si>
  <si>
    <t>total</t>
  </si>
  <si>
    <t>discounted</t>
  </si>
  <si>
    <t>charge</t>
  </si>
  <si>
    <t>disch.</t>
  </si>
  <si>
    <t>i.2-c</t>
  </si>
  <si>
    <t>i.2-d</t>
  </si>
  <si>
    <t>soc</t>
  </si>
  <si>
    <t>I*x - A*x - y = 0</t>
  </si>
  <si>
    <t>storage</t>
  </si>
  <si>
    <t>soc_t0</t>
  </si>
  <si>
    <t>soc_mx</t>
  </si>
  <si>
    <t>soc_t5</t>
  </si>
  <si>
    <t>soc_mn</t>
  </si>
  <si>
    <t>special identity</t>
  </si>
  <si>
    <t>state of charge</t>
  </si>
  <si>
    <t>c/d</t>
  </si>
  <si>
    <t>soc_min (%)</t>
  </si>
  <si>
    <t>T.3</t>
  </si>
  <si>
    <t>soc_t0 (%)</t>
  </si>
  <si>
    <t>T.4</t>
  </si>
  <si>
    <t>soc_t5 (%)</t>
  </si>
  <si>
    <t>T.5</t>
  </si>
  <si>
    <t>sup curve</t>
  </si>
  <si>
    <t>f_pv</t>
  </si>
  <si>
    <t>p.1-y</t>
  </si>
  <si>
    <t>discharge</t>
  </si>
  <si>
    <t>c/d max rate</t>
  </si>
  <si>
    <t>bev</t>
  </si>
  <si>
    <t>transport (km)</t>
  </si>
  <si>
    <t>electricity_bev</t>
  </si>
  <si>
    <t>transport sector</t>
  </si>
  <si>
    <t>storage (v2g)</t>
  </si>
  <si>
    <t>st_c/d</t>
  </si>
  <si>
    <t>st_bev</t>
  </si>
  <si>
    <t>i.3-c/d</t>
  </si>
  <si>
    <t>i.3-bev</t>
  </si>
  <si>
    <t>storage+ (v2g)</t>
  </si>
  <si>
    <t>p.2-y</t>
  </si>
  <si>
    <t>p.3-y</t>
  </si>
  <si>
    <t>i.2-h2</t>
  </si>
  <si>
    <t>i.2-ng</t>
  </si>
  <si>
    <t>i.3-pp</t>
  </si>
  <si>
    <t>i.3-pv</t>
  </si>
  <si>
    <t>i.4-c/d</t>
  </si>
  <si>
    <t>natural gas extr</t>
  </si>
  <si>
    <t xml:space="preserve">blending </t>
  </si>
  <si>
    <t>storage h2</t>
  </si>
  <si>
    <t>i.5</t>
  </si>
  <si>
    <t>p.1-i.1</t>
  </si>
  <si>
    <t>p.2-i.1</t>
  </si>
  <si>
    <t>p.3-i.1</t>
  </si>
  <si>
    <t>EXOGENOUS</t>
  </si>
  <si>
    <t>s.2</t>
  </si>
  <si>
    <t>s.3</t>
  </si>
  <si>
    <t>f.1</t>
  </si>
  <si>
    <t>f.2</t>
  </si>
  <si>
    <t>f.3</t>
  </si>
  <si>
    <t>f</t>
  </si>
  <si>
    <t>power prod</t>
  </si>
  <si>
    <t>b.1</t>
  </si>
  <si>
    <t>fuel cost</t>
  </si>
  <si>
    <t>c.1</t>
  </si>
  <si>
    <t>c.2</t>
  </si>
  <si>
    <t>c.3</t>
  </si>
  <si>
    <t>decommissioning cost</t>
  </si>
  <si>
    <t>c.4</t>
  </si>
  <si>
    <t>other costs (taxes)</t>
  </si>
  <si>
    <t>c.5</t>
  </si>
  <si>
    <t>…</t>
  </si>
  <si>
    <t>installed capacity</t>
  </si>
  <si>
    <t>ENDOGENOUS</t>
  </si>
  <si>
    <t>production_max</t>
  </si>
  <si>
    <t>total costs</t>
  </si>
  <si>
    <t>Y</t>
  </si>
  <si>
    <t>MWh</t>
  </si>
  <si>
    <t>variable costs (fuel)</t>
  </si>
  <si>
    <t>investment costs</t>
  </si>
  <si>
    <t>availability equality</t>
  </si>
  <si>
    <t>availability (min)</t>
  </si>
  <si>
    <t>availability (max)</t>
  </si>
  <si>
    <t>technical lifetime</t>
  </si>
  <si>
    <t>economic lifetime</t>
  </si>
  <si>
    <t>Y multiplier</t>
  </si>
  <si>
    <t>PRODUCTION</t>
  </si>
  <si>
    <t>CAPACITY</t>
  </si>
  <si>
    <t>AVAILABILITY</t>
  </si>
  <si>
    <t>COST</t>
  </si>
  <si>
    <t>DISCOUNTED COST</t>
  </si>
  <si>
    <t>x [MWh]</t>
  </si>
  <si>
    <t xml:space="preserve">x_min </t>
  </si>
  <si>
    <t xml:space="preserve">x_eq </t>
  </si>
  <si>
    <t>cap_new [kW]</t>
  </si>
  <si>
    <t>cap_disp,new</t>
  </si>
  <si>
    <t>cap_disp,op(0)</t>
  </si>
  <si>
    <t>cap_disp,tot</t>
  </si>
  <si>
    <t>cap_oper [kW]</t>
  </si>
  <si>
    <t>T.av</t>
  </si>
  <si>
    <t>operative [M€]</t>
  </si>
  <si>
    <t>investments [M€]</t>
  </si>
  <si>
    <t>total [M€]</t>
  </si>
  <si>
    <t>interest rate</t>
  </si>
  <si>
    <t>disposal shape</t>
  </si>
  <si>
    <t>min_disc[M€]</t>
  </si>
  <si>
    <t>OPERATIVE</t>
  </si>
  <si>
    <t>INVESTMENT</t>
  </si>
  <si>
    <t>TOTAL</t>
  </si>
  <si>
    <t>min_base[M€]</t>
  </si>
  <si>
    <t>CALCULATION OF ANNUITY OF CAPEX</t>
  </si>
  <si>
    <t>CALCULATION OF DISPOSED CAPACITY</t>
  </si>
  <si>
    <t>TOT</t>
  </si>
  <si>
    <t>DISC</t>
  </si>
  <si>
    <t>DATABASE (base year)</t>
  </si>
  <si>
    <t>TJ</t>
  </si>
  <si>
    <t>p1</t>
  </si>
  <si>
    <t>p2</t>
  </si>
  <si>
    <t>p3</t>
  </si>
  <si>
    <t>i1</t>
  </si>
  <si>
    <t>i2</t>
  </si>
  <si>
    <t>i3.a</t>
  </si>
  <si>
    <t>i3.b</t>
  </si>
  <si>
    <t>U</t>
  </si>
  <si>
    <t>q</t>
  </si>
  <si>
    <t>u = U*inv(diag(x))</t>
  </si>
  <si>
    <t>biomass</t>
  </si>
  <si>
    <t>V</t>
  </si>
  <si>
    <t>v = v*inv(diag(q))</t>
  </si>
  <si>
    <t>forestry</t>
  </si>
  <si>
    <t>oil power plant</t>
  </si>
  <si>
    <t>pv power plant</t>
  </si>
  <si>
    <t>f = F*inv(diag(x))</t>
  </si>
  <si>
    <t>f1</t>
  </si>
  <si>
    <t>primary biomass</t>
  </si>
  <si>
    <t>f2</t>
  </si>
  <si>
    <t>solar radiation</t>
  </si>
  <si>
    <t>f3</t>
  </si>
  <si>
    <t>L</t>
  </si>
  <si>
    <t>l = L*inv(diag(x))</t>
  </si>
  <si>
    <t>losses</t>
  </si>
  <si>
    <t>l</t>
  </si>
  <si>
    <t>q'</t>
  </si>
  <si>
    <t>x'</t>
  </si>
  <si>
    <t>i_I</t>
  </si>
  <si>
    <t>i_P</t>
  </si>
  <si>
    <t>(v*diag(q))'*i_I - u*x - Y = 0</t>
  </si>
  <si>
    <t>v*q - (u*diag(x))'*i_P -(f*diag(x))'*i_P - (l*diag(x))' = 0</t>
  </si>
  <si>
    <t>e</t>
  </si>
  <si>
    <t>hours</t>
  </si>
  <si>
    <t xml:space="preserve">flow </t>
  </si>
  <si>
    <t>intermediate</t>
  </si>
  <si>
    <t>final</t>
  </si>
  <si>
    <t>f.ngas</t>
  </si>
  <si>
    <t>f.croil</t>
  </si>
  <si>
    <t>f.coal</t>
  </si>
  <si>
    <t>f.nbio</t>
  </si>
  <si>
    <t>f.nuc</t>
  </si>
  <si>
    <t>f.gasp</t>
  </si>
  <si>
    <t>f.oilp</t>
  </si>
  <si>
    <t>f.coap</t>
  </si>
  <si>
    <t>f.rbio</t>
  </si>
  <si>
    <t>f.rnuc</t>
  </si>
  <si>
    <t>f.ee2u</t>
  </si>
  <si>
    <t>f.ee2t</t>
  </si>
  <si>
    <t>f.rtrs</t>
  </si>
  <si>
    <t>f.otrs</t>
  </si>
  <si>
    <t>f.hyd</t>
  </si>
  <si>
    <t>f.hous</t>
  </si>
  <si>
    <t>s.gas.m</t>
  </si>
  <si>
    <t>s.oil.m</t>
  </si>
  <si>
    <t>s.coa.m</t>
  </si>
  <si>
    <t>s.bio.m</t>
  </si>
  <si>
    <t>s.nuc.m</t>
  </si>
  <si>
    <t>s.gas.r</t>
  </si>
  <si>
    <t>s.oil.r</t>
  </si>
  <si>
    <t>s.coa.r</t>
  </si>
  <si>
    <t>s.bio.r</t>
  </si>
  <si>
    <t>s.nuc.r</t>
  </si>
  <si>
    <t>s.gas.e</t>
  </si>
  <si>
    <t>s.oil.e</t>
  </si>
  <si>
    <t>s.coa.e</t>
  </si>
  <si>
    <t>s.bio.e</t>
  </si>
  <si>
    <t>s.nuc.e</t>
  </si>
  <si>
    <t>s.pv.e</t>
  </si>
  <si>
    <t>s.wnd.e</t>
  </si>
  <si>
    <t>s.hyd.e</t>
  </si>
  <si>
    <t>s.ores.e</t>
  </si>
  <si>
    <t>s.fcell.e</t>
  </si>
  <si>
    <t>s.rtpv.e</t>
  </si>
  <si>
    <t>s.icev</t>
  </si>
  <si>
    <t>s.hev</t>
  </si>
  <si>
    <t>s.bev</t>
  </si>
  <si>
    <t>s.otrs</t>
  </si>
  <si>
    <t>s.h2sr</t>
  </si>
  <si>
    <t>s.h2ez</t>
  </si>
  <si>
    <t>s.hehh</t>
  </si>
  <si>
    <t>s.lehh</t>
  </si>
  <si>
    <t>A - technical coefficients matrix</t>
  </si>
  <si>
    <t>fp</t>
  </si>
  <si>
    <t>s - demand</t>
  </si>
  <si>
    <t>coal</t>
  </si>
  <si>
    <t>natural biomass</t>
  </si>
  <si>
    <t>uranium</t>
  </si>
  <si>
    <t>gas products</t>
  </si>
  <si>
    <t>coal products</t>
  </si>
  <si>
    <t>refined uranium</t>
  </si>
  <si>
    <t>refined biomass</t>
  </si>
  <si>
    <t>electricity to user</t>
  </si>
  <si>
    <t>electricity to transmission</t>
  </si>
  <si>
    <t>road passenger transport service</t>
  </si>
  <si>
    <t>other transport service</t>
  </si>
  <si>
    <t>housing</t>
  </si>
  <si>
    <t>c.croil</t>
  </si>
  <si>
    <t>natural gas wells</t>
  </si>
  <si>
    <t>crude oil wells</t>
  </si>
  <si>
    <t>coal mines</t>
  </si>
  <si>
    <t>forestry and logging</t>
  </si>
  <si>
    <t>uranium mines</t>
  </si>
  <si>
    <t>gas refineries</t>
  </si>
  <si>
    <t>oil refineries</t>
  </si>
  <si>
    <t>coal refineries</t>
  </si>
  <si>
    <t>biomass refineries</t>
  </si>
  <si>
    <t>uranium refineries</t>
  </si>
  <si>
    <t>gas power plants</t>
  </si>
  <si>
    <t>oil power plants</t>
  </si>
  <si>
    <t>coal power plants</t>
  </si>
  <si>
    <t>biomass power plants</t>
  </si>
  <si>
    <t>nuclear power plants</t>
  </si>
  <si>
    <t>pv power plants</t>
  </si>
  <si>
    <t>wind power plants</t>
  </si>
  <si>
    <t>hydro power plants</t>
  </si>
  <si>
    <t>other renewable power plants</t>
  </si>
  <si>
    <t>fuel cells</t>
  </si>
  <si>
    <t>rooftop pv power plants</t>
  </si>
  <si>
    <t>traditional passenger cars</t>
  </si>
  <si>
    <t>hybrid-electric passenger cars</t>
  </si>
  <si>
    <t>battery-electric passenger cars</t>
  </si>
  <si>
    <t>other transport technologies</t>
  </si>
  <si>
    <t>steam reformers</t>
  </si>
  <si>
    <t>electrolyzers</t>
  </si>
  <si>
    <t>high-energy-efficiency houses</t>
  </si>
  <si>
    <t>low-energy-efficiency houses</t>
  </si>
  <si>
    <t>TOTAL VALUES MATRICES (reference year)</t>
  </si>
  <si>
    <t>M-USE (M€)</t>
  </si>
  <si>
    <t>industries</t>
  </si>
  <si>
    <t>final demand</t>
  </si>
  <si>
    <t>P-USE (TWh)</t>
  </si>
  <si>
    <t>energy prices</t>
  </si>
  <si>
    <t>manuf</t>
  </si>
  <si>
    <t>oil ref</t>
  </si>
  <si>
    <t>elec oil</t>
  </si>
  <si>
    <t>elec ren</t>
  </si>
  <si>
    <t>€/MWh</t>
  </si>
  <si>
    <t>I.1</t>
  </si>
  <si>
    <t>I.2</t>
  </si>
  <si>
    <t>I.3.a</t>
  </si>
  <si>
    <t>I.3.b</t>
  </si>
  <si>
    <t>hh</t>
  </si>
  <si>
    <t>gov</t>
  </si>
  <si>
    <t>products</t>
  </si>
  <si>
    <t>non-energy</t>
  </si>
  <si>
    <t>manufacturing</t>
  </si>
  <si>
    <t>P.1</t>
  </si>
  <si>
    <t>energy</t>
  </si>
  <si>
    <t>P.2</t>
  </si>
  <si>
    <t>P.3</t>
  </si>
  <si>
    <t>wages</t>
  </si>
  <si>
    <t>taxes</t>
  </si>
  <si>
    <t>total outlays</t>
  </si>
  <si>
    <t>energy mix</t>
  </si>
  <si>
    <t>tax rate</t>
  </si>
  <si>
    <t>total demand</t>
  </si>
  <si>
    <t>cons propensity</t>
  </si>
  <si>
    <t>alpha1</t>
  </si>
  <si>
    <t>alpha2</t>
  </si>
  <si>
    <t>balance sheet</t>
  </si>
  <si>
    <t>money stock (initial)</t>
  </si>
  <si>
    <t>COEFFICIENT MATRICES</t>
  </si>
  <si>
    <t>emissions factors</t>
  </si>
  <si>
    <t>s</t>
  </si>
  <si>
    <t>ton/TWh</t>
  </si>
  <si>
    <t>crude oil (TWh/TWh)</t>
  </si>
  <si>
    <t>IxI IOT (M€)</t>
  </si>
  <si>
    <t>capacity factor</t>
  </si>
  <si>
    <t>C_0</t>
  </si>
  <si>
    <t>G_0</t>
  </si>
  <si>
    <t>capacity factor (min)</t>
  </si>
  <si>
    <t>operational cost</t>
  </si>
  <si>
    <t>electricity by oil</t>
  </si>
  <si>
    <t>P.3.a</t>
  </si>
  <si>
    <t>electricity by ren</t>
  </si>
  <si>
    <t>P.3.b</t>
  </si>
  <si>
    <t>GW</t>
  </si>
  <si>
    <t>electricity demand shape</t>
  </si>
  <si>
    <t>s_h</t>
  </si>
  <si>
    <t>intermediate uses</t>
  </si>
  <si>
    <t>final uses</t>
  </si>
  <si>
    <t>res availability</t>
  </si>
  <si>
    <t>net</t>
  </si>
  <si>
    <t>to car</t>
  </si>
  <si>
    <t>c-/d+</t>
  </si>
  <si>
    <t>it is impossibile to apply different costs for charge and discharge battery</t>
  </si>
  <si>
    <t>demand</t>
  </si>
  <si>
    <t>supply</t>
  </si>
  <si>
    <t>balance check</t>
  </si>
  <si>
    <t>i.3(d)</t>
  </si>
  <si>
    <t>i.3(c)</t>
  </si>
  <si>
    <t>reallocation</t>
  </si>
  <si>
    <t>ef blended gas</t>
  </si>
  <si>
    <t>blend desired</t>
  </si>
  <si>
    <t>h2 in blend</t>
  </si>
  <si>
    <t>supporting parameter</t>
  </si>
  <si>
    <t>il blended gas non fa emissioni, le fanno i suoi ingredienti nel blender</t>
  </si>
  <si>
    <t>poi le emissioni vengono riallocate alla fine</t>
  </si>
  <si>
    <t>=MATR.PRODOTTO(E3:P14;E20:P20*MATR.UNIT(12))</t>
  </si>
  <si>
    <t>=MATR.PRODOTTO(E39:L50-E3:L10;MATR.TRASPOSTA(E16:L16))</t>
  </si>
  <si>
    <t>=MATR.PRODOTTO(E39:L50;MATR.TRASPOSTA(E16:L16))</t>
  </si>
  <si>
    <t>balance</t>
  </si>
  <si>
    <t>construction delay</t>
  </si>
  <si>
    <t>investment_year</t>
  </si>
  <si>
    <t>operation_year</t>
  </si>
  <si>
    <t>NEW-CAPACITY MATRIX</t>
  </si>
  <si>
    <t>cap_new_delayed</t>
  </si>
  <si>
    <t>DISPOSED-CAPACITY MATRIX</t>
  </si>
  <si>
    <t>cu MATRIX</t>
  </si>
  <si>
    <t>CU</t>
  </si>
  <si>
    <t>CU*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</si>
</sst>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-0;\-"/>
    <numFmt numFmtId="165" formatCode="0.0;\-0.0;\-"/>
    <numFmt numFmtId="166" formatCode="0.00;\-0.00;\-"/>
    <numFmt numFmtId="167" formatCode="0.0%"/>
    <numFmt numFmtId="168" formatCode="0.000;\-0.000;\-"/>
    <numFmt numFmtId="169" formatCode="0.0000;\-0.0000;\-"/>
    <numFmt numFmtId="170" formatCode="0.00000;\-0.00000;\-"/>
    <numFmt numFmtId="171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3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4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/>
    <xf numFmtId="165" fontId="0" fillId="2" borderId="0" xfId="0" applyNumberFormat="1" applyFill="1"/>
    <xf numFmtId="166" fontId="0" fillId="2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1" fillId="0" borderId="0" xfId="0" applyNumberFormat="1" applyFont="1"/>
    <xf numFmtId="166" fontId="1" fillId="2" borderId="0" xfId="0" applyNumberFormat="1" applyFont="1" applyFill="1"/>
    <xf numFmtId="166" fontId="4" fillId="0" borderId="0" xfId="0" applyNumberFormat="1" applyFont="1"/>
    <xf numFmtId="166" fontId="5" fillId="2" borderId="0" xfId="0" applyNumberFormat="1" applyFont="1" applyFill="1"/>
    <xf numFmtId="166" fontId="1" fillId="2" borderId="2" xfId="0" applyNumberFormat="1" applyFont="1" applyFill="1" applyBorder="1"/>
    <xf numFmtId="166" fontId="1" fillId="2" borderId="3" xfId="0" applyNumberFormat="1" applyFont="1" applyFill="1" applyBorder="1"/>
    <xf numFmtId="166" fontId="1" fillId="2" borderId="4" xfId="0" applyNumberFormat="1" applyFont="1" applyFill="1" applyBorder="1"/>
    <xf numFmtId="166" fontId="1" fillId="2" borderId="5" xfId="0" applyNumberFormat="1" applyFont="1" applyFill="1" applyBorder="1"/>
    <xf numFmtId="166" fontId="1" fillId="2" borderId="1" xfId="0" applyNumberFormat="1" applyFont="1" applyFill="1" applyBorder="1"/>
    <xf numFmtId="166" fontId="4" fillId="0" borderId="6" xfId="0" applyNumberFormat="1" applyFont="1" applyBorder="1"/>
    <xf numFmtId="166" fontId="0" fillId="0" borderId="6" xfId="0" applyNumberFormat="1" applyBorder="1"/>
    <xf numFmtId="166" fontId="0" fillId="0" borderId="0" xfId="0" quotePrefix="1" applyNumberFormat="1"/>
    <xf numFmtId="9" fontId="1" fillId="0" borderId="0" xfId="2" applyFont="1"/>
    <xf numFmtId="164" fontId="1" fillId="2" borderId="7" xfId="0" applyNumberFormat="1" applyFont="1" applyFill="1" applyBorder="1"/>
    <xf numFmtId="164" fontId="1" fillId="2" borderId="8" xfId="0" applyNumberFormat="1" applyFont="1" applyFill="1" applyBorder="1"/>
    <xf numFmtId="165" fontId="0" fillId="0" borderId="0" xfId="0" applyNumberFormat="1"/>
    <xf numFmtId="165" fontId="1" fillId="2" borderId="0" xfId="0" applyNumberFormat="1" applyFont="1" applyFill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165" fontId="1" fillId="2" borderId="12" xfId="0" applyNumberFormat="1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5" fontId="1" fillId="2" borderId="2" xfId="0" applyNumberFormat="1" applyFont="1" applyFill="1" applyBorder="1"/>
    <xf numFmtId="165" fontId="1" fillId="2" borderId="6" xfId="0" applyNumberFormat="1" applyFont="1" applyFill="1" applyBorder="1"/>
    <xf numFmtId="165" fontId="1" fillId="2" borderId="3" xfId="0" applyNumberFormat="1" applyFont="1" applyFill="1" applyBorder="1"/>
    <xf numFmtId="165" fontId="1" fillId="2" borderId="13" xfId="0" applyNumberFormat="1" applyFont="1" applyFill="1" applyBorder="1"/>
    <xf numFmtId="165" fontId="1" fillId="2" borderId="14" xfId="0" applyNumberFormat="1" applyFont="1" applyFill="1" applyBorder="1"/>
    <xf numFmtId="165" fontId="1" fillId="2" borderId="4" xfId="0" applyNumberFormat="1" applyFont="1" applyFill="1" applyBorder="1"/>
    <xf numFmtId="165" fontId="1" fillId="2" borderId="15" xfId="0" applyNumberFormat="1" applyFont="1" applyFill="1" applyBorder="1"/>
    <xf numFmtId="165" fontId="1" fillId="2" borderId="5" xfId="0" applyNumberFormat="1" applyFont="1" applyFill="1" applyBorder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4" fontId="0" fillId="0" borderId="0" xfId="0" quotePrefix="1" applyNumberFormat="1"/>
    <xf numFmtId="165" fontId="0" fillId="0" borderId="1" xfId="0" applyNumberFormat="1" applyBorder="1"/>
    <xf numFmtId="166" fontId="5" fillId="2" borderId="2" xfId="0" applyNumberFormat="1" applyFont="1" applyFill="1" applyBorder="1"/>
    <xf numFmtId="166" fontId="5" fillId="2" borderId="3" xfId="0" applyNumberFormat="1" applyFont="1" applyFill="1" applyBorder="1"/>
    <xf numFmtId="166" fontId="5" fillId="2" borderId="4" xfId="0" applyNumberFormat="1" applyFont="1" applyFill="1" applyBorder="1"/>
    <xf numFmtId="166" fontId="5" fillId="2" borderId="5" xfId="0" applyNumberFormat="1" applyFont="1" applyFill="1" applyBorder="1"/>
    <xf numFmtId="166" fontId="0" fillId="2" borderId="6" xfId="0" applyNumberFormat="1" applyFill="1" applyBorder="1"/>
    <xf numFmtId="166" fontId="1" fillId="3" borderId="0" xfId="0" applyNumberFormat="1" applyFont="1" applyFill="1"/>
    <xf numFmtId="166" fontId="0" fillId="3" borderId="0" xfId="0" applyNumberFormat="1" applyFill="1"/>
    <xf numFmtId="165" fontId="5" fillId="2" borderId="0" xfId="0" applyNumberFormat="1" applyFont="1" applyFill="1"/>
    <xf numFmtId="165" fontId="5" fillId="0" borderId="0" xfId="0" applyNumberFormat="1" applyFont="1"/>
    <xf numFmtId="166" fontId="0" fillId="0" borderId="2" xfId="0" applyNumberFormat="1" applyBorder="1"/>
    <xf numFmtId="166" fontId="0" fillId="2" borderId="3" xfId="0" applyNumberFormat="1" applyFill="1" applyBorder="1"/>
    <xf numFmtId="166" fontId="0" fillId="2" borderId="13" xfId="0" applyNumberFormat="1" applyFill="1" applyBorder="1"/>
    <xf numFmtId="166" fontId="0" fillId="2" borderId="14" xfId="0" applyNumberFormat="1" applyFill="1" applyBorder="1"/>
    <xf numFmtId="166" fontId="0" fillId="2" borderId="4" xfId="0" applyNumberFormat="1" applyFill="1" applyBorder="1"/>
    <xf numFmtId="166" fontId="0" fillId="2" borderId="15" xfId="0" applyNumberFormat="1" applyFill="1" applyBorder="1"/>
    <xf numFmtId="166" fontId="0" fillId="0" borderId="5" xfId="0" applyNumberFormat="1" applyBorder="1"/>
    <xf numFmtId="166" fontId="0" fillId="2" borderId="2" xfId="0" applyNumberFormat="1" applyFill="1" applyBorder="1"/>
    <xf numFmtId="166" fontId="0" fillId="0" borderId="3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4" xfId="0" applyNumberFormat="1" applyBorder="1"/>
    <xf numFmtId="166" fontId="0" fillId="0" borderId="15" xfId="0" applyNumberFormat="1" applyBorder="1"/>
    <xf numFmtId="166" fontId="0" fillId="2" borderId="5" xfId="0" applyNumberFormat="1" applyFill="1" applyBorder="1"/>
    <xf numFmtId="165" fontId="0" fillId="3" borderId="0" xfId="0" applyNumberFormat="1" applyFill="1"/>
    <xf numFmtId="166" fontId="0" fillId="4" borderId="0" xfId="0" applyNumberFormat="1" applyFill="1"/>
    <xf numFmtId="166" fontId="1" fillId="4" borderId="0" xfId="0" applyNumberFormat="1" applyFont="1" applyFill="1"/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  <xf numFmtId="165" fontId="0" fillId="4" borderId="0" xfId="0" applyNumberFormat="1" applyFill="1"/>
    <xf numFmtId="166" fontId="5" fillId="0" borderId="0" xfId="0" applyNumberFormat="1" applyFont="1"/>
    <xf numFmtId="165" fontId="5" fillId="4" borderId="0" xfId="0" applyNumberFormat="1" applyFont="1" applyFill="1"/>
    <xf numFmtId="165" fontId="5" fillId="3" borderId="0" xfId="0" applyNumberFormat="1" applyFont="1" applyFill="1"/>
    <xf numFmtId="164" fontId="0" fillId="4" borderId="0" xfId="0" applyNumberFormat="1" applyFill="1"/>
    <xf numFmtId="164" fontId="0" fillId="3" borderId="0" xfId="0" applyNumberFormat="1" applyFill="1"/>
    <xf numFmtId="164" fontId="5" fillId="4" borderId="0" xfId="0" applyNumberFormat="1" applyFont="1" applyFill="1"/>
    <xf numFmtId="164" fontId="5" fillId="3" borderId="0" xfId="0" applyNumberFormat="1" applyFont="1" applyFill="1"/>
    <xf numFmtId="165" fontId="6" fillId="0" borderId="0" xfId="0" applyNumberFormat="1" applyFont="1"/>
    <xf numFmtId="165" fontId="4" fillId="0" borderId="0" xfId="0" applyNumberFormat="1" applyFont="1"/>
    <xf numFmtId="165" fontId="0" fillId="0" borderId="16" xfId="0" applyNumberFormat="1" applyBorder="1"/>
    <xf numFmtId="165" fontId="0" fillId="0" borderId="17" xfId="0" applyNumberFormat="1" applyBorder="1"/>
    <xf numFmtId="165" fontId="0" fillId="0" borderId="0" xfId="0" applyNumberFormat="1" applyAlignment="1">
      <alignment horizontal="right"/>
    </xf>
    <xf numFmtId="165" fontId="0" fillId="0" borderId="16" xfId="0" applyNumberFormat="1" applyBorder="1" applyAlignment="1">
      <alignment horizontal="right"/>
    </xf>
    <xf numFmtId="165" fontId="0" fillId="0" borderId="0" xfId="0" applyNumberFormat="1" applyAlignment="1">
      <alignment horizontal="left"/>
    </xf>
    <xf numFmtId="164" fontId="0" fillId="2" borderId="16" xfId="0" applyNumberFormat="1" applyFill="1" applyBorder="1"/>
    <xf numFmtId="165" fontId="0" fillId="5" borderId="17" xfId="0" applyNumberFormat="1" applyFill="1" applyBorder="1"/>
    <xf numFmtId="165" fontId="0" fillId="5" borderId="0" xfId="0" applyNumberFormat="1" applyFill="1"/>
    <xf numFmtId="165" fontId="0" fillId="0" borderId="18" xfId="0" applyNumberFormat="1" applyBorder="1"/>
    <xf numFmtId="164" fontId="0" fillId="2" borderId="18" xfId="0" applyNumberFormat="1" applyFill="1" applyBorder="1"/>
    <xf numFmtId="164" fontId="0" fillId="2" borderId="19" xfId="0" applyNumberFormat="1" applyFill="1" applyBorder="1"/>
    <xf numFmtId="164" fontId="0" fillId="0" borderId="18" xfId="0" applyNumberFormat="1" applyBorder="1"/>
    <xf numFmtId="165" fontId="0" fillId="5" borderId="20" xfId="0" applyNumberFormat="1" applyFill="1" applyBorder="1"/>
    <xf numFmtId="164" fontId="0" fillId="6" borderId="18" xfId="0" applyNumberFormat="1" applyFill="1" applyBorder="1"/>
    <xf numFmtId="165" fontId="0" fillId="7" borderId="18" xfId="0" applyNumberFormat="1" applyFill="1" applyBorder="1"/>
    <xf numFmtId="164" fontId="0" fillId="6" borderId="0" xfId="0" applyNumberFormat="1" applyFill="1"/>
    <xf numFmtId="165" fontId="0" fillId="7" borderId="0" xfId="0" applyNumberFormat="1" applyFill="1"/>
    <xf numFmtId="164" fontId="0" fillId="2" borderId="0" xfId="0" applyNumberFormat="1" applyFill="1" applyAlignment="1">
      <alignment horizontal="right"/>
    </xf>
    <xf numFmtId="164" fontId="0" fillId="2" borderId="16" xfId="0" applyNumberFormat="1" applyFill="1" applyBorder="1" applyAlignment="1">
      <alignment horizontal="right"/>
    </xf>
    <xf numFmtId="164" fontId="0" fillId="0" borderId="16" xfId="0" applyNumberFormat="1" applyBorder="1"/>
    <xf numFmtId="164" fontId="5" fillId="2" borderId="0" xfId="0" applyNumberFormat="1" applyFont="1" applyFill="1"/>
    <xf numFmtId="165" fontId="1" fillId="0" borderId="0" xfId="0" applyNumberFormat="1" applyFont="1"/>
    <xf numFmtId="165" fontId="0" fillId="0" borderId="0" xfId="0" applyNumberFormat="1" applyAlignment="1">
      <alignment horizontal="left" indent="1"/>
    </xf>
    <xf numFmtId="165" fontId="7" fillId="0" borderId="0" xfId="0" applyNumberFormat="1" applyFont="1"/>
    <xf numFmtId="166" fontId="0" fillId="2" borderId="16" xfId="0" applyNumberFormat="1" applyFill="1" applyBorder="1"/>
    <xf numFmtId="166" fontId="0" fillId="2" borderId="18" xfId="0" applyNumberFormat="1" applyFill="1" applyBorder="1"/>
    <xf numFmtId="166" fontId="0" fillId="2" borderId="19" xfId="0" applyNumberFormat="1" applyFill="1" applyBorder="1"/>
    <xf numFmtId="166" fontId="0" fillId="6" borderId="18" xfId="0" applyNumberFormat="1" applyFill="1" applyBorder="1"/>
    <xf numFmtId="166" fontId="0" fillId="6" borderId="0" xfId="0" applyNumberFormat="1" applyFill="1"/>
    <xf numFmtId="166" fontId="0" fillId="2" borderId="0" xfId="0" applyNumberFormat="1" applyFill="1" applyAlignment="1">
      <alignment horizontal="right"/>
    </xf>
    <xf numFmtId="166" fontId="0" fillId="2" borderId="16" xfId="0" applyNumberFormat="1" applyFill="1" applyBorder="1" applyAlignment="1">
      <alignment horizontal="right"/>
    </xf>
    <xf numFmtId="165" fontId="0" fillId="6" borderId="0" xfId="0" applyNumberFormat="1" applyFill="1"/>
    <xf numFmtId="164" fontId="8" fillId="0" borderId="0" xfId="0" applyNumberFormat="1" applyFont="1"/>
    <xf numFmtId="164" fontId="8" fillId="2" borderId="6" xfId="0" applyNumberFormat="1" applyFont="1" applyFill="1" applyBorder="1"/>
    <xf numFmtId="164" fontId="8" fillId="2" borderId="0" xfId="0" applyNumberFormat="1" applyFont="1" applyFill="1"/>
    <xf numFmtId="164" fontId="8" fillId="2" borderId="14" xfId="0" applyNumberFormat="1" applyFont="1" applyFill="1" applyBorder="1"/>
    <xf numFmtId="164" fontId="8" fillId="2" borderId="13" xfId="0" applyNumberFormat="1" applyFont="1" applyFill="1" applyBorder="1"/>
    <xf numFmtId="164" fontId="8" fillId="2" borderId="2" xfId="0" applyNumberFormat="1" applyFont="1" applyFill="1" applyBorder="1"/>
    <xf numFmtId="164" fontId="8" fillId="2" borderId="3" xfId="0" applyNumberFormat="1" applyFont="1" applyFill="1" applyBorder="1"/>
    <xf numFmtId="164" fontId="8" fillId="0" borderId="2" xfId="0" applyNumberFormat="1" applyFont="1" applyBorder="1" applyAlignment="1">
      <alignment vertical="center"/>
    </xf>
    <xf numFmtId="164" fontId="8" fillId="0" borderId="6" xfId="0" applyNumberFormat="1" applyFont="1" applyBorder="1" applyAlignment="1">
      <alignment vertical="center"/>
    </xf>
    <xf numFmtId="164" fontId="8" fillId="0" borderId="1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14" xfId="0" applyNumberFormat="1" applyFont="1" applyBorder="1" applyAlignment="1">
      <alignment vertical="center"/>
    </xf>
    <xf numFmtId="164" fontId="8" fillId="0" borderId="18" xfId="0" applyNumberFormat="1" applyFont="1" applyBorder="1"/>
    <xf numFmtId="164" fontId="8" fillId="0" borderId="21" xfId="0" applyNumberFormat="1" applyFont="1" applyBorder="1" applyAlignment="1">
      <alignment vertical="center"/>
    </xf>
    <xf numFmtId="164" fontId="8" fillId="0" borderId="18" xfId="0" applyNumberFormat="1" applyFont="1" applyBorder="1" applyAlignment="1">
      <alignment vertical="center"/>
    </xf>
    <xf numFmtId="164" fontId="8" fillId="2" borderId="22" xfId="0" applyNumberFormat="1" applyFont="1" applyFill="1" applyBorder="1"/>
    <xf numFmtId="164" fontId="8" fillId="2" borderId="21" xfId="0" applyNumberFormat="1" applyFont="1" applyFill="1" applyBorder="1"/>
    <xf numFmtId="164" fontId="8" fillId="0" borderId="11" xfId="0" applyNumberFormat="1" applyFont="1" applyBorder="1"/>
    <xf numFmtId="164" fontId="8" fillId="2" borderId="10" xfId="0" applyNumberFormat="1" applyFont="1" applyFill="1" applyBorder="1"/>
    <xf numFmtId="164" fontId="8" fillId="2" borderId="11" xfId="0" applyNumberFormat="1" applyFont="1" applyFill="1" applyBorder="1"/>
    <xf numFmtId="164" fontId="8" fillId="2" borderId="23" xfId="0" applyNumberFormat="1" applyFont="1" applyFill="1" applyBorder="1"/>
    <xf numFmtId="164" fontId="8" fillId="0" borderId="13" xfId="0" applyNumberFormat="1" applyFont="1" applyBorder="1"/>
    <xf numFmtId="164" fontId="0" fillId="2" borderId="15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3" xfId="0" applyNumberFormat="1" applyFill="1" applyBorder="1"/>
    <xf numFmtId="166" fontId="0" fillId="2" borderId="10" xfId="0" applyNumberFormat="1" applyFill="1" applyBorder="1"/>
    <xf numFmtId="166" fontId="0" fillId="2" borderId="11" xfId="0" applyNumberFormat="1" applyFill="1" applyBorder="1"/>
    <xf numFmtId="164" fontId="1" fillId="2" borderId="2" xfId="0" applyNumberFormat="1" applyFont="1" applyFill="1" applyBorder="1"/>
    <xf numFmtId="164" fontId="1" fillId="2" borderId="13" xfId="0" applyNumberFormat="1" applyFont="1" applyFill="1" applyBorder="1"/>
    <xf numFmtId="164" fontId="0" fillId="2" borderId="14" xfId="0" applyNumberFormat="1" applyFill="1" applyBorder="1"/>
    <xf numFmtId="164" fontId="8" fillId="0" borderId="6" xfId="0" applyNumberFormat="1" applyFont="1" applyBorder="1"/>
    <xf numFmtId="164" fontId="9" fillId="0" borderId="0" xfId="0" applyNumberFormat="1" applyFont="1"/>
    <xf numFmtId="164" fontId="10" fillId="0" borderId="0" xfId="0" applyNumberFormat="1" applyFont="1"/>
    <xf numFmtId="164" fontId="10" fillId="0" borderId="18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6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left"/>
    </xf>
    <xf numFmtId="167" fontId="0" fillId="4" borderId="0" xfId="2" applyNumberFormat="1" applyFont="1" applyFill="1" applyBorder="1"/>
    <xf numFmtId="164" fontId="0" fillId="4" borderId="0" xfId="0" applyNumberFormat="1" applyFill="1" applyAlignment="1">
      <alignment horizontal="right"/>
    </xf>
    <xf numFmtId="166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6" fontId="0" fillId="0" borderId="12" xfId="0" applyNumberFormat="1" applyBorder="1"/>
    <xf numFmtId="164" fontId="0" fillId="0" borderId="4" xfId="0" applyNumberFormat="1" applyBorder="1"/>
    <xf numFmtId="164" fontId="0" fillId="0" borderId="15" xfId="0" applyNumberFormat="1" applyBorder="1"/>
    <xf numFmtId="164" fontId="0" fillId="0" borderId="5" xfId="0" applyNumberFormat="1" applyBorder="1"/>
    <xf numFmtId="164" fontId="1" fillId="0" borderId="2" xfId="0" applyNumberFormat="1" applyFont="1" applyBorder="1"/>
    <xf numFmtId="164" fontId="1" fillId="0" borderId="6" xfId="0" applyNumberFormat="1" applyFont="1" applyBorder="1"/>
    <xf numFmtId="164" fontId="1" fillId="0" borderId="3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4" xfId="0" applyNumberFormat="1" applyFont="1" applyBorder="1"/>
    <xf numFmtId="164" fontId="1" fillId="0" borderId="15" xfId="0" applyNumberFormat="1" applyFont="1" applyBorder="1"/>
    <xf numFmtId="164" fontId="1" fillId="0" borderId="5" xfId="0" applyNumberFormat="1" applyFont="1" applyBorder="1"/>
    <xf numFmtId="166" fontId="1" fillId="0" borderId="5" xfId="0" applyNumberFormat="1" applyFont="1" applyBorder="1"/>
    <xf numFmtId="164" fontId="5" fillId="0" borderId="0" xfId="0" applyNumberFormat="1" applyFont="1"/>
    <xf numFmtId="168" fontId="0" fillId="0" borderId="0" xfId="0" applyNumberFormat="1"/>
    <xf numFmtId="164" fontId="5" fillId="0" borderId="2" xfId="0" applyNumberFormat="1" applyFont="1" applyBorder="1"/>
    <xf numFmtId="164" fontId="5" fillId="0" borderId="6" xfId="0" applyNumberFormat="1" applyFont="1" applyBorder="1"/>
    <xf numFmtId="164" fontId="5" fillId="0" borderId="3" xfId="0" applyNumberFormat="1" applyFont="1" applyBorder="1"/>
    <xf numFmtId="165" fontId="0" fillId="2" borderId="0" xfId="0" applyNumberFormat="1" applyFill="1" applyAlignment="1">
      <alignment horizontal="right"/>
    </xf>
    <xf numFmtId="166" fontId="0" fillId="8" borderId="0" xfId="0" applyNumberFormat="1" applyFill="1"/>
    <xf numFmtId="166" fontId="0" fillId="9" borderId="0" xfId="0" applyNumberFormat="1" applyFill="1"/>
    <xf numFmtId="166" fontId="0" fillId="0" borderId="1" xfId="0" applyNumberFormat="1" applyBorder="1"/>
    <xf numFmtId="0" fontId="0" fillId="2" borderId="0" xfId="0" applyFill="1" applyAlignment="1">
      <alignment horizontal="right"/>
    </xf>
    <xf numFmtId="0" fontId="0" fillId="2" borderId="0" xfId="0" applyFill="1"/>
    <xf numFmtId="164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vertical="center" readingOrder="1"/>
    </xf>
    <xf numFmtId="164" fontId="0" fillId="0" borderId="0" xfId="0" applyNumberFormat="1" applyAlignment="1">
      <alignment vertical="center" readingOrder="1"/>
    </xf>
    <xf numFmtId="9" fontId="0" fillId="0" borderId="0" xfId="2" applyFont="1"/>
    <xf numFmtId="166" fontId="4" fillId="2" borderId="0" xfId="0" applyNumberFormat="1" applyFont="1" applyFill="1"/>
    <xf numFmtId="166" fontId="0" fillId="0" borderId="13" xfId="0" applyNumberFormat="1" applyBorder="1" applyAlignment="1">
      <alignment horizontal="right"/>
    </xf>
    <xf numFmtId="167" fontId="1" fillId="0" borderId="0" xfId="2" applyNumberFormat="1" applyFont="1" applyBorder="1" applyAlignment="1">
      <alignment horizontal="left"/>
    </xf>
    <xf numFmtId="169" fontId="0" fillId="0" borderId="0" xfId="0" applyNumberFormat="1"/>
    <xf numFmtId="10" fontId="1" fillId="0" borderId="0" xfId="2" applyNumberFormat="1" applyFont="1" applyBorder="1" applyAlignment="1">
      <alignment horizontal="left"/>
    </xf>
    <xf numFmtId="164" fontId="13" fillId="0" borderId="0" xfId="0" applyNumberFormat="1" applyFont="1" applyAlignment="1">
      <alignment horizontal="left"/>
    </xf>
    <xf numFmtId="164" fontId="13" fillId="0" borderId="0" xfId="0" applyNumberFormat="1" applyFont="1"/>
    <xf numFmtId="164" fontId="13" fillId="0" borderId="13" xfId="0" applyNumberFormat="1" applyFont="1" applyBorder="1"/>
    <xf numFmtId="166" fontId="13" fillId="0" borderId="0" xfId="0" applyNumberFormat="1" applyFont="1"/>
    <xf numFmtId="165" fontId="13" fillId="0" borderId="0" xfId="0" applyNumberFormat="1" applyFont="1"/>
    <xf numFmtId="0" fontId="0" fillId="0" borderId="0" xfId="0" applyAlignment="1">
      <alignment horizontal="right"/>
    </xf>
    <xf numFmtId="164" fontId="0" fillId="2" borderId="1" xfId="0" applyNumberFormat="1" applyFill="1" applyBorder="1"/>
    <xf numFmtId="166" fontId="1" fillId="0" borderId="0" xfId="0" applyNumberFormat="1" applyFont="1" applyAlignment="1">
      <alignment horizontal="right"/>
    </xf>
    <xf numFmtId="168" fontId="1" fillId="0" borderId="0" xfId="0" applyNumberFormat="1" applyFont="1"/>
    <xf numFmtId="2" fontId="0" fillId="0" borderId="1" xfId="0" applyNumberFormat="1" applyBorder="1"/>
    <xf numFmtId="168" fontId="1" fillId="2" borderId="0" xfId="0" applyNumberFormat="1" applyFont="1" applyFill="1"/>
    <xf numFmtId="170" fontId="0" fillId="0" borderId="0" xfId="0" applyNumberFormat="1"/>
    <xf numFmtId="171" fontId="0" fillId="2" borderId="0" xfId="0" applyNumberFormat="1" applyFill="1" applyAlignment="1">
      <alignment horizontal="right"/>
    </xf>
    <xf numFmtId="171" fontId="0" fillId="2" borderId="0" xfId="0" applyNumberFormat="1" applyFill="1"/>
    <xf numFmtId="166" fontId="13" fillId="10" borderId="0" xfId="0" applyNumberFormat="1" applyFont="1" applyFill="1"/>
    <xf numFmtId="166" fontId="0" fillId="11" borderId="0" xfId="0" applyNumberFormat="1" applyFill="1" applyAlignment="1">
      <alignment horizontal="right"/>
    </xf>
    <xf numFmtId="0" fontId="0" fillId="4" borderId="0" xfId="0" applyFill="1"/>
    <xf numFmtId="166" fontId="0" fillId="0" borderId="14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0" xfId="0" quotePrefix="1"/>
    <xf numFmtId="166" fontId="0" fillId="11" borderId="13" xfId="0" applyNumberFormat="1" applyFill="1" applyBorder="1" applyAlignment="1">
      <alignment horizontal="right"/>
    </xf>
    <xf numFmtId="166" fontId="0" fillId="11" borderId="14" xfId="0" applyNumberFormat="1" applyFill="1" applyBorder="1" applyAlignment="1">
      <alignment horizontal="right"/>
    </xf>
    <xf numFmtId="0" fontId="0" fillId="11" borderId="2" xfId="0" applyFill="1" applyBorder="1"/>
    <xf numFmtId="0" fontId="0" fillId="11" borderId="3" xfId="0" applyFill="1" applyBorder="1"/>
    <xf numFmtId="166" fontId="0" fillId="11" borderId="2" xfId="0" applyNumberFormat="1" applyFill="1" applyBorder="1"/>
    <xf numFmtId="166" fontId="0" fillId="11" borderId="3" xfId="0" applyNumberFormat="1" applyFill="1" applyBorder="1"/>
  </cellXfs>
  <cellStyles count="3">
    <cellStyle name="Normal" xfId="0" builtinId="0"/>
    <cellStyle name="Normale 3" xfId="1" xr:uid="{18AD6A59-AA3F-476A-9926-BDB030E957E6}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52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Electricity</a:t>
            </a:r>
            <a:r>
              <a:rPr lang="it-IT" baseline="0"/>
              <a:t> production by tech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'storage2_1r-2p'!$G$65</c:f>
              <c:strCache>
                <c:ptCount val="1"/>
                <c:pt idx="0">
                  <c:v>i.1-pp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'storage2_1r-2p'!$F$66:$F$70</c:f>
              <c:strCache>
                <c:ptCount val="5"/>
                <c:pt idx="0">
                  <c:v>t.1</c:v>
                </c:pt>
                <c:pt idx="1">
                  <c:v>t.2</c:v>
                </c:pt>
                <c:pt idx="2">
                  <c:v>t.3</c:v>
                </c:pt>
                <c:pt idx="3">
                  <c:v>t.4</c:v>
                </c:pt>
                <c:pt idx="4">
                  <c:v>t.5</c:v>
                </c:pt>
              </c:strCache>
            </c:strRef>
          </c:cat>
          <c:val>
            <c:numRef>
              <c:f>'storage2_1r-2p'!$G$66:$G$70</c:f>
              <c:numCache>
                <c:formatCode>0.00;\-0.00;\-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5-4813-8E04-048CB27538DC}"/>
            </c:ext>
          </c:extLst>
        </c:ser>
        <c:ser>
          <c:idx val="1"/>
          <c:order val="1"/>
          <c:tx>
            <c:strRef>
              <c:f>'storage2_1r-2p'!$H$65</c:f>
              <c:strCache>
                <c:ptCount val="1"/>
                <c:pt idx="0">
                  <c:v>i.1-pv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'storage2_1r-2p'!$F$66:$F$70</c:f>
              <c:strCache>
                <c:ptCount val="5"/>
                <c:pt idx="0">
                  <c:v>t.1</c:v>
                </c:pt>
                <c:pt idx="1">
                  <c:v>t.2</c:v>
                </c:pt>
                <c:pt idx="2">
                  <c:v>t.3</c:v>
                </c:pt>
                <c:pt idx="3">
                  <c:v>t.4</c:v>
                </c:pt>
                <c:pt idx="4">
                  <c:v>t.5</c:v>
                </c:pt>
              </c:strCache>
            </c:strRef>
          </c:cat>
          <c:val>
            <c:numRef>
              <c:f>'storage2_1r-2p'!$H$66:$H$70</c:f>
              <c:numCache>
                <c:formatCode>0.00;\-0.00;\-</c:formatCode>
                <c:ptCount val="5"/>
                <c:pt idx="0">
                  <c:v>0</c:v>
                </c:pt>
                <c:pt idx="1">
                  <c:v>20.5</c:v>
                </c:pt>
                <c:pt idx="2">
                  <c:v>0</c:v>
                </c:pt>
                <c:pt idx="3">
                  <c:v>10.5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5-4813-8E04-048CB27538DC}"/>
            </c:ext>
          </c:extLst>
        </c:ser>
        <c:ser>
          <c:idx val="2"/>
          <c:order val="2"/>
          <c:tx>
            <c:strRef>
              <c:f>'storage2_1r-2p'!$I$65</c:f>
              <c:strCache>
                <c:ptCount val="1"/>
                <c:pt idx="0">
                  <c:v>i.3(d)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'storage2_1r-2p'!$F$66:$F$70</c:f>
              <c:strCache>
                <c:ptCount val="5"/>
                <c:pt idx="0">
                  <c:v>t.1</c:v>
                </c:pt>
                <c:pt idx="1">
                  <c:v>t.2</c:v>
                </c:pt>
                <c:pt idx="2">
                  <c:v>t.3</c:v>
                </c:pt>
                <c:pt idx="3">
                  <c:v>t.4</c:v>
                </c:pt>
                <c:pt idx="4">
                  <c:v>t.5</c:v>
                </c:pt>
              </c:strCache>
            </c:strRef>
          </c:cat>
          <c:val>
            <c:numRef>
              <c:f>'storage2_1r-2p'!$K$29:$K$33</c:f>
              <c:numCache>
                <c:formatCode>0.00;\-0.00;\-</c:formatCode>
                <c:ptCount val="5"/>
                <c:pt idx="0">
                  <c:v>-3</c:v>
                </c:pt>
                <c:pt idx="1">
                  <c:v>-13.5</c:v>
                </c:pt>
                <c:pt idx="2">
                  <c:v>3</c:v>
                </c:pt>
                <c:pt idx="3">
                  <c:v>-5.5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75-4813-8E04-048CB2753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50657087"/>
        <c:axId val="650657919"/>
      </c:barChart>
      <c:catAx>
        <c:axId val="6506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0657919"/>
        <c:crosses val="autoZero"/>
        <c:auto val="1"/>
        <c:lblAlgn val="ctr"/>
        <c:lblOffset val="100"/>
        <c:noMultiLvlLbl val="0"/>
      </c:catAx>
      <c:valAx>
        <c:axId val="6506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;\-0;\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06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Batteries state of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'storage2_1r-2p'!$K$27</c:f>
              <c:strCache>
                <c:ptCount val="1"/>
                <c:pt idx="0">
                  <c:v>c-/d+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'storage2_1r-2p'!$D$29:$D$33</c:f>
              <c:strCache>
                <c:ptCount val="5"/>
                <c:pt idx="0">
                  <c:v>t.1</c:v>
                </c:pt>
                <c:pt idx="1">
                  <c:v>t.2</c:v>
                </c:pt>
                <c:pt idx="2">
                  <c:v>t.3</c:v>
                </c:pt>
                <c:pt idx="3">
                  <c:v>t.4</c:v>
                </c:pt>
                <c:pt idx="4">
                  <c:v>t.5</c:v>
                </c:pt>
              </c:strCache>
            </c:strRef>
          </c:cat>
          <c:val>
            <c:numRef>
              <c:f>'storage2_1r-2p'!$K$29:$K$33</c:f>
              <c:numCache>
                <c:formatCode>0.00;\-0.00;\-</c:formatCode>
                <c:ptCount val="5"/>
                <c:pt idx="0">
                  <c:v>-3</c:v>
                </c:pt>
                <c:pt idx="1">
                  <c:v>-13.5</c:v>
                </c:pt>
                <c:pt idx="2">
                  <c:v>3</c:v>
                </c:pt>
                <c:pt idx="3">
                  <c:v>-5.5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5-4813-8E04-048CB27538DC}"/>
            </c:ext>
          </c:extLst>
        </c:ser>
        <c:ser>
          <c:idx val="1"/>
          <c:order val="1"/>
          <c:tx>
            <c:strRef>
              <c:f>'storage2_1r-2p'!$L$27</c:f>
              <c:strCache>
                <c:ptCount val="1"/>
                <c:pt idx="0">
                  <c:v>to 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'storage2_1r-2p'!$D$29:$D$33</c:f>
              <c:strCache>
                <c:ptCount val="5"/>
                <c:pt idx="0">
                  <c:v>t.1</c:v>
                </c:pt>
                <c:pt idx="1">
                  <c:v>t.2</c:v>
                </c:pt>
                <c:pt idx="2">
                  <c:v>t.3</c:v>
                </c:pt>
                <c:pt idx="3">
                  <c:v>t.4</c:v>
                </c:pt>
                <c:pt idx="4">
                  <c:v>t.5</c:v>
                </c:pt>
              </c:strCache>
            </c:strRef>
          </c:cat>
          <c:val>
            <c:numRef>
              <c:f>'storage2_1r-2p'!$L$29:$L$33</c:f>
              <c:numCache>
                <c:formatCode>0.00;\-0.00;\-</c:formatCode>
                <c:ptCount val="5"/>
                <c:pt idx="0">
                  <c:v>3</c:v>
                </c:pt>
                <c:pt idx="1">
                  <c:v>1.5</c:v>
                </c:pt>
                <c:pt idx="2">
                  <c:v>3</c:v>
                </c:pt>
                <c:pt idx="3">
                  <c:v>0.75</c:v>
                </c:pt>
                <c:pt idx="4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5-4813-8E04-048CB2753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50657087"/>
        <c:axId val="650657919"/>
      </c:barChart>
      <c:lineChart>
        <c:grouping val="standard"/>
        <c:varyColors val="0"/>
        <c:ser>
          <c:idx val="2"/>
          <c:order val="2"/>
          <c:tx>
            <c:strRef>
              <c:f>'storage2_1r-2p'!$U$27</c:f>
              <c:strCache>
                <c:ptCount val="1"/>
                <c:pt idx="0">
                  <c:v>soc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'storage2_1r-2p'!$U$29:$U$33</c:f>
              <c:numCache>
                <c:formatCode>0.0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14</c:v>
                </c:pt>
                <c:pt idx="3">
                  <c:v>18.75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2-429E-AB87-9528A14AA8F7}"/>
            </c:ext>
          </c:extLst>
        </c:ser>
        <c:ser>
          <c:idx val="3"/>
          <c:order val="3"/>
          <c:tx>
            <c:strRef>
              <c:f>'storage2_1r-2p'!$M$27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'storage2_1r-2p'!$M$29:$M$33</c:f>
              <c:numCache>
                <c:formatCode>0.00;\-0.00;\-</c:formatCode>
                <c:ptCount val="5"/>
                <c:pt idx="0">
                  <c:v>0</c:v>
                </c:pt>
                <c:pt idx="1">
                  <c:v>-12</c:v>
                </c:pt>
                <c:pt idx="2">
                  <c:v>6</c:v>
                </c:pt>
                <c:pt idx="3">
                  <c:v>-4.75</c:v>
                </c:pt>
                <c:pt idx="4">
                  <c:v>10.75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2-429E-AB87-9528A14AA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657087"/>
        <c:axId val="650657919"/>
      </c:lineChart>
      <c:catAx>
        <c:axId val="6506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0657919"/>
        <c:crosses val="autoZero"/>
        <c:auto val="1"/>
        <c:lblAlgn val="ctr"/>
        <c:lblOffset val="100"/>
        <c:noMultiLvlLbl val="0"/>
      </c:catAx>
      <c:valAx>
        <c:axId val="6506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;\-0;\-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06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AVAILABILITY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economics_y20_capNew!$F$1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economics_y20_capNew!$AB$24:$AB$43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5A-4A43-93F1-309C7C19D9EB}"/>
            </c:ext>
          </c:extLst>
        </c:ser>
        <c:ser>
          <c:idx val="1"/>
          <c:order val="1"/>
          <c:tx>
            <c:strRef>
              <c:f>economics_y20_capNew!$G$1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economics_y20_capNew!$AC$24:$AC$43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0.13000000000000003</c:v>
                </c:pt>
                <c:pt idx="6">
                  <c:v>0.13000000000000003</c:v>
                </c:pt>
                <c:pt idx="7">
                  <c:v>0.13000000000000003</c:v>
                </c:pt>
                <c:pt idx="8">
                  <c:v>0.13</c:v>
                </c:pt>
                <c:pt idx="9">
                  <c:v>0.13</c:v>
                </c:pt>
                <c:pt idx="10">
                  <c:v>0.13000000000000003</c:v>
                </c:pt>
                <c:pt idx="11">
                  <c:v>0.13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0.13</c:v>
                </c:pt>
                <c:pt idx="18">
                  <c:v>0.13</c:v>
                </c:pt>
                <c:pt idx="19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5A-4A43-93F1-309C7C19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273904"/>
        <c:axId val="2057274320"/>
      </c:line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ENERGY GENERATION [MWh]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economics_y20_capNew!$F$1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economics_y20_capNew!$F$24:$F$43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A-4A43-93F1-309C7C19D9EB}"/>
            </c:ext>
          </c:extLst>
        </c:ser>
        <c:ser>
          <c:idx val="1"/>
          <c:order val="1"/>
          <c:tx>
            <c:strRef>
              <c:f>economics_y20_capNew!$G$1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economics_y20_capNew!$G$24:$G$43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341.64</c:v>
                </c:pt>
                <c:pt idx="4">
                  <c:v>341.64</c:v>
                </c:pt>
                <c:pt idx="5">
                  <c:v>340.95672000000002</c:v>
                </c:pt>
                <c:pt idx="6">
                  <c:v>336.17376000000002</c:v>
                </c:pt>
                <c:pt idx="7">
                  <c:v>319.09176000000002</c:v>
                </c:pt>
                <c:pt idx="8">
                  <c:v>272.62871999999999</c:v>
                </c:pt>
                <c:pt idx="9">
                  <c:v>182.09411999999998</c:v>
                </c:pt>
                <c:pt idx="10">
                  <c:v>72.086039999999983</c:v>
                </c:pt>
                <c:pt idx="11">
                  <c:v>10.249199999999968</c:v>
                </c:pt>
                <c:pt idx="12">
                  <c:v>0.68327999999996725</c:v>
                </c:pt>
                <c:pt idx="13">
                  <c:v>0.34163999999996725</c:v>
                </c:pt>
                <c:pt idx="14">
                  <c:v>0.34163999999996725</c:v>
                </c:pt>
                <c:pt idx="15">
                  <c:v>0.34163999999996725</c:v>
                </c:pt>
                <c:pt idx="16">
                  <c:v>0.34163999999996725</c:v>
                </c:pt>
                <c:pt idx="17">
                  <c:v>0.34163999999996725</c:v>
                </c:pt>
                <c:pt idx="18">
                  <c:v>0.34163999999996725</c:v>
                </c:pt>
                <c:pt idx="19">
                  <c:v>0.34163999999996725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A-4A43-93F1-309C7C19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INSTALLED/DISPOSED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PP_new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economics_y20_capNew!$M$24:$M$43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A-4A43-93F1-309C7C19D9EB}"/>
            </c:ext>
          </c:extLst>
        </c:ser>
        <c:ser>
          <c:idx val="1"/>
          <c:order val="1"/>
          <c:tx>
            <c:v>PV_new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val>
            <c:numRef>
              <c:f>economics_y20_capNew!$N$24:$N$43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A-4A43-93F1-309C7C19D9EB}"/>
            </c:ext>
          </c:extLst>
        </c:ser>
        <c:ser>
          <c:idx val="2"/>
          <c:order val="2"/>
          <c:tx>
            <c:v>PP_disp</c:v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economics_y20_capNew!$V$24:$V$43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D-4D12-A1A2-91EFCFD57E18}"/>
            </c:ext>
          </c:extLst>
        </c:ser>
        <c:ser>
          <c:idx val="3"/>
          <c:order val="3"/>
          <c:tx>
            <c:v>PV_disp</c:v>
          </c:tx>
          <c:spPr>
            <a:pattFill prst="dkUpDiag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economics_y20_capNew!$W$24:$W$43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</c:v>
                </c:pt>
                <c:pt idx="6">
                  <c:v>-4.2</c:v>
                </c:pt>
                <c:pt idx="7">
                  <c:v>-15</c:v>
                </c:pt>
                <c:pt idx="8">
                  <c:v>-40.800000000000004</c:v>
                </c:pt>
                <c:pt idx="9">
                  <c:v>-79.5</c:v>
                </c:pt>
                <c:pt idx="10">
                  <c:v>-96.600000000000009</c:v>
                </c:pt>
                <c:pt idx="11">
                  <c:v>-54.3</c:v>
                </c:pt>
                <c:pt idx="12">
                  <c:v>-8.4</c:v>
                </c:pt>
                <c:pt idx="13">
                  <c:v>-0.3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D-4D12-A1A2-91EFCFD5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OPERATIVE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economics_y20_capNew!$Y$24:$Y$43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A-4A43-93F1-309C7C19D9EB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economics_y20_capNew!$Z$24:$Z$43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300</c:v>
                </c:pt>
                <c:pt idx="4">
                  <c:v>300</c:v>
                </c:pt>
                <c:pt idx="5">
                  <c:v>299.39999999999998</c:v>
                </c:pt>
                <c:pt idx="6">
                  <c:v>295.2</c:v>
                </c:pt>
                <c:pt idx="7">
                  <c:v>280.2</c:v>
                </c:pt>
                <c:pt idx="8">
                  <c:v>239.39999999999998</c:v>
                </c:pt>
                <c:pt idx="9">
                  <c:v>159.89999999999998</c:v>
                </c:pt>
                <c:pt idx="10">
                  <c:v>63.299999999999969</c:v>
                </c:pt>
                <c:pt idx="11">
                  <c:v>8.9999999999999716</c:v>
                </c:pt>
                <c:pt idx="12">
                  <c:v>0.59999999999997122</c:v>
                </c:pt>
                <c:pt idx="13">
                  <c:v>0.29999999999997123</c:v>
                </c:pt>
                <c:pt idx="14">
                  <c:v>0.29999999999997123</c:v>
                </c:pt>
                <c:pt idx="15">
                  <c:v>0.29999999999997123</c:v>
                </c:pt>
                <c:pt idx="16">
                  <c:v>0.29999999999997123</c:v>
                </c:pt>
                <c:pt idx="17">
                  <c:v>0.29999999999997123</c:v>
                </c:pt>
                <c:pt idx="18">
                  <c:v>0.29999999999997123</c:v>
                </c:pt>
                <c:pt idx="19">
                  <c:v>0.29999999999997123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A-4A43-93F1-309C7C19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AVAILABILITY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economics_y15_DEPR!$F$1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economics_y15_DEPR!$S$23:$S$42</c15:sqref>
                  </c15:fullRef>
                </c:ext>
              </c:extLst>
              <c:f>economics_y15_DEPR!$S$23:$S$37</c:f>
              <c:numCache>
                <c:formatCode>0.00;\-0.00;\-</c:formatCode>
                <c:ptCount val="15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0.90000000000000036</c:v>
                </c:pt>
                <c:pt idx="4">
                  <c:v>0.90000000000000058</c:v>
                </c:pt>
                <c:pt idx="5">
                  <c:v>0.90000000000000058</c:v>
                </c:pt>
                <c:pt idx="6">
                  <c:v>0.90000000000000069</c:v>
                </c:pt>
                <c:pt idx="7">
                  <c:v>0.9000000000000008</c:v>
                </c:pt>
                <c:pt idx="8">
                  <c:v>0.9000000000000008</c:v>
                </c:pt>
                <c:pt idx="9">
                  <c:v>0.90000000000000102</c:v>
                </c:pt>
                <c:pt idx="10">
                  <c:v>0.90000000000000091</c:v>
                </c:pt>
                <c:pt idx="11">
                  <c:v>0.90000000000000091</c:v>
                </c:pt>
                <c:pt idx="12">
                  <c:v>0.90000000000000102</c:v>
                </c:pt>
                <c:pt idx="13">
                  <c:v>0.90000000000000113</c:v>
                </c:pt>
                <c:pt idx="14">
                  <c:v>0.90000000000000113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0-4525-8336-5ADCFC9C3AAB}"/>
            </c:ext>
          </c:extLst>
        </c:ser>
        <c:ser>
          <c:idx val="1"/>
          <c:order val="1"/>
          <c:tx>
            <c:strRef>
              <c:f>economics_y15_DEPR!$G$1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economics_y15_DEPR!$T$23:$T$42</c15:sqref>
                  </c15:fullRef>
                </c:ext>
              </c:extLst>
              <c:f>economics_y15_DEPR!$T$23:$T$37</c:f>
              <c:numCache>
                <c:formatCode>0.00;\-0.00;\-</c:formatCode>
                <c:ptCount val="15"/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0.12999999999999887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0.12999999999999656</c:v>
                </c:pt>
                <c:pt idx="13">
                  <c:v>0.13</c:v>
                </c:pt>
                <c:pt idx="14">
                  <c:v>0.13000000000000342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0-4525-8336-5ADCFC9C3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273904"/>
        <c:axId val="2057274320"/>
      </c:lineChart>
      <c:catAx>
        <c:axId val="2057273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OPERATIVE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economics_y15_DEPR!$F$1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97-4531-9523-A3CC998D130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97-4531-9523-A3CC998D130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97-4531-9523-A3CC998D130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197-4531-9523-A3CC998D130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197-4531-9523-A3CC998D1302}"/>
              </c:ext>
            </c:extLst>
          </c:dPt>
          <c:val>
            <c:numRef>
              <c:f>economics_y15_DEPR!$P$23:$P$42</c:f>
              <c:numCache>
                <c:formatCode>0;\-0;\-</c:formatCode>
                <c:ptCount val="20"/>
                <c:pt idx="0">
                  <c:v>253.67833587011668</c:v>
                </c:pt>
                <c:pt idx="1">
                  <c:v>253.67833587011668</c:v>
                </c:pt>
                <c:pt idx="2">
                  <c:v>253.67833587011668</c:v>
                </c:pt>
                <c:pt idx="3">
                  <c:v>326.73769660071019</c:v>
                </c:pt>
                <c:pt idx="4">
                  <c:v>414.40892947742236</c:v>
                </c:pt>
                <c:pt idx="5">
                  <c:v>519.61440892947712</c:v>
                </c:pt>
                <c:pt idx="6">
                  <c:v>645.86098427194372</c:v>
                </c:pt>
                <c:pt idx="7">
                  <c:v>797.35687468290143</c:v>
                </c:pt>
                <c:pt idx="8">
                  <c:v>979.15194317605187</c:v>
                </c:pt>
                <c:pt idx="9">
                  <c:v>1197.3060253678323</c:v>
                </c:pt>
                <c:pt idx="10">
                  <c:v>1459.0909239979692</c:v>
                </c:pt>
                <c:pt idx="11">
                  <c:v>1773.2328023541331</c:v>
                </c:pt>
                <c:pt idx="12">
                  <c:v>2150.2030563815324</c:v>
                </c:pt>
                <c:pt idx="13">
                  <c:v>2602.5673612144055</c:v>
                </c:pt>
                <c:pt idx="14">
                  <c:v>3145.4045270138572</c:v>
                </c:pt>
                <c:pt idx="15">
                  <c:v>3796.8091259731991</c:v>
                </c:pt>
                <c:pt idx="16">
                  <c:v>4578.4946447244229</c:v>
                </c:pt>
                <c:pt idx="17">
                  <c:v>5516.5172672258614</c:v>
                </c:pt>
                <c:pt idx="18">
                  <c:v>6642.1444142276041</c:v>
                </c:pt>
                <c:pt idx="19">
                  <c:v>7992.8969906297079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E-44DC-9AFB-E03BAFFA8C3A}"/>
            </c:ext>
          </c:extLst>
        </c:ser>
        <c:ser>
          <c:idx val="1"/>
          <c:order val="1"/>
          <c:tx>
            <c:strRef>
              <c:f>economics_y15_DEPR!$G$1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97-4531-9523-A3CC998D130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197-4531-9523-A3CC998D130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197-4531-9523-A3CC998D130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197-4531-9523-A3CC998D130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197-4531-9523-A3CC998D1302}"/>
              </c:ext>
            </c:extLst>
          </c:dPt>
          <c:val>
            <c:numRef>
              <c:f>economics_y15_DEPR!$Q$23:$Q$42</c:f>
              <c:numCache>
                <c:formatCode>0;\-0;\-</c:formatCode>
                <c:ptCount val="20"/>
                <c:pt idx="0">
                  <c:v>0</c:v>
                </c:pt>
                <c:pt idx="1">
                  <c:v>351.24692658939233</c:v>
                </c:pt>
                <c:pt idx="2">
                  <c:v>772.74323849666314</c:v>
                </c:pt>
                <c:pt idx="3">
                  <c:v>772.74323849666314</c:v>
                </c:pt>
                <c:pt idx="4">
                  <c:v>772.74323849666314</c:v>
                </c:pt>
                <c:pt idx="5">
                  <c:v>772.74323849666314</c:v>
                </c:pt>
                <c:pt idx="6">
                  <c:v>772.74323849666314</c:v>
                </c:pt>
                <c:pt idx="7">
                  <c:v>772.74323849666314</c:v>
                </c:pt>
                <c:pt idx="8">
                  <c:v>772.74323849666314</c:v>
                </c:pt>
                <c:pt idx="9">
                  <c:v>772.74323849666314</c:v>
                </c:pt>
                <c:pt idx="10">
                  <c:v>772.74323849666314</c:v>
                </c:pt>
                <c:pt idx="11">
                  <c:v>772.74323849666314</c:v>
                </c:pt>
                <c:pt idx="12">
                  <c:v>772.74323849666314</c:v>
                </c:pt>
                <c:pt idx="13">
                  <c:v>772.74323849666314</c:v>
                </c:pt>
                <c:pt idx="14">
                  <c:v>772.74323849666314</c:v>
                </c:pt>
                <c:pt idx="15">
                  <c:v>772.74323849666314</c:v>
                </c:pt>
                <c:pt idx="16">
                  <c:v>772.74323849666314</c:v>
                </c:pt>
                <c:pt idx="17">
                  <c:v>772.74323849666314</c:v>
                </c:pt>
                <c:pt idx="18">
                  <c:v>772.74323849666314</c:v>
                </c:pt>
                <c:pt idx="19">
                  <c:v>772.74323849666314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E-44DC-9AFB-E03BAFFA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ENERGY GENERATION [MWh]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economics_y15_DEPR!$F$1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DE-46ED-A68E-8D749F2EEA18}"/>
              </c:ext>
            </c:extLst>
          </c:dPt>
          <c:dPt>
            <c:idx val="16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DE-46ED-A68E-8D749F2EEA18}"/>
              </c:ext>
            </c:extLst>
          </c:dPt>
          <c:dPt>
            <c:idx val="17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DE-46ED-A68E-8D749F2EEA18}"/>
              </c:ext>
            </c:extLst>
          </c:dPt>
          <c:dPt>
            <c:idx val="18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9DE-46ED-A68E-8D749F2EEA18}"/>
              </c:ext>
            </c:extLst>
          </c:dPt>
          <c:dPt>
            <c:idx val="19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DE-46ED-A68E-8D749F2EEA18}"/>
              </c:ext>
            </c:extLst>
          </c:dPt>
          <c:val>
            <c:numRef>
              <c:f>economics_y15_DEPR!$F$23:$F$42</c:f>
              <c:numCache>
                <c:formatCode>0;\-0;\-</c:formatCode>
                <c:ptCount val="2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2576</c:v>
                </c:pt>
                <c:pt idx="4">
                  <c:v>3267.2</c:v>
                </c:pt>
                <c:pt idx="5">
                  <c:v>4096.6400000000003</c:v>
                </c:pt>
                <c:pt idx="6">
                  <c:v>5091.968000000008</c:v>
                </c:pt>
                <c:pt idx="7">
                  <c:v>6286.3616000000002</c:v>
                </c:pt>
                <c:pt idx="8">
                  <c:v>7719.6339200000002</c:v>
                </c:pt>
                <c:pt idx="9">
                  <c:v>9439.5607039999995</c:v>
                </c:pt>
                <c:pt idx="10">
                  <c:v>11503.472844800001</c:v>
                </c:pt>
                <c:pt idx="11">
                  <c:v>13980.16741376</c:v>
                </c:pt>
                <c:pt idx="12">
                  <c:v>16952.200896512022</c:v>
                </c:pt>
                <c:pt idx="13">
                  <c:v>20518.641075814401</c:v>
                </c:pt>
                <c:pt idx="14">
                  <c:v>24798.36929097728</c:v>
                </c:pt>
                <c:pt idx="15">
                  <c:v>28666.843149172699</c:v>
                </c:pt>
                <c:pt idx="16">
                  <c:v>34829.651779007356</c:v>
                </c:pt>
                <c:pt idx="17">
                  <c:v>42225.0221348087</c:v>
                </c:pt>
                <c:pt idx="18">
                  <c:v>51099.466561770445</c:v>
                </c:pt>
                <c:pt idx="19">
                  <c:v>61748.799874124656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5-41ED-8B5C-E03782255042}"/>
            </c:ext>
          </c:extLst>
        </c:ser>
        <c:ser>
          <c:idx val="1"/>
          <c:order val="1"/>
          <c:tx>
            <c:strRef>
              <c:f>economics_y15_DEPR!$G$1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9DE-46ED-A68E-8D749F2EEA18}"/>
              </c:ext>
            </c:extLst>
          </c:dPt>
          <c:dPt>
            <c:idx val="16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DE-46ED-A68E-8D749F2EEA18}"/>
              </c:ext>
            </c:extLst>
          </c:dPt>
          <c:dPt>
            <c:idx val="17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DE-46ED-A68E-8D749F2EEA18}"/>
              </c:ext>
            </c:extLst>
          </c:dPt>
          <c:dPt>
            <c:idx val="18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9DE-46ED-A68E-8D749F2EEA18}"/>
              </c:ext>
            </c:extLst>
          </c:dPt>
          <c:dPt>
            <c:idx val="19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9DE-46ED-A68E-8D749F2EEA18}"/>
              </c:ext>
            </c:extLst>
          </c:dPt>
          <c:val>
            <c:numRef>
              <c:f>economics_y15_DEPR!$G$23:$G$42</c:f>
              <c:numCache>
                <c:formatCode>0;\-0;\-</c:formatCode>
                <c:ptCount val="20"/>
                <c:pt idx="0">
                  <c:v>0</c:v>
                </c:pt>
                <c:pt idx="1">
                  <c:v>400</c:v>
                </c:pt>
                <c:pt idx="2">
                  <c:v>880</c:v>
                </c:pt>
                <c:pt idx="3">
                  <c:v>880</c:v>
                </c:pt>
                <c:pt idx="4">
                  <c:v>880</c:v>
                </c:pt>
                <c:pt idx="5">
                  <c:v>880</c:v>
                </c:pt>
                <c:pt idx="6">
                  <c:v>879.99999999999227</c:v>
                </c:pt>
                <c:pt idx="7">
                  <c:v>880</c:v>
                </c:pt>
                <c:pt idx="8">
                  <c:v>880</c:v>
                </c:pt>
                <c:pt idx="9">
                  <c:v>880</c:v>
                </c:pt>
                <c:pt idx="10">
                  <c:v>880</c:v>
                </c:pt>
                <c:pt idx="11">
                  <c:v>880</c:v>
                </c:pt>
                <c:pt idx="12">
                  <c:v>879.99999999997681</c:v>
                </c:pt>
                <c:pt idx="13">
                  <c:v>880</c:v>
                </c:pt>
                <c:pt idx="14">
                  <c:v>880.00000000002319</c:v>
                </c:pt>
                <c:pt idx="15">
                  <c:v>2147.1999999999998</c:v>
                </c:pt>
                <c:pt idx="16">
                  <c:v>2147.1999999999434</c:v>
                </c:pt>
                <c:pt idx="17">
                  <c:v>2147.1999999999998</c:v>
                </c:pt>
                <c:pt idx="18">
                  <c:v>2147.2000000000567</c:v>
                </c:pt>
                <c:pt idx="19">
                  <c:v>2147.1999999999434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85-41ED-8B5C-E03782255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NEW INSTALLED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economics_y15_DEPR!$F$1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2C-40CE-A9C6-122022D3DF67}"/>
              </c:ext>
            </c:extLst>
          </c:dPt>
          <c:dPt>
            <c:idx val="16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52C-40CE-A9C6-122022D3DF67}"/>
              </c:ext>
            </c:extLst>
          </c:dPt>
          <c:dPt>
            <c:idx val="17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2C-40CE-A9C6-122022D3DF67}"/>
              </c:ext>
            </c:extLst>
          </c:dPt>
          <c:dPt>
            <c:idx val="18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52C-40CE-A9C6-122022D3DF67}"/>
              </c:ext>
            </c:extLst>
          </c:dPt>
          <c:dPt>
            <c:idx val="19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2C-40CE-A9C6-122022D3DF67}"/>
              </c:ext>
            </c:extLst>
          </c:dPt>
          <c:val>
            <c:numRef>
              <c:f>economics_y15_DEPR!$M$23:$M$42</c:f>
              <c:numCache>
                <c:formatCode>0;\-0;\-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73.059360730593511</c:v>
                </c:pt>
                <c:pt idx="4">
                  <c:v>87.671232876712196</c:v>
                </c:pt>
                <c:pt idx="5">
                  <c:v>105.20547945205472</c:v>
                </c:pt>
                <c:pt idx="6">
                  <c:v>126.24657534246657</c:v>
                </c:pt>
                <c:pt idx="7">
                  <c:v>151.49589041095771</c:v>
                </c:pt>
                <c:pt idx="8">
                  <c:v>181.79506849315047</c:v>
                </c:pt>
                <c:pt idx="9">
                  <c:v>218.15408219178045</c:v>
                </c:pt>
                <c:pt idx="10">
                  <c:v>261.78489863013687</c:v>
                </c:pt>
                <c:pt idx="11">
                  <c:v>314.14187835616406</c:v>
                </c:pt>
                <c:pt idx="12">
                  <c:v>376.97025402739933</c:v>
                </c:pt>
                <c:pt idx="13">
                  <c:v>452.3643048328729</c:v>
                </c:pt>
                <c:pt idx="14">
                  <c:v>542.83716579945178</c:v>
                </c:pt>
                <c:pt idx="15">
                  <c:v>651.40459895934168</c:v>
                </c:pt>
                <c:pt idx="16">
                  <c:v>781.68551875122341</c:v>
                </c:pt>
                <c:pt idx="17">
                  <c:v>938.0226225014386</c:v>
                </c:pt>
                <c:pt idx="18">
                  <c:v>1125.627147001743</c:v>
                </c:pt>
                <c:pt idx="19">
                  <c:v>1350.7525764021043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0-4902-8C20-9ADF6DDCBED3}"/>
            </c:ext>
          </c:extLst>
        </c:ser>
        <c:ser>
          <c:idx val="1"/>
          <c:order val="1"/>
          <c:tx>
            <c:strRef>
              <c:f>economics_y15_DEPR!$G$1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economics_y15_DEPR!$N$23:$N$42</c:f>
              <c:numCache>
                <c:formatCode>0;\-0;\-</c:formatCode>
                <c:ptCount val="20"/>
                <c:pt idx="0">
                  <c:v>0</c:v>
                </c:pt>
                <c:pt idx="1">
                  <c:v>351.24692658939233</c:v>
                </c:pt>
                <c:pt idx="2">
                  <c:v>421.49631190727081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0-4902-8C20-9ADF6DDCB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AVAILABILITY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'economics_y20 (2)'!$F$1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'economics_y20 (2)'!$AB$24:$AB$43</c:f>
              <c:numCache>
                <c:formatCode>0.00;\-0.00;\-</c:formatCode>
                <c:ptCount val="20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0.4121446185</c:v>
                </c:pt>
                <c:pt idx="7">
                  <c:v>0.632368755</c:v>
                </c:pt>
                <c:pt idx="8">
                  <c:v>0.9</c:v>
                </c:pt>
                <c:pt idx="9">
                  <c:v>0.90000000131091651</c:v>
                </c:pt>
                <c:pt idx="10">
                  <c:v>0.90000001005443875</c:v>
                </c:pt>
                <c:pt idx="11">
                  <c:v>0.89999998801392256</c:v>
                </c:pt>
                <c:pt idx="12">
                  <c:v>0.90000000411455394</c:v>
                </c:pt>
                <c:pt idx="13">
                  <c:v>0.4000000058442727</c:v>
                </c:pt>
                <c:pt idx="14">
                  <c:v>0.40000000190720392</c:v>
                </c:pt>
                <c:pt idx="15">
                  <c:v>0.39999999476204157</c:v>
                </c:pt>
                <c:pt idx="16">
                  <c:v>0.39999999274974418</c:v>
                </c:pt>
                <c:pt idx="17">
                  <c:v>0.39999999850043355</c:v>
                </c:pt>
                <c:pt idx="18">
                  <c:v>0.40000000275953418</c:v>
                </c:pt>
                <c:pt idx="19">
                  <c:v>0.90000000620895182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A-4732-A56D-7204F98CE707}"/>
            </c:ext>
          </c:extLst>
        </c:ser>
        <c:ser>
          <c:idx val="1"/>
          <c:order val="1"/>
          <c:tx>
            <c:strRef>
              <c:f>'economics_y20 (2)'!$G$1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'economics_y20 (2)'!$AC$24:$AC$43</c:f>
              <c:numCache>
                <c:formatCode>0.00;\-0.00;\-</c:formatCode>
                <c:ptCount val="20"/>
                <c:pt idx="1">
                  <c:v>0.30000000173855995</c:v>
                </c:pt>
                <c:pt idx="2">
                  <c:v>0.30000000077746281</c:v>
                </c:pt>
                <c:pt idx="3">
                  <c:v>0.30000000070030147</c:v>
                </c:pt>
                <c:pt idx="4">
                  <c:v>0.29999999987850678</c:v>
                </c:pt>
                <c:pt idx="5">
                  <c:v>0.30000000153363876</c:v>
                </c:pt>
                <c:pt idx="6">
                  <c:v>0.30000000503856061</c:v>
                </c:pt>
                <c:pt idx="7">
                  <c:v>0.29999999972047064</c:v>
                </c:pt>
                <c:pt idx="8">
                  <c:v>0.29999999875910272</c:v>
                </c:pt>
                <c:pt idx="9">
                  <c:v>0.29999999957678219</c:v>
                </c:pt>
                <c:pt idx="10">
                  <c:v>0.30000000808352739</c:v>
                </c:pt>
                <c:pt idx="11">
                  <c:v>0.30000000607823535</c:v>
                </c:pt>
                <c:pt idx="12">
                  <c:v>0.30000000313378217</c:v>
                </c:pt>
                <c:pt idx="13">
                  <c:v>0.30000000009248035</c:v>
                </c:pt>
                <c:pt idx="14">
                  <c:v>0.30000000465902327</c:v>
                </c:pt>
                <c:pt idx="15">
                  <c:v>0.3000000032510271</c:v>
                </c:pt>
                <c:pt idx="16">
                  <c:v>0.30000000779297559</c:v>
                </c:pt>
                <c:pt idx="17">
                  <c:v>0.29999999639336067</c:v>
                </c:pt>
                <c:pt idx="18">
                  <c:v>0.30000000687796768</c:v>
                </c:pt>
                <c:pt idx="19">
                  <c:v>0.29999999426301732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A-4732-A56D-7204F98C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273904"/>
        <c:axId val="2057274320"/>
      </c:line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ENERGY GENERATION [MWh]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'economics_y20 (2)'!$F$1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'economics_y20 (2)'!$F$24:$F$43</c:f>
              <c:numCache>
                <c:formatCode>0;\-0;\-</c:formatCode>
                <c:ptCount val="2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915.87693000000002</c:v>
                </c:pt>
                <c:pt idx="7">
                  <c:v>1405.2638999999999</c:v>
                </c:pt>
                <c:pt idx="8">
                  <c:v>2000</c:v>
                </c:pt>
                <c:pt idx="9">
                  <c:v>2711.5682999999999</c:v>
                </c:pt>
                <c:pt idx="10">
                  <c:v>3538.8096</c:v>
                </c:pt>
                <c:pt idx="11">
                  <c:v>4463.3433000000005</c:v>
                </c:pt>
                <c:pt idx="12">
                  <c:v>5444.5950999999995</c:v>
                </c:pt>
                <c:pt idx="13">
                  <c:v>6430.0074999999997</c:v>
                </c:pt>
                <c:pt idx="14">
                  <c:v>7375.1008000000002</c:v>
                </c:pt>
                <c:pt idx="15">
                  <c:v>8276.7091999999993</c:v>
                </c:pt>
                <c:pt idx="16">
                  <c:v>7558.8971000000001</c:v>
                </c:pt>
                <c:pt idx="17">
                  <c:v>725.60918000000004</c:v>
                </c:pt>
                <c:pt idx="18">
                  <c:v>350.4</c:v>
                </c:pt>
                <c:pt idx="19">
                  <c:v>788.4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C-40DA-8637-291E29C2F33F}"/>
            </c:ext>
          </c:extLst>
        </c:ser>
        <c:ser>
          <c:idx val="1"/>
          <c:order val="1"/>
          <c:tx>
            <c:strRef>
              <c:f>'economics_y20 (2)'!$G$1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'economics_y20 (2)'!$G$24:$G$43</c:f>
              <c:numCache>
                <c:formatCode>0;\-0;\-</c:formatCode>
                <c:ptCount val="20"/>
                <c:pt idx="0">
                  <c:v>0</c:v>
                </c:pt>
                <c:pt idx="1">
                  <c:v>200</c:v>
                </c:pt>
                <c:pt idx="2">
                  <c:v>420</c:v>
                </c:pt>
                <c:pt idx="3">
                  <c:v>662</c:v>
                </c:pt>
                <c:pt idx="4">
                  <c:v>928.2</c:v>
                </c:pt>
                <c:pt idx="5">
                  <c:v>1221.02</c:v>
                </c:pt>
                <c:pt idx="6">
                  <c:v>2627.2451000000001</c:v>
                </c:pt>
                <c:pt idx="7">
                  <c:v>2492.1703000000002</c:v>
                </c:pt>
                <c:pt idx="8">
                  <c:v>2287.1776</c:v>
                </c:pt>
                <c:pt idx="9">
                  <c:v>2004.3271</c:v>
                </c:pt>
                <c:pt idx="10">
                  <c:v>1648.6754000000001</c:v>
                </c:pt>
                <c:pt idx="11">
                  <c:v>1242.8901000000001</c:v>
                </c:pt>
                <c:pt idx="12">
                  <c:v>832.26166999999998</c:v>
                </c:pt>
                <c:pt idx="13">
                  <c:v>474.53496999999999</c:v>
                </c:pt>
                <c:pt idx="14">
                  <c:v>219.89587</c:v>
                </c:pt>
                <c:pt idx="15">
                  <c:v>77.787101000000007</c:v>
                </c:pt>
                <c:pt idx="16">
                  <c:v>1631.0489</c:v>
                </c:pt>
                <c:pt idx="17">
                  <c:v>9383.3313999999991</c:v>
                </c:pt>
                <c:pt idx="18">
                  <c:v>10769.434999999999</c:v>
                </c:pt>
                <c:pt idx="19">
                  <c:v>11443.418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C-40DA-8637-291E29C2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INSTALLED/DISPOSED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PP_new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'economics_y20 (2)'!$M$24:$M$43</c:f>
              <c:numCache>
                <c:formatCode>0;\-0;\-</c:formatCode>
                <c:ptCount val="20"/>
                <c:pt idx="0">
                  <c:v>10.423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117.98004</c:v>
                </c:pt>
                <c:pt idx="10">
                  <c:v>250.66654</c:v>
                </c:pt>
                <c:pt idx="11">
                  <c:v>401.08602999999999</c:v>
                </c:pt>
                <c:pt idx="12">
                  <c:v>562.66552999999999</c:v>
                </c:pt>
                <c:pt idx="13">
                  <c:v>2059.9063999999998</c:v>
                </c:pt>
                <c:pt idx="14">
                  <c:v>2366.0185000000001</c:v>
                </c:pt>
                <c:pt idx="15">
                  <c:v>2728.4627</c:v>
                </c:pt>
                <c:pt idx="16">
                  <c:v>2490.2383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0-4A98-9729-32A2F1C12197}"/>
            </c:ext>
          </c:extLst>
        </c:ser>
        <c:ser>
          <c:idx val="1"/>
          <c:order val="1"/>
          <c:tx>
            <c:v>PV_new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val>
            <c:numRef>
              <c:f>'economics_y20 (2)'!$N$24:$N$43</c:f>
              <c:numCache>
                <c:formatCode>0;\-0;\-</c:formatCode>
                <c:ptCount val="20"/>
                <c:pt idx="0">
                  <c:v>10.423</c:v>
                </c:pt>
                <c:pt idx="1">
                  <c:v>76.179680000000005</c:v>
                </c:pt>
                <c:pt idx="2">
                  <c:v>84.407696000000001</c:v>
                </c:pt>
                <c:pt idx="3">
                  <c:v>94.836005</c:v>
                </c:pt>
                <c:pt idx="4">
                  <c:v>108.8505</c:v>
                </c:pt>
                <c:pt idx="5">
                  <c:v>127.86646</c:v>
                </c:pt>
                <c:pt idx="6">
                  <c:v>565.70180000000005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613.64643000000001</c:v>
                </c:pt>
                <c:pt idx="17">
                  <c:v>2964.2311</c:v>
                </c:pt>
                <c:pt idx="18">
                  <c:v>568.80541000000005</c:v>
                </c:pt>
                <c:pt idx="19">
                  <c:v>374.66275999999999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0-4A98-9729-32A2F1C12197}"/>
            </c:ext>
          </c:extLst>
        </c:ser>
        <c:ser>
          <c:idx val="2"/>
          <c:order val="2"/>
          <c:tx>
            <c:v>PP_disp</c:v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'economics_y20 (2)'!$V$24:$V$43</c:f>
              <c:numCache>
                <c:formatCode>0;\-0;\-</c:formatCode>
                <c:ptCount val="20"/>
                <c:pt idx="0">
                  <c:v>-177.57483510908168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-27.7253094</c:v>
                </c:pt>
                <c:pt idx="10">
                  <c:v>-145.73994633999999</c:v>
                </c:pt>
                <c:pt idx="11">
                  <c:v>-283.81893220999996</c:v>
                </c:pt>
                <c:pt idx="12">
                  <c:v>-438.20437885000001</c:v>
                </c:pt>
                <c:pt idx="13">
                  <c:v>-915.44653337</c:v>
                </c:pt>
                <c:pt idx="14">
                  <c:v>-2096.3000756900001</c:v>
                </c:pt>
                <c:pt idx="15">
                  <c:v>-2471.1543257000003</c:v>
                </c:pt>
                <c:pt idx="16">
                  <c:v>-2695.0933431999997</c:v>
                </c:pt>
                <c:pt idx="17">
                  <c:v>-1950.1392848999999</c:v>
                </c:pt>
                <c:pt idx="18">
                  <c:v>-107.08024689999999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0-4A98-9729-32A2F1C12197}"/>
            </c:ext>
          </c:extLst>
        </c:ser>
        <c:ser>
          <c:idx val="3"/>
          <c:order val="3"/>
          <c:tx>
            <c:v>PV_disp</c:v>
          </c:tx>
          <c:spPr>
            <a:pattFill prst="dkUpDiag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'economics_y20 (2)'!$W$24:$W$43</c:f>
              <c:numCache>
                <c:formatCode>0;\-0;\-</c:formatCode>
                <c:ptCount val="20"/>
                <c:pt idx="0">
                  <c:v>0</c:v>
                </c:pt>
                <c:pt idx="1">
                  <c:v>-7.617968E-2</c:v>
                </c:pt>
                <c:pt idx="2">
                  <c:v>-0.69384513599999997</c:v>
                </c:pt>
                <c:pt idx="3">
                  <c:v>-2.7507692530000001</c:v>
                </c:pt>
                <c:pt idx="4">
                  <c:v>-7.5567397560000007</c:v>
                </c:pt>
                <c:pt idx="5">
                  <c:v>-16.443327054000001</c:v>
                </c:pt>
                <c:pt idx="6">
                  <c:v>-30.608549575000001</c:v>
                </c:pt>
                <c:pt idx="7">
                  <c:v>-51.398308049000001</c:v>
                </c:pt>
                <c:pt idx="8">
                  <c:v>-78.003307786000008</c:v>
                </c:pt>
                <c:pt idx="9">
                  <c:v>-107.629568734</c:v>
                </c:pt>
                <c:pt idx="10">
                  <c:v>-135.33171508800001</c:v>
                </c:pt>
                <c:pt idx="11">
                  <c:v>-154.408402115</c:v>
                </c:pt>
                <c:pt idx="12">
                  <c:v>-156.25129890100001</c:v>
                </c:pt>
                <c:pt idx="13">
                  <c:v>-136.121267676</c:v>
                </c:pt>
                <c:pt idx="14">
                  <c:v>-96.894635946999998</c:v>
                </c:pt>
                <c:pt idx="15">
                  <c:v>-54.07487307000001</c:v>
                </c:pt>
                <c:pt idx="16">
                  <c:v>-22.603143289999998</c:v>
                </c:pt>
                <c:pt idx="17">
                  <c:v>-14.351855260000001</c:v>
                </c:pt>
                <c:pt idx="18">
                  <c:v>-41.368864989999999</c:v>
                </c:pt>
                <c:pt idx="19">
                  <c:v>-118.20025400999999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0-4A98-9729-32A2F1C1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TECH</a:t>
            </a:r>
            <a:r>
              <a:rPr lang="it-IT" baseline="0"/>
              <a:t> OPERATIVE CAPACITY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'economics_y20 (2)'!$Y$24:$Y$43</c:f>
              <c:numCache>
                <c:formatCode>0;\-0;\-</c:formatCode>
                <c:ptCount val="20"/>
                <c:pt idx="0">
                  <c:v>253.67833587011668</c:v>
                </c:pt>
                <c:pt idx="1">
                  <c:v>253.67833587011668</c:v>
                </c:pt>
                <c:pt idx="2">
                  <c:v>253.67833587011668</c:v>
                </c:pt>
                <c:pt idx="3">
                  <c:v>253.67833587011668</c:v>
                </c:pt>
                <c:pt idx="4">
                  <c:v>253.67833587011668</c:v>
                </c:pt>
                <c:pt idx="5">
                  <c:v>253.67833587011668</c:v>
                </c:pt>
                <c:pt idx="6">
                  <c:v>253.67833587011668</c:v>
                </c:pt>
                <c:pt idx="7">
                  <c:v>253.67833587011668</c:v>
                </c:pt>
                <c:pt idx="8">
                  <c:v>253.67833587011668</c:v>
                </c:pt>
                <c:pt idx="9">
                  <c:v>343.93306647011673</c:v>
                </c:pt>
                <c:pt idx="10">
                  <c:v>448.85966013011671</c:v>
                </c:pt>
                <c:pt idx="11">
                  <c:v>566.12675792011669</c:v>
                </c:pt>
                <c:pt idx="12">
                  <c:v>690.58790907011667</c:v>
                </c:pt>
                <c:pt idx="13">
                  <c:v>1835.0477757001165</c:v>
                </c:pt>
                <c:pt idx="14">
                  <c:v>2104.7662000101163</c:v>
                </c:pt>
                <c:pt idx="15">
                  <c:v>2362.0745743101161</c:v>
                </c:pt>
                <c:pt idx="16">
                  <c:v>2157.2195311101163</c:v>
                </c:pt>
                <c:pt idx="17">
                  <c:v>207.08024621011646</c:v>
                </c:pt>
                <c:pt idx="18">
                  <c:v>99.999999310116465</c:v>
                </c:pt>
                <c:pt idx="19">
                  <c:v>99.999999310116465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0-412C-9D64-2D53FFF4EBED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'economics_y20 (2)'!$Z$24:$Z$43</c:f>
              <c:numCache>
                <c:formatCode>0;\-0;\-</c:formatCode>
                <c:ptCount val="20"/>
                <c:pt idx="0">
                  <c:v>0</c:v>
                </c:pt>
                <c:pt idx="1">
                  <c:v>76.103500320000009</c:v>
                </c:pt>
                <c:pt idx="2">
                  <c:v>159.81735118400002</c:v>
                </c:pt>
                <c:pt idx="3">
                  <c:v>251.90258693100003</c:v>
                </c:pt>
                <c:pt idx="4">
                  <c:v>353.19634717500003</c:v>
                </c:pt>
                <c:pt idx="5">
                  <c:v>464.61948012100004</c:v>
                </c:pt>
                <c:pt idx="6">
                  <c:v>999.7127305460001</c:v>
                </c:pt>
                <c:pt idx="7">
                  <c:v>948.31442249700012</c:v>
                </c:pt>
                <c:pt idx="8">
                  <c:v>870.31111471100007</c:v>
                </c:pt>
                <c:pt idx="9">
                  <c:v>762.68154597700004</c:v>
                </c:pt>
                <c:pt idx="10">
                  <c:v>627.34983088900003</c:v>
                </c:pt>
                <c:pt idx="11">
                  <c:v>472.94142877400003</c:v>
                </c:pt>
                <c:pt idx="12">
                  <c:v>316.69012987300005</c:v>
                </c:pt>
                <c:pt idx="13">
                  <c:v>180.56886219700004</c:v>
                </c:pt>
                <c:pt idx="14">
                  <c:v>83.674226250000046</c:v>
                </c:pt>
                <c:pt idx="15">
                  <c:v>29.599353180000037</c:v>
                </c:pt>
                <c:pt idx="16">
                  <c:v>620.64263989000005</c:v>
                </c:pt>
                <c:pt idx="17">
                  <c:v>3570.5218846299999</c:v>
                </c:pt>
                <c:pt idx="18">
                  <c:v>4097.9584296399998</c:v>
                </c:pt>
                <c:pt idx="19">
                  <c:v>4354.4209356299998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0-412C-9D64-2D53FFF4E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057273904"/>
        <c:axId val="2057274320"/>
      </c:barChart>
      <c:catAx>
        <c:axId val="2057273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4320"/>
        <c:crosses val="autoZero"/>
        <c:auto val="1"/>
        <c:lblAlgn val="ctr"/>
        <c:lblOffset val="100"/>
        <c:noMultiLvlLbl val="0"/>
      </c:catAx>
      <c:valAx>
        <c:axId val="2057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72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397204</xdr:colOff>
      <xdr:row>8</xdr:row>
      <xdr:rowOff>79066</xdr:rowOff>
    </xdr:from>
    <xdr:to>
      <xdr:col>38</xdr:col>
      <xdr:colOff>296975</xdr:colOff>
      <xdr:row>16</xdr:row>
      <xdr:rowOff>97488</xdr:rowOff>
    </xdr:to>
    <xdr:pic>
      <xdr:nvPicPr>
        <xdr:cNvPr id="23" name="Immagine 22">
          <a:extLst>
            <a:ext uri="{FF2B5EF4-FFF2-40B4-BE49-F238E27FC236}">
              <a16:creationId xmlns:a16="http://schemas.microsoft.com/office/drawing/2014/main" id="{2942C6DD-19BF-4C36-AB65-EA6E0E474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5654" y="1552266"/>
          <a:ext cx="5671921" cy="1491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170340</xdr:colOff>
      <xdr:row>18</xdr:row>
      <xdr:rowOff>71954</xdr:rowOff>
    </xdr:from>
    <xdr:to>
      <xdr:col>15</xdr:col>
      <xdr:colOff>372978</xdr:colOff>
      <xdr:row>26</xdr:row>
      <xdr:rowOff>90376</xdr:rowOff>
    </xdr:to>
    <xdr:pic>
      <xdr:nvPicPr>
        <xdr:cNvPr id="23" name="Immagine 22">
          <a:extLst>
            <a:ext uri="{FF2B5EF4-FFF2-40B4-BE49-F238E27FC236}">
              <a16:creationId xmlns:a16="http://schemas.microsoft.com/office/drawing/2014/main" id="{792C2F6F-1932-4157-8D1B-4221335A1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15" y="3500954"/>
          <a:ext cx="5441388" cy="1542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343485</xdr:colOff>
      <xdr:row>18</xdr:row>
      <xdr:rowOff>140805</xdr:rowOff>
    </xdr:from>
    <xdr:to>
      <xdr:col>25</xdr:col>
      <xdr:colOff>278307</xdr:colOff>
      <xdr:row>29</xdr:row>
      <xdr:rowOff>129936</xdr:rowOff>
    </xdr:to>
    <xdr:pic>
      <xdr:nvPicPr>
        <xdr:cNvPr id="28" name="Immagine 27">
          <a:extLst>
            <a:ext uri="{FF2B5EF4-FFF2-40B4-BE49-F238E27FC236}">
              <a16:creationId xmlns:a16="http://schemas.microsoft.com/office/drawing/2014/main" id="{63C59BA2-A453-4020-AB7F-3ED825BC9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507" y="3569805"/>
          <a:ext cx="5861360" cy="20789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285750</xdr:colOff>
      <xdr:row>2</xdr:row>
      <xdr:rowOff>161193</xdr:rowOff>
    </xdr:from>
    <xdr:to>
      <xdr:col>23</xdr:col>
      <xdr:colOff>285750</xdr:colOff>
      <xdr:row>15</xdr:row>
      <xdr:rowOff>163683</xdr:rowOff>
    </xdr:to>
    <xdr:pic>
      <xdr:nvPicPr>
        <xdr:cNvPr id="29" name="Immagine 1">
          <a:extLst>
            <a:ext uri="{FF2B5EF4-FFF2-40B4-BE49-F238E27FC236}">
              <a16:creationId xmlns:a16="http://schemas.microsoft.com/office/drawing/2014/main" id="{EE133172-CDA4-4F63-95AC-8890C0F47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5423" y="542193"/>
          <a:ext cx="4227635" cy="24789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252636</xdr:colOff>
      <xdr:row>24</xdr:row>
      <xdr:rowOff>95093</xdr:rowOff>
    </xdr:from>
    <xdr:to>
      <xdr:col>34</xdr:col>
      <xdr:colOff>309844</xdr:colOff>
      <xdr:row>37</xdr:row>
      <xdr:rowOff>20625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85E35224-290D-472E-9C73-985494F5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2161" y="4667093"/>
          <a:ext cx="6762808" cy="24020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191115</xdr:colOff>
      <xdr:row>1</xdr:row>
      <xdr:rowOff>190446</xdr:rowOff>
    </xdr:from>
    <xdr:to>
      <xdr:col>30</xdr:col>
      <xdr:colOff>395908</xdr:colOff>
      <xdr:row>16</xdr:row>
      <xdr:rowOff>100770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4BD859B-1F44-4CB7-B2B1-D6EC437B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7230" y="380946"/>
          <a:ext cx="3685082" cy="27678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23813</xdr:colOff>
      <xdr:row>20</xdr:row>
      <xdr:rowOff>86322</xdr:rowOff>
    </xdr:from>
    <xdr:to>
      <xdr:col>30</xdr:col>
      <xdr:colOff>304208</xdr:colOff>
      <xdr:row>33</xdr:row>
      <xdr:rowOff>178856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F3D5246-6385-4B63-AC49-55853601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8969" y="3896322"/>
          <a:ext cx="3399833" cy="25785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201176</xdr:colOff>
      <xdr:row>30</xdr:row>
      <xdr:rowOff>184856</xdr:rowOff>
    </xdr:from>
    <xdr:to>
      <xdr:col>19</xdr:col>
      <xdr:colOff>314884</xdr:colOff>
      <xdr:row>44</xdr:row>
      <xdr:rowOff>96415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57CBAE3-6065-4DEF-AA0E-BB8D17F0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279" y="5899856"/>
          <a:ext cx="3371915" cy="25785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273863</xdr:colOff>
      <xdr:row>11</xdr:row>
      <xdr:rowOff>179303</xdr:rowOff>
    </xdr:from>
    <xdr:to>
      <xdr:col>37</xdr:col>
      <xdr:colOff>137811</xdr:colOff>
      <xdr:row>26</xdr:row>
      <xdr:rowOff>93259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823270A-A1CF-4D1A-8B2F-415EF22F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4276" y="2274803"/>
          <a:ext cx="5065426" cy="277145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432781</xdr:colOff>
      <xdr:row>14</xdr:row>
      <xdr:rowOff>8410</xdr:rowOff>
    </xdr:from>
    <xdr:to>
      <xdr:col>38</xdr:col>
      <xdr:colOff>183786</xdr:colOff>
      <xdr:row>25</xdr:row>
      <xdr:rowOff>129778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5C24ABA9-3F03-49B0-9C75-F3F0A462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4781" y="2675410"/>
          <a:ext cx="6244570" cy="221686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199320</xdr:colOff>
      <xdr:row>0</xdr:row>
      <xdr:rowOff>179303</xdr:rowOff>
    </xdr:from>
    <xdr:to>
      <xdr:col>33</xdr:col>
      <xdr:colOff>63269</xdr:colOff>
      <xdr:row>15</xdr:row>
      <xdr:rowOff>93259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1614546-933C-44E2-8AED-DCAE49976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1190" y="179303"/>
          <a:ext cx="5065427" cy="277145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38</xdr:row>
      <xdr:rowOff>133350</xdr:rowOff>
    </xdr:from>
    <xdr:to>
      <xdr:col>16</xdr:col>
      <xdr:colOff>7785</xdr:colOff>
      <xdr:row>48</xdr:row>
      <xdr:rowOff>167046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BBFBD3D-10EF-440D-ACE0-F64463D45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7372350"/>
          <a:ext cx="6303810" cy="193869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38</xdr:row>
      <xdr:rowOff>95250</xdr:rowOff>
    </xdr:from>
    <xdr:to>
      <xdr:col>15</xdr:col>
      <xdr:colOff>125322</xdr:colOff>
      <xdr:row>49</xdr:row>
      <xdr:rowOff>84381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0B4BD0D3-C0D5-41EE-AB79-0C833D335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334250"/>
          <a:ext cx="5830797" cy="208463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296518</xdr:colOff>
      <xdr:row>0</xdr:row>
      <xdr:rowOff>174763</xdr:rowOff>
    </xdr:from>
    <xdr:to>
      <xdr:col>38</xdr:col>
      <xdr:colOff>355654</xdr:colOff>
      <xdr:row>11</xdr:row>
      <xdr:rowOff>17959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0C2A404-4426-4506-978C-49176F112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5235" y="174763"/>
          <a:ext cx="6353919" cy="193869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113739</xdr:colOff>
      <xdr:row>23</xdr:row>
      <xdr:rowOff>174812</xdr:rowOff>
    </xdr:from>
    <xdr:to>
      <xdr:col>44</xdr:col>
      <xdr:colOff>197724</xdr:colOff>
      <xdr:row>34</xdr:row>
      <xdr:rowOff>18008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50F39A2-7359-446D-8DC5-A3D4E717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3464" y="4746812"/>
          <a:ext cx="6389535" cy="193869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475689</xdr:colOff>
      <xdr:row>3</xdr:row>
      <xdr:rowOff>108137</xdr:rowOff>
    </xdr:from>
    <xdr:to>
      <xdr:col>44</xdr:col>
      <xdr:colOff>350124</xdr:colOff>
      <xdr:row>13</xdr:row>
      <xdr:rowOff>141833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250729B-C494-4BE3-8287-E38A4ADE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25414" y="679637"/>
          <a:ext cx="6389535" cy="193869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3</xdr:row>
      <xdr:rowOff>95250</xdr:rowOff>
    </xdr:from>
    <xdr:to>
      <xdr:col>23</xdr:col>
      <xdr:colOff>474510</xdr:colOff>
      <xdr:row>13</xdr:row>
      <xdr:rowOff>128946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E0ABDF2-0685-4E7F-9E59-D5CE61FF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666750"/>
          <a:ext cx="6303810" cy="193869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276225</xdr:colOff>
      <xdr:row>35</xdr:row>
      <xdr:rowOff>104775</xdr:rowOff>
    </xdr:from>
    <xdr:to>
      <xdr:col>43</xdr:col>
      <xdr:colOff>119057</xdr:colOff>
      <xdr:row>57</xdr:row>
      <xdr:rowOff>28932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B16E462-AE20-493D-A30A-038A3918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6772275"/>
          <a:ext cx="6529382" cy="411515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379287</xdr:colOff>
      <xdr:row>9</xdr:row>
      <xdr:rowOff>86795</xdr:rowOff>
    </xdr:from>
    <xdr:to>
      <xdr:col>34</xdr:col>
      <xdr:colOff>139817</xdr:colOff>
      <xdr:row>21</xdr:row>
      <xdr:rowOff>17663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9D4D76F-210F-460F-8DFE-BA11FF06E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983" y="1801295"/>
          <a:ext cx="6254095" cy="221686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345832</xdr:colOff>
      <xdr:row>2</xdr:row>
      <xdr:rowOff>65940</xdr:rowOff>
    </xdr:from>
    <xdr:to>
      <xdr:col>12</xdr:col>
      <xdr:colOff>417397</xdr:colOff>
      <xdr:row>16</xdr:row>
      <xdr:rowOff>87509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133B61F-AA7E-4A9B-B448-15EFC0EAF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532" y="446940"/>
          <a:ext cx="6300915" cy="268856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12</xdr:col>
      <xdr:colOff>0</xdr:colOff>
      <xdr:row>72</xdr:row>
      <xdr:rowOff>1</xdr:rowOff>
    </xdr:to>
    <xdr:sp macro="" textlink="">
      <xdr:nvSpPr>
        <xdr:cNvPr id="3" name="OpenSolver1">
          <a:extLst>
            <a:ext uri="{FF2B5EF4-FFF2-40B4-BE49-F238E27FC236}">
              <a16:creationId xmlns:a16="http://schemas.microsoft.com/office/drawing/2014/main" id="{909C701F-2F73-CD55-340A-6CD986C14017}"/>
            </a:ext>
          </a:extLst>
        </xdr:cNvPr>
        <xdr:cNvSpPr/>
      </xdr:nvSpPr>
      <xdr:spPr>
        <a:xfrm>
          <a:off x="2613660" y="9509760"/>
          <a:ext cx="4511040" cy="3657601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</xdr:col>
      <xdr:colOff>0</xdr:colOff>
      <xdr:row>79</xdr:row>
      <xdr:rowOff>0</xdr:rowOff>
    </xdr:from>
    <xdr:to>
      <xdr:col>12</xdr:col>
      <xdr:colOff>0</xdr:colOff>
      <xdr:row>97</xdr:row>
      <xdr:rowOff>182879</xdr:rowOff>
    </xdr:to>
    <xdr:sp macro="" textlink="">
      <xdr:nvSpPr>
        <xdr:cNvPr id="4" name="OpenSolver2">
          <a:extLst>
            <a:ext uri="{FF2B5EF4-FFF2-40B4-BE49-F238E27FC236}">
              <a16:creationId xmlns:a16="http://schemas.microsoft.com/office/drawing/2014/main" id="{755F7987-C0A0-F6E7-067D-1E38E83FB1EA}"/>
            </a:ext>
          </a:extLst>
        </xdr:cNvPr>
        <xdr:cNvSpPr/>
      </xdr:nvSpPr>
      <xdr:spPr>
        <a:xfrm>
          <a:off x="4869180" y="14447520"/>
          <a:ext cx="2255520" cy="3474719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28</xdr:col>
      <xdr:colOff>0</xdr:colOff>
      <xdr:row>77</xdr:row>
      <xdr:rowOff>182879</xdr:rowOff>
    </xdr:from>
    <xdr:to>
      <xdr:col>32</xdr:col>
      <xdr:colOff>0</xdr:colOff>
      <xdr:row>79</xdr:row>
      <xdr:rowOff>0</xdr:rowOff>
    </xdr:to>
    <xdr:sp macro="" textlink="">
      <xdr:nvSpPr>
        <xdr:cNvPr id="5" name="OpenSolver3">
          <a:extLst>
            <a:ext uri="{FF2B5EF4-FFF2-40B4-BE49-F238E27FC236}">
              <a16:creationId xmlns:a16="http://schemas.microsoft.com/office/drawing/2014/main" id="{9B076E4D-0DF0-8DCC-E989-4AB282E6ED45}"/>
            </a:ext>
          </a:extLst>
        </xdr:cNvPr>
        <xdr:cNvSpPr/>
      </xdr:nvSpPr>
      <xdr:spPr>
        <a:xfrm>
          <a:off x="16146780" y="14264639"/>
          <a:ext cx="2255520" cy="182881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47</xdr:col>
      <xdr:colOff>563879</xdr:colOff>
      <xdr:row>99</xdr:row>
      <xdr:rowOff>0</xdr:rowOff>
    </xdr:from>
    <xdr:to>
      <xdr:col>48</xdr:col>
      <xdr:colOff>563878</xdr:colOff>
      <xdr:row>100</xdr:row>
      <xdr:rowOff>0</xdr:rowOff>
    </xdr:to>
    <xdr:sp macro="" textlink="">
      <xdr:nvSpPr>
        <xdr:cNvPr id="6" name="OpenSolver4">
          <a:extLst>
            <a:ext uri="{FF2B5EF4-FFF2-40B4-BE49-F238E27FC236}">
              <a16:creationId xmlns:a16="http://schemas.microsoft.com/office/drawing/2014/main" id="{C99CB95E-B6CA-2FC4-159A-24BF9AC7D703}"/>
            </a:ext>
          </a:extLst>
        </xdr:cNvPr>
        <xdr:cNvSpPr/>
      </xdr:nvSpPr>
      <xdr:spPr>
        <a:xfrm>
          <a:off x="27424379" y="18105120"/>
          <a:ext cx="563879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47</xdr:col>
      <xdr:colOff>546100</xdr:colOff>
      <xdr:row>98</xdr:row>
      <xdr:rowOff>111760</xdr:rowOff>
    </xdr:from>
    <xdr:to>
      <xdr:col>48</xdr:col>
      <xdr:colOff>213309</xdr:colOff>
      <xdr:row>99</xdr:row>
      <xdr:rowOff>55880</xdr:rowOff>
    </xdr:to>
    <xdr:sp macro="" textlink="">
      <xdr:nvSpPr>
        <xdr:cNvPr id="7" name="OpenSolver5">
          <a:extLst>
            <a:ext uri="{FF2B5EF4-FFF2-40B4-BE49-F238E27FC236}">
              <a16:creationId xmlns:a16="http://schemas.microsoft.com/office/drawing/2014/main" id="{7D60BDBB-AE80-F1A1-5C02-AF02192B8517}"/>
            </a:ext>
          </a:extLst>
        </xdr:cNvPr>
        <xdr:cNvSpPr/>
      </xdr:nvSpPr>
      <xdr:spPr>
        <a:xfrm>
          <a:off x="27406600" y="180340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it-IT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34</xdr:col>
      <xdr:colOff>563879</xdr:colOff>
      <xdr:row>29</xdr:row>
      <xdr:rowOff>0</xdr:rowOff>
    </xdr:to>
    <xdr:sp macro="" textlink="">
      <xdr:nvSpPr>
        <xdr:cNvPr id="8" name="OpenSolver6">
          <a:extLst>
            <a:ext uri="{FF2B5EF4-FFF2-40B4-BE49-F238E27FC236}">
              <a16:creationId xmlns:a16="http://schemas.microsoft.com/office/drawing/2014/main" id="{339F383C-7787-C683-438A-D79CA38AC3F3}"/>
            </a:ext>
          </a:extLst>
        </xdr:cNvPr>
        <xdr:cNvSpPr/>
      </xdr:nvSpPr>
      <xdr:spPr>
        <a:xfrm>
          <a:off x="8816340" y="4206240"/>
          <a:ext cx="11277599" cy="10972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34</xdr:col>
      <xdr:colOff>563879</xdr:colOff>
      <xdr:row>37</xdr:row>
      <xdr:rowOff>0</xdr:rowOff>
    </xdr:to>
    <xdr:sp macro="" textlink="">
      <xdr:nvSpPr>
        <xdr:cNvPr id="9" name="OpenSolver7">
          <a:extLst>
            <a:ext uri="{FF2B5EF4-FFF2-40B4-BE49-F238E27FC236}">
              <a16:creationId xmlns:a16="http://schemas.microsoft.com/office/drawing/2014/main" id="{F87C16F4-35B5-44F4-71BF-F5A7035A79DD}"/>
            </a:ext>
          </a:extLst>
        </xdr:cNvPr>
        <xdr:cNvSpPr/>
      </xdr:nvSpPr>
      <xdr:spPr>
        <a:xfrm>
          <a:off x="8816340" y="5669280"/>
          <a:ext cx="11277599" cy="10972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0</xdr:colOff>
      <xdr:row>31</xdr:row>
      <xdr:rowOff>0</xdr:rowOff>
    </xdr:to>
    <xdr:cxnSp macro="">
      <xdr:nvCxnSpPr>
        <xdr:cNvPr id="10" name="OpenSolver8">
          <a:extLst>
            <a:ext uri="{FF2B5EF4-FFF2-40B4-BE49-F238E27FC236}">
              <a16:creationId xmlns:a16="http://schemas.microsoft.com/office/drawing/2014/main" id="{91C136A6-FE11-3486-FB16-C1A247BF6893}"/>
            </a:ext>
          </a:extLst>
        </xdr:cNvPr>
        <xdr:cNvCxnSpPr>
          <a:stCxn id="8" idx="2"/>
          <a:endCxn id="9" idx="0"/>
        </xdr:cNvCxnSpPr>
      </xdr:nvCxnSpPr>
      <xdr:spPr>
        <a:xfrm>
          <a:off x="14455140" y="5303520"/>
          <a:ext cx="0" cy="36576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373379</xdr:colOff>
      <xdr:row>29</xdr:row>
      <xdr:rowOff>55880</xdr:rowOff>
    </xdr:from>
    <xdr:to>
      <xdr:col>25</xdr:col>
      <xdr:colOff>190499</xdr:colOff>
      <xdr:row>30</xdr:row>
      <xdr:rowOff>127000</xdr:rowOff>
    </xdr:to>
    <xdr:sp macro="" textlink="">
      <xdr:nvSpPr>
        <xdr:cNvPr id="11" name="OpenSolver9">
          <a:extLst>
            <a:ext uri="{FF2B5EF4-FFF2-40B4-BE49-F238E27FC236}">
              <a16:creationId xmlns:a16="http://schemas.microsoft.com/office/drawing/2014/main" id="{7A108994-FD79-D2C3-5021-3C9F6D6CB1BA}"/>
            </a:ext>
          </a:extLst>
        </xdr:cNvPr>
        <xdr:cNvSpPr/>
      </xdr:nvSpPr>
      <xdr:spPr>
        <a:xfrm>
          <a:off x="14264639" y="53594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12</xdr:col>
      <xdr:colOff>0</xdr:colOff>
      <xdr:row>72</xdr:row>
      <xdr:rowOff>1</xdr:rowOff>
    </xdr:to>
    <xdr:sp macro="" textlink="">
      <xdr:nvSpPr>
        <xdr:cNvPr id="12" name="OpenSolver10">
          <a:extLst>
            <a:ext uri="{FF2B5EF4-FFF2-40B4-BE49-F238E27FC236}">
              <a16:creationId xmlns:a16="http://schemas.microsoft.com/office/drawing/2014/main" id="{5E2EF8A7-158F-DECF-00A5-5BAF11DAEC62}"/>
            </a:ext>
          </a:extLst>
        </xdr:cNvPr>
        <xdr:cNvSpPr/>
      </xdr:nvSpPr>
      <xdr:spPr>
        <a:xfrm>
          <a:off x="4869180" y="9692640"/>
          <a:ext cx="2255520" cy="3474721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32</xdr:col>
      <xdr:colOff>0</xdr:colOff>
      <xdr:row>72</xdr:row>
      <xdr:rowOff>1</xdr:rowOff>
    </xdr:to>
    <xdr:sp macro="" textlink="">
      <xdr:nvSpPr>
        <xdr:cNvPr id="13" name="OpenSolver11">
          <a:extLst>
            <a:ext uri="{FF2B5EF4-FFF2-40B4-BE49-F238E27FC236}">
              <a16:creationId xmlns:a16="http://schemas.microsoft.com/office/drawing/2014/main" id="{A0A574BB-A010-935E-4739-54A9D444B1BC}"/>
            </a:ext>
          </a:extLst>
        </xdr:cNvPr>
        <xdr:cNvSpPr/>
      </xdr:nvSpPr>
      <xdr:spPr>
        <a:xfrm>
          <a:off x="16146780" y="9692640"/>
          <a:ext cx="2255520" cy="3474721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12</xdr:col>
      <xdr:colOff>0</xdr:colOff>
      <xdr:row>62</xdr:row>
      <xdr:rowOff>91441</xdr:rowOff>
    </xdr:from>
    <xdr:to>
      <xdr:col>28</xdr:col>
      <xdr:colOff>0</xdr:colOff>
      <xdr:row>62</xdr:row>
      <xdr:rowOff>91441</xdr:rowOff>
    </xdr:to>
    <xdr:cxnSp macro="">
      <xdr:nvCxnSpPr>
        <xdr:cNvPr id="14" name="OpenSolver12">
          <a:extLst>
            <a:ext uri="{FF2B5EF4-FFF2-40B4-BE49-F238E27FC236}">
              <a16:creationId xmlns:a16="http://schemas.microsoft.com/office/drawing/2014/main" id="{AF6DEEDF-809A-CE83-E10E-B694CF02D176}"/>
            </a:ext>
          </a:extLst>
        </xdr:cNvPr>
        <xdr:cNvCxnSpPr>
          <a:stCxn id="12" idx="3"/>
          <a:endCxn id="13" idx="1"/>
        </xdr:cNvCxnSpPr>
      </xdr:nvCxnSpPr>
      <xdr:spPr>
        <a:xfrm>
          <a:off x="7124700" y="11430001"/>
          <a:ext cx="902208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373380</xdr:colOff>
      <xdr:row>61</xdr:row>
      <xdr:rowOff>147321</xdr:rowOff>
    </xdr:from>
    <xdr:to>
      <xdr:col>20</xdr:col>
      <xdr:colOff>190500</xdr:colOff>
      <xdr:row>63</xdr:row>
      <xdr:rowOff>35561</xdr:rowOff>
    </xdr:to>
    <xdr:sp macro="" textlink="">
      <xdr:nvSpPr>
        <xdr:cNvPr id="15" name="OpenSolver13">
          <a:extLst>
            <a:ext uri="{FF2B5EF4-FFF2-40B4-BE49-F238E27FC236}">
              <a16:creationId xmlns:a16="http://schemas.microsoft.com/office/drawing/2014/main" id="{984C55F9-6319-325C-25F5-04A846B259E2}"/>
            </a:ext>
          </a:extLst>
        </xdr:cNvPr>
        <xdr:cNvSpPr/>
      </xdr:nvSpPr>
      <xdr:spPr>
        <a:xfrm>
          <a:off x="11445240" y="11303001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29</xdr:col>
      <xdr:colOff>1</xdr:colOff>
      <xdr:row>77</xdr:row>
      <xdr:rowOff>182879</xdr:rowOff>
    </xdr:from>
    <xdr:to>
      <xdr:col>30</xdr:col>
      <xdr:colOff>1</xdr:colOff>
      <xdr:row>79</xdr:row>
      <xdr:rowOff>0</xdr:rowOff>
    </xdr:to>
    <xdr:sp macro="" textlink="">
      <xdr:nvSpPr>
        <xdr:cNvPr id="16" name="OpenSolverAD79">
          <a:extLst>
            <a:ext uri="{FF2B5EF4-FFF2-40B4-BE49-F238E27FC236}">
              <a16:creationId xmlns:a16="http://schemas.microsoft.com/office/drawing/2014/main" id="{CF94D127-7F74-D645-7719-6678F3A5FA35}"/>
            </a:ext>
          </a:extLst>
        </xdr:cNvPr>
        <xdr:cNvSpPr/>
      </xdr:nvSpPr>
      <xdr:spPr>
        <a:xfrm>
          <a:off x="16710661" y="14264639"/>
          <a:ext cx="563880" cy="182881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31</xdr:col>
      <xdr:colOff>0</xdr:colOff>
      <xdr:row>77</xdr:row>
      <xdr:rowOff>182879</xdr:rowOff>
    </xdr:from>
    <xdr:to>
      <xdr:col>32</xdr:col>
      <xdr:colOff>0</xdr:colOff>
      <xdr:row>79</xdr:row>
      <xdr:rowOff>0</xdr:rowOff>
    </xdr:to>
    <xdr:sp macro="" textlink="">
      <xdr:nvSpPr>
        <xdr:cNvPr id="17" name="OpenSolverAF79">
          <a:extLst>
            <a:ext uri="{FF2B5EF4-FFF2-40B4-BE49-F238E27FC236}">
              <a16:creationId xmlns:a16="http://schemas.microsoft.com/office/drawing/2014/main" id="{4B58E2CB-69D6-9D3F-96DB-E174C541F540}"/>
            </a:ext>
          </a:extLst>
        </xdr:cNvPr>
        <xdr:cNvSpPr/>
      </xdr:nvSpPr>
      <xdr:spPr>
        <a:xfrm>
          <a:off x="17838420" y="14264639"/>
          <a:ext cx="563880" cy="182881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12</xdr:col>
      <xdr:colOff>0</xdr:colOff>
      <xdr:row>53</xdr:row>
      <xdr:rowOff>0</xdr:rowOff>
    </xdr:to>
    <xdr:sp macro="" textlink="">
      <xdr:nvSpPr>
        <xdr:cNvPr id="18" name="OpenSolver16">
          <a:extLst>
            <a:ext uri="{FF2B5EF4-FFF2-40B4-BE49-F238E27FC236}">
              <a16:creationId xmlns:a16="http://schemas.microsoft.com/office/drawing/2014/main" id="{DBCA50F1-EB16-DCC2-9D87-C2F2D2E993CE}"/>
            </a:ext>
          </a:extLst>
        </xdr:cNvPr>
        <xdr:cNvSpPr/>
      </xdr:nvSpPr>
      <xdr:spPr>
        <a:xfrm>
          <a:off x="4869180" y="9509760"/>
          <a:ext cx="2255520" cy="18288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28</xdr:col>
      <xdr:colOff>0</xdr:colOff>
      <xdr:row>52</xdr:row>
      <xdr:rowOff>0</xdr:rowOff>
    </xdr:from>
    <xdr:to>
      <xdr:col>32</xdr:col>
      <xdr:colOff>0</xdr:colOff>
      <xdr:row>53</xdr:row>
      <xdr:rowOff>0</xdr:rowOff>
    </xdr:to>
    <xdr:sp macro="" textlink="">
      <xdr:nvSpPr>
        <xdr:cNvPr id="19" name="OpenSolver17">
          <a:extLst>
            <a:ext uri="{FF2B5EF4-FFF2-40B4-BE49-F238E27FC236}">
              <a16:creationId xmlns:a16="http://schemas.microsoft.com/office/drawing/2014/main" id="{17317E94-F3A7-F5D9-B542-B7B512FD73F3}"/>
            </a:ext>
          </a:extLst>
        </xdr:cNvPr>
        <xdr:cNvSpPr/>
      </xdr:nvSpPr>
      <xdr:spPr>
        <a:xfrm>
          <a:off x="16146780" y="9509760"/>
          <a:ext cx="2255520" cy="18288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12</xdr:col>
      <xdr:colOff>0</xdr:colOff>
      <xdr:row>52</xdr:row>
      <xdr:rowOff>91440</xdr:rowOff>
    </xdr:from>
    <xdr:to>
      <xdr:col>28</xdr:col>
      <xdr:colOff>0</xdr:colOff>
      <xdr:row>52</xdr:row>
      <xdr:rowOff>91440</xdr:rowOff>
    </xdr:to>
    <xdr:cxnSp macro="">
      <xdr:nvCxnSpPr>
        <xdr:cNvPr id="20" name="OpenSolver18">
          <a:extLst>
            <a:ext uri="{FF2B5EF4-FFF2-40B4-BE49-F238E27FC236}">
              <a16:creationId xmlns:a16="http://schemas.microsoft.com/office/drawing/2014/main" id="{2F0B6E9E-4AA2-0185-1152-A50EA7F4C0B4}"/>
            </a:ext>
          </a:extLst>
        </xdr:cNvPr>
        <xdr:cNvCxnSpPr>
          <a:stCxn id="18" idx="3"/>
          <a:endCxn id="19" idx="1"/>
        </xdr:cNvCxnSpPr>
      </xdr:nvCxnSpPr>
      <xdr:spPr>
        <a:xfrm>
          <a:off x="7124700" y="9601200"/>
          <a:ext cx="902208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373380</xdr:colOff>
      <xdr:row>51</xdr:row>
      <xdr:rowOff>147320</xdr:rowOff>
    </xdr:from>
    <xdr:to>
      <xdr:col>20</xdr:col>
      <xdr:colOff>190500</xdr:colOff>
      <xdr:row>53</xdr:row>
      <xdr:rowOff>35560</xdr:rowOff>
    </xdr:to>
    <xdr:sp macro="" textlink="">
      <xdr:nvSpPr>
        <xdr:cNvPr id="21" name="OpenSolver19">
          <a:extLst>
            <a:ext uri="{FF2B5EF4-FFF2-40B4-BE49-F238E27FC236}">
              <a16:creationId xmlns:a16="http://schemas.microsoft.com/office/drawing/2014/main" id="{F8EFBF83-9BD9-1C8A-4FEB-BD57F160270E}"/>
            </a:ext>
          </a:extLst>
        </xdr:cNvPr>
        <xdr:cNvSpPr/>
      </xdr:nvSpPr>
      <xdr:spPr>
        <a:xfrm>
          <a:off x="11445240" y="94742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319197</xdr:colOff>
      <xdr:row>2</xdr:row>
      <xdr:rowOff>146856</xdr:rowOff>
    </xdr:from>
    <xdr:to>
      <xdr:col>26</xdr:col>
      <xdr:colOff>513016</xdr:colOff>
      <xdr:row>11</xdr:row>
      <xdr:rowOff>54033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47E3046-12C3-4950-8CAB-0BB26D0E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8428" y="527856"/>
          <a:ext cx="3842626" cy="162167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430564</xdr:colOff>
      <xdr:row>15</xdr:row>
      <xdr:rowOff>143147</xdr:rowOff>
    </xdr:from>
    <xdr:to>
      <xdr:col>27</xdr:col>
      <xdr:colOff>300518</xdr:colOff>
      <xdr:row>25</xdr:row>
      <xdr:rowOff>54912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AAC3E85-5D19-4B02-ACBE-F25D708B0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5589" y="2810147"/>
          <a:ext cx="3603754" cy="181676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383796</xdr:colOff>
      <xdr:row>1</xdr:row>
      <xdr:rowOff>145449</xdr:rowOff>
    </xdr:from>
    <xdr:to>
      <xdr:col>31</xdr:col>
      <xdr:colOff>231902</xdr:colOff>
      <xdr:row>14</xdr:row>
      <xdr:rowOff>95122</xdr:rowOff>
    </xdr:to>
    <xdr:pic>
      <xdr:nvPicPr>
        <xdr:cNvPr id="6" name="Immagine 3">
          <a:extLst>
            <a:ext uri="{FF2B5EF4-FFF2-40B4-BE49-F238E27FC236}">
              <a16:creationId xmlns:a16="http://schemas.microsoft.com/office/drawing/2014/main" id="{4C969018-9B9D-41FB-9CD7-26B7F9F3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2271" y="335949"/>
          <a:ext cx="4515356" cy="2426173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269883</xdr:colOff>
      <xdr:row>14</xdr:row>
      <xdr:rowOff>17307</xdr:rowOff>
    </xdr:from>
    <xdr:to>
      <xdr:col>34</xdr:col>
      <xdr:colOff>212955</xdr:colOff>
      <xdr:row>24</xdr:row>
      <xdr:rowOff>28196</xdr:rowOff>
    </xdr:to>
    <xdr:pic>
      <xdr:nvPicPr>
        <xdr:cNvPr id="48" name="Immagine 47">
          <a:extLst>
            <a:ext uri="{FF2B5EF4-FFF2-40B4-BE49-F238E27FC236}">
              <a16:creationId xmlns:a16="http://schemas.microsoft.com/office/drawing/2014/main" id="{D3AF45DF-C7B5-4529-84F4-44CE48D02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8979" y="2684307"/>
          <a:ext cx="6039072" cy="191588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425034</xdr:colOff>
      <xdr:row>10</xdr:row>
      <xdr:rowOff>150467</xdr:rowOff>
    </xdr:from>
    <xdr:to>
      <xdr:col>27</xdr:col>
      <xdr:colOff>352784</xdr:colOff>
      <xdr:row>20</xdr:row>
      <xdr:rowOff>161356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A0C02FB-2B41-4228-A0FC-9B9ECE500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1603" y="2055467"/>
          <a:ext cx="5990905" cy="1915889"/>
        </a:xfrm>
        <a:prstGeom prst="rect">
          <a:avLst/>
        </a:prstGeom>
      </xdr:spPr>
    </xdr:pic>
    <xdr:clientData/>
  </xdr:twoCellAnchor>
  <xdr:twoCellAnchor>
    <xdr:from>
      <xdr:col>5</xdr:col>
      <xdr:colOff>5602</xdr:colOff>
      <xdr:row>43</xdr:row>
      <xdr:rowOff>23530</xdr:rowOff>
    </xdr:from>
    <xdr:to>
      <xdr:col>14</xdr:col>
      <xdr:colOff>341779</xdr:colOff>
      <xdr:row>57</xdr:row>
      <xdr:rowOff>99730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E0DD79DD-ECB3-48CE-B596-DE4959C02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341778</xdr:colOff>
      <xdr:row>40</xdr:row>
      <xdr:rowOff>169209</xdr:rowOff>
    </xdr:from>
    <xdr:to>
      <xdr:col>28</xdr:col>
      <xdr:colOff>207308</xdr:colOff>
      <xdr:row>55</xdr:row>
      <xdr:rowOff>54909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F46A3097-8639-412A-8873-CBBD9ECF3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425034</xdr:colOff>
      <xdr:row>10</xdr:row>
      <xdr:rowOff>150467</xdr:rowOff>
    </xdr:from>
    <xdr:to>
      <xdr:col>27</xdr:col>
      <xdr:colOff>352784</xdr:colOff>
      <xdr:row>20</xdr:row>
      <xdr:rowOff>161356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24AE85D-297E-4F7B-AFE8-322CBF8F0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559" y="2055467"/>
          <a:ext cx="5995175" cy="191588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260041</xdr:colOff>
      <xdr:row>13</xdr:row>
      <xdr:rowOff>93290</xdr:rowOff>
    </xdr:from>
    <xdr:to>
      <xdr:col>34</xdr:col>
      <xdr:colOff>162883</xdr:colOff>
      <xdr:row>29</xdr:row>
      <xdr:rowOff>69168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8D06E596-4441-49E9-8C00-353CB840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9741" y="2569790"/>
          <a:ext cx="7837167" cy="3023878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517871</xdr:colOff>
      <xdr:row>45</xdr:row>
      <xdr:rowOff>1920</xdr:rowOff>
    </xdr:from>
    <xdr:to>
      <xdr:col>6</xdr:col>
      <xdr:colOff>429025</xdr:colOff>
      <xdr:row>59</xdr:row>
      <xdr:rowOff>78120</xdr:rowOff>
    </xdr:to>
    <xdr:graphicFrame macro="">
      <xdr:nvGraphicFramePr>
        <xdr:cNvPr id="142" name="Grafico 141">
          <a:extLst>
            <a:ext uri="{FF2B5EF4-FFF2-40B4-BE49-F238E27FC236}">
              <a16:creationId xmlns:a16="http://schemas.microsoft.com/office/drawing/2014/main" id="{1D6F8DCA-1FAC-44CD-A7A6-F37879B45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55227</xdr:colOff>
      <xdr:row>45</xdr:row>
      <xdr:rowOff>5123</xdr:rowOff>
    </xdr:from>
    <xdr:to>
      <xdr:col>35</xdr:col>
      <xdr:colOff>88846</xdr:colOff>
      <xdr:row>59</xdr:row>
      <xdr:rowOff>81323</xdr:rowOff>
    </xdr:to>
    <xdr:graphicFrame macro="">
      <xdr:nvGraphicFramePr>
        <xdr:cNvPr id="144" name="Grafico 143">
          <a:extLst>
            <a:ext uri="{FF2B5EF4-FFF2-40B4-BE49-F238E27FC236}">
              <a16:creationId xmlns:a16="http://schemas.microsoft.com/office/drawing/2014/main" id="{C413BBF0-D060-40D1-9B93-2F5A55AF6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153680</xdr:colOff>
      <xdr:row>45</xdr:row>
      <xdr:rowOff>1119</xdr:rowOff>
    </xdr:from>
    <xdr:to>
      <xdr:col>16</xdr:col>
      <xdr:colOff>187297</xdr:colOff>
      <xdr:row>59</xdr:row>
      <xdr:rowOff>77319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CBD85F2-4048-466F-9BC6-23B279BFA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299355</xdr:colOff>
      <xdr:row>45</xdr:row>
      <xdr:rowOff>1119</xdr:rowOff>
    </xdr:from>
    <xdr:to>
      <xdr:col>25</xdr:col>
      <xdr:colOff>332971</xdr:colOff>
      <xdr:row>59</xdr:row>
      <xdr:rowOff>77319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B5EF05B-3B7B-4760-A8B2-131649631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517871</xdr:colOff>
      <xdr:row>44</xdr:row>
      <xdr:rowOff>1920</xdr:rowOff>
    </xdr:from>
    <xdr:to>
      <xdr:col>6</xdr:col>
      <xdr:colOff>429025</xdr:colOff>
      <xdr:row>58</xdr:row>
      <xdr:rowOff>78120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12AA45E-1EDC-4787-AC2A-571866178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354585</xdr:colOff>
      <xdr:row>44</xdr:row>
      <xdr:rowOff>5922</xdr:rowOff>
    </xdr:from>
    <xdr:to>
      <xdr:col>25</xdr:col>
      <xdr:colOff>388204</xdr:colOff>
      <xdr:row>58</xdr:row>
      <xdr:rowOff>82122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1B1F8E-8604-40C3-970B-CA0801F79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55227</xdr:colOff>
      <xdr:row>44</xdr:row>
      <xdr:rowOff>5123</xdr:rowOff>
    </xdr:from>
    <xdr:to>
      <xdr:col>35</xdr:col>
      <xdr:colOff>88846</xdr:colOff>
      <xdr:row>58</xdr:row>
      <xdr:rowOff>81323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04D3396-DAB7-4C7A-A350-5CCF65115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153680</xdr:colOff>
      <xdr:row>44</xdr:row>
      <xdr:rowOff>1119</xdr:rowOff>
    </xdr:from>
    <xdr:to>
      <xdr:col>16</xdr:col>
      <xdr:colOff>187297</xdr:colOff>
      <xdr:row>58</xdr:row>
      <xdr:rowOff>77319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0502925-85CF-4E68-AAA1-7EB14174E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360989</xdr:colOff>
      <xdr:row>45</xdr:row>
      <xdr:rowOff>46744</xdr:rowOff>
    </xdr:from>
    <xdr:to>
      <xdr:col>6</xdr:col>
      <xdr:colOff>272143</xdr:colOff>
      <xdr:row>59</xdr:row>
      <xdr:rowOff>122944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D71C782-4342-4534-9239-6C8A20649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55227</xdr:colOff>
      <xdr:row>45</xdr:row>
      <xdr:rowOff>5123</xdr:rowOff>
    </xdr:from>
    <xdr:to>
      <xdr:col>35</xdr:col>
      <xdr:colOff>88846</xdr:colOff>
      <xdr:row>59</xdr:row>
      <xdr:rowOff>81323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2EC5001-73F6-48DD-AFED-976772C79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153680</xdr:colOff>
      <xdr:row>45</xdr:row>
      <xdr:rowOff>1119</xdr:rowOff>
    </xdr:from>
    <xdr:to>
      <xdr:col>16</xdr:col>
      <xdr:colOff>187297</xdr:colOff>
      <xdr:row>59</xdr:row>
      <xdr:rowOff>77319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EC09BFE-9A31-4282-9F5E-87F4846D4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299355</xdr:colOff>
      <xdr:row>45</xdr:row>
      <xdr:rowOff>1119</xdr:rowOff>
    </xdr:from>
    <xdr:to>
      <xdr:col>25</xdr:col>
      <xdr:colOff>332971</xdr:colOff>
      <xdr:row>59</xdr:row>
      <xdr:rowOff>77319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04840BE-F0B5-4F21-A1C4-747D0E725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1155700</xdr:colOff>
      <xdr:row>27</xdr:row>
      <xdr:rowOff>104140</xdr:rowOff>
    </xdr:from>
    <xdr:to>
      <xdr:col>1</xdr:col>
      <xdr:colOff>213309</xdr:colOff>
      <xdr:row>28</xdr:row>
      <xdr:rowOff>48260</xdr:rowOff>
    </xdr:to>
    <xdr:sp macro="" textlink="">
      <xdr:nvSpPr>
        <xdr:cNvPr id="17" name="OpenSolver4">
          <a:extLst>
            <a:ext uri="{FF2B5EF4-FFF2-40B4-BE49-F238E27FC236}">
              <a16:creationId xmlns:a16="http://schemas.microsoft.com/office/drawing/2014/main" id="{6B54D954-7E24-B379-7FE5-059AA7D85E0D}"/>
            </a:ext>
          </a:extLst>
        </xdr:cNvPr>
        <xdr:cNvSpPr/>
      </xdr:nvSpPr>
      <xdr:spPr>
        <a:xfrm>
          <a:off x="1155700" y="50419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it-IT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27</xdr:col>
      <xdr:colOff>510539</xdr:colOff>
      <xdr:row>4</xdr:row>
      <xdr:rowOff>0</xdr:rowOff>
    </xdr:to>
    <xdr:sp macro="" textlink="">
      <xdr:nvSpPr>
        <xdr:cNvPr id="18" name="OpenSolver5">
          <a:extLst>
            <a:ext uri="{FF2B5EF4-FFF2-40B4-BE49-F238E27FC236}">
              <a16:creationId xmlns:a16="http://schemas.microsoft.com/office/drawing/2014/main" id="{E362BE6F-F849-AAAB-AB4D-344635CD0C73}"/>
            </a:ext>
          </a:extLst>
        </xdr:cNvPr>
        <xdr:cNvSpPr/>
      </xdr:nvSpPr>
      <xdr:spPr>
        <a:xfrm>
          <a:off x="5768340" y="365760"/>
          <a:ext cx="10210799" cy="36576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27</xdr:col>
      <xdr:colOff>510539</xdr:colOff>
      <xdr:row>8</xdr:row>
      <xdr:rowOff>0</xdr:rowOff>
    </xdr:to>
    <xdr:sp macro="" textlink="">
      <xdr:nvSpPr>
        <xdr:cNvPr id="19" name="OpenSolver6">
          <a:extLst>
            <a:ext uri="{FF2B5EF4-FFF2-40B4-BE49-F238E27FC236}">
              <a16:creationId xmlns:a16="http://schemas.microsoft.com/office/drawing/2014/main" id="{B8C0A828-AC39-F1C4-A1A3-37DA5495053D}"/>
            </a:ext>
          </a:extLst>
        </xdr:cNvPr>
        <xdr:cNvSpPr/>
      </xdr:nvSpPr>
      <xdr:spPr>
        <a:xfrm>
          <a:off x="5768340" y="1097280"/>
          <a:ext cx="10210799" cy="36576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20" name="OpenSolver7">
          <a:extLst>
            <a:ext uri="{FF2B5EF4-FFF2-40B4-BE49-F238E27FC236}">
              <a16:creationId xmlns:a16="http://schemas.microsoft.com/office/drawing/2014/main" id="{BA049FFF-CD26-8D17-E69E-AC020EDA2E16}"/>
            </a:ext>
          </a:extLst>
        </xdr:cNvPr>
        <xdr:cNvCxnSpPr>
          <a:stCxn id="18" idx="2"/>
          <a:endCxn id="19" idx="0"/>
        </xdr:cNvCxnSpPr>
      </xdr:nvCxnSpPr>
      <xdr:spPr>
        <a:xfrm>
          <a:off x="10873740" y="731520"/>
          <a:ext cx="0" cy="36576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320040</xdr:colOff>
      <xdr:row>4</xdr:row>
      <xdr:rowOff>55880</xdr:rowOff>
    </xdr:from>
    <xdr:to>
      <xdr:col>18</xdr:col>
      <xdr:colOff>190500</xdr:colOff>
      <xdr:row>5</xdr:row>
      <xdr:rowOff>127000</xdr:rowOff>
    </xdr:to>
    <xdr:sp macro="" textlink="">
      <xdr:nvSpPr>
        <xdr:cNvPr id="21" name="OpenSolver8">
          <a:extLst>
            <a:ext uri="{FF2B5EF4-FFF2-40B4-BE49-F238E27FC236}">
              <a16:creationId xmlns:a16="http://schemas.microsoft.com/office/drawing/2014/main" id="{026E8365-487E-96F9-2447-0B200B270897}"/>
            </a:ext>
          </a:extLst>
        </xdr:cNvPr>
        <xdr:cNvSpPr/>
      </xdr:nvSpPr>
      <xdr:spPr>
        <a:xfrm>
          <a:off x="10683240" y="7874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320040</xdr:colOff>
      <xdr:row>32</xdr:row>
      <xdr:rowOff>59055</xdr:rowOff>
    </xdr:from>
    <xdr:to>
      <xdr:col>7</xdr:col>
      <xdr:colOff>190500</xdr:colOff>
      <xdr:row>33</xdr:row>
      <xdr:rowOff>130175</xdr:rowOff>
    </xdr:to>
    <xdr:sp macro="" textlink="">
      <xdr:nvSpPr>
        <xdr:cNvPr id="29" name="OpenSolver16">
          <a:extLst>
            <a:ext uri="{FF2B5EF4-FFF2-40B4-BE49-F238E27FC236}">
              <a16:creationId xmlns:a16="http://schemas.microsoft.com/office/drawing/2014/main" id="{EBB77E21-5E3F-F414-257F-E304A183D82E}"/>
            </a:ext>
          </a:extLst>
        </xdr:cNvPr>
        <xdr:cNvSpPr/>
      </xdr:nvSpPr>
      <xdr:spPr>
        <a:xfrm>
          <a:off x="5067300" y="591121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64770</xdr:colOff>
      <xdr:row>32</xdr:row>
      <xdr:rowOff>55880</xdr:rowOff>
    </xdr:from>
    <xdr:to>
      <xdr:col>8</xdr:col>
      <xdr:colOff>445770</xdr:colOff>
      <xdr:row>33</xdr:row>
      <xdr:rowOff>127000</xdr:rowOff>
    </xdr:to>
    <xdr:sp macro="" textlink="">
      <xdr:nvSpPr>
        <xdr:cNvPr id="33" name="OpenSolver20">
          <a:extLst>
            <a:ext uri="{FF2B5EF4-FFF2-40B4-BE49-F238E27FC236}">
              <a16:creationId xmlns:a16="http://schemas.microsoft.com/office/drawing/2014/main" id="{37CCFD2C-0BBE-5203-607F-6054D3BDA446}"/>
            </a:ext>
          </a:extLst>
        </xdr:cNvPr>
        <xdr:cNvSpPr/>
      </xdr:nvSpPr>
      <xdr:spPr>
        <a:xfrm>
          <a:off x="5833110" y="590804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24</xdr:col>
      <xdr:colOff>0</xdr:colOff>
      <xdr:row>42</xdr:row>
      <xdr:rowOff>0</xdr:rowOff>
    </xdr:from>
    <xdr:to>
      <xdr:col>25</xdr:col>
      <xdr:colOff>0</xdr:colOff>
      <xdr:row>43</xdr:row>
      <xdr:rowOff>0</xdr:rowOff>
    </xdr:to>
    <xdr:sp macro="" textlink="">
      <xdr:nvSpPr>
        <xdr:cNvPr id="34" name="OpenSolverY43">
          <a:extLst>
            <a:ext uri="{FF2B5EF4-FFF2-40B4-BE49-F238E27FC236}">
              <a16:creationId xmlns:a16="http://schemas.microsoft.com/office/drawing/2014/main" id="{E604BAEE-D36B-A33C-81E8-EB36729B625F}"/>
            </a:ext>
          </a:extLst>
        </xdr:cNvPr>
        <xdr:cNvSpPr/>
      </xdr:nvSpPr>
      <xdr:spPr>
        <a:xfrm>
          <a:off x="13936980" y="7680960"/>
          <a:ext cx="510540" cy="18288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CC33"/>
              </a:solidFill>
            </a:rPr>
            <a:t>100≥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66260</xdr:colOff>
      <xdr:row>6</xdr:row>
      <xdr:rowOff>57979</xdr:rowOff>
    </xdr:from>
    <xdr:to>
      <xdr:col>46</xdr:col>
      <xdr:colOff>89866</xdr:colOff>
      <xdr:row>17</xdr:row>
      <xdr:rowOff>162754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EB27D727-DC2D-4D32-B377-8ED43142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021" y="1200979"/>
          <a:ext cx="587941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182217</xdr:colOff>
      <xdr:row>5</xdr:row>
      <xdr:rowOff>41413</xdr:rowOff>
    </xdr:from>
    <xdr:to>
      <xdr:col>45</xdr:col>
      <xdr:colOff>106432</xdr:colOff>
      <xdr:row>16</xdr:row>
      <xdr:rowOff>146188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0658BC0-4EF9-43A5-86DF-847A8880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6674" y="993913"/>
          <a:ext cx="587941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410308</xdr:colOff>
      <xdr:row>20</xdr:row>
      <xdr:rowOff>59348</xdr:rowOff>
    </xdr:from>
    <xdr:to>
      <xdr:col>25</xdr:col>
      <xdr:colOff>46618</xdr:colOff>
      <xdr:row>30</xdr:row>
      <xdr:rowOff>93044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E285B4F-1C37-4D44-9E1D-629A198F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39" y="3869348"/>
          <a:ext cx="6303810" cy="19386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eo Vincenzo Rocco" id="{FA284A21-C40C-4ED0-A840-4F0CAC01A3C1}" userId="S::10261181@polimi.it::f0612b38-90a5-4ea6-a107-ffcb2d31d2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2" dT="2021-04-22T13:54:21.63" personId="{FA284A21-C40C-4ED0-A840-4F0CAC01A3C1}" id="{46242756-8B12-479D-8B93-F339152F1E3C}">
    <text>emissions included in the flows. pay attention that emissions in one flow may be simply converted in other flows without being emitted.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2" dT="2021-04-22T13:54:21.63" personId="{FA284A21-C40C-4ED0-A840-4F0CAC01A3C1}" id="{7F254847-7D8F-4064-A09D-359355B450AB}">
    <text>emissions included in the flows. pay attention that emissions in one flow may be simply converted in other flows without being emitted.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4" dT="2021-04-22T13:54:21.63" personId="{FA284A21-C40C-4ED0-A840-4F0CAC01A3C1}" id="{0D284FBE-F297-49A9-89EE-3EED81AB63DB}">
    <text>emissions included in the flows. pay attention that emissions in one flow may be simply converted in other flows without being emitted.</text>
  </threadedComment>
  <threadedComment ref="V18" dT="2021-12-21T15:53:53.50" personId="{FA284A21-C40C-4ED0-A840-4F0CAC01A3C1}" id="{F5F4B37C-F461-4862-B36B-C42BC24A35F4}">
    <text>BV_U</text>
  </threadedComment>
  <threadedComment ref="AA18" dT="2021-12-21T15:53:59.43" personId="{FA284A21-C40C-4ED0-A840-4F0CAC01A3C1}" id="{A66FF630-28C5-4C7A-BCBA-074EBBFDFCD5}">
    <text>BV_E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S13" dT="2021-04-22T13:54:21.63" personId="{FA284A21-C40C-4ED0-A840-4F0CAC01A3C1}" id="{EDAB7E1C-BE45-4794-9E06-7D3CF8FBAD3E}">
    <text>emissions included in the flows. pay attention that emissions in one flow may be simply converted in other flows without being emitted.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T14" dT="2021-04-22T13:54:21.63" personId="{FA284A21-C40C-4ED0-A840-4F0CAC01A3C1}" id="{14D782FB-6477-4FC0-959F-547911F779FF}">
    <text>emissions included in the flows. pay attention that emissions in one flow may be simply converted in other flows without being emitted.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Q20" dT="2021-04-30T10:57:19.19" personId="{FA284A21-C40C-4ED0-A840-4F0CAC01A3C1}" id="{5760D0CE-F93E-46EF-98DD-C8FFAD5E9F6E}">
    <text>for all industries dispatching yearly products and for final demand, the consumption of hourly products must be defined as a function of time.</text>
  </threadedComment>
  <threadedComment ref="Q20" dT="2021-04-30T11:00:21.05" personId="{FA284A21-C40C-4ED0-A840-4F0CAC01A3C1}" id="{077E6923-12BA-4C59-812D-8A2299E8C1E5}" parentId="{5760D0CE-F93E-46EF-98DD-C8FFAD5E9F6E}">
    <text>the demand of industries dispatching hourly products is implicitly defined by their production profile (endogenous).</text>
  </threadedComment>
  <threadedComment ref="X20" dT="2021-04-30T10:57:19.19" personId="{FA284A21-C40C-4ED0-A840-4F0CAC01A3C1}" id="{BDBCAF6B-CD4F-4735-AEC9-2BA7E68C7F8F}">
    <text>for all industries dispatching yearly products, the PRODUCTION of hourly products must be defined as a function of time.</text>
  </threadedComment>
  <threadedComment ref="X20" dT="2021-04-30T11:00:54.49" personId="{FA284A21-C40C-4ED0-A840-4F0CAC01A3C1}" id="{A4068D39-94B3-4332-86E9-1C9A43DA1098}" parentId="{BDBCAF6B-CD4F-4735-AEC9-2BA7E68C7F8F}">
    <text>the production of industries dispatching hourly products is implicitly defined by their production profile (endogenous).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Q20" dT="2021-04-30T10:57:19.19" personId="{FA284A21-C40C-4ED0-A840-4F0CAC01A3C1}" id="{FE53D246-93FF-4480-A311-1BF4C4833FB6}">
    <text>for all industries dispatching yearly products and for final demand, the consumption of hourly products must be defined as a function of time.</text>
  </threadedComment>
  <threadedComment ref="Q20" dT="2021-04-30T11:00:21.05" personId="{FA284A21-C40C-4ED0-A840-4F0CAC01A3C1}" id="{1AC40C1E-566B-4BF8-A087-08D38D176311}" parentId="{FE53D246-93FF-4480-A311-1BF4C4833FB6}">
    <text>the demand of industries dispatching hourly products is implicitly defined by their production profile (endogenous).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Y9" dT="2021-04-14T13:30:34.01" personId="{FA284A21-C40C-4ED0-A840-4F0CAC01A3C1}" id="{0F55B582-3D4F-4A0B-8521-94090F2FE709}">
    <text>properties of flows (e.g. carbon content of energy carriers)</text>
  </threadedComment>
  <threadedComment ref="BA9" dT="2021-04-14T13:31:07.33" personId="{FA284A21-C40C-4ED0-A840-4F0CAC01A3C1}" id="{92D03782-A6AD-418D-9593-12EAC84899D2}">
    <text>demand of energy flows by sector (either intermediate or final sectors)</text>
  </threadedComment>
  <threadedComment ref="A10" dT="2021-04-14T09:10:22.00" personId="{FA284A21-C40C-4ED0-A840-4F0CAC01A3C1}" id="{AD201F9B-D49F-4BDE-AB6D-0CC0B1E3C331}">
    <text>endogenous transactions;
energy-related flows;
- it includes either commodities (gasoline) or services (heating)</text>
  </threadedComment>
  <threadedComment ref="A40" dT="2021-04-14T09:18:36.76" personId="{FA284A21-C40C-4ED0-A840-4F0CAC01A3C1}" id="{CF565BDD-0FDF-481A-A229-0B2DB3FCDFFF}">
    <text>it may consist in one technology or a cluster of technologies in competition;
it can be a real industry (natural gas industry) or a ficticious industry (heat provisioning)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2.x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3.xml"/><Relationship Id="rId4" Type="http://schemas.microsoft.com/office/2017/10/relationships/threadedComment" Target="../threadedComments/threadedComment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4.xml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5.xml"/><Relationship Id="rId4" Type="http://schemas.microsoft.com/office/2017/10/relationships/threadedComment" Target="../threadedComments/threadedComment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6.xml"/><Relationship Id="rId4" Type="http://schemas.microsoft.com/office/2017/10/relationships/threadedComment" Target="../threadedComments/threadedComment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2C4-8EB2-44FF-99ED-4E0B0D731E23}">
  <sheetPr>
    <tabColor theme="2" tint="-0.249977111117893"/>
  </sheetPr>
  <dimension ref="A1:AA55"/>
  <sheetViews>
    <sheetView showGridLines="0" zoomScaleNormal="100" workbookViewId="0">
      <selection activeCell="D16" sqref="D16"/>
    </sheetView>
  </sheetViews>
  <sheetFormatPr defaultColWidth="9.21875" defaultRowHeight="14.4" x14ac:dyDescent="0.3"/>
  <cols>
    <col min="1" max="1" width="14.21875" style="10" customWidth="1"/>
    <col min="2" max="2" width="13.44140625" style="10" customWidth="1"/>
    <col min="3" max="3" width="9.21875" style="10"/>
    <col min="4" max="27" width="7.77734375" style="10" customWidth="1"/>
    <col min="28" max="16384" width="9.21875" style="10"/>
  </cols>
  <sheetData>
    <row r="1" spans="1:27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3">
      <c r="A2" s="14" t="s">
        <v>1</v>
      </c>
    </row>
    <row r="4" spans="1:27" x14ac:dyDescent="0.3">
      <c r="C4" s="10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11" t="s">
        <v>10</v>
      </c>
      <c r="N4" s="11" t="s">
        <v>11</v>
      </c>
      <c r="R4" s="10" t="s">
        <v>12</v>
      </c>
      <c r="S4" s="11" t="s">
        <v>3</v>
      </c>
      <c r="T4" s="11" t="s">
        <v>4</v>
      </c>
      <c r="U4" s="11" t="s">
        <v>5</v>
      </c>
      <c r="V4" s="11" t="s">
        <v>6</v>
      </c>
      <c r="W4" s="11" t="s">
        <v>7</v>
      </c>
      <c r="X4" s="11" t="s">
        <v>8</v>
      </c>
      <c r="Y4" s="11" t="s">
        <v>9</v>
      </c>
      <c r="AA4" s="11" t="s">
        <v>13</v>
      </c>
    </row>
    <row r="5" spans="1:27" x14ac:dyDescent="0.3">
      <c r="A5" s="10" t="s">
        <v>14</v>
      </c>
      <c r="B5" s="10" t="s">
        <v>15</v>
      </c>
      <c r="C5" s="10" t="s">
        <v>3</v>
      </c>
      <c r="D5" s="10">
        <v>0</v>
      </c>
      <c r="E5" s="10">
        <v>0</v>
      </c>
      <c r="F5" s="10">
        <v>0</v>
      </c>
      <c r="G5" s="10">
        <v>0</v>
      </c>
      <c r="H5" s="9">
        <v>0</v>
      </c>
      <c r="I5" s="9">
        <f>1/0.35</f>
        <v>2.8571428571428572</v>
      </c>
      <c r="J5" s="9">
        <v>0</v>
      </c>
      <c r="L5" s="13">
        <v>0</v>
      </c>
      <c r="N5" s="9">
        <f t="array" ref="N5:N11">MMULT(_xlfn.MUNIT(7)-D5:J11,TRANSPOSE(D16:J16))</f>
        <v>9.1417720504693989E-8</v>
      </c>
      <c r="R5" s="10" t="s">
        <v>3</v>
      </c>
      <c r="S5" s="10">
        <f t="array" ref="S5:Y11">MMULT(D5:J11,D16:J16*_xlfn.MUNIT(7))</f>
        <v>0</v>
      </c>
      <c r="T5" s="10">
        <v>0</v>
      </c>
      <c r="U5" s="10">
        <v>0</v>
      </c>
      <c r="V5" s="10">
        <v>0</v>
      </c>
      <c r="W5" s="9">
        <v>0</v>
      </c>
      <c r="X5" s="9">
        <v>4.2857185714285722</v>
      </c>
      <c r="Y5" s="9">
        <v>0</v>
      </c>
      <c r="AA5" s="10">
        <f t="array" ref="AA5:AA11">MMULT(_xlfn.MUNIT(7),TRANSPOSE(D16:J16))</f>
        <v>4.2857186628462927</v>
      </c>
    </row>
    <row r="6" spans="1:27" x14ac:dyDescent="0.3">
      <c r="B6" s="10" t="s">
        <v>16</v>
      </c>
      <c r="C6" s="10" t="s">
        <v>4</v>
      </c>
      <c r="D6" s="10">
        <v>0</v>
      </c>
      <c r="E6" s="10">
        <v>0</v>
      </c>
      <c r="F6" s="10">
        <v>0</v>
      </c>
      <c r="G6" s="10">
        <v>0</v>
      </c>
      <c r="H6" s="9">
        <v>0</v>
      </c>
      <c r="I6" s="9">
        <v>0</v>
      </c>
      <c r="J6" s="9">
        <f>1/0.9</f>
        <v>1.1111111111111112</v>
      </c>
      <c r="L6" s="13">
        <v>0</v>
      </c>
      <c r="N6" s="9">
        <v>-2.3700890583455703E-8</v>
      </c>
      <c r="R6" s="10" t="s">
        <v>4</v>
      </c>
      <c r="S6" s="10">
        <v>0</v>
      </c>
      <c r="T6" s="10">
        <v>0</v>
      </c>
      <c r="U6" s="10">
        <v>0</v>
      </c>
      <c r="V6" s="10">
        <v>0</v>
      </c>
      <c r="W6" s="9">
        <v>0</v>
      </c>
      <c r="X6" s="9">
        <v>0</v>
      </c>
      <c r="Y6" s="9">
        <v>1.6666661111111112</v>
      </c>
      <c r="AA6" s="10">
        <v>1.6666660874102206</v>
      </c>
    </row>
    <row r="7" spans="1:27" x14ac:dyDescent="0.3">
      <c r="B7" s="10" t="s">
        <v>17</v>
      </c>
      <c r="C7" s="10" t="s">
        <v>5</v>
      </c>
      <c r="D7" s="10">
        <v>0</v>
      </c>
      <c r="E7" s="10">
        <v>0</v>
      </c>
      <c r="F7" s="10">
        <v>0</v>
      </c>
      <c r="G7" s="10">
        <v>0</v>
      </c>
      <c r="H7" s="9">
        <v>0</v>
      </c>
      <c r="I7" s="9">
        <v>0</v>
      </c>
      <c r="J7" s="9">
        <v>0</v>
      </c>
      <c r="L7" s="13">
        <v>1</v>
      </c>
      <c r="N7" s="9">
        <v>1.0000009999999999</v>
      </c>
      <c r="R7" s="10" t="s">
        <v>5</v>
      </c>
      <c r="S7" s="10">
        <v>0</v>
      </c>
      <c r="T7" s="10">
        <v>0</v>
      </c>
      <c r="U7" s="10">
        <v>0</v>
      </c>
      <c r="V7" s="10">
        <v>0</v>
      </c>
      <c r="W7" s="9">
        <v>0</v>
      </c>
      <c r="X7" s="9">
        <v>0</v>
      </c>
      <c r="Y7" s="9">
        <v>0</v>
      </c>
      <c r="AA7" s="10">
        <v>1.0000009999999999</v>
      </c>
    </row>
    <row r="8" spans="1:27" x14ac:dyDescent="0.3">
      <c r="B8" s="10" t="s">
        <v>18</v>
      </c>
      <c r="C8" s="10" t="s">
        <v>6</v>
      </c>
      <c r="D8" s="10">
        <v>0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L8" s="13">
        <v>2</v>
      </c>
      <c r="N8" s="9">
        <v>2</v>
      </c>
      <c r="R8" s="10" t="s">
        <v>6</v>
      </c>
      <c r="S8" s="10">
        <v>0</v>
      </c>
      <c r="T8" s="10">
        <v>0</v>
      </c>
      <c r="U8" s="10">
        <v>0</v>
      </c>
      <c r="V8" s="10">
        <v>0</v>
      </c>
      <c r="W8" s="9">
        <v>0</v>
      </c>
      <c r="X8" s="9">
        <v>0</v>
      </c>
      <c r="Y8" s="9">
        <v>0</v>
      </c>
      <c r="AA8" s="10">
        <v>2</v>
      </c>
    </row>
    <row r="9" spans="1:27" x14ac:dyDescent="0.3">
      <c r="A9" s="10" t="s">
        <v>19</v>
      </c>
      <c r="B9" s="10" t="s">
        <v>20</v>
      </c>
      <c r="C9" s="10" t="s">
        <v>7</v>
      </c>
      <c r="D9" s="9">
        <v>1</v>
      </c>
      <c r="E9" s="9">
        <v>1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L9" s="10">
        <v>0</v>
      </c>
      <c r="N9" s="10">
        <v>0</v>
      </c>
      <c r="R9" s="10" t="s">
        <v>7</v>
      </c>
      <c r="S9" s="9">
        <v>4.2857186628462927</v>
      </c>
      <c r="T9" s="9">
        <v>1.6666660874102206</v>
      </c>
      <c r="U9" s="9">
        <v>0</v>
      </c>
      <c r="V9" s="9">
        <v>0</v>
      </c>
      <c r="W9" s="10">
        <v>0</v>
      </c>
      <c r="X9" s="10">
        <v>0</v>
      </c>
      <c r="Y9" s="10">
        <v>0</v>
      </c>
      <c r="AA9" s="10">
        <v>5.9523847502565133</v>
      </c>
    </row>
    <row r="10" spans="1:27" x14ac:dyDescent="0.3">
      <c r="B10" s="10" t="s">
        <v>21</v>
      </c>
      <c r="C10" s="10" t="s">
        <v>8</v>
      </c>
      <c r="D10" s="9">
        <v>0</v>
      </c>
      <c r="E10" s="9">
        <v>0</v>
      </c>
      <c r="F10" s="16">
        <v>1.5</v>
      </c>
      <c r="G10" s="17">
        <v>0</v>
      </c>
      <c r="H10" s="10">
        <v>0</v>
      </c>
      <c r="I10" s="10">
        <v>0</v>
      </c>
      <c r="J10" s="10">
        <v>0</v>
      </c>
      <c r="L10" s="10">
        <v>0</v>
      </c>
      <c r="N10" s="10">
        <v>4.4408920985006262E-16</v>
      </c>
      <c r="R10" s="10" t="s">
        <v>8</v>
      </c>
      <c r="S10" s="9">
        <v>0</v>
      </c>
      <c r="T10" s="9">
        <v>0</v>
      </c>
      <c r="U10" s="9">
        <v>1.5000014999999998</v>
      </c>
      <c r="V10" s="9">
        <v>0</v>
      </c>
      <c r="W10" s="10">
        <v>0</v>
      </c>
      <c r="X10" s="10">
        <v>0</v>
      </c>
      <c r="Y10" s="10">
        <v>0</v>
      </c>
      <c r="AA10" s="10">
        <v>1.5000015000000002</v>
      </c>
    </row>
    <row r="11" spans="1:27" x14ac:dyDescent="0.3">
      <c r="B11" s="10" t="s">
        <v>22</v>
      </c>
      <c r="C11" s="10" t="s">
        <v>9</v>
      </c>
      <c r="D11" s="9">
        <v>0</v>
      </c>
      <c r="E11" s="9">
        <v>0</v>
      </c>
      <c r="F11" s="18">
        <v>-0.5</v>
      </c>
      <c r="G11" s="19">
        <v>1</v>
      </c>
      <c r="H11" s="10">
        <v>0</v>
      </c>
      <c r="I11" s="10">
        <v>0</v>
      </c>
      <c r="J11" s="10">
        <v>0</v>
      </c>
      <c r="L11" s="10">
        <v>0</v>
      </c>
      <c r="N11" s="10">
        <v>0</v>
      </c>
      <c r="R11" s="10" t="s">
        <v>9</v>
      </c>
      <c r="S11" s="9">
        <v>0</v>
      </c>
      <c r="T11" s="9">
        <v>0</v>
      </c>
      <c r="U11" s="9">
        <v>-0.50000049999999996</v>
      </c>
      <c r="V11" s="9">
        <v>2</v>
      </c>
      <c r="W11" s="10">
        <v>0</v>
      </c>
      <c r="X11" s="10">
        <v>0</v>
      </c>
      <c r="Y11" s="10">
        <v>0</v>
      </c>
      <c r="AA11" s="10">
        <v>1.4999994999999999</v>
      </c>
    </row>
    <row r="13" spans="1:27" x14ac:dyDescent="0.3">
      <c r="A13" s="10" t="s">
        <v>14</v>
      </c>
      <c r="B13" s="10" t="s">
        <v>23</v>
      </c>
      <c r="D13" s="10">
        <v>0</v>
      </c>
      <c r="E13" s="10">
        <v>0</v>
      </c>
      <c r="F13" s="10">
        <v>0</v>
      </c>
      <c r="G13" s="10">
        <v>0</v>
      </c>
      <c r="H13" s="9">
        <v>1.2</v>
      </c>
      <c r="I13" s="9">
        <v>0</v>
      </c>
      <c r="J13" s="9">
        <v>0</v>
      </c>
      <c r="S13" s="10">
        <f t="array" ref="S13:Y14">MMULT(D13:J14,D16:J16*_xlfn.MUNIT(7))</f>
        <v>0</v>
      </c>
      <c r="T13" s="10">
        <v>0</v>
      </c>
      <c r="U13" s="10">
        <v>0</v>
      </c>
      <c r="V13" s="10">
        <v>0</v>
      </c>
      <c r="W13" s="9">
        <v>7.1428617003078161</v>
      </c>
      <c r="X13" s="9">
        <v>0</v>
      </c>
      <c r="Y13" s="9">
        <v>0</v>
      </c>
    </row>
    <row r="14" spans="1:27" x14ac:dyDescent="0.3">
      <c r="B14" s="10" t="s">
        <v>24</v>
      </c>
      <c r="D14" s="10">
        <v>0</v>
      </c>
      <c r="E14" s="10">
        <v>0</v>
      </c>
      <c r="F14" s="10">
        <v>0</v>
      </c>
      <c r="G14" s="10">
        <v>0</v>
      </c>
      <c r="H14" s="9">
        <v>0</v>
      </c>
      <c r="I14" s="9">
        <v>0</v>
      </c>
      <c r="J14" s="9">
        <v>0</v>
      </c>
      <c r="S14" s="10">
        <v>0</v>
      </c>
      <c r="T14" s="10">
        <v>0</v>
      </c>
      <c r="U14" s="10">
        <v>0</v>
      </c>
      <c r="V14" s="10">
        <v>0</v>
      </c>
      <c r="W14" s="9">
        <v>0</v>
      </c>
      <c r="X14" s="9">
        <v>0</v>
      </c>
      <c r="Y14" s="9">
        <v>0</v>
      </c>
    </row>
    <row r="15" spans="1:27" x14ac:dyDescent="0.3">
      <c r="N15" s="10" t="s">
        <v>12</v>
      </c>
    </row>
    <row r="16" spans="1:27" x14ac:dyDescent="0.3">
      <c r="A16" s="10" t="s">
        <v>25</v>
      </c>
      <c r="C16" s="10" t="s">
        <v>26</v>
      </c>
      <c r="D16" s="12">
        <v>4.2857186628462927</v>
      </c>
      <c r="E16" s="12">
        <v>1.6666660874102206</v>
      </c>
      <c r="F16" s="12">
        <v>1.0000009999999999</v>
      </c>
      <c r="G16" s="12">
        <v>2</v>
      </c>
      <c r="H16" s="12">
        <v>5.9523847502565133</v>
      </c>
      <c r="I16" s="12">
        <v>1.5000015000000002</v>
      </c>
      <c r="J16" s="12">
        <v>1.4999994999999999</v>
      </c>
      <c r="N16" s="10">
        <f t="array" ref="N16">MMULT(D14:J14,TRANSPOSE(D16:J16))</f>
        <v>0</v>
      </c>
    </row>
    <row r="19" spans="1:27" x14ac:dyDescent="0.3">
      <c r="A19" s="21" t="s">
        <v>27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x14ac:dyDescent="0.3">
      <c r="A20" s="14" t="s">
        <v>28</v>
      </c>
    </row>
    <row r="22" spans="1:27" x14ac:dyDescent="0.3">
      <c r="C22" s="10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  <c r="I22" s="11" t="s">
        <v>8</v>
      </c>
      <c r="J22" s="11" t="s">
        <v>9</v>
      </c>
      <c r="L22" s="11" t="s">
        <v>10</v>
      </c>
      <c r="N22" s="11" t="s">
        <v>11</v>
      </c>
      <c r="R22" s="10" t="s">
        <v>12</v>
      </c>
      <c r="S22" s="11" t="s">
        <v>3</v>
      </c>
      <c r="T22" s="11" t="s">
        <v>4</v>
      </c>
      <c r="U22" s="11" t="s">
        <v>5</v>
      </c>
      <c r="V22" s="11" t="s">
        <v>6</v>
      </c>
      <c r="W22" s="11" t="s">
        <v>7</v>
      </c>
      <c r="X22" s="11" t="s">
        <v>8</v>
      </c>
      <c r="Y22" s="11" t="s">
        <v>9</v>
      </c>
      <c r="AA22" s="11" t="s">
        <v>13</v>
      </c>
    </row>
    <row r="23" spans="1:27" x14ac:dyDescent="0.3">
      <c r="A23" s="10" t="s">
        <v>14</v>
      </c>
      <c r="B23" s="10" t="s">
        <v>15</v>
      </c>
      <c r="C23" s="10" t="s">
        <v>3</v>
      </c>
      <c r="D23" s="10">
        <v>0</v>
      </c>
      <c r="E23" s="10">
        <v>0</v>
      </c>
      <c r="F23" s="10">
        <v>0</v>
      </c>
      <c r="G23" s="10">
        <v>0</v>
      </c>
      <c r="H23" s="9">
        <v>0</v>
      </c>
      <c r="I23" s="9">
        <f>1/0.35</f>
        <v>2.8571428571428572</v>
      </c>
      <c r="J23" s="9">
        <v>0</v>
      </c>
      <c r="L23" s="15">
        <f>L5</f>
        <v>0</v>
      </c>
      <c r="N23" s="9">
        <f t="array" ref="N23:N29">MMULT(_xlfn.MUNIT(7)-D23:J29,TRANSPOSE(D34:J34))</f>
        <v>1.9128094663756201E-9</v>
      </c>
      <c r="R23" s="10" t="s">
        <v>3</v>
      </c>
      <c r="S23" s="10">
        <f t="array" ref="S23:Y29">MMULT(D23:J29,D34:J34*_xlfn.MUNIT(7))</f>
        <v>0</v>
      </c>
      <c r="T23" s="10">
        <v>0</v>
      </c>
      <c r="U23" s="10">
        <v>0</v>
      </c>
      <c r="V23" s="10">
        <v>0</v>
      </c>
      <c r="W23" s="9">
        <v>0</v>
      </c>
      <c r="X23" s="9">
        <v>4.7619076190476193</v>
      </c>
      <c r="Y23" s="9">
        <v>0</v>
      </c>
      <c r="AA23" s="10">
        <f t="array" ref="AA23:AA29">MMULT(_xlfn.MUNIT(7),TRANSPOSE(D34:J34))</f>
        <v>4.7619076209604287</v>
      </c>
    </row>
    <row r="24" spans="1:27" x14ac:dyDescent="0.3">
      <c r="B24" s="10" t="s">
        <v>16</v>
      </c>
      <c r="C24" s="10" t="s">
        <v>4</v>
      </c>
      <c r="D24" s="10">
        <v>0</v>
      </c>
      <c r="E24" s="10">
        <v>0</v>
      </c>
      <c r="F24" s="10">
        <v>0</v>
      </c>
      <c r="G24" s="10">
        <v>0</v>
      </c>
      <c r="H24" s="9">
        <v>0</v>
      </c>
      <c r="I24" s="9">
        <v>0</v>
      </c>
      <c r="J24" s="9">
        <f>1/0.9</f>
        <v>1.1111111111111112</v>
      </c>
      <c r="L24" s="15">
        <f t="shared" ref="L24:L26" si="0">L6</f>
        <v>0</v>
      </c>
      <c r="N24" s="9">
        <v>0</v>
      </c>
      <c r="R24" s="10" t="s">
        <v>4</v>
      </c>
      <c r="S24" s="10">
        <v>0</v>
      </c>
      <c r="T24" s="10">
        <v>0</v>
      </c>
      <c r="U24" s="10">
        <v>0</v>
      </c>
      <c r="V24" s="10">
        <v>0</v>
      </c>
      <c r="W24" s="9">
        <v>0</v>
      </c>
      <c r="X24" s="9">
        <v>0</v>
      </c>
      <c r="Y24" s="9">
        <v>1.4814814814814814</v>
      </c>
      <c r="AA24" s="10">
        <v>1.4814814814814814</v>
      </c>
    </row>
    <row r="25" spans="1:27" x14ac:dyDescent="0.3">
      <c r="B25" s="10" t="s">
        <v>17</v>
      </c>
      <c r="C25" s="10" t="s">
        <v>5</v>
      </c>
      <c r="D25" s="10">
        <v>0</v>
      </c>
      <c r="E25" s="10">
        <v>0</v>
      </c>
      <c r="F25" s="10">
        <v>0</v>
      </c>
      <c r="G25" s="10">
        <v>0</v>
      </c>
      <c r="H25" s="9">
        <v>0</v>
      </c>
      <c r="I25" s="9">
        <v>0</v>
      </c>
      <c r="J25" s="9">
        <v>0</v>
      </c>
      <c r="L25" s="15">
        <f t="shared" si="0"/>
        <v>1</v>
      </c>
      <c r="N25" s="9">
        <v>1.0000009999999999</v>
      </c>
      <c r="R25" s="10" t="s">
        <v>5</v>
      </c>
      <c r="S25" s="10">
        <v>0</v>
      </c>
      <c r="T25" s="10">
        <v>0</v>
      </c>
      <c r="U25" s="10">
        <v>0</v>
      </c>
      <c r="V25" s="10">
        <v>0</v>
      </c>
      <c r="W25" s="9">
        <v>0</v>
      </c>
      <c r="X25" s="9">
        <v>0</v>
      </c>
      <c r="Y25" s="9">
        <v>0</v>
      </c>
      <c r="AA25" s="10">
        <v>1.0000009999999999</v>
      </c>
    </row>
    <row r="26" spans="1:27" x14ac:dyDescent="0.3">
      <c r="B26" s="10" t="s">
        <v>18</v>
      </c>
      <c r="C26" s="10" t="s">
        <v>6</v>
      </c>
      <c r="D26" s="10">
        <v>0</v>
      </c>
      <c r="E26" s="10">
        <v>0</v>
      </c>
      <c r="F26" s="10">
        <v>0</v>
      </c>
      <c r="G26" s="10">
        <v>0</v>
      </c>
      <c r="H26" s="9">
        <v>0</v>
      </c>
      <c r="I26" s="9">
        <v>0</v>
      </c>
      <c r="J26" s="9">
        <v>0</v>
      </c>
      <c r="L26" s="15">
        <f t="shared" si="0"/>
        <v>2</v>
      </c>
      <c r="N26" s="9">
        <v>2</v>
      </c>
      <c r="R26" s="10" t="s">
        <v>6</v>
      </c>
      <c r="S26" s="10">
        <v>0</v>
      </c>
      <c r="T26" s="10">
        <v>0</v>
      </c>
      <c r="U26" s="10">
        <v>0</v>
      </c>
      <c r="V26" s="10">
        <v>0</v>
      </c>
      <c r="W26" s="9">
        <v>0</v>
      </c>
      <c r="X26" s="9">
        <v>0</v>
      </c>
      <c r="Y26" s="9">
        <v>0</v>
      </c>
      <c r="AA26" s="10">
        <v>2</v>
      </c>
    </row>
    <row r="27" spans="1:27" x14ac:dyDescent="0.3">
      <c r="A27" s="10" t="s">
        <v>19</v>
      </c>
      <c r="B27" s="10" t="s">
        <v>20</v>
      </c>
      <c r="C27" s="10" t="s">
        <v>7</v>
      </c>
      <c r="D27" s="9">
        <v>1</v>
      </c>
      <c r="E27" s="9">
        <v>1</v>
      </c>
      <c r="F27" s="9">
        <v>0</v>
      </c>
      <c r="G27" s="9">
        <v>0</v>
      </c>
      <c r="H27" s="10">
        <v>0</v>
      </c>
      <c r="I27" s="10">
        <v>0</v>
      </c>
      <c r="J27" s="10">
        <v>0</v>
      </c>
      <c r="L27" s="10">
        <v>0</v>
      </c>
      <c r="N27" s="10">
        <v>8.8817841970012523E-16</v>
      </c>
      <c r="R27" s="10" t="s">
        <v>7</v>
      </c>
      <c r="S27" s="9">
        <v>4.7619076209604287</v>
      </c>
      <c r="T27" s="9">
        <v>1.4814814814814814</v>
      </c>
      <c r="U27" s="9">
        <v>0</v>
      </c>
      <c r="V27" s="9">
        <v>0</v>
      </c>
      <c r="W27" s="10">
        <v>0</v>
      </c>
      <c r="X27" s="10">
        <v>0</v>
      </c>
      <c r="Y27" s="10">
        <v>0</v>
      </c>
      <c r="AA27" s="10">
        <v>6.2433891024419106</v>
      </c>
    </row>
    <row r="28" spans="1:27" x14ac:dyDescent="0.3">
      <c r="B28" s="10" t="s">
        <v>21</v>
      </c>
      <c r="C28" s="10" t="s">
        <v>8</v>
      </c>
      <c r="D28" s="9">
        <v>0</v>
      </c>
      <c r="E28" s="9">
        <v>0</v>
      </c>
      <c r="F28" s="16">
        <v>1</v>
      </c>
      <c r="G28" s="17">
        <f>1/3</f>
        <v>0.33333333333333331</v>
      </c>
      <c r="H28" s="10">
        <v>0</v>
      </c>
      <c r="I28" s="10">
        <v>0</v>
      </c>
      <c r="J28" s="10">
        <v>0</v>
      </c>
      <c r="L28" s="10">
        <v>0</v>
      </c>
      <c r="N28" s="10">
        <v>0</v>
      </c>
      <c r="R28" s="10" t="s">
        <v>8</v>
      </c>
      <c r="S28" s="9">
        <v>0</v>
      </c>
      <c r="T28" s="9">
        <v>0</v>
      </c>
      <c r="U28" s="9">
        <v>1.0000009999999999</v>
      </c>
      <c r="V28" s="9">
        <v>0.66666666666666663</v>
      </c>
      <c r="W28" s="10">
        <v>0</v>
      </c>
      <c r="X28" s="10">
        <v>0</v>
      </c>
      <c r="Y28" s="10">
        <v>0</v>
      </c>
      <c r="AA28" s="10">
        <v>1.6666676666666667</v>
      </c>
    </row>
    <row r="29" spans="1:27" x14ac:dyDescent="0.3">
      <c r="B29" s="10" t="s">
        <v>22</v>
      </c>
      <c r="C29" s="10" t="s">
        <v>9</v>
      </c>
      <c r="D29" s="9">
        <v>0</v>
      </c>
      <c r="E29" s="9">
        <v>0</v>
      </c>
      <c r="F29" s="18">
        <v>0</v>
      </c>
      <c r="G29" s="19">
        <f>2/3</f>
        <v>0.66666666666666663</v>
      </c>
      <c r="H29" s="10">
        <v>0</v>
      </c>
      <c r="I29" s="10">
        <v>0</v>
      </c>
      <c r="J29" s="10">
        <v>0</v>
      </c>
      <c r="L29" s="10">
        <v>0</v>
      </c>
      <c r="N29" s="10">
        <v>0</v>
      </c>
      <c r="R29" s="10" t="s">
        <v>9</v>
      </c>
      <c r="S29" s="9">
        <v>0</v>
      </c>
      <c r="T29" s="9">
        <v>0</v>
      </c>
      <c r="U29" s="9">
        <v>0</v>
      </c>
      <c r="V29" s="9">
        <v>1.3333333333333333</v>
      </c>
      <c r="W29" s="10">
        <v>0</v>
      </c>
      <c r="X29" s="10">
        <v>0</v>
      </c>
      <c r="Y29" s="10">
        <v>0</v>
      </c>
      <c r="AA29" s="10">
        <v>1.3333333333333333</v>
      </c>
    </row>
    <row r="31" spans="1:27" x14ac:dyDescent="0.3">
      <c r="A31" s="10" t="s">
        <v>14</v>
      </c>
      <c r="B31" s="10" t="s">
        <v>23</v>
      </c>
      <c r="D31" s="10">
        <f t="array" ref="D31:J32">D13:J14</f>
        <v>0</v>
      </c>
      <c r="E31" s="10">
        <v>0</v>
      </c>
      <c r="F31" s="10">
        <v>0</v>
      </c>
      <c r="G31" s="10">
        <v>0</v>
      </c>
      <c r="H31" s="9">
        <v>1.2</v>
      </c>
      <c r="I31" s="9">
        <v>0</v>
      </c>
      <c r="J31" s="9">
        <v>0</v>
      </c>
      <c r="S31" s="10">
        <f t="array" ref="S31:Y32">MMULT(D31:J32,D34:J34*_xlfn.MUNIT(7))</f>
        <v>0</v>
      </c>
      <c r="T31" s="10">
        <v>0</v>
      </c>
      <c r="U31" s="10">
        <v>0</v>
      </c>
      <c r="V31" s="10">
        <v>0</v>
      </c>
      <c r="W31" s="9">
        <v>7.4920669229302925</v>
      </c>
      <c r="X31" s="9">
        <v>0</v>
      </c>
      <c r="Y31" s="9">
        <v>0</v>
      </c>
    </row>
    <row r="32" spans="1:27" x14ac:dyDescent="0.3">
      <c r="B32" s="10" t="s">
        <v>24</v>
      </c>
      <c r="D32" s="10">
        <v>0</v>
      </c>
      <c r="E32" s="10">
        <v>0</v>
      </c>
      <c r="F32" s="10">
        <v>0</v>
      </c>
      <c r="G32" s="10">
        <v>0</v>
      </c>
      <c r="H32" s="9">
        <v>0</v>
      </c>
      <c r="I32" s="9">
        <v>0</v>
      </c>
      <c r="J32" s="9">
        <v>0</v>
      </c>
      <c r="S32" s="10">
        <v>0</v>
      </c>
      <c r="T32" s="10">
        <v>0</v>
      </c>
      <c r="U32" s="10">
        <v>0</v>
      </c>
      <c r="V32" s="10">
        <v>0</v>
      </c>
      <c r="W32" s="9">
        <v>0</v>
      </c>
      <c r="X32" s="9">
        <v>0</v>
      </c>
      <c r="Y32" s="9">
        <v>0</v>
      </c>
    </row>
    <row r="33" spans="1:27" x14ac:dyDescent="0.3">
      <c r="N33" s="10" t="s">
        <v>12</v>
      </c>
    </row>
    <row r="34" spans="1:27" x14ac:dyDescent="0.3">
      <c r="A34" s="10" t="s">
        <v>25</v>
      </c>
      <c r="C34" s="10" t="s">
        <v>26</v>
      </c>
      <c r="D34" s="12">
        <v>4.7619076209604287</v>
      </c>
      <c r="E34" s="12">
        <v>1.4814814814814814</v>
      </c>
      <c r="F34" s="12">
        <v>1.0000009999999999</v>
      </c>
      <c r="G34" s="12">
        <v>2</v>
      </c>
      <c r="H34" s="12">
        <v>6.2433891024419106</v>
      </c>
      <c r="I34" s="12">
        <v>1.6666676666666667</v>
      </c>
      <c r="J34" s="12">
        <v>1.3333333333333333</v>
      </c>
      <c r="N34" s="10">
        <f t="array" ref="N34">MMULT(D32:J32,TRANSPOSE(D34:J34))</f>
        <v>0</v>
      </c>
    </row>
    <row r="37" spans="1:27" x14ac:dyDescent="0.3">
      <c r="A37" s="21" t="s">
        <v>29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9" spans="1:27" x14ac:dyDescent="0.3">
      <c r="C39" s="10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H39" s="11" t="s">
        <v>7</v>
      </c>
      <c r="I39" s="11" t="s">
        <v>8</v>
      </c>
      <c r="J39" s="11" t="s">
        <v>9</v>
      </c>
      <c r="L39" s="11" t="s">
        <v>10</v>
      </c>
      <c r="N39" s="11" t="s">
        <v>11</v>
      </c>
      <c r="R39" s="10" t="s">
        <v>12</v>
      </c>
      <c r="S39" s="11" t="s">
        <v>3</v>
      </c>
      <c r="T39" s="11" t="s">
        <v>4</v>
      </c>
      <c r="U39" s="11" t="s">
        <v>5</v>
      </c>
      <c r="V39" s="11" t="s">
        <v>6</v>
      </c>
      <c r="W39" s="11" t="s">
        <v>7</v>
      </c>
      <c r="X39" s="11" t="s">
        <v>8</v>
      </c>
      <c r="Y39" s="11" t="s">
        <v>9</v>
      </c>
      <c r="AA39" s="11" t="s">
        <v>13</v>
      </c>
    </row>
    <row r="40" spans="1:27" x14ac:dyDescent="0.3">
      <c r="A40" s="10" t="s">
        <v>14</v>
      </c>
      <c r="B40" s="10" t="s">
        <v>15</v>
      </c>
      <c r="C40" s="10" t="s">
        <v>3</v>
      </c>
      <c r="D40" s="10">
        <v>0</v>
      </c>
      <c r="E40" s="10">
        <v>0</v>
      </c>
      <c r="F40" s="10">
        <v>0</v>
      </c>
      <c r="G40" s="10">
        <v>0</v>
      </c>
      <c r="H40" s="9">
        <v>0</v>
      </c>
      <c r="I40" s="9">
        <f>1/0.35</f>
        <v>2.8571428571428572</v>
      </c>
      <c r="J40" s="9">
        <v>0</v>
      </c>
      <c r="L40" s="15">
        <f>L5</f>
        <v>0</v>
      </c>
      <c r="N40" s="9">
        <f t="array" ref="N40:N46">MMULT(_xlfn.MUNIT(7)-D40:J46,TRANSPOSE(D51:J51))</f>
        <v>4.183491819631513E-8</v>
      </c>
      <c r="R40" s="10" t="s">
        <v>3</v>
      </c>
      <c r="S40" s="10">
        <f t="array" ref="S40:Y46">MMULT(D40:J46,D51:J51*_xlfn.MUNIT(7))</f>
        <v>0</v>
      </c>
      <c r="T40" s="10">
        <v>0</v>
      </c>
      <c r="U40" s="10">
        <v>0</v>
      </c>
      <c r="V40" s="10">
        <v>0</v>
      </c>
      <c r="W40" s="9">
        <v>0</v>
      </c>
      <c r="X40" s="9">
        <v>2.8571457142857142</v>
      </c>
      <c r="Y40" s="9">
        <v>0</v>
      </c>
      <c r="AA40" s="10">
        <f t="array" ref="AA40:AA46">MMULT(_xlfn.MUNIT(7),TRANSPOSE(D51:J51))</f>
        <v>2.8571457561206324</v>
      </c>
    </row>
    <row r="41" spans="1:27" x14ac:dyDescent="0.3">
      <c r="B41" s="10" t="s">
        <v>16</v>
      </c>
      <c r="C41" s="10" t="s">
        <v>4</v>
      </c>
      <c r="D41" s="10">
        <v>0</v>
      </c>
      <c r="E41" s="10">
        <v>0</v>
      </c>
      <c r="F41" s="10">
        <v>0</v>
      </c>
      <c r="G41" s="10">
        <v>0</v>
      </c>
      <c r="H41" s="9">
        <v>0</v>
      </c>
      <c r="I41" s="9">
        <v>0</v>
      </c>
      <c r="J41" s="9">
        <f>1/0.9</f>
        <v>1.1111111111111112</v>
      </c>
      <c r="L41" s="15">
        <f t="shared" ref="L41:L43" si="1">L6</f>
        <v>0</v>
      </c>
      <c r="N41" s="9">
        <v>-1.6269187774753391E-8</v>
      </c>
      <c r="R41" s="10" t="s">
        <v>4</v>
      </c>
      <c r="S41" s="10">
        <v>0</v>
      </c>
      <c r="T41" s="10">
        <v>0</v>
      </c>
      <c r="U41" s="10">
        <v>0</v>
      </c>
      <c r="V41" s="10">
        <v>0</v>
      </c>
      <c r="W41" s="9">
        <v>0</v>
      </c>
      <c r="X41" s="9">
        <v>0</v>
      </c>
      <c r="Y41" s="9">
        <v>1.6666661111111112</v>
      </c>
      <c r="AA41" s="10">
        <v>1.6666660948419234</v>
      </c>
    </row>
    <row r="42" spans="1:27" x14ac:dyDescent="0.3">
      <c r="B42" s="10" t="s">
        <v>17</v>
      </c>
      <c r="C42" s="10" t="s">
        <v>5</v>
      </c>
      <c r="D42" s="10">
        <v>0</v>
      </c>
      <c r="E42" s="10">
        <v>0</v>
      </c>
      <c r="F42" s="10">
        <v>0</v>
      </c>
      <c r="G42" s="10">
        <v>0</v>
      </c>
      <c r="H42" s="9">
        <v>0</v>
      </c>
      <c r="I42" s="9">
        <v>0</v>
      </c>
      <c r="J42" s="9">
        <v>0</v>
      </c>
      <c r="L42" s="15">
        <f t="shared" si="1"/>
        <v>1</v>
      </c>
      <c r="N42" s="9">
        <v>1.0000009999999999</v>
      </c>
      <c r="R42" s="10" t="s">
        <v>5</v>
      </c>
      <c r="S42" s="10">
        <v>0</v>
      </c>
      <c r="T42" s="10">
        <v>0</v>
      </c>
      <c r="U42" s="10">
        <v>0</v>
      </c>
      <c r="V42" s="10">
        <v>0</v>
      </c>
      <c r="W42" s="9">
        <v>0</v>
      </c>
      <c r="X42" s="9">
        <v>0</v>
      </c>
      <c r="Y42" s="9">
        <v>0</v>
      </c>
      <c r="AA42" s="10">
        <v>1.0000009999999999</v>
      </c>
    </row>
    <row r="43" spans="1:27" x14ac:dyDescent="0.3">
      <c r="B43" s="10" t="s">
        <v>18</v>
      </c>
      <c r="C43" s="10" t="s">
        <v>6</v>
      </c>
      <c r="D43" s="10">
        <v>0</v>
      </c>
      <c r="E43" s="10">
        <v>0</v>
      </c>
      <c r="F43" s="10">
        <v>0</v>
      </c>
      <c r="G43" s="10">
        <v>0</v>
      </c>
      <c r="H43" s="9">
        <v>0</v>
      </c>
      <c r="I43" s="20">
        <f>-0.5</f>
        <v>-0.5</v>
      </c>
      <c r="J43" s="9">
        <v>0</v>
      </c>
      <c r="L43" s="15">
        <f t="shared" si="1"/>
        <v>2</v>
      </c>
      <c r="N43" s="9">
        <v>2</v>
      </c>
      <c r="R43" s="10" t="s">
        <v>6</v>
      </c>
      <c r="S43" s="10">
        <v>0</v>
      </c>
      <c r="T43" s="10">
        <v>0</v>
      </c>
      <c r="U43" s="10">
        <v>0</v>
      </c>
      <c r="V43" s="10">
        <v>0</v>
      </c>
      <c r="W43" s="9">
        <v>0</v>
      </c>
      <c r="X43" s="9">
        <v>-0.50000049999999996</v>
      </c>
      <c r="Y43" s="9">
        <v>0</v>
      </c>
      <c r="AA43" s="10">
        <v>1.4999994999999999</v>
      </c>
    </row>
    <row r="44" spans="1:27" x14ac:dyDescent="0.3">
      <c r="A44" s="10" t="s">
        <v>19</v>
      </c>
      <c r="B44" s="10" t="s">
        <v>20</v>
      </c>
      <c r="C44" s="10" t="s">
        <v>7</v>
      </c>
      <c r="D44" s="9">
        <v>1</v>
      </c>
      <c r="E44" s="9">
        <v>1</v>
      </c>
      <c r="F44" s="9">
        <v>0</v>
      </c>
      <c r="G44" s="9">
        <v>0</v>
      </c>
      <c r="H44" s="10">
        <v>0</v>
      </c>
      <c r="I44" s="10">
        <v>0</v>
      </c>
      <c r="J44" s="10">
        <v>0</v>
      </c>
      <c r="L44" s="10">
        <v>0</v>
      </c>
      <c r="N44" s="10">
        <v>0</v>
      </c>
      <c r="R44" s="10" t="s">
        <v>7</v>
      </c>
      <c r="S44" s="9">
        <v>2.8571457561206324</v>
      </c>
      <c r="T44" s="9">
        <v>1.6666660948419234</v>
      </c>
      <c r="U44" s="9">
        <v>0</v>
      </c>
      <c r="V44" s="9">
        <v>0</v>
      </c>
      <c r="W44" s="10">
        <v>0</v>
      </c>
      <c r="X44" s="10">
        <v>0</v>
      </c>
      <c r="Y44" s="10">
        <v>0</v>
      </c>
      <c r="AA44" s="10">
        <v>4.5238118509625558</v>
      </c>
    </row>
    <row r="45" spans="1:27" x14ac:dyDescent="0.3">
      <c r="B45" s="10" t="s">
        <v>21</v>
      </c>
      <c r="C45" s="10" t="s">
        <v>8</v>
      </c>
      <c r="D45" s="9">
        <v>0</v>
      </c>
      <c r="E45" s="9">
        <v>0</v>
      </c>
      <c r="F45" s="15">
        <v>1</v>
      </c>
      <c r="G45" s="15">
        <v>0</v>
      </c>
      <c r="H45" s="10">
        <v>0</v>
      </c>
      <c r="I45" s="10">
        <v>0</v>
      </c>
      <c r="J45" s="10">
        <v>0</v>
      </c>
      <c r="L45" s="10">
        <v>0</v>
      </c>
      <c r="N45" s="10">
        <v>0</v>
      </c>
      <c r="R45" s="10" t="s">
        <v>8</v>
      </c>
      <c r="S45" s="9">
        <v>0</v>
      </c>
      <c r="T45" s="9">
        <v>0</v>
      </c>
      <c r="U45" s="9">
        <v>1.0000009999999999</v>
      </c>
      <c r="V45" s="9">
        <v>0</v>
      </c>
      <c r="W45" s="10">
        <v>0</v>
      </c>
      <c r="X45" s="10">
        <v>0</v>
      </c>
      <c r="Y45" s="10">
        <v>0</v>
      </c>
      <c r="AA45" s="10">
        <v>1.0000009999999999</v>
      </c>
    </row>
    <row r="46" spans="1:27" x14ac:dyDescent="0.3">
      <c r="B46" s="10" t="s">
        <v>22</v>
      </c>
      <c r="C46" s="10" t="s">
        <v>9</v>
      </c>
      <c r="D46" s="9">
        <v>0</v>
      </c>
      <c r="E46" s="9">
        <v>0</v>
      </c>
      <c r="F46" s="15">
        <v>0</v>
      </c>
      <c r="G46" s="15">
        <v>1</v>
      </c>
      <c r="H46" s="10">
        <v>0</v>
      </c>
      <c r="I46" s="10">
        <v>0</v>
      </c>
      <c r="J46" s="10">
        <v>0</v>
      </c>
      <c r="L46" s="10">
        <v>0</v>
      </c>
      <c r="N46" s="10">
        <v>0</v>
      </c>
      <c r="R46" s="10" t="s">
        <v>9</v>
      </c>
      <c r="S46" s="9">
        <v>0</v>
      </c>
      <c r="T46" s="9">
        <v>0</v>
      </c>
      <c r="U46" s="9">
        <v>0</v>
      </c>
      <c r="V46" s="9">
        <v>1.4999994999999999</v>
      </c>
      <c r="W46" s="10">
        <v>0</v>
      </c>
      <c r="X46" s="10">
        <v>0</v>
      </c>
      <c r="Y46" s="10">
        <v>0</v>
      </c>
      <c r="AA46" s="10">
        <v>1.4999994999999999</v>
      </c>
    </row>
    <row r="48" spans="1:27" x14ac:dyDescent="0.3">
      <c r="A48" s="10" t="s">
        <v>14</v>
      </c>
      <c r="B48" s="10" t="s">
        <v>23</v>
      </c>
      <c r="D48" s="10">
        <f t="array" ref="D48:J49">D13:J14</f>
        <v>0</v>
      </c>
      <c r="E48" s="10">
        <v>0</v>
      </c>
      <c r="F48" s="10">
        <v>0</v>
      </c>
      <c r="G48" s="10">
        <v>0</v>
      </c>
      <c r="H48" s="9">
        <v>1.2</v>
      </c>
      <c r="I48" s="9">
        <v>0</v>
      </c>
      <c r="J48" s="9">
        <v>0</v>
      </c>
      <c r="S48" s="10">
        <f t="array" ref="S48:Y49">MMULT(D48:J49,D51:J51*_xlfn.MUNIT(7))</f>
        <v>0</v>
      </c>
      <c r="T48" s="10">
        <v>0</v>
      </c>
      <c r="U48" s="10">
        <v>0</v>
      </c>
      <c r="V48" s="10">
        <v>0</v>
      </c>
      <c r="W48" s="9">
        <v>5.4285742211550669</v>
      </c>
      <c r="X48" s="9">
        <v>0</v>
      </c>
      <c r="Y48" s="9">
        <v>0</v>
      </c>
    </row>
    <row r="49" spans="1:25" x14ac:dyDescent="0.3">
      <c r="B49" s="10" t="s">
        <v>24</v>
      </c>
      <c r="D49" s="10">
        <v>0</v>
      </c>
      <c r="E49" s="10">
        <v>0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S49" s="10">
        <v>0</v>
      </c>
      <c r="T49" s="10">
        <v>0</v>
      </c>
      <c r="U49" s="10">
        <v>0</v>
      </c>
      <c r="V49" s="10">
        <v>0</v>
      </c>
      <c r="W49" s="9">
        <v>0</v>
      </c>
      <c r="X49" s="9">
        <v>0</v>
      </c>
      <c r="Y49" s="9">
        <v>0</v>
      </c>
    </row>
    <row r="50" spans="1:25" x14ac:dyDescent="0.3">
      <c r="N50" s="10" t="s">
        <v>12</v>
      </c>
    </row>
    <row r="51" spans="1:25" x14ac:dyDescent="0.3">
      <c r="A51" s="10" t="s">
        <v>25</v>
      </c>
      <c r="C51" s="10" t="s">
        <v>26</v>
      </c>
      <c r="D51" s="12">
        <v>2.8571457561206324</v>
      </c>
      <c r="E51" s="12">
        <v>1.6666660948419234</v>
      </c>
      <c r="F51" s="12">
        <v>1.0000009999999999</v>
      </c>
      <c r="G51" s="12">
        <v>1.4999994999999999</v>
      </c>
      <c r="H51" s="12">
        <v>4.5238118509625558</v>
      </c>
      <c r="I51" s="12">
        <v>1.0000009999999999</v>
      </c>
      <c r="J51" s="12">
        <v>1.4999994999999999</v>
      </c>
      <c r="N51" s="10">
        <f t="array" ref="N51">MMULT(D49:J49,TRANSPOSE(D51:J51))</f>
        <v>0</v>
      </c>
    </row>
    <row r="54" spans="1:25" x14ac:dyDescent="0.3">
      <c r="N54" s="10" t="s">
        <v>30</v>
      </c>
    </row>
    <row r="55" spans="1:25" x14ac:dyDescent="0.3">
      <c r="N55" s="9">
        <f>N51+N34+N16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A4A-3D41-4BDF-9DF2-B82BD25D2317}">
  <sheetPr>
    <tabColor theme="2" tint="-0.249977111117893"/>
  </sheetPr>
  <dimension ref="A1:AB16"/>
  <sheetViews>
    <sheetView showGridLines="0" zoomScale="85" zoomScaleNormal="85" workbookViewId="0">
      <selection activeCell="V23" sqref="V23"/>
    </sheetView>
  </sheetViews>
  <sheetFormatPr defaultColWidth="9.21875" defaultRowHeight="14.4" x14ac:dyDescent="0.3"/>
  <cols>
    <col min="1" max="1" width="14.21875" style="10" customWidth="1"/>
    <col min="2" max="2" width="13.44140625" style="10" customWidth="1"/>
    <col min="3" max="3" width="9.21875" style="10"/>
    <col min="4" max="29" width="7.21875" style="10" customWidth="1"/>
    <col min="30" max="16384" width="9.21875" style="10"/>
  </cols>
  <sheetData>
    <row r="1" spans="1:28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3">
      <c r="A2" s="10" t="s">
        <v>1</v>
      </c>
    </row>
    <row r="3" spans="1:28" x14ac:dyDescent="0.3">
      <c r="N3" s="10" t="s">
        <v>31</v>
      </c>
    </row>
    <row r="4" spans="1:28" x14ac:dyDescent="0.3">
      <c r="C4" s="10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11" t="s">
        <v>10</v>
      </c>
      <c r="N4" s="11" t="s">
        <v>32</v>
      </c>
      <c r="O4" s="11"/>
      <c r="P4" s="11" t="s">
        <v>33</v>
      </c>
      <c r="S4" s="10" t="s">
        <v>12</v>
      </c>
      <c r="T4" s="11" t="s">
        <v>3</v>
      </c>
      <c r="U4" s="11" t="s">
        <v>4</v>
      </c>
      <c r="V4" s="11" t="s">
        <v>5</v>
      </c>
      <c r="W4" s="11" t="s">
        <v>6</v>
      </c>
      <c r="X4" s="11" t="s">
        <v>7</v>
      </c>
      <c r="Y4" s="11" t="s">
        <v>8</v>
      </c>
      <c r="Z4" s="11" t="s">
        <v>9</v>
      </c>
      <c r="AB4" s="11" t="s">
        <v>13</v>
      </c>
    </row>
    <row r="5" spans="1:28" x14ac:dyDescent="0.3">
      <c r="A5" s="10" t="s">
        <v>14</v>
      </c>
      <c r="B5" s="10" t="s">
        <v>15</v>
      </c>
      <c r="C5" s="10" t="s">
        <v>3</v>
      </c>
      <c r="D5" s="10">
        <v>0</v>
      </c>
      <c r="E5" s="10">
        <v>0</v>
      </c>
      <c r="F5" s="10">
        <v>0</v>
      </c>
      <c r="G5" s="10">
        <v>0</v>
      </c>
      <c r="H5" s="9">
        <v>0</v>
      </c>
      <c r="I5" s="9">
        <f>1/0.35</f>
        <v>2.8571428571428572</v>
      </c>
      <c r="J5" s="9">
        <v>0</v>
      </c>
      <c r="L5" s="13">
        <v>0</v>
      </c>
      <c r="N5" s="13">
        <v>0</v>
      </c>
      <c r="P5" s="9">
        <f t="array" ref="P5:P11">MMULT(_xlfn.MUNIT(7)-D5:J11,TRANSPOSE(D16:J16))-N5:N11</f>
        <v>2.8571427890256018E-7</v>
      </c>
      <c r="S5" s="10" t="s">
        <v>3</v>
      </c>
      <c r="T5" s="10">
        <f t="array" ref="T5:Z11">MMULT(D5:J11,D16:J16*_xlfn.MUNIT(7))</f>
        <v>0</v>
      </c>
      <c r="U5" s="10">
        <v>0</v>
      </c>
      <c r="V5" s="10">
        <v>0</v>
      </c>
      <c r="W5" s="10">
        <v>0</v>
      </c>
      <c r="X5" s="9">
        <v>0</v>
      </c>
      <c r="Y5" s="9">
        <v>85.714285714285722</v>
      </c>
      <c r="Z5" s="9">
        <v>0</v>
      </c>
      <c r="AB5" s="10">
        <f t="array" ref="AB5:AB11">MMULT(_xlfn.MUNIT(7),TRANSPOSE(D16:J16))</f>
        <v>85.714286000000001</v>
      </c>
    </row>
    <row r="6" spans="1:28" x14ac:dyDescent="0.3">
      <c r="B6" s="10" t="s">
        <v>16</v>
      </c>
      <c r="C6" s="10" t="s">
        <v>4</v>
      </c>
      <c r="D6" s="10">
        <v>0</v>
      </c>
      <c r="E6" s="10">
        <v>0</v>
      </c>
      <c r="F6" s="10">
        <v>0</v>
      </c>
      <c r="G6" s="10">
        <v>0</v>
      </c>
      <c r="H6" s="9">
        <v>0</v>
      </c>
      <c r="I6" s="9">
        <v>0</v>
      </c>
      <c r="J6" s="9">
        <f>1/0.9</f>
        <v>1.1111111111111112</v>
      </c>
      <c r="L6" s="13">
        <v>0</v>
      </c>
      <c r="N6" s="13">
        <v>0</v>
      </c>
      <c r="P6" s="9">
        <v>0</v>
      </c>
      <c r="S6" s="10" t="s">
        <v>4</v>
      </c>
      <c r="T6" s="10">
        <v>0</v>
      </c>
      <c r="U6" s="10">
        <v>0</v>
      </c>
      <c r="V6" s="10">
        <v>0</v>
      </c>
      <c r="W6" s="10">
        <v>0</v>
      </c>
      <c r="X6" s="9">
        <v>0</v>
      </c>
      <c r="Y6" s="9">
        <v>0</v>
      </c>
      <c r="Z6" s="9">
        <v>0</v>
      </c>
      <c r="AB6" s="10">
        <v>0</v>
      </c>
    </row>
    <row r="7" spans="1:28" x14ac:dyDescent="0.3">
      <c r="B7" s="10" t="s">
        <v>17</v>
      </c>
      <c r="C7" s="10" t="s">
        <v>5</v>
      </c>
      <c r="D7" s="10">
        <v>0</v>
      </c>
      <c r="E7" s="10">
        <v>0</v>
      </c>
      <c r="F7" s="10">
        <v>0</v>
      </c>
      <c r="G7" s="10">
        <v>0</v>
      </c>
      <c r="H7" s="9">
        <v>0</v>
      </c>
      <c r="I7" s="9">
        <v>0</v>
      </c>
      <c r="J7" s="9">
        <v>0</v>
      </c>
      <c r="L7" s="13">
        <v>20</v>
      </c>
      <c r="N7" s="13">
        <v>0</v>
      </c>
      <c r="P7" s="9">
        <v>20</v>
      </c>
      <c r="S7" s="10" t="s">
        <v>5</v>
      </c>
      <c r="T7" s="10">
        <v>0</v>
      </c>
      <c r="U7" s="10">
        <v>0</v>
      </c>
      <c r="V7" s="10">
        <v>0</v>
      </c>
      <c r="W7" s="10">
        <v>0</v>
      </c>
      <c r="X7" s="9">
        <v>0</v>
      </c>
      <c r="Y7" s="9">
        <v>0</v>
      </c>
      <c r="Z7" s="9">
        <v>0</v>
      </c>
      <c r="AB7" s="10">
        <v>20</v>
      </c>
    </row>
    <row r="8" spans="1:28" x14ac:dyDescent="0.3">
      <c r="B8" s="10" t="s">
        <v>18</v>
      </c>
      <c r="C8" s="10" t="s">
        <v>6</v>
      </c>
      <c r="D8" s="10">
        <v>0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L8" s="13">
        <v>2</v>
      </c>
      <c r="N8" s="13">
        <v>8</v>
      </c>
      <c r="P8" s="9">
        <v>2</v>
      </c>
      <c r="S8" s="10" t="s">
        <v>6</v>
      </c>
      <c r="T8" s="10">
        <v>0</v>
      </c>
      <c r="U8" s="10">
        <v>0</v>
      </c>
      <c r="V8" s="10">
        <v>0</v>
      </c>
      <c r="W8" s="10">
        <v>0</v>
      </c>
      <c r="X8" s="9">
        <v>0</v>
      </c>
      <c r="Y8" s="9">
        <v>0</v>
      </c>
      <c r="Z8" s="9">
        <v>0</v>
      </c>
      <c r="AB8" s="10">
        <v>10</v>
      </c>
    </row>
    <row r="9" spans="1:28" x14ac:dyDescent="0.3">
      <c r="A9" s="10" t="s">
        <v>19</v>
      </c>
      <c r="B9" s="10" t="s">
        <v>20</v>
      </c>
      <c r="C9" s="10" t="s">
        <v>7</v>
      </c>
      <c r="D9" s="9">
        <v>1</v>
      </c>
      <c r="E9" s="9">
        <v>1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L9" s="10">
        <v>0</v>
      </c>
      <c r="N9" s="10">
        <v>0</v>
      </c>
      <c r="P9" s="10">
        <v>0</v>
      </c>
      <c r="S9" s="10" t="s">
        <v>7</v>
      </c>
      <c r="T9" s="9">
        <v>85.714286000000001</v>
      </c>
      <c r="U9" s="9">
        <v>0</v>
      </c>
      <c r="V9" s="9">
        <v>0</v>
      </c>
      <c r="W9" s="9">
        <v>0</v>
      </c>
      <c r="X9" s="10">
        <v>0</v>
      </c>
      <c r="Y9" s="10">
        <v>0</v>
      </c>
      <c r="Z9" s="10">
        <v>0</v>
      </c>
      <c r="AB9" s="10">
        <v>85.714286000000001</v>
      </c>
    </row>
    <row r="10" spans="1:28" x14ac:dyDescent="0.3">
      <c r="B10" s="10" t="s">
        <v>21</v>
      </c>
      <c r="C10" s="10" t="s">
        <v>8</v>
      </c>
      <c r="D10" s="9">
        <v>0</v>
      </c>
      <c r="E10" s="9">
        <v>0</v>
      </c>
      <c r="F10" s="50">
        <v>1.5</v>
      </c>
      <c r="G10" s="51">
        <v>0</v>
      </c>
      <c r="H10" s="10">
        <v>0</v>
      </c>
      <c r="I10" s="10">
        <v>0</v>
      </c>
      <c r="J10" s="10">
        <v>0</v>
      </c>
      <c r="L10" s="10">
        <v>0</v>
      </c>
      <c r="N10" s="10">
        <v>0</v>
      </c>
      <c r="P10" s="10">
        <v>0</v>
      </c>
      <c r="S10" s="10" t="s">
        <v>8</v>
      </c>
      <c r="T10" s="9">
        <v>0</v>
      </c>
      <c r="U10" s="9">
        <v>0</v>
      </c>
      <c r="V10" s="9">
        <v>30</v>
      </c>
      <c r="W10" s="9">
        <v>0</v>
      </c>
      <c r="X10" s="10">
        <v>0</v>
      </c>
      <c r="Y10" s="10">
        <v>0</v>
      </c>
      <c r="Z10" s="10">
        <v>0</v>
      </c>
      <c r="AB10" s="10">
        <v>30</v>
      </c>
    </row>
    <row r="11" spans="1:28" x14ac:dyDescent="0.3">
      <c r="B11" s="10" t="s">
        <v>22</v>
      </c>
      <c r="C11" s="10" t="s">
        <v>9</v>
      </c>
      <c r="D11" s="9">
        <v>0</v>
      </c>
      <c r="E11" s="9">
        <v>0</v>
      </c>
      <c r="F11" s="52">
        <v>-0.5</v>
      </c>
      <c r="G11" s="53">
        <v>1</v>
      </c>
      <c r="H11" s="10">
        <v>0</v>
      </c>
      <c r="I11" s="10">
        <v>0</v>
      </c>
      <c r="J11" s="10">
        <v>0</v>
      </c>
      <c r="L11" s="10">
        <v>0</v>
      </c>
      <c r="N11" s="10">
        <v>0</v>
      </c>
      <c r="P11" s="10">
        <v>0</v>
      </c>
      <c r="S11" s="10" t="s">
        <v>9</v>
      </c>
      <c r="T11" s="9">
        <v>0</v>
      </c>
      <c r="U11" s="9">
        <v>0</v>
      </c>
      <c r="V11" s="9">
        <v>-10</v>
      </c>
      <c r="W11" s="9">
        <v>10</v>
      </c>
      <c r="X11" s="10">
        <v>0</v>
      </c>
      <c r="Y11" s="10">
        <v>0</v>
      </c>
      <c r="Z11" s="10">
        <v>0</v>
      </c>
      <c r="AB11" s="10">
        <v>0</v>
      </c>
    </row>
    <row r="13" spans="1:28" x14ac:dyDescent="0.3">
      <c r="A13" s="10" t="s">
        <v>14</v>
      </c>
      <c r="B13" s="10" t="s">
        <v>23</v>
      </c>
      <c r="D13" s="10">
        <v>0</v>
      </c>
      <c r="E13" s="10">
        <v>0</v>
      </c>
      <c r="F13" s="10">
        <v>0</v>
      </c>
      <c r="G13" s="10">
        <v>0</v>
      </c>
      <c r="H13" s="9">
        <v>1.2</v>
      </c>
      <c r="I13" s="9">
        <v>0</v>
      </c>
      <c r="J13" s="9">
        <v>0</v>
      </c>
      <c r="T13" s="10">
        <f t="array" ref="T13:Z14">MMULT(D13:J14,D16:J16*_xlfn.MUNIT(7))</f>
        <v>0</v>
      </c>
      <c r="U13" s="10">
        <v>0</v>
      </c>
      <c r="V13" s="10">
        <v>0</v>
      </c>
      <c r="W13" s="10">
        <v>0</v>
      </c>
      <c r="X13" s="9">
        <v>102.8571432</v>
      </c>
      <c r="Y13" s="9">
        <v>0</v>
      </c>
      <c r="Z13" s="9">
        <v>0</v>
      </c>
      <c r="AB13" s="10">
        <f>SUM(X13:Z13)</f>
        <v>102.8571432</v>
      </c>
    </row>
    <row r="14" spans="1:28" x14ac:dyDescent="0.3">
      <c r="B14" s="10" t="s">
        <v>24</v>
      </c>
      <c r="D14" s="10">
        <v>0</v>
      </c>
      <c r="E14" s="10">
        <v>0</v>
      </c>
      <c r="F14" s="10">
        <v>0</v>
      </c>
      <c r="G14" s="10">
        <v>0</v>
      </c>
      <c r="H14" s="9">
        <v>10</v>
      </c>
      <c r="I14" s="9">
        <v>0</v>
      </c>
      <c r="J14" s="9">
        <v>0</v>
      </c>
      <c r="T14" s="10">
        <v>0</v>
      </c>
      <c r="U14" s="10">
        <v>0</v>
      </c>
      <c r="V14" s="10">
        <v>0</v>
      </c>
      <c r="W14" s="10">
        <v>0</v>
      </c>
      <c r="X14" s="9">
        <v>857.14286000000004</v>
      </c>
      <c r="Y14" s="9">
        <v>0</v>
      </c>
      <c r="Z14" s="9">
        <v>0</v>
      </c>
      <c r="AB14" s="10">
        <f>SUM(X14:Z14)</f>
        <v>857.14286000000004</v>
      </c>
    </row>
    <row r="16" spans="1:28" x14ac:dyDescent="0.3">
      <c r="A16" s="10" t="s">
        <v>25</v>
      </c>
      <c r="C16" s="10" t="s">
        <v>26</v>
      </c>
      <c r="D16" s="12">
        <v>85.714286000000001</v>
      </c>
      <c r="E16" s="12">
        <v>0</v>
      </c>
      <c r="F16" s="12">
        <v>20</v>
      </c>
      <c r="G16" s="12">
        <v>10</v>
      </c>
      <c r="H16" s="12">
        <v>85.714286000000001</v>
      </c>
      <c r="I16" s="12">
        <v>30</v>
      </c>
      <c r="J16" s="1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196-65E7-443B-87CD-E6B3B887E871}">
  <sheetPr>
    <tabColor theme="3" tint="0.59999389629810485"/>
  </sheetPr>
  <dimension ref="A1:Y29"/>
  <sheetViews>
    <sheetView showGridLines="0" topLeftCell="A9" zoomScaleNormal="100" workbookViewId="0">
      <selection activeCell="E11" sqref="E11"/>
    </sheetView>
  </sheetViews>
  <sheetFormatPr defaultColWidth="9.21875" defaultRowHeight="14.4" x14ac:dyDescent="0.3"/>
  <cols>
    <col min="1" max="1" width="14.21875" style="10" customWidth="1"/>
    <col min="2" max="2" width="16.77734375" style="10" customWidth="1"/>
    <col min="3" max="3" width="9.21875" style="10"/>
    <col min="4" max="23" width="7.21875" style="10" customWidth="1"/>
    <col min="24" max="24" width="6.44140625" style="10" customWidth="1"/>
    <col min="25" max="16384" width="9.21875" style="10"/>
  </cols>
  <sheetData>
    <row r="1" spans="1:25" x14ac:dyDescent="0.3">
      <c r="I1" s="11" t="s">
        <v>34</v>
      </c>
      <c r="J1" s="11" t="s">
        <v>35</v>
      </c>
    </row>
    <row r="2" spans="1:25" x14ac:dyDescent="0.3">
      <c r="C2" s="10" t="s">
        <v>2</v>
      </c>
      <c r="D2" s="11" t="s">
        <v>36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37</v>
      </c>
      <c r="J2" s="11" t="s">
        <v>38</v>
      </c>
      <c r="N2" s="10" t="s">
        <v>2</v>
      </c>
      <c r="O2" s="11" t="s">
        <v>36</v>
      </c>
      <c r="P2" s="11" t="s">
        <v>5</v>
      </c>
      <c r="Q2" s="11" t="s">
        <v>6</v>
      </c>
      <c r="R2" s="11" t="s">
        <v>7</v>
      </c>
      <c r="S2" s="11" t="s">
        <v>8</v>
      </c>
      <c r="T2" s="11" t="s">
        <v>37</v>
      </c>
      <c r="U2" s="11" t="s">
        <v>38</v>
      </c>
      <c r="W2" s="11" t="s">
        <v>10</v>
      </c>
      <c r="Y2" s="11" t="s">
        <v>11</v>
      </c>
    </row>
    <row r="3" spans="1:25" x14ac:dyDescent="0.3">
      <c r="A3" s="10" t="s">
        <v>14</v>
      </c>
      <c r="B3" s="10" t="s">
        <v>39</v>
      </c>
      <c r="C3" s="10" t="s">
        <v>36</v>
      </c>
      <c r="D3" s="10">
        <v>0</v>
      </c>
      <c r="E3" s="10">
        <v>0</v>
      </c>
      <c r="F3" s="10">
        <v>0</v>
      </c>
      <c r="G3" s="9">
        <v>0</v>
      </c>
      <c r="H3" s="9">
        <v>0</v>
      </c>
      <c r="I3" s="9">
        <v>1</v>
      </c>
      <c r="J3" s="9">
        <v>0</v>
      </c>
      <c r="N3" s="10" t="s">
        <v>36</v>
      </c>
      <c r="O3" s="10">
        <f t="array" ref="O3:U8">MMULT(D3:J8,D13:J13*_xlfn.MUNIT(7))</f>
        <v>0</v>
      </c>
      <c r="P3" s="10">
        <v>0</v>
      </c>
      <c r="Q3" s="10">
        <v>0</v>
      </c>
      <c r="R3" s="9">
        <v>0</v>
      </c>
      <c r="S3" s="9">
        <v>0</v>
      </c>
      <c r="T3" s="9">
        <v>10.000000999999997</v>
      </c>
      <c r="U3" s="9">
        <v>0</v>
      </c>
      <c r="W3" s="13">
        <v>0</v>
      </c>
      <c r="Y3" s="9">
        <f t="array" ref="Y3:Y8">MMULT(D19:J24-D3:J8,TRANSPOSE(D13:J13))</f>
        <v>1.7763568394002505E-15</v>
      </c>
    </row>
    <row r="4" spans="1:25" x14ac:dyDescent="0.3">
      <c r="B4" s="10" t="s">
        <v>40</v>
      </c>
      <c r="C4" s="10" t="s">
        <v>5</v>
      </c>
      <c r="D4" s="10">
        <v>0</v>
      </c>
      <c r="E4" s="10">
        <v>0</v>
      </c>
      <c r="F4" s="10">
        <v>0</v>
      </c>
      <c r="G4" s="9">
        <v>0</v>
      </c>
      <c r="H4" s="9">
        <v>0</v>
      </c>
      <c r="I4" s="9">
        <v>0</v>
      </c>
      <c r="J4" s="9">
        <v>1</v>
      </c>
      <c r="N4" s="10" t="s">
        <v>5</v>
      </c>
      <c r="O4" s="10">
        <v>0</v>
      </c>
      <c r="P4" s="10">
        <v>0</v>
      </c>
      <c r="Q4" s="10">
        <v>0</v>
      </c>
      <c r="R4" s="9">
        <v>0</v>
      </c>
      <c r="S4" s="9">
        <v>0</v>
      </c>
      <c r="T4" s="9">
        <v>0</v>
      </c>
      <c r="U4" s="9">
        <v>0</v>
      </c>
      <c r="W4" s="13">
        <v>0</v>
      </c>
      <c r="Y4" s="9">
        <v>0</v>
      </c>
    </row>
    <row r="5" spans="1:25" x14ac:dyDescent="0.3">
      <c r="B5" s="10" t="s">
        <v>41</v>
      </c>
      <c r="C5" s="10" t="s">
        <v>6</v>
      </c>
      <c r="D5" s="10">
        <v>0</v>
      </c>
      <c r="E5" s="10">
        <v>0</v>
      </c>
      <c r="F5" s="10">
        <v>0</v>
      </c>
      <c r="G5" s="9">
        <v>0</v>
      </c>
      <c r="H5" s="9">
        <v>0</v>
      </c>
      <c r="I5" s="9">
        <v>0</v>
      </c>
      <c r="J5" s="9">
        <v>0</v>
      </c>
      <c r="N5" s="10" t="s">
        <v>6</v>
      </c>
      <c r="O5" s="10">
        <v>0</v>
      </c>
      <c r="P5" s="10">
        <v>0</v>
      </c>
      <c r="Q5" s="10">
        <v>0</v>
      </c>
      <c r="R5" s="9">
        <v>0</v>
      </c>
      <c r="S5" s="9">
        <v>0</v>
      </c>
      <c r="T5" s="9">
        <v>0</v>
      </c>
      <c r="U5" s="9">
        <v>0</v>
      </c>
      <c r="W5" s="13">
        <v>10</v>
      </c>
      <c r="Y5" s="9">
        <v>10.000000999999999</v>
      </c>
    </row>
    <row r="6" spans="1:25" x14ac:dyDescent="0.3">
      <c r="A6" s="10" t="s">
        <v>19</v>
      </c>
      <c r="B6" s="10" t="s">
        <v>20</v>
      </c>
      <c r="C6" s="10" t="s">
        <v>7</v>
      </c>
      <c r="D6" s="9">
        <v>1</v>
      </c>
      <c r="E6" s="9">
        <v>0</v>
      </c>
      <c r="F6" s="9">
        <v>0</v>
      </c>
      <c r="G6" s="10">
        <v>0</v>
      </c>
      <c r="H6" s="10">
        <v>0</v>
      </c>
      <c r="I6" s="10">
        <v>0</v>
      </c>
      <c r="J6" s="10">
        <v>0</v>
      </c>
      <c r="N6" s="10" t="s">
        <v>7</v>
      </c>
      <c r="O6" s="9">
        <v>10.000000999999999</v>
      </c>
      <c r="P6" s="9">
        <v>0</v>
      </c>
      <c r="Q6" s="9">
        <v>0</v>
      </c>
      <c r="R6" s="10">
        <v>0</v>
      </c>
      <c r="S6" s="10">
        <v>0</v>
      </c>
      <c r="T6" s="10">
        <v>0</v>
      </c>
      <c r="U6" s="10">
        <v>0</v>
      </c>
      <c r="W6" s="12">
        <v>0</v>
      </c>
      <c r="Y6" s="10">
        <v>-1.7763568394002505E-15</v>
      </c>
    </row>
    <row r="7" spans="1:25" x14ac:dyDescent="0.3">
      <c r="B7" s="10" t="s">
        <v>42</v>
      </c>
      <c r="C7" s="10" t="s">
        <v>8</v>
      </c>
      <c r="D7" s="9">
        <v>0</v>
      </c>
      <c r="E7" s="9">
        <v>1</v>
      </c>
      <c r="F7" s="9">
        <v>0</v>
      </c>
      <c r="G7" s="10">
        <v>0</v>
      </c>
      <c r="H7" s="10">
        <v>0</v>
      </c>
      <c r="I7" s="10">
        <v>0</v>
      </c>
      <c r="J7" s="10">
        <v>0</v>
      </c>
      <c r="N7" s="10" t="s">
        <v>8</v>
      </c>
      <c r="O7" s="9">
        <v>0</v>
      </c>
      <c r="P7" s="9">
        <v>0</v>
      </c>
      <c r="Q7" s="9">
        <v>0</v>
      </c>
      <c r="R7" s="10">
        <v>0</v>
      </c>
      <c r="S7" s="10">
        <v>0</v>
      </c>
      <c r="T7" s="10">
        <v>0</v>
      </c>
      <c r="U7" s="10">
        <v>0</v>
      </c>
      <c r="W7" s="12">
        <v>0</v>
      </c>
      <c r="Y7" s="10">
        <v>0</v>
      </c>
    </row>
    <row r="8" spans="1:25" x14ac:dyDescent="0.3">
      <c r="B8" s="10" t="s">
        <v>43</v>
      </c>
      <c r="C8" s="10" t="s">
        <v>9</v>
      </c>
      <c r="D8" s="9">
        <v>0</v>
      </c>
      <c r="E8" s="9">
        <v>0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N8" s="10" t="s">
        <v>9</v>
      </c>
      <c r="O8" s="9">
        <v>0</v>
      </c>
      <c r="P8" s="9">
        <v>0</v>
      </c>
      <c r="Q8" s="9">
        <v>10.000000999999999</v>
      </c>
      <c r="R8" s="10">
        <v>0</v>
      </c>
      <c r="S8" s="10">
        <v>0</v>
      </c>
      <c r="T8" s="10">
        <v>0</v>
      </c>
      <c r="U8" s="10">
        <v>0</v>
      </c>
      <c r="W8" s="12">
        <v>0</v>
      </c>
      <c r="Y8" s="10">
        <v>-1.7763568394002505E-15</v>
      </c>
    </row>
    <row r="10" spans="1:25" x14ac:dyDescent="0.3">
      <c r="A10" s="10" t="s">
        <v>14</v>
      </c>
      <c r="B10" s="10" t="s">
        <v>44</v>
      </c>
      <c r="C10" s="10" t="s">
        <v>45</v>
      </c>
      <c r="D10" s="10">
        <v>0</v>
      </c>
      <c r="E10" s="10">
        <v>0</v>
      </c>
      <c r="F10" s="10">
        <v>0</v>
      </c>
      <c r="G10" s="9">
        <v>1.1000000000000001</v>
      </c>
      <c r="H10" s="9">
        <v>0.1</v>
      </c>
      <c r="I10" s="9">
        <v>0</v>
      </c>
      <c r="J10" s="9">
        <v>0</v>
      </c>
      <c r="O10" s="10">
        <f t="array" ref="O10:U11">MMULT(D10:J11,D13:J13*_xlfn.MUNIT(7))</f>
        <v>0</v>
      </c>
      <c r="P10" s="10">
        <v>0</v>
      </c>
      <c r="Q10" s="10">
        <v>0</v>
      </c>
      <c r="R10" s="9">
        <v>11.000001099999999</v>
      </c>
      <c r="S10" s="9">
        <v>0</v>
      </c>
      <c r="T10" s="9">
        <v>0</v>
      </c>
      <c r="U10" s="9">
        <v>0</v>
      </c>
      <c r="Y10" s="10">
        <f>SUM(O10:U10)</f>
        <v>11.000001099999999</v>
      </c>
    </row>
    <row r="11" spans="1:25" x14ac:dyDescent="0.3">
      <c r="B11" s="10" t="s">
        <v>24</v>
      </c>
      <c r="C11" s="10" t="s">
        <v>46</v>
      </c>
      <c r="D11" s="10">
        <v>0</v>
      </c>
      <c r="E11" s="10">
        <v>0</v>
      </c>
      <c r="F11" s="10">
        <v>0</v>
      </c>
      <c r="G11" s="9">
        <v>0.4</v>
      </c>
      <c r="H11" s="9">
        <v>0.7</v>
      </c>
      <c r="I11" s="9">
        <v>0</v>
      </c>
      <c r="J11" s="9">
        <v>0</v>
      </c>
      <c r="O11" s="10">
        <v>0</v>
      </c>
      <c r="P11" s="10">
        <v>0</v>
      </c>
      <c r="Q11" s="10">
        <v>0</v>
      </c>
      <c r="R11" s="9">
        <v>4.0000003999999993</v>
      </c>
      <c r="S11" s="9">
        <v>0</v>
      </c>
      <c r="T11" s="9">
        <v>0</v>
      </c>
      <c r="U11" s="9">
        <v>0</v>
      </c>
      <c r="Y11" s="10">
        <f>SUM(O11:U11)</f>
        <v>4.0000003999999993</v>
      </c>
    </row>
    <row r="13" spans="1:25" x14ac:dyDescent="0.3">
      <c r="A13" s="10" t="s">
        <v>25</v>
      </c>
      <c r="C13" s="10" t="s">
        <v>26</v>
      </c>
      <c r="D13" s="12">
        <v>10.000000999999999</v>
      </c>
      <c r="E13" s="12">
        <v>0</v>
      </c>
      <c r="F13" s="12">
        <v>10.000000999999999</v>
      </c>
      <c r="G13" s="12">
        <v>10.000000999999997</v>
      </c>
      <c r="H13" s="12">
        <v>0</v>
      </c>
      <c r="I13" s="12">
        <v>10.000000999999997</v>
      </c>
      <c r="J13" s="12">
        <v>0</v>
      </c>
      <c r="N13" s="10" t="s">
        <v>47</v>
      </c>
    </row>
    <row r="14" spans="1:25" x14ac:dyDescent="0.3">
      <c r="N14" s="10" t="s">
        <v>44</v>
      </c>
      <c r="P14" s="12">
        <v>12</v>
      </c>
    </row>
    <row r="15" spans="1:25" x14ac:dyDescent="0.3">
      <c r="N15" s="10" t="s">
        <v>48</v>
      </c>
      <c r="P15" s="24">
        <v>0.3</v>
      </c>
      <c r="Q15" s="10">
        <f>P15*Q8</f>
        <v>3.0000002999999995</v>
      </c>
    </row>
    <row r="18" spans="3:16" x14ac:dyDescent="0.3">
      <c r="C18" s="10" t="s">
        <v>49</v>
      </c>
      <c r="D18" s="11" t="s">
        <v>36</v>
      </c>
      <c r="E18" s="11" t="s">
        <v>5</v>
      </c>
      <c r="F18" s="11" t="s">
        <v>6</v>
      </c>
      <c r="G18" s="11" t="s">
        <v>7</v>
      </c>
      <c r="H18" s="11" t="s">
        <v>8</v>
      </c>
      <c r="I18" s="11" t="s">
        <v>37</v>
      </c>
      <c r="J18" s="11" t="s">
        <v>38</v>
      </c>
    </row>
    <row r="19" spans="3:16" x14ac:dyDescent="0.3">
      <c r="C19" s="10" t="s">
        <v>36</v>
      </c>
      <c r="D19" s="10">
        <v>1</v>
      </c>
      <c r="E19" s="10">
        <v>0</v>
      </c>
      <c r="F19" s="10">
        <v>0</v>
      </c>
      <c r="G19" s="9">
        <v>0</v>
      </c>
      <c r="H19" s="9">
        <v>0</v>
      </c>
      <c r="I19" s="9">
        <v>0</v>
      </c>
      <c r="J19" s="9">
        <v>0</v>
      </c>
    </row>
    <row r="20" spans="3:16" x14ac:dyDescent="0.3">
      <c r="C20" s="10" t="s">
        <v>5</v>
      </c>
      <c r="D20" s="10">
        <v>0</v>
      </c>
      <c r="E20" s="10">
        <v>1</v>
      </c>
      <c r="F20" s="10">
        <v>0</v>
      </c>
      <c r="G20" s="9">
        <v>0</v>
      </c>
      <c r="H20" s="9">
        <v>0</v>
      </c>
      <c r="I20" s="9">
        <v>0</v>
      </c>
      <c r="J20" s="9">
        <v>0</v>
      </c>
    </row>
    <row r="21" spans="3:16" x14ac:dyDescent="0.3">
      <c r="C21" s="10" t="s">
        <v>6</v>
      </c>
      <c r="D21" s="10">
        <v>0</v>
      </c>
      <c r="E21" s="10">
        <v>0</v>
      </c>
      <c r="F21" s="10">
        <v>1</v>
      </c>
      <c r="G21" s="9">
        <v>0</v>
      </c>
      <c r="H21" s="9">
        <v>0</v>
      </c>
      <c r="I21" s="9">
        <v>0</v>
      </c>
      <c r="J21" s="9">
        <v>0</v>
      </c>
    </row>
    <row r="22" spans="3:16" x14ac:dyDescent="0.3">
      <c r="C22" s="10" t="s">
        <v>7</v>
      </c>
      <c r="D22" s="9">
        <v>0</v>
      </c>
      <c r="E22" s="9">
        <v>0</v>
      </c>
      <c r="F22" s="9">
        <v>0</v>
      </c>
      <c r="G22" s="10">
        <v>1</v>
      </c>
      <c r="H22" s="10">
        <v>0</v>
      </c>
      <c r="I22" s="10">
        <v>0</v>
      </c>
      <c r="J22" s="10">
        <v>0</v>
      </c>
    </row>
    <row r="23" spans="3:16" x14ac:dyDescent="0.3">
      <c r="C23" s="10" t="s">
        <v>8</v>
      </c>
      <c r="D23" s="9">
        <v>0</v>
      </c>
      <c r="E23" s="9">
        <v>0</v>
      </c>
      <c r="F23" s="9">
        <v>0</v>
      </c>
      <c r="G23" s="10">
        <v>0</v>
      </c>
      <c r="H23" s="10">
        <v>1</v>
      </c>
      <c r="I23" s="10">
        <v>0</v>
      </c>
      <c r="J23" s="10">
        <v>0</v>
      </c>
    </row>
    <row r="24" spans="3:16" x14ac:dyDescent="0.3">
      <c r="C24" s="10" t="s">
        <v>9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  <c r="I24" s="10">
        <v>1</v>
      </c>
      <c r="J24" s="10">
        <v>1</v>
      </c>
    </row>
    <row r="27" spans="3:16" x14ac:dyDescent="0.3">
      <c r="P27" s="23"/>
    </row>
    <row r="28" spans="3:16" x14ac:dyDescent="0.3">
      <c r="P28" s="23"/>
    </row>
    <row r="29" spans="3:16" x14ac:dyDescent="0.3">
      <c r="P29" s="2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C322-94CC-4DDC-99A0-4F152BBAF85E}">
  <sheetPr>
    <tabColor theme="5" tint="0.59999389629810485"/>
  </sheetPr>
  <dimension ref="A1:V35"/>
  <sheetViews>
    <sheetView showGridLines="0" topLeftCell="B4" zoomScale="85" zoomScaleNormal="85" workbookViewId="0">
      <selection activeCell="E17" sqref="E17"/>
    </sheetView>
  </sheetViews>
  <sheetFormatPr defaultColWidth="9.21875" defaultRowHeight="14.4" x14ac:dyDescent="0.3"/>
  <cols>
    <col min="1" max="1" width="13.77734375" style="1" customWidth="1"/>
    <col min="2" max="2" width="15.21875" style="1" customWidth="1"/>
    <col min="3" max="3" width="10.77734375" style="1" customWidth="1"/>
    <col min="4" max="4" width="7.44140625" style="1" customWidth="1"/>
    <col min="5" max="18" width="8.77734375" style="1" customWidth="1"/>
    <col min="19" max="25" width="9.21875" style="1"/>
    <col min="26" max="26" width="9.77734375" style="1" bestFit="1" customWidth="1"/>
    <col min="27" max="16384" width="9.21875" style="1"/>
  </cols>
  <sheetData>
    <row r="1" spans="1:16" x14ac:dyDescent="0.3">
      <c r="G1" s="2" t="s">
        <v>50</v>
      </c>
      <c r="H1" s="2" t="s">
        <v>51</v>
      </c>
      <c r="I1" s="2" t="s">
        <v>52</v>
      </c>
      <c r="J1" s="2" t="s">
        <v>53</v>
      </c>
    </row>
    <row r="2" spans="1:16" x14ac:dyDescent="0.3">
      <c r="D2" s="1" t="s">
        <v>2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8</v>
      </c>
    </row>
    <row r="3" spans="1:16" x14ac:dyDescent="0.3">
      <c r="A3" s="1" t="s">
        <v>14</v>
      </c>
      <c r="B3" s="1" t="s">
        <v>59</v>
      </c>
      <c r="C3" s="1" t="s">
        <v>60</v>
      </c>
      <c r="D3" s="1" t="s">
        <v>36</v>
      </c>
      <c r="E3" s="10">
        <v>0</v>
      </c>
      <c r="F3" s="10">
        <v>0</v>
      </c>
      <c r="G3" s="9">
        <v>0</v>
      </c>
      <c r="H3" s="9">
        <v>7.0000000000000007E-2</v>
      </c>
      <c r="I3" s="9">
        <v>7.0000000000000007E-2</v>
      </c>
      <c r="J3" s="9">
        <v>0.8</v>
      </c>
    </row>
    <row r="4" spans="1:16" x14ac:dyDescent="0.3">
      <c r="A4" s="1" t="s">
        <v>19</v>
      </c>
      <c r="B4" s="1" t="s">
        <v>61</v>
      </c>
      <c r="C4" s="1" t="s">
        <v>60</v>
      </c>
      <c r="D4" s="1" t="s">
        <v>62</v>
      </c>
      <c r="E4" s="9">
        <v>1</v>
      </c>
      <c r="F4" s="9">
        <v>0</v>
      </c>
      <c r="G4" s="10">
        <v>0</v>
      </c>
      <c r="H4" s="10">
        <v>0</v>
      </c>
      <c r="I4" s="10">
        <v>0</v>
      </c>
      <c r="J4" s="10">
        <v>0</v>
      </c>
    </row>
    <row r="5" spans="1:16" x14ac:dyDescent="0.3">
      <c r="B5" s="1" t="s">
        <v>63</v>
      </c>
      <c r="C5" s="1" t="s">
        <v>60</v>
      </c>
      <c r="D5" s="1" t="s">
        <v>58</v>
      </c>
      <c r="E5" s="9">
        <v>0</v>
      </c>
      <c r="F5" s="9">
        <v>1</v>
      </c>
      <c r="G5" s="10">
        <v>0</v>
      </c>
      <c r="H5" s="10">
        <v>0</v>
      </c>
      <c r="I5" s="10">
        <v>0</v>
      </c>
      <c r="J5" s="10">
        <v>0</v>
      </c>
    </row>
    <row r="6" spans="1:16" x14ac:dyDescent="0.3">
      <c r="B6" s="1" t="s">
        <v>53</v>
      </c>
      <c r="C6" s="1" t="s">
        <v>60</v>
      </c>
      <c r="D6" s="1" t="s">
        <v>8</v>
      </c>
      <c r="E6" s="15">
        <v>1</v>
      </c>
      <c r="F6" s="15">
        <v>0</v>
      </c>
      <c r="G6" s="10">
        <v>0</v>
      </c>
      <c r="H6" s="10">
        <v>0</v>
      </c>
      <c r="I6" s="10">
        <v>0</v>
      </c>
      <c r="J6" s="10">
        <v>0</v>
      </c>
    </row>
    <row r="8" spans="1:16" x14ac:dyDescent="0.3">
      <c r="A8" s="1" t="s">
        <v>24</v>
      </c>
      <c r="C8" s="1" t="s">
        <v>64</v>
      </c>
      <c r="D8" s="1" t="s">
        <v>45</v>
      </c>
      <c r="E8" s="1">
        <v>0</v>
      </c>
      <c r="F8" s="1">
        <v>0</v>
      </c>
      <c r="G8" s="8">
        <v>0.4</v>
      </c>
      <c r="H8" s="8">
        <v>0.5</v>
      </c>
      <c r="I8" s="8">
        <v>0.5</v>
      </c>
      <c r="J8" s="8">
        <v>2</v>
      </c>
    </row>
    <row r="9" spans="1:16" x14ac:dyDescent="0.3">
      <c r="A9" s="1" t="s">
        <v>44</v>
      </c>
      <c r="C9" s="1" t="s">
        <v>65</v>
      </c>
      <c r="D9" s="1" t="s">
        <v>46</v>
      </c>
      <c r="E9" s="1">
        <v>0</v>
      </c>
      <c r="F9" s="1">
        <v>0</v>
      </c>
      <c r="G9" s="3">
        <v>5</v>
      </c>
      <c r="H9" s="3">
        <v>0</v>
      </c>
      <c r="I9" s="3">
        <v>0</v>
      </c>
      <c r="J9" s="3">
        <v>0</v>
      </c>
    </row>
    <row r="12" spans="1:16" x14ac:dyDescent="0.3">
      <c r="A12" s="1" t="s">
        <v>25</v>
      </c>
      <c r="C12" s="1" t="s">
        <v>60</v>
      </c>
      <c r="D12" s="6" t="s">
        <v>26</v>
      </c>
      <c r="E12" s="5">
        <v>50</v>
      </c>
      <c r="F12" s="5">
        <v>0</v>
      </c>
      <c r="G12" s="5">
        <v>50</v>
      </c>
      <c r="H12" s="5">
        <v>0</v>
      </c>
      <c r="I12" s="5">
        <v>0</v>
      </c>
      <c r="J12" s="5">
        <v>50</v>
      </c>
    </row>
    <row r="13" spans="1:16" x14ac:dyDescent="0.3">
      <c r="D13" s="6"/>
    </row>
    <row r="14" spans="1:16" x14ac:dyDescent="0.3">
      <c r="D14" s="6"/>
    </row>
    <row r="15" spans="1:16" x14ac:dyDescent="0.3">
      <c r="D15" s="1" t="s">
        <v>12</v>
      </c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58</v>
      </c>
      <c r="J15" s="2" t="s">
        <v>8</v>
      </c>
      <c r="L15" s="2" t="s">
        <v>10</v>
      </c>
      <c r="N15" s="11" t="s">
        <v>11</v>
      </c>
      <c r="P15" s="1" t="s">
        <v>13</v>
      </c>
    </row>
    <row r="16" spans="1:16" x14ac:dyDescent="0.3">
      <c r="D16" s="1" t="s">
        <v>36</v>
      </c>
      <c r="E16" s="27">
        <f t="array" ref="E16:J19">MMULT(E3:J6,E12:J12*_xlfn.MUNIT(6))</f>
        <v>0</v>
      </c>
      <c r="F16" s="27">
        <v>0</v>
      </c>
      <c r="G16" s="8">
        <v>0</v>
      </c>
      <c r="H16" s="8">
        <v>0</v>
      </c>
      <c r="I16" s="8">
        <v>0</v>
      </c>
      <c r="J16" s="8">
        <v>40</v>
      </c>
      <c r="L16" s="4">
        <v>10</v>
      </c>
      <c r="N16" s="8">
        <f t="array" ref="N16:N19">MMULT($E$26:$J$29-$E$3:$J$6,TRANSPOSE($E$12:$J$12))</f>
        <v>10</v>
      </c>
      <c r="P16" s="8">
        <f t="array" ref="P16:P19">MMULT(E26:J29,TRANSPOSE(E12:J12))</f>
        <v>50</v>
      </c>
    </row>
    <row r="17" spans="4:18" x14ac:dyDescent="0.3">
      <c r="D17" s="1" t="s">
        <v>62</v>
      </c>
      <c r="E17" s="8">
        <v>50</v>
      </c>
      <c r="F17" s="8">
        <v>0</v>
      </c>
      <c r="G17" s="27">
        <v>0</v>
      </c>
      <c r="H17" s="27">
        <v>0</v>
      </c>
      <c r="I17" s="27">
        <v>0</v>
      </c>
      <c r="J17" s="27">
        <v>0</v>
      </c>
      <c r="L17" s="1">
        <v>0</v>
      </c>
      <c r="N17" s="27">
        <v>0</v>
      </c>
      <c r="P17" s="27">
        <v>50</v>
      </c>
    </row>
    <row r="18" spans="4:18" x14ac:dyDescent="0.3">
      <c r="D18" s="1" t="s">
        <v>58</v>
      </c>
      <c r="E18" s="8">
        <v>0</v>
      </c>
      <c r="F18" s="8">
        <v>0</v>
      </c>
      <c r="G18" s="27">
        <v>0</v>
      </c>
      <c r="H18" s="27">
        <v>0</v>
      </c>
      <c r="I18" s="27">
        <v>0</v>
      </c>
      <c r="J18" s="27">
        <v>0</v>
      </c>
      <c r="L18" s="1">
        <v>0</v>
      </c>
      <c r="N18" s="27">
        <v>0</v>
      </c>
      <c r="P18" s="27">
        <v>0</v>
      </c>
    </row>
    <row r="19" spans="4:18" x14ac:dyDescent="0.3">
      <c r="D19" s="1" t="s">
        <v>8</v>
      </c>
      <c r="E19" s="8">
        <v>50</v>
      </c>
      <c r="F19" s="8">
        <v>0</v>
      </c>
      <c r="G19" s="27">
        <v>0</v>
      </c>
      <c r="H19" s="27">
        <v>0</v>
      </c>
      <c r="I19" s="27">
        <v>0</v>
      </c>
      <c r="J19" s="27">
        <v>0</v>
      </c>
      <c r="L19" s="1">
        <v>0</v>
      </c>
      <c r="N19" s="27">
        <v>0</v>
      </c>
      <c r="P19" s="27">
        <v>50</v>
      </c>
    </row>
    <row r="20" spans="4:18" x14ac:dyDescent="0.3">
      <c r="E20" s="27"/>
      <c r="F20" s="27"/>
      <c r="G20" s="27"/>
      <c r="H20" s="27"/>
      <c r="I20" s="27"/>
      <c r="J20" s="27"/>
      <c r="P20" s="27"/>
    </row>
    <row r="21" spans="4:18" x14ac:dyDescent="0.3">
      <c r="E21" s="27">
        <f t="array" ref="E21:J22">MMULT(E8:J9,E12:J12*_xlfn.MUNIT(6))</f>
        <v>0</v>
      </c>
      <c r="F21" s="27">
        <v>0</v>
      </c>
      <c r="G21" s="8">
        <v>20</v>
      </c>
      <c r="H21" s="8">
        <v>0</v>
      </c>
      <c r="I21" s="8">
        <v>0</v>
      </c>
      <c r="J21" s="8">
        <v>100</v>
      </c>
      <c r="P21" s="49">
        <f>SUM(E21:J21)</f>
        <v>120</v>
      </c>
    </row>
    <row r="22" spans="4:18" x14ac:dyDescent="0.3">
      <c r="E22" s="27">
        <v>0</v>
      </c>
      <c r="F22" s="27">
        <v>0</v>
      </c>
      <c r="G22" s="8">
        <v>250</v>
      </c>
      <c r="H22" s="8">
        <v>0</v>
      </c>
      <c r="I22" s="8">
        <v>0</v>
      </c>
      <c r="J22" s="8">
        <v>0</v>
      </c>
      <c r="P22" s="27">
        <f>SUM(E22:J22)</f>
        <v>250</v>
      </c>
    </row>
    <row r="23" spans="4:18" x14ac:dyDescent="0.3">
      <c r="M23" s="181"/>
    </row>
    <row r="24" spans="4:18" x14ac:dyDescent="0.3">
      <c r="P24" s="1" t="s">
        <v>66</v>
      </c>
    </row>
    <row r="25" spans="4:18" x14ac:dyDescent="0.3">
      <c r="D25" s="1" t="s">
        <v>49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58</v>
      </c>
      <c r="J25" s="2" t="s">
        <v>8</v>
      </c>
      <c r="P25" s="1" t="s">
        <v>46</v>
      </c>
      <c r="Q25" s="5">
        <v>1300</v>
      </c>
      <c r="R25" s="1" t="s">
        <v>67</v>
      </c>
    </row>
    <row r="26" spans="4:18" x14ac:dyDescent="0.3">
      <c r="D26" s="1" t="s">
        <v>36</v>
      </c>
      <c r="E26" s="1">
        <v>1</v>
      </c>
      <c r="F26" s="1">
        <v>1</v>
      </c>
      <c r="G26" s="3">
        <v>0</v>
      </c>
      <c r="H26" s="3">
        <v>0</v>
      </c>
      <c r="I26" s="3">
        <v>0</v>
      </c>
      <c r="J26" s="3">
        <v>0</v>
      </c>
      <c r="L26" s="48" t="s">
        <v>68</v>
      </c>
      <c r="P26" s="1" t="s">
        <v>69</v>
      </c>
      <c r="Q26" s="12">
        <v>1</v>
      </c>
      <c r="R26" s="1" t="s">
        <v>70</v>
      </c>
    </row>
    <row r="27" spans="4:18" x14ac:dyDescent="0.3">
      <c r="D27" s="1" t="s">
        <v>62</v>
      </c>
      <c r="E27" s="3">
        <v>0</v>
      </c>
      <c r="F27" s="3">
        <v>0</v>
      </c>
      <c r="G27" s="1">
        <v>1</v>
      </c>
      <c r="H27" s="1">
        <v>1</v>
      </c>
      <c r="I27" s="1">
        <v>0</v>
      </c>
      <c r="J27" s="1">
        <v>0</v>
      </c>
      <c r="L27" s="48"/>
      <c r="Q27" s="27">
        <f>P16*Q26</f>
        <v>50</v>
      </c>
    </row>
    <row r="28" spans="4:18" x14ac:dyDescent="0.3">
      <c r="D28" s="1" t="s">
        <v>58</v>
      </c>
      <c r="E28" s="3">
        <v>0</v>
      </c>
      <c r="F28" s="3">
        <v>0</v>
      </c>
      <c r="G28" s="1">
        <v>0</v>
      </c>
      <c r="H28" s="1">
        <v>0</v>
      </c>
      <c r="I28" s="1">
        <v>1</v>
      </c>
      <c r="J28" s="1">
        <v>0</v>
      </c>
      <c r="L28" s="48"/>
    </row>
    <row r="29" spans="4:18" x14ac:dyDescent="0.3">
      <c r="D29" s="1" t="s">
        <v>8</v>
      </c>
      <c r="E29" s="3">
        <v>0</v>
      </c>
      <c r="F29" s="3">
        <v>0</v>
      </c>
      <c r="G29" s="1">
        <v>0</v>
      </c>
      <c r="H29" s="1">
        <v>0</v>
      </c>
      <c r="I29" s="1">
        <v>0</v>
      </c>
      <c r="J29" s="1">
        <v>1</v>
      </c>
    </row>
    <row r="32" spans="4:18" x14ac:dyDescent="0.3">
      <c r="O32" s="48"/>
    </row>
    <row r="33" spans="15:22" x14ac:dyDescent="0.3">
      <c r="O33" s="48"/>
      <c r="V33" s="48"/>
    </row>
    <row r="34" spans="15:22" x14ac:dyDescent="0.3">
      <c r="O34" s="48"/>
      <c r="V34" s="48"/>
    </row>
    <row r="35" spans="15:22" x14ac:dyDescent="0.3">
      <c r="V35" s="48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1140-90AF-4C49-8FD9-4FD0A3879ED2}">
  <sheetPr>
    <tabColor theme="7" tint="0.59999389629810485"/>
  </sheetPr>
  <dimension ref="A2:AJ42"/>
  <sheetViews>
    <sheetView showGridLines="0" zoomScale="85" zoomScaleNormal="85" workbookViewId="0">
      <selection activeCell="AE14" sqref="AE14"/>
    </sheetView>
  </sheetViews>
  <sheetFormatPr defaultColWidth="9.21875" defaultRowHeight="14.4" x14ac:dyDescent="0.3"/>
  <cols>
    <col min="1" max="1" width="13.77734375" style="1" customWidth="1"/>
    <col min="2" max="2" width="6.77734375" style="1" customWidth="1"/>
    <col min="3" max="3" width="10.77734375" style="1" customWidth="1"/>
    <col min="4" max="4" width="14.21875" style="1" customWidth="1"/>
    <col min="5" max="27" width="5.21875" style="1" customWidth="1"/>
    <col min="28" max="29" width="6.44140625" style="1" customWidth="1"/>
    <col min="30" max="30" width="5.21875" style="1" customWidth="1"/>
    <col min="31" max="31" width="8" style="1" customWidth="1"/>
    <col min="32" max="32" width="5.21875" style="1" customWidth="1"/>
    <col min="33" max="36" width="8.21875" style="1" customWidth="1"/>
    <col min="37" max="16384" width="9.21875" style="1"/>
  </cols>
  <sheetData>
    <row r="2" spans="1:36" x14ac:dyDescent="0.3">
      <c r="D2" s="1" t="s">
        <v>71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72</v>
      </c>
      <c r="L2" s="2" t="s">
        <v>73</v>
      </c>
      <c r="M2" s="2" t="s">
        <v>74</v>
      </c>
      <c r="N2" s="2"/>
      <c r="O2" s="2"/>
      <c r="Q2" s="1" t="s">
        <v>75</v>
      </c>
      <c r="R2" s="2" t="s">
        <v>36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72</v>
      </c>
      <c r="Y2" s="2" t="s">
        <v>73</v>
      </c>
      <c r="Z2" s="2" t="s">
        <v>74</v>
      </c>
      <c r="AB2" s="2" t="s">
        <v>76</v>
      </c>
      <c r="AC2" s="2" t="s">
        <v>77</v>
      </c>
      <c r="AE2" s="2" t="s">
        <v>13</v>
      </c>
      <c r="AG2" s="2" t="s">
        <v>78</v>
      </c>
      <c r="AH2" s="2" t="s">
        <v>79</v>
      </c>
      <c r="AI2" s="2"/>
      <c r="AJ2" s="1" t="s">
        <v>80</v>
      </c>
    </row>
    <row r="3" spans="1:36" x14ac:dyDescent="0.3">
      <c r="A3" s="1" t="s">
        <v>14</v>
      </c>
      <c r="B3" s="1" t="s">
        <v>36</v>
      </c>
      <c r="C3" s="1" t="s">
        <v>60</v>
      </c>
      <c r="D3" s="1" t="s">
        <v>81</v>
      </c>
      <c r="E3" s="10">
        <v>0</v>
      </c>
      <c r="F3" s="10">
        <v>0</v>
      </c>
      <c r="G3" s="10">
        <v>0</v>
      </c>
      <c r="H3" s="9">
        <v>0</v>
      </c>
      <c r="I3" s="9">
        <v>1.1000000000000001</v>
      </c>
      <c r="J3" s="9">
        <v>0</v>
      </c>
      <c r="K3" s="9">
        <v>0</v>
      </c>
      <c r="L3" s="9">
        <v>0</v>
      </c>
      <c r="M3" s="9">
        <v>0</v>
      </c>
      <c r="Q3" s="1" t="s">
        <v>36</v>
      </c>
      <c r="R3" s="1">
        <f t="array" ref="R3:Z11">MMULT(E3:M11,E23:M23*_xlfn.MUNIT(9))</f>
        <v>0</v>
      </c>
      <c r="S3" s="1">
        <v>0</v>
      </c>
      <c r="T3" s="1">
        <v>0</v>
      </c>
      <c r="U3" s="3">
        <v>0</v>
      </c>
      <c r="V3" s="3">
        <v>96.585365800000005</v>
      </c>
      <c r="W3" s="3">
        <v>0</v>
      </c>
      <c r="X3" s="3">
        <v>0</v>
      </c>
      <c r="Y3" s="3">
        <v>0</v>
      </c>
      <c r="Z3" s="3">
        <v>0</v>
      </c>
      <c r="AB3" s="13">
        <v>0</v>
      </c>
      <c r="AC3" s="13">
        <v>0</v>
      </c>
      <c r="AE3" s="10">
        <f t="array" ref="AE3:AE11">MMULT(E27:M35,TRANSPOSE(E23:M23))</f>
        <v>96.585365999999993</v>
      </c>
      <c r="AG3" s="9">
        <f t="array" ref="AG3:AG11">MMULT(E27:M35-E3:M11,TRANSPOSE(E23:M23))</f>
        <v>1.9999998812636477E-7</v>
      </c>
      <c r="AH3" s="9">
        <f t="array" ref="AH3:AH5">AB3:AB5+AC3:AC5</f>
        <v>0</v>
      </c>
      <c r="AJ3" s="3">
        <f t="array" ref="AJ3:AJ11">AG3:AG11-AH3:AH11</f>
        <v>1.9999998812636477E-7</v>
      </c>
    </row>
    <row r="4" spans="1:36" x14ac:dyDescent="0.3">
      <c r="B4" s="1" t="s">
        <v>5</v>
      </c>
      <c r="C4" s="1" t="s">
        <v>60</v>
      </c>
      <c r="D4" s="1" t="s">
        <v>82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f>1/0.45</f>
        <v>2.2222222222222223</v>
      </c>
      <c r="K4" s="9">
        <v>0</v>
      </c>
      <c r="L4" s="9">
        <v>0</v>
      </c>
      <c r="M4" s="9">
        <v>0</v>
      </c>
      <c r="Q4" s="1" t="s">
        <v>5</v>
      </c>
      <c r="R4" s="1">
        <v>0</v>
      </c>
      <c r="S4" s="1">
        <v>0</v>
      </c>
      <c r="T4" s="1">
        <v>0</v>
      </c>
      <c r="U4" s="3">
        <v>0</v>
      </c>
      <c r="V4" s="3">
        <v>0</v>
      </c>
      <c r="W4" s="3">
        <v>9.7560975555555558</v>
      </c>
      <c r="X4" s="3">
        <v>0</v>
      </c>
      <c r="Y4" s="3">
        <v>0</v>
      </c>
      <c r="Z4" s="3">
        <v>0</v>
      </c>
      <c r="AB4" s="13">
        <v>10</v>
      </c>
      <c r="AC4" s="13">
        <v>0</v>
      </c>
      <c r="AE4" s="10">
        <v>109.7561</v>
      </c>
      <c r="AG4" s="9">
        <v>100.00000244444445</v>
      </c>
      <c r="AH4" s="9">
        <v>10</v>
      </c>
      <c r="AJ4" s="3">
        <v>90.000002444444448</v>
      </c>
    </row>
    <row r="5" spans="1:36" x14ac:dyDescent="0.3">
      <c r="B5" s="1" t="s">
        <v>6</v>
      </c>
      <c r="C5" s="1" t="s">
        <v>60</v>
      </c>
      <c r="D5" s="1" t="s">
        <v>17</v>
      </c>
      <c r="E5" s="10">
        <v>0</v>
      </c>
      <c r="F5" s="10">
        <v>0</v>
      </c>
      <c r="G5" s="10">
        <v>0</v>
      </c>
      <c r="H5" s="9">
        <v>0</v>
      </c>
      <c r="I5" s="9">
        <v>0.05</v>
      </c>
      <c r="J5" s="9">
        <v>0</v>
      </c>
      <c r="K5" s="9">
        <v>0</v>
      </c>
      <c r="L5" s="9">
        <v>0</v>
      </c>
      <c r="M5" s="9">
        <v>0</v>
      </c>
      <c r="Q5" s="1" t="s">
        <v>6</v>
      </c>
      <c r="R5" s="1">
        <v>0</v>
      </c>
      <c r="S5" s="1">
        <v>0</v>
      </c>
      <c r="T5" s="1">
        <v>0</v>
      </c>
      <c r="U5" s="3">
        <v>0</v>
      </c>
      <c r="V5" s="3">
        <v>4.3902439000000006</v>
      </c>
      <c r="W5" s="3">
        <v>0</v>
      </c>
      <c r="X5" s="3">
        <v>0</v>
      </c>
      <c r="Y5" s="3">
        <v>0</v>
      </c>
      <c r="Z5" s="3">
        <v>0</v>
      </c>
      <c r="AB5" s="13">
        <v>0</v>
      </c>
      <c r="AC5" s="13">
        <v>0</v>
      </c>
      <c r="AE5" s="10">
        <v>4.3902438999999998</v>
      </c>
      <c r="AG5" s="9">
        <v>-8.8817841970012523E-16</v>
      </c>
      <c r="AH5" s="9">
        <v>0</v>
      </c>
      <c r="AJ5" s="3">
        <v>-8.8817841970012523E-16</v>
      </c>
    </row>
    <row r="6" spans="1:36" x14ac:dyDescent="0.3">
      <c r="A6" s="1" t="s">
        <v>19</v>
      </c>
      <c r="B6" s="1" t="s">
        <v>7</v>
      </c>
      <c r="C6" s="1" t="s">
        <v>60</v>
      </c>
      <c r="D6" s="1" t="s">
        <v>83</v>
      </c>
      <c r="E6" s="9">
        <v>0.2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Q6" s="1" t="s">
        <v>7</v>
      </c>
      <c r="R6" s="3">
        <v>19.317073199999999</v>
      </c>
      <c r="S6" s="3">
        <v>0</v>
      </c>
      <c r="T6" s="3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0"/>
      <c r="AC6" s="10"/>
      <c r="AE6" s="10">
        <v>19.317073000000001</v>
      </c>
      <c r="AG6" s="10">
        <v>-1.9999999878450581E-7</v>
      </c>
      <c r="AH6" s="10">
        <v>0</v>
      </c>
      <c r="AJ6" s="1">
        <v>-1.9999999878450581E-7</v>
      </c>
    </row>
    <row r="7" spans="1:36" x14ac:dyDescent="0.3">
      <c r="B7" s="1" t="s">
        <v>8</v>
      </c>
      <c r="C7" s="1" t="s">
        <v>60</v>
      </c>
      <c r="D7" s="1" t="s">
        <v>84</v>
      </c>
      <c r="E7" s="9">
        <v>0</v>
      </c>
      <c r="F7" s="9">
        <v>0.8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Q7" s="1" t="s">
        <v>8</v>
      </c>
      <c r="R7" s="3">
        <v>0</v>
      </c>
      <c r="S7" s="3">
        <v>87.804880000000011</v>
      </c>
      <c r="T7" s="3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0"/>
      <c r="AC7" s="10"/>
      <c r="AE7" s="10">
        <v>87.804878000000002</v>
      </c>
      <c r="AG7" s="10">
        <v>-2.0000000091613401E-6</v>
      </c>
      <c r="AH7" s="10">
        <v>0</v>
      </c>
      <c r="AJ7" s="1">
        <v>-2.0000000091613401E-6</v>
      </c>
    </row>
    <row r="8" spans="1:36" x14ac:dyDescent="0.3">
      <c r="B8" s="1" t="s">
        <v>9</v>
      </c>
      <c r="C8" s="1" t="s">
        <v>60</v>
      </c>
      <c r="D8" s="1" t="s">
        <v>21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Q8" s="1" t="s">
        <v>9</v>
      </c>
      <c r="R8" s="3">
        <v>0</v>
      </c>
      <c r="S8" s="3">
        <v>0</v>
      </c>
      <c r="T8" s="3">
        <v>4.3902438999999998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B8" s="10"/>
      <c r="AC8" s="10"/>
      <c r="AE8" s="10">
        <v>4.3902438999999998</v>
      </c>
      <c r="AG8" s="10">
        <v>0</v>
      </c>
      <c r="AH8" s="10">
        <v>0</v>
      </c>
      <c r="AJ8" s="1">
        <v>0</v>
      </c>
    </row>
    <row r="9" spans="1:36" x14ac:dyDescent="0.3">
      <c r="B9" s="1" t="s">
        <v>72</v>
      </c>
      <c r="C9" s="1" t="s">
        <v>60</v>
      </c>
      <c r="D9" s="1" t="s">
        <v>85</v>
      </c>
      <c r="E9" s="9">
        <v>1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Q9" s="1" t="s">
        <v>72</v>
      </c>
      <c r="R9" s="3">
        <v>96.585365999999993</v>
      </c>
      <c r="S9" s="3">
        <v>0</v>
      </c>
      <c r="T9" s="3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10"/>
      <c r="AC9" s="10"/>
      <c r="AE9" s="10">
        <v>96.585365999999993</v>
      </c>
      <c r="AG9" s="10">
        <v>0</v>
      </c>
      <c r="AH9" s="10">
        <v>0</v>
      </c>
      <c r="AJ9" s="1">
        <v>0</v>
      </c>
    </row>
    <row r="10" spans="1:36" x14ac:dyDescent="0.3">
      <c r="B10" s="1" t="s">
        <v>73</v>
      </c>
      <c r="C10" s="1" t="s">
        <v>60</v>
      </c>
      <c r="D10" s="1" t="s">
        <v>86</v>
      </c>
      <c r="E10" s="9">
        <v>0</v>
      </c>
      <c r="F10" s="9">
        <v>1</v>
      </c>
      <c r="G10" s="9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Q10" s="1" t="s">
        <v>73</v>
      </c>
      <c r="R10" s="3">
        <v>0</v>
      </c>
      <c r="S10" s="3">
        <v>109.7561</v>
      </c>
      <c r="T10" s="3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B10" s="10"/>
      <c r="AC10" s="10"/>
      <c r="AE10" s="10">
        <v>109.7561</v>
      </c>
      <c r="AG10" s="10">
        <v>0</v>
      </c>
      <c r="AH10" s="10">
        <v>0</v>
      </c>
      <c r="AJ10" s="1">
        <v>0</v>
      </c>
    </row>
    <row r="11" spans="1:36" x14ac:dyDescent="0.3">
      <c r="B11" s="1" t="s">
        <v>74</v>
      </c>
      <c r="C11" s="1" t="s">
        <v>60</v>
      </c>
      <c r="D11" s="1" t="s">
        <v>87</v>
      </c>
      <c r="E11" s="9">
        <v>0</v>
      </c>
      <c r="F11" s="9">
        <v>0</v>
      </c>
      <c r="G11" s="9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Q11" s="1" t="s">
        <v>74</v>
      </c>
      <c r="R11" s="3">
        <v>0</v>
      </c>
      <c r="S11" s="3">
        <v>0</v>
      </c>
      <c r="T11" s="3">
        <v>4.3902438999999998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0"/>
      <c r="AC11" s="10"/>
      <c r="AE11" s="10">
        <v>4.3902438999999998</v>
      </c>
      <c r="AG11" s="10">
        <v>0</v>
      </c>
      <c r="AH11" s="10">
        <v>0</v>
      </c>
      <c r="AJ11" s="1">
        <v>0</v>
      </c>
    </row>
    <row r="12" spans="1:36" x14ac:dyDescent="0.3">
      <c r="E12" s="10"/>
      <c r="F12" s="10"/>
      <c r="G12" s="10"/>
      <c r="H12" s="10"/>
      <c r="I12" s="10"/>
      <c r="J12" s="10"/>
    </row>
    <row r="13" spans="1:36" x14ac:dyDescent="0.3">
      <c r="D13" s="1" t="s">
        <v>88</v>
      </c>
      <c r="E13" s="10"/>
      <c r="F13" s="10"/>
      <c r="G13" s="10"/>
      <c r="H13" s="10"/>
      <c r="I13" s="10"/>
      <c r="J13" s="10"/>
      <c r="Q13" s="1" t="s">
        <v>89</v>
      </c>
      <c r="AE13" s="2" t="s">
        <v>90</v>
      </c>
    </row>
    <row r="14" spans="1:36" x14ac:dyDescent="0.3">
      <c r="A14" s="1" t="s">
        <v>14</v>
      </c>
      <c r="B14" s="1" t="s">
        <v>36</v>
      </c>
      <c r="C14" s="1" t="s">
        <v>60</v>
      </c>
      <c r="D14" s="1" t="s">
        <v>81</v>
      </c>
      <c r="E14" s="10">
        <v>0</v>
      </c>
      <c r="F14" s="10">
        <v>0</v>
      </c>
      <c r="G14" s="10">
        <v>0</v>
      </c>
      <c r="H14" s="9">
        <v>0</v>
      </c>
      <c r="I14" s="9">
        <v>0</v>
      </c>
      <c r="J14" s="9">
        <v>0</v>
      </c>
      <c r="K14" s="9">
        <f>1-E6</f>
        <v>0.8</v>
      </c>
      <c r="L14" s="9">
        <v>0</v>
      </c>
      <c r="M14" s="9">
        <v>0</v>
      </c>
      <c r="Q14" s="1" t="s">
        <v>36</v>
      </c>
      <c r="R14" s="1">
        <f t="array" ref="R14:Z16">MMULT(E14:M16,E23:M23*_xlfn.MUNIT(9))</f>
        <v>0</v>
      </c>
      <c r="S14" s="1">
        <v>0</v>
      </c>
      <c r="T14" s="1">
        <v>0</v>
      </c>
      <c r="U14" s="3">
        <v>0</v>
      </c>
      <c r="V14" s="3">
        <v>0</v>
      </c>
      <c r="W14" s="3">
        <v>0</v>
      </c>
      <c r="X14" s="3">
        <v>77.268292799999998</v>
      </c>
      <c r="Y14" s="3">
        <v>0</v>
      </c>
      <c r="Z14" s="3">
        <v>0</v>
      </c>
      <c r="AE14" s="10">
        <f t="array" ref="AE14:AE16">MMULT(E14:M16,TRANSPOSE(E23:M23))</f>
        <v>77.268292799999998</v>
      </c>
    </row>
    <row r="15" spans="1:36" x14ac:dyDescent="0.3">
      <c r="B15" s="1" t="s">
        <v>5</v>
      </c>
      <c r="C15" s="1" t="s">
        <v>60</v>
      </c>
      <c r="D15" s="1" t="s">
        <v>82</v>
      </c>
      <c r="E15" s="10">
        <v>0</v>
      </c>
      <c r="F15" s="10">
        <v>0</v>
      </c>
      <c r="G15" s="10">
        <v>0</v>
      </c>
      <c r="H15" s="9">
        <v>0</v>
      </c>
      <c r="I15" s="9">
        <v>0</v>
      </c>
      <c r="J15" s="9">
        <v>0</v>
      </c>
      <c r="K15" s="9">
        <v>0</v>
      </c>
      <c r="L15" s="9">
        <f>1-F7</f>
        <v>0.19999999999999996</v>
      </c>
      <c r="M15" s="9">
        <v>0</v>
      </c>
      <c r="Q15" s="1" t="s">
        <v>5</v>
      </c>
      <c r="R15" s="1">
        <v>0</v>
      </c>
      <c r="S15" s="1">
        <v>0</v>
      </c>
      <c r="T15" s="1">
        <v>0</v>
      </c>
      <c r="U15" s="3">
        <v>0</v>
      </c>
      <c r="V15" s="3">
        <v>0</v>
      </c>
      <c r="W15" s="3">
        <v>0</v>
      </c>
      <c r="X15" s="3">
        <v>0</v>
      </c>
      <c r="Y15" s="3">
        <v>21.951219999999996</v>
      </c>
      <c r="Z15" s="3">
        <v>0</v>
      </c>
      <c r="AE15" s="10">
        <v>21.951219999999996</v>
      </c>
    </row>
    <row r="16" spans="1:36" x14ac:dyDescent="0.3">
      <c r="B16" s="1" t="s">
        <v>6</v>
      </c>
      <c r="C16" s="1" t="s">
        <v>60</v>
      </c>
      <c r="D16" s="1" t="s">
        <v>17</v>
      </c>
      <c r="E16" s="10">
        <v>0</v>
      </c>
      <c r="F16" s="10">
        <v>0</v>
      </c>
      <c r="G16" s="10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f>1-G8</f>
        <v>0</v>
      </c>
      <c r="Q16" s="1" t="s">
        <v>6</v>
      </c>
      <c r="R16" s="1">
        <v>0</v>
      </c>
      <c r="S16" s="1">
        <v>0</v>
      </c>
      <c r="T16" s="1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E16" s="10">
        <v>0</v>
      </c>
    </row>
    <row r="18" spans="1:32" x14ac:dyDescent="0.3">
      <c r="D18" s="1" t="s">
        <v>91</v>
      </c>
    </row>
    <row r="19" spans="1:32" x14ac:dyDescent="0.3">
      <c r="B19" s="1" t="s">
        <v>45</v>
      </c>
      <c r="C19" s="1" t="s">
        <v>60</v>
      </c>
      <c r="D19" s="1" t="s">
        <v>81</v>
      </c>
      <c r="E19" s="10">
        <v>0</v>
      </c>
      <c r="F19" s="10">
        <v>0</v>
      </c>
      <c r="G19" s="10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Q19" s="1" t="s">
        <v>45</v>
      </c>
      <c r="R19" s="1">
        <f t="array" ref="R19:Z20">MMULT(E19:M20,E23:M23*_xlfn.MUNIT(9))</f>
        <v>0</v>
      </c>
      <c r="S19" s="1">
        <v>0</v>
      </c>
      <c r="T19" s="1">
        <v>0</v>
      </c>
      <c r="U19" s="3">
        <v>19.317073000000001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E19" s="1">
        <f>SUM(R19:Z19)</f>
        <v>19.317073000000001</v>
      </c>
    </row>
    <row r="20" spans="1:32" x14ac:dyDescent="0.3">
      <c r="B20" s="1" t="s">
        <v>46</v>
      </c>
      <c r="C20" s="1" t="s">
        <v>64</v>
      </c>
      <c r="D20" s="1" t="s">
        <v>24</v>
      </c>
      <c r="E20" s="10">
        <v>0</v>
      </c>
      <c r="F20" s="10">
        <v>0</v>
      </c>
      <c r="G20" s="10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0.5</v>
      </c>
      <c r="Q20" s="1" t="s">
        <v>46</v>
      </c>
      <c r="R20" s="1">
        <v>0</v>
      </c>
      <c r="S20" s="1">
        <v>0</v>
      </c>
      <c r="T20" s="1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2.1951219499999999</v>
      </c>
      <c r="AE20" s="1">
        <f>SUM(R20:Z20)</f>
        <v>2.1951219499999999</v>
      </c>
      <c r="AF20" s="1" t="s">
        <v>92</v>
      </c>
    </row>
    <row r="23" spans="1:32" x14ac:dyDescent="0.3">
      <c r="A23" s="1" t="s">
        <v>25</v>
      </c>
      <c r="C23" s="1" t="s">
        <v>60</v>
      </c>
      <c r="D23" s="6" t="s">
        <v>93</v>
      </c>
      <c r="E23" s="5">
        <v>96.585365999999993</v>
      </c>
      <c r="F23" s="5">
        <v>109.7561</v>
      </c>
      <c r="G23" s="5">
        <v>4.3902438999999998</v>
      </c>
      <c r="H23" s="5">
        <v>19.317073000000001</v>
      </c>
      <c r="I23" s="5">
        <v>87.804878000000002</v>
      </c>
      <c r="J23" s="5">
        <v>4.3902438999999998</v>
      </c>
      <c r="K23" s="5">
        <v>96.585365999999993</v>
      </c>
      <c r="L23" s="5">
        <v>109.7561</v>
      </c>
      <c r="M23" s="5">
        <v>4.3902438999999998</v>
      </c>
    </row>
    <row r="26" spans="1:32" x14ac:dyDescent="0.3">
      <c r="D26" s="1" t="s">
        <v>49</v>
      </c>
      <c r="E26" s="2" t="s">
        <v>36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72</v>
      </c>
      <c r="L26" s="2" t="s">
        <v>73</v>
      </c>
      <c r="M26" s="2" t="s">
        <v>74</v>
      </c>
    </row>
    <row r="27" spans="1:32" x14ac:dyDescent="0.3">
      <c r="D27" s="1" t="s">
        <v>81</v>
      </c>
      <c r="E27" s="1">
        <v>1</v>
      </c>
      <c r="F27" s="1">
        <v>0</v>
      </c>
      <c r="G27" s="1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32" x14ac:dyDescent="0.3">
      <c r="D28" s="1" t="s">
        <v>82</v>
      </c>
      <c r="E28" s="1">
        <v>0</v>
      </c>
      <c r="F28" s="1">
        <v>1</v>
      </c>
      <c r="G28" s="1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32" x14ac:dyDescent="0.3">
      <c r="D29" s="1" t="s">
        <v>17</v>
      </c>
      <c r="E29" s="1">
        <v>0</v>
      </c>
      <c r="F29" s="1">
        <v>0</v>
      </c>
      <c r="G29" s="1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32" x14ac:dyDescent="0.3">
      <c r="D30" s="1" t="s">
        <v>83</v>
      </c>
      <c r="E30" s="3">
        <v>0</v>
      </c>
      <c r="F30" s="3">
        <v>0</v>
      </c>
      <c r="G30" s="3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32" x14ac:dyDescent="0.3">
      <c r="D31" s="1" t="s">
        <v>84</v>
      </c>
      <c r="E31" s="3">
        <v>0</v>
      </c>
      <c r="F31" s="3">
        <v>0</v>
      </c>
      <c r="G31" s="3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32" x14ac:dyDescent="0.3">
      <c r="D32" s="1" t="s">
        <v>21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</row>
    <row r="33" spans="4:13" x14ac:dyDescent="0.3">
      <c r="D33" s="1" t="s">
        <v>85</v>
      </c>
      <c r="E33" s="3">
        <v>0</v>
      </c>
      <c r="F33" s="3">
        <v>0</v>
      </c>
      <c r="G33" s="3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</row>
    <row r="34" spans="4:13" x14ac:dyDescent="0.3">
      <c r="D34" s="1" t="s">
        <v>86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</row>
    <row r="35" spans="4:13" x14ac:dyDescent="0.3">
      <c r="D35" s="1" t="s">
        <v>87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</row>
    <row r="40" spans="4:13" x14ac:dyDescent="0.3">
      <c r="F40" s="48"/>
    </row>
    <row r="41" spans="4:13" x14ac:dyDescent="0.3">
      <c r="F41" s="48"/>
    </row>
    <row r="42" spans="4:13" x14ac:dyDescent="0.3">
      <c r="F42" s="48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EAC5-F59F-459A-8207-F34A555B8AEF}">
  <sheetPr>
    <tabColor theme="7" tint="0.59999389629810485"/>
  </sheetPr>
  <dimension ref="A1:AI48"/>
  <sheetViews>
    <sheetView showGridLines="0" topLeftCell="A17" workbookViewId="0">
      <selection activeCell="X25" sqref="X24:X25"/>
    </sheetView>
  </sheetViews>
  <sheetFormatPr defaultColWidth="9.21875" defaultRowHeight="14.4" x14ac:dyDescent="0.3"/>
  <cols>
    <col min="1" max="2" width="9.21875" style="10"/>
    <col min="3" max="3" width="13.44140625" style="10" customWidth="1"/>
    <col min="4" max="4" width="9.21875" style="10"/>
    <col min="5" max="19" width="6.44140625" style="10" customWidth="1"/>
    <col min="20" max="23" width="6" style="10" customWidth="1"/>
    <col min="24" max="24" width="9.77734375" style="10" customWidth="1"/>
    <col min="25" max="32" width="6" style="10" customWidth="1"/>
    <col min="33" max="16384" width="9.21875" style="10"/>
  </cols>
  <sheetData>
    <row r="1" spans="1:22" x14ac:dyDescent="0.3">
      <c r="E1" s="11" t="s">
        <v>94</v>
      </c>
      <c r="F1" s="11" t="s">
        <v>95</v>
      </c>
      <c r="G1" s="11" t="s">
        <v>96</v>
      </c>
      <c r="H1" s="11" t="s">
        <v>94</v>
      </c>
      <c r="I1" s="11" t="s">
        <v>95</v>
      </c>
      <c r="J1" s="11" t="s">
        <v>96</v>
      </c>
      <c r="K1" s="11" t="s">
        <v>94</v>
      </c>
      <c r="L1" s="11" t="s">
        <v>95</v>
      </c>
      <c r="M1" s="11" t="s">
        <v>96</v>
      </c>
      <c r="P1" s="10" t="s">
        <v>97</v>
      </c>
    </row>
    <row r="2" spans="1:22" x14ac:dyDescent="0.3">
      <c r="D2" s="10" t="s">
        <v>2</v>
      </c>
      <c r="E2" s="11" t="s">
        <v>36</v>
      </c>
      <c r="F2" s="11" t="s">
        <v>36</v>
      </c>
      <c r="G2" s="11" t="s">
        <v>36</v>
      </c>
      <c r="H2" s="11" t="s">
        <v>7</v>
      </c>
      <c r="I2" s="11" t="s">
        <v>7</v>
      </c>
      <c r="J2" s="11" t="s">
        <v>7</v>
      </c>
      <c r="K2" s="11" t="s">
        <v>72</v>
      </c>
      <c r="L2" s="11" t="s">
        <v>72</v>
      </c>
      <c r="M2" s="11" t="s">
        <v>72</v>
      </c>
      <c r="V2" s="23"/>
    </row>
    <row r="3" spans="1:22" x14ac:dyDescent="0.3">
      <c r="A3" s="10" t="s">
        <v>14</v>
      </c>
      <c r="B3" s="10" t="s">
        <v>94</v>
      </c>
      <c r="C3" s="10" t="s">
        <v>81</v>
      </c>
      <c r="D3" s="10" t="s">
        <v>36</v>
      </c>
      <c r="E3" s="10">
        <v>0</v>
      </c>
      <c r="F3" s="10">
        <v>0</v>
      </c>
      <c r="G3" s="10">
        <v>0</v>
      </c>
      <c r="H3" s="9">
        <v>0</v>
      </c>
      <c r="I3" s="10">
        <v>0</v>
      </c>
      <c r="J3" s="10">
        <v>0</v>
      </c>
      <c r="K3" s="9">
        <v>0</v>
      </c>
      <c r="L3" s="9">
        <v>0</v>
      </c>
      <c r="M3" s="9">
        <v>0</v>
      </c>
      <c r="P3" s="9">
        <f t="array" ref="P3:R5">MMULT(E6:G8,H3:J5)</f>
        <v>0</v>
      </c>
      <c r="Q3" s="10">
        <v>0</v>
      </c>
      <c r="R3" s="10">
        <v>0</v>
      </c>
      <c r="V3" s="23"/>
    </row>
    <row r="4" spans="1:22" x14ac:dyDescent="0.3">
      <c r="B4" s="10" t="s">
        <v>95</v>
      </c>
      <c r="C4" s="10" t="s">
        <v>81</v>
      </c>
      <c r="D4" s="10" t="s">
        <v>36</v>
      </c>
      <c r="E4" s="10">
        <v>0</v>
      </c>
      <c r="F4" s="10">
        <v>0</v>
      </c>
      <c r="G4" s="10">
        <v>0</v>
      </c>
      <c r="H4" s="10">
        <v>0</v>
      </c>
      <c r="I4" s="9">
        <v>0</v>
      </c>
      <c r="J4" s="10">
        <v>0</v>
      </c>
      <c r="K4" s="9">
        <v>0</v>
      </c>
      <c r="L4" s="9">
        <v>0</v>
      </c>
      <c r="M4" s="9">
        <v>0</v>
      </c>
      <c r="P4" s="10">
        <v>0</v>
      </c>
      <c r="Q4" s="9">
        <v>0</v>
      </c>
      <c r="R4" s="10">
        <v>0</v>
      </c>
      <c r="V4" s="23"/>
    </row>
    <row r="5" spans="1:22" x14ac:dyDescent="0.3">
      <c r="B5" s="10" t="s">
        <v>96</v>
      </c>
      <c r="C5" s="10" t="s">
        <v>81</v>
      </c>
      <c r="D5" s="10" t="s">
        <v>5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9">
        <v>0</v>
      </c>
      <c r="K5" s="9">
        <v>0</v>
      </c>
      <c r="L5" s="9">
        <v>0</v>
      </c>
      <c r="M5" s="9">
        <v>0</v>
      </c>
      <c r="P5" s="10">
        <v>0</v>
      </c>
      <c r="Q5" s="10">
        <v>0</v>
      </c>
      <c r="R5" s="9">
        <v>0</v>
      </c>
      <c r="V5" s="23"/>
    </row>
    <row r="6" spans="1:22" x14ac:dyDescent="0.3">
      <c r="A6" s="10" t="s">
        <v>98</v>
      </c>
      <c r="B6" s="10" t="s">
        <v>94</v>
      </c>
      <c r="C6" s="10" t="s">
        <v>83</v>
      </c>
      <c r="D6" s="10" t="s">
        <v>7</v>
      </c>
      <c r="E6" s="9">
        <v>0.7</v>
      </c>
      <c r="F6" s="13">
        <v>0</v>
      </c>
      <c r="G6" s="13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V6" s="23"/>
    </row>
    <row r="7" spans="1:22" x14ac:dyDescent="0.3">
      <c r="B7" s="10" t="s">
        <v>95</v>
      </c>
      <c r="C7" s="10" t="s">
        <v>83</v>
      </c>
      <c r="D7" s="10" t="s">
        <v>7</v>
      </c>
      <c r="E7" s="13">
        <v>0.2</v>
      </c>
      <c r="F7" s="9">
        <v>0</v>
      </c>
      <c r="G7" s="13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22" x14ac:dyDescent="0.3">
      <c r="B8" s="10" t="s">
        <v>96</v>
      </c>
      <c r="C8" s="10" t="s">
        <v>83</v>
      </c>
      <c r="D8" s="10" t="s">
        <v>7</v>
      </c>
      <c r="E8" s="13">
        <v>0</v>
      </c>
      <c r="F8" s="13">
        <v>0</v>
      </c>
      <c r="G8" s="9">
        <f>1-G7-G6</f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22" x14ac:dyDescent="0.3">
      <c r="A9" s="10" t="s">
        <v>99</v>
      </c>
      <c r="B9" s="10" t="s">
        <v>94</v>
      </c>
      <c r="C9" s="10" t="s">
        <v>85</v>
      </c>
      <c r="D9" s="10" t="s">
        <v>72</v>
      </c>
      <c r="E9" s="54">
        <f t="array" ref="E9:G11">E6:G8-E6:G8*_xlfn.MUNIT(3)+_xlfn.MUNIT(3)</f>
        <v>1</v>
      </c>
      <c r="F9" s="54">
        <v>0</v>
      </c>
      <c r="G9" s="54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O9" s="23"/>
    </row>
    <row r="10" spans="1:22" x14ac:dyDescent="0.3">
      <c r="B10" s="10" t="s">
        <v>95</v>
      </c>
      <c r="C10" s="10" t="s">
        <v>85</v>
      </c>
      <c r="D10" s="10" t="s">
        <v>72</v>
      </c>
      <c r="E10" s="9">
        <v>0.2</v>
      </c>
      <c r="F10" s="9">
        <v>1</v>
      </c>
      <c r="G10" s="9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22" x14ac:dyDescent="0.3">
      <c r="B11" s="10" t="s">
        <v>96</v>
      </c>
      <c r="C11" s="10" t="s">
        <v>85</v>
      </c>
      <c r="D11" s="10" t="s">
        <v>72</v>
      </c>
      <c r="E11" s="9">
        <v>0</v>
      </c>
      <c r="F11" s="9">
        <v>0</v>
      </c>
      <c r="G11" s="9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3" spans="1:22" x14ac:dyDescent="0.3">
      <c r="C13" s="10" t="s">
        <v>100</v>
      </c>
      <c r="D13" s="10" t="s">
        <v>45</v>
      </c>
      <c r="E13" s="10">
        <v>0</v>
      </c>
      <c r="F13" s="10">
        <v>0</v>
      </c>
      <c r="G13" s="10">
        <v>0</v>
      </c>
      <c r="H13" s="9">
        <v>1</v>
      </c>
      <c r="I13" s="9">
        <v>1</v>
      </c>
      <c r="J13" s="9">
        <v>1</v>
      </c>
      <c r="K13" s="9">
        <v>0</v>
      </c>
      <c r="L13" s="9">
        <v>0</v>
      </c>
      <c r="M13" s="9">
        <v>0</v>
      </c>
    </row>
    <row r="14" spans="1:22" x14ac:dyDescent="0.3">
      <c r="C14" s="10" t="s">
        <v>24</v>
      </c>
      <c r="D14" s="10" t="s">
        <v>46</v>
      </c>
      <c r="E14" s="10">
        <v>0</v>
      </c>
      <c r="F14" s="10">
        <v>0</v>
      </c>
      <c r="G14" s="10">
        <v>0</v>
      </c>
      <c r="H14" s="9">
        <v>5</v>
      </c>
      <c r="I14" s="9">
        <v>15</v>
      </c>
      <c r="J14" s="9">
        <v>25</v>
      </c>
      <c r="K14" s="9">
        <v>0</v>
      </c>
      <c r="L14" s="9">
        <v>0</v>
      </c>
      <c r="M14" s="9">
        <v>0</v>
      </c>
    </row>
    <row r="17" spans="1:35" x14ac:dyDescent="0.3">
      <c r="A17" s="10" t="s">
        <v>25</v>
      </c>
      <c r="D17" s="10" t="s">
        <v>26</v>
      </c>
      <c r="E17" s="109">
        <v>1</v>
      </c>
      <c r="F17" s="109">
        <v>5</v>
      </c>
      <c r="G17" s="109">
        <v>0</v>
      </c>
      <c r="H17" s="109">
        <v>0.70000000000000007</v>
      </c>
      <c r="I17" s="109">
        <v>0.2</v>
      </c>
      <c r="J17" s="109">
        <v>0</v>
      </c>
      <c r="K17" s="109">
        <v>1</v>
      </c>
      <c r="L17" s="109">
        <v>5.2</v>
      </c>
      <c r="M17" s="109">
        <v>0</v>
      </c>
    </row>
    <row r="19" spans="1:35" x14ac:dyDescent="0.3">
      <c r="E19" s="11" t="s">
        <v>94</v>
      </c>
      <c r="F19" s="11" t="s">
        <v>95</v>
      </c>
      <c r="G19" s="11" t="s">
        <v>96</v>
      </c>
      <c r="H19" s="11" t="s">
        <v>94</v>
      </c>
      <c r="I19" s="11" t="s">
        <v>95</v>
      </c>
      <c r="J19" s="11" t="s">
        <v>96</v>
      </c>
      <c r="K19" s="11" t="s">
        <v>94</v>
      </c>
      <c r="L19" s="11" t="s">
        <v>95</v>
      </c>
      <c r="M19" s="11" t="s">
        <v>96</v>
      </c>
      <c r="O19" s="11" t="s">
        <v>101</v>
      </c>
      <c r="Q19" s="11" t="s">
        <v>11</v>
      </c>
      <c r="S19" s="11" t="s">
        <v>13</v>
      </c>
    </row>
    <row r="20" spans="1:35" x14ac:dyDescent="0.3">
      <c r="D20" s="10" t="s">
        <v>12</v>
      </c>
      <c r="E20" s="11" t="s">
        <v>36</v>
      </c>
      <c r="F20" s="11" t="s">
        <v>36</v>
      </c>
      <c r="G20" s="11" t="s">
        <v>36</v>
      </c>
      <c r="H20" s="11" t="s">
        <v>7</v>
      </c>
      <c r="I20" s="11" t="s">
        <v>7</v>
      </c>
      <c r="J20" s="11" t="s">
        <v>7</v>
      </c>
      <c r="K20" s="11" t="s">
        <v>72</v>
      </c>
      <c r="L20" s="11" t="s">
        <v>72</v>
      </c>
      <c r="M20" s="11" t="s">
        <v>72</v>
      </c>
      <c r="O20" s="11"/>
      <c r="P20" s="11"/>
      <c r="Q20" s="11"/>
      <c r="S20" s="11"/>
    </row>
    <row r="21" spans="1:35" x14ac:dyDescent="0.3">
      <c r="A21" s="10" t="s">
        <v>14</v>
      </c>
      <c r="B21" s="10" t="s">
        <v>94</v>
      </c>
      <c r="C21" s="10" t="s">
        <v>81</v>
      </c>
      <c r="D21" s="10" t="s">
        <v>36</v>
      </c>
      <c r="E21" s="27">
        <f t="array" ref="E21:M29">MMULT(E3:M11,E17:M17*_xlfn.MUNIT(9))</f>
        <v>0</v>
      </c>
      <c r="F21" s="27">
        <v>0</v>
      </c>
      <c r="G21" s="27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O21" s="4">
        <v>1</v>
      </c>
      <c r="Q21" s="57">
        <f t="array" ref="Q21:Q29">MMULT(E37:M45-E3:M11,TRANSPOSE(E17:M17))</f>
        <v>1</v>
      </c>
      <c r="R21" s="27"/>
      <c r="S21" s="8">
        <f t="array" ref="S21:S29">MMULT(E37:M45,TRANSPOSE(E17:M17))</f>
        <v>1</v>
      </c>
    </row>
    <row r="22" spans="1:35" x14ac:dyDescent="0.3">
      <c r="B22" s="10" t="s">
        <v>95</v>
      </c>
      <c r="C22" s="10" t="s">
        <v>81</v>
      </c>
      <c r="D22" s="10" t="s">
        <v>36</v>
      </c>
      <c r="E22" s="27">
        <v>0</v>
      </c>
      <c r="F22" s="27">
        <v>0</v>
      </c>
      <c r="G22" s="27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O22" s="4">
        <v>5</v>
      </c>
      <c r="Q22" s="57">
        <v>5</v>
      </c>
      <c r="R22" s="27"/>
      <c r="S22" s="8">
        <v>5</v>
      </c>
    </row>
    <row r="23" spans="1:35" x14ac:dyDescent="0.3">
      <c r="B23" s="10" t="s">
        <v>96</v>
      </c>
      <c r="C23" s="10" t="s">
        <v>81</v>
      </c>
      <c r="D23" s="10" t="s">
        <v>5</v>
      </c>
      <c r="E23" s="27">
        <v>0</v>
      </c>
      <c r="F23" s="27">
        <v>0</v>
      </c>
      <c r="G23" s="27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O23" s="4">
        <v>0</v>
      </c>
      <c r="Q23" s="57">
        <v>0</v>
      </c>
      <c r="R23" s="27"/>
      <c r="S23" s="8">
        <v>0</v>
      </c>
    </row>
    <row r="24" spans="1:35" x14ac:dyDescent="0.3">
      <c r="A24" s="10" t="s">
        <v>98</v>
      </c>
      <c r="B24" s="10" t="s">
        <v>94</v>
      </c>
      <c r="C24" s="10" t="s">
        <v>83</v>
      </c>
      <c r="D24" s="10" t="s">
        <v>7</v>
      </c>
      <c r="E24" s="8">
        <v>0.7</v>
      </c>
      <c r="F24" s="8">
        <v>0</v>
      </c>
      <c r="G24" s="8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O24" s="1">
        <v>0</v>
      </c>
      <c r="Q24" s="58">
        <v>1.1102230246251565E-16</v>
      </c>
      <c r="R24" s="27"/>
      <c r="S24" s="27">
        <v>0.70000000000000007</v>
      </c>
    </row>
    <row r="25" spans="1:35" x14ac:dyDescent="0.3">
      <c r="B25" s="10" t="s">
        <v>95</v>
      </c>
      <c r="C25" s="10" t="s">
        <v>83</v>
      </c>
      <c r="D25" s="10" t="s">
        <v>7</v>
      </c>
      <c r="E25" s="8">
        <v>0.2</v>
      </c>
      <c r="F25" s="8">
        <v>0</v>
      </c>
      <c r="G25" s="8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O25" s="1">
        <v>0</v>
      </c>
      <c r="Q25" s="58">
        <v>0</v>
      </c>
      <c r="R25" s="27"/>
      <c r="S25" s="27">
        <v>0.2</v>
      </c>
    </row>
    <row r="26" spans="1:35" x14ac:dyDescent="0.3">
      <c r="B26" s="10" t="s">
        <v>96</v>
      </c>
      <c r="C26" s="10" t="s">
        <v>83</v>
      </c>
      <c r="D26" s="10" t="s">
        <v>7</v>
      </c>
      <c r="E26" s="8">
        <v>0</v>
      </c>
      <c r="F26" s="8">
        <v>0</v>
      </c>
      <c r="G26" s="8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O26" s="1">
        <v>0</v>
      </c>
      <c r="Q26" s="58">
        <v>0</v>
      </c>
      <c r="R26" s="27"/>
      <c r="S26" s="27">
        <v>0</v>
      </c>
    </row>
    <row r="27" spans="1:35" x14ac:dyDescent="0.3">
      <c r="A27" s="10" t="s">
        <v>99</v>
      </c>
      <c r="B27" s="10" t="s">
        <v>94</v>
      </c>
      <c r="C27" s="10" t="s">
        <v>85</v>
      </c>
      <c r="D27" s="10" t="s">
        <v>72</v>
      </c>
      <c r="E27" s="8">
        <v>1</v>
      </c>
      <c r="F27" s="8">
        <v>0</v>
      </c>
      <c r="G27" s="8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O27" s="1">
        <v>0</v>
      </c>
      <c r="Q27" s="58">
        <v>0</v>
      </c>
      <c r="R27" s="27"/>
      <c r="S27" s="27">
        <v>1</v>
      </c>
    </row>
    <row r="28" spans="1:35" x14ac:dyDescent="0.3">
      <c r="B28" s="10" t="s">
        <v>95</v>
      </c>
      <c r="C28" s="10" t="s">
        <v>85</v>
      </c>
      <c r="D28" s="10" t="s">
        <v>72</v>
      </c>
      <c r="E28" s="8">
        <v>0.2</v>
      </c>
      <c r="F28" s="8">
        <v>5</v>
      </c>
      <c r="G28" s="8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O28" s="1">
        <v>0</v>
      </c>
      <c r="Q28" s="58">
        <v>0</v>
      </c>
      <c r="R28" s="27"/>
      <c r="S28" s="27">
        <v>5.2</v>
      </c>
    </row>
    <row r="29" spans="1:35" x14ac:dyDescent="0.3">
      <c r="B29" s="10" t="s">
        <v>96</v>
      </c>
      <c r="C29" s="10" t="s">
        <v>85</v>
      </c>
      <c r="D29" s="10" t="s">
        <v>72</v>
      </c>
      <c r="E29" s="8">
        <v>0</v>
      </c>
      <c r="F29" s="8">
        <v>0</v>
      </c>
      <c r="G29" s="8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O29" s="1">
        <v>0</v>
      </c>
      <c r="Q29" s="58">
        <v>0</v>
      </c>
      <c r="R29" s="27"/>
      <c r="S29" s="27">
        <v>0</v>
      </c>
    </row>
    <row r="30" spans="1:35" x14ac:dyDescent="0.3">
      <c r="E30" s="1"/>
      <c r="F30" s="1"/>
      <c r="G30" s="1"/>
      <c r="H30" s="1"/>
      <c r="I30" s="1"/>
      <c r="J30" s="1"/>
      <c r="K30" s="1"/>
      <c r="L30" s="1"/>
      <c r="M30" s="1"/>
    </row>
    <row r="31" spans="1:35" x14ac:dyDescent="0.3">
      <c r="D31" s="10" t="s">
        <v>45</v>
      </c>
      <c r="E31" s="27">
        <f t="array" ref="E31:M32">MMULT(E13:M14,E17:M17*_xlfn.MUNIT(9))</f>
        <v>0</v>
      </c>
      <c r="F31" s="27">
        <v>0</v>
      </c>
      <c r="G31" s="27">
        <v>0</v>
      </c>
      <c r="H31" s="8">
        <v>0.70000000000000007</v>
      </c>
      <c r="I31" s="8">
        <v>0.2</v>
      </c>
      <c r="J31" s="8">
        <v>0</v>
      </c>
      <c r="K31" s="8">
        <v>0</v>
      </c>
      <c r="L31" s="8">
        <v>0</v>
      </c>
      <c r="M31" s="8">
        <v>0</v>
      </c>
      <c r="Q31" s="10" t="s">
        <v>102</v>
      </c>
      <c r="S31" s="3">
        <f>SUM(E31:M31)</f>
        <v>0.90000000000000013</v>
      </c>
    </row>
    <row r="32" spans="1:35" x14ac:dyDescent="0.3">
      <c r="D32" s="10" t="s">
        <v>46</v>
      </c>
      <c r="E32" s="27">
        <v>0</v>
      </c>
      <c r="F32" s="27">
        <v>0</v>
      </c>
      <c r="G32" s="27">
        <v>0</v>
      </c>
      <c r="H32" s="8">
        <v>3.5000000000000004</v>
      </c>
      <c r="I32" s="8">
        <v>3</v>
      </c>
      <c r="J32" s="8">
        <v>0</v>
      </c>
      <c r="K32" s="8">
        <v>0</v>
      </c>
      <c r="L32" s="8">
        <v>0</v>
      </c>
      <c r="M32" s="8">
        <v>0</v>
      </c>
      <c r="Q32" s="10" t="s">
        <v>103</v>
      </c>
      <c r="S32" s="3">
        <f>SUM(E32:M32)</f>
        <v>6.5</v>
      </c>
      <c r="T32" s="10" t="s">
        <v>92</v>
      </c>
      <c r="AI32" s="23"/>
    </row>
    <row r="33" spans="1:13" x14ac:dyDescent="0.3">
      <c r="H33" s="10">
        <f>H31/SUM($H$31:$J$31)</f>
        <v>0.77777777777777779</v>
      </c>
      <c r="I33" s="10">
        <f t="shared" ref="I33:J33" si="0">I31/SUM($H$31:$J$31)</f>
        <v>0.22222222222222221</v>
      </c>
      <c r="J33" s="10">
        <f t="shared" si="0"/>
        <v>0</v>
      </c>
    </row>
    <row r="35" spans="1:13" x14ac:dyDescent="0.3">
      <c r="D35" s="10" t="s">
        <v>49</v>
      </c>
      <c r="E35" s="11" t="s">
        <v>94</v>
      </c>
      <c r="F35" s="11" t="s">
        <v>95</v>
      </c>
      <c r="G35" s="11" t="s">
        <v>96</v>
      </c>
      <c r="H35" s="11" t="s">
        <v>94</v>
      </c>
      <c r="I35" s="11" t="s">
        <v>95</v>
      </c>
      <c r="J35" s="11" t="s">
        <v>96</v>
      </c>
      <c r="K35" s="11" t="s">
        <v>94</v>
      </c>
      <c r="L35" s="11" t="s">
        <v>95</v>
      </c>
      <c r="M35" s="11" t="s">
        <v>96</v>
      </c>
    </row>
    <row r="36" spans="1:13" x14ac:dyDescent="0.3">
      <c r="D36" s="10" t="s">
        <v>12</v>
      </c>
      <c r="E36" s="11" t="s">
        <v>36</v>
      </c>
      <c r="F36" s="11" t="s">
        <v>36</v>
      </c>
      <c r="G36" s="11" t="s">
        <v>36</v>
      </c>
      <c r="H36" s="11" t="s">
        <v>7</v>
      </c>
      <c r="I36" s="11" t="s">
        <v>7</v>
      </c>
      <c r="J36" s="11" t="s">
        <v>7</v>
      </c>
      <c r="K36" s="11" t="s">
        <v>72</v>
      </c>
      <c r="L36" s="11" t="s">
        <v>72</v>
      </c>
      <c r="M36" s="11" t="s">
        <v>72</v>
      </c>
    </row>
    <row r="37" spans="1:13" x14ac:dyDescent="0.3">
      <c r="A37" s="10" t="s">
        <v>14</v>
      </c>
      <c r="B37" s="10" t="s">
        <v>94</v>
      </c>
      <c r="C37" s="10" t="s">
        <v>81</v>
      </c>
      <c r="D37" s="10" t="s">
        <v>36</v>
      </c>
      <c r="E37" s="10">
        <v>1</v>
      </c>
      <c r="F37" s="10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">
      <c r="B38" s="10" t="s">
        <v>95</v>
      </c>
      <c r="C38" s="10" t="s">
        <v>81</v>
      </c>
      <c r="D38" s="10" t="s">
        <v>36</v>
      </c>
      <c r="E38" s="10">
        <v>0</v>
      </c>
      <c r="F38" s="10">
        <v>1</v>
      </c>
      <c r="G38" s="10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3">
      <c r="B39" s="10" t="s">
        <v>96</v>
      </c>
      <c r="C39" s="10" t="s">
        <v>81</v>
      </c>
      <c r="D39" s="10" t="s">
        <v>5</v>
      </c>
      <c r="E39" s="10">
        <v>0</v>
      </c>
      <c r="F39" s="10">
        <v>0</v>
      </c>
      <c r="G39" s="10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">
      <c r="A40" s="10" t="s">
        <v>98</v>
      </c>
      <c r="B40" s="10" t="s">
        <v>94</v>
      </c>
      <c r="C40" s="10" t="s">
        <v>83</v>
      </c>
      <c r="D40" s="10" t="s">
        <v>7</v>
      </c>
      <c r="E40" s="9">
        <v>0</v>
      </c>
      <c r="F40" s="9">
        <v>0</v>
      </c>
      <c r="G40" s="9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3">
      <c r="B41" s="10" t="s">
        <v>95</v>
      </c>
      <c r="C41" s="10" t="s">
        <v>83</v>
      </c>
      <c r="D41" s="10" t="s">
        <v>7</v>
      </c>
      <c r="E41" s="9">
        <v>0</v>
      </c>
      <c r="F41" s="9">
        <v>0</v>
      </c>
      <c r="G41" s="9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3">
      <c r="B42" s="10" t="s">
        <v>96</v>
      </c>
      <c r="C42" s="10" t="s">
        <v>83</v>
      </c>
      <c r="D42" s="10" t="s">
        <v>7</v>
      </c>
      <c r="E42" s="9">
        <v>0</v>
      </c>
      <c r="F42" s="9">
        <v>0</v>
      </c>
      <c r="G42" s="9">
        <v>0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</row>
    <row r="43" spans="1:13" x14ac:dyDescent="0.3">
      <c r="A43" s="10" t="s">
        <v>99</v>
      </c>
      <c r="B43" s="10" t="s">
        <v>94</v>
      </c>
      <c r="C43" s="10" t="s">
        <v>85</v>
      </c>
      <c r="D43" s="10" t="s">
        <v>72</v>
      </c>
      <c r="E43" s="9">
        <v>0</v>
      </c>
      <c r="F43" s="9">
        <v>0</v>
      </c>
      <c r="G43" s="9">
        <v>0</v>
      </c>
      <c r="H43" s="10">
        <v>0</v>
      </c>
      <c r="I43" s="10">
        <v>0</v>
      </c>
      <c r="J43" s="10">
        <v>0</v>
      </c>
      <c r="K43" s="10">
        <v>1</v>
      </c>
      <c r="L43" s="10">
        <v>0</v>
      </c>
      <c r="M43" s="10">
        <v>0</v>
      </c>
    </row>
    <row r="44" spans="1:13" x14ac:dyDescent="0.3">
      <c r="B44" s="10" t="s">
        <v>95</v>
      </c>
      <c r="C44" s="10" t="s">
        <v>85</v>
      </c>
      <c r="D44" s="10" t="s">
        <v>72</v>
      </c>
      <c r="E44" s="9">
        <v>0</v>
      </c>
      <c r="F44" s="9">
        <v>0</v>
      </c>
      <c r="G44" s="9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</v>
      </c>
      <c r="M44" s="10">
        <v>0</v>
      </c>
    </row>
    <row r="45" spans="1:13" x14ac:dyDescent="0.3">
      <c r="B45" s="10" t="s">
        <v>96</v>
      </c>
      <c r="C45" s="10" t="s">
        <v>85</v>
      </c>
      <c r="D45" s="10" t="s">
        <v>72</v>
      </c>
      <c r="E45" s="9">
        <v>0</v>
      </c>
      <c r="F45" s="9">
        <v>0</v>
      </c>
      <c r="G45" s="9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</row>
    <row r="47" spans="1:13" x14ac:dyDescent="0.3">
      <c r="E47" s="10">
        <f t="array" ref="E47:M47">MMULT(MMULT(E14:M14,MINVERSE(_xlfn.MUNIT(9)-E21:M29)),O21:O29*_xlfn.MUNIT(9))</f>
        <v>6.5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3">
      <c r="E48" s="10">
        <f t="array" ref="E48:M48">MMULT(E14:M14,MINVERSE(_xlfn.MUNIT(9)-E21:M29))</f>
        <v>6.5</v>
      </c>
      <c r="F48" s="10">
        <v>0</v>
      </c>
      <c r="G48" s="10">
        <v>0</v>
      </c>
      <c r="H48" s="10">
        <v>5</v>
      </c>
      <c r="I48" s="10">
        <v>15</v>
      </c>
      <c r="J48" s="10">
        <v>25</v>
      </c>
      <c r="K48" s="10">
        <v>0</v>
      </c>
      <c r="L48" s="10">
        <v>0</v>
      </c>
      <c r="M48" s="10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03F7-B5B3-4E46-B3D8-3BD620CAA7C8}">
  <dimension ref="A1:Y36"/>
  <sheetViews>
    <sheetView workbookViewId="0"/>
  </sheetViews>
  <sheetFormatPr defaultColWidth="9.21875" defaultRowHeight="14.4" x14ac:dyDescent="0.3"/>
  <cols>
    <col min="1" max="2" width="9.21875" style="10"/>
    <col min="3" max="3" width="13.44140625" style="10" customWidth="1"/>
    <col min="4" max="4" width="9.21875" style="10"/>
    <col min="5" max="16" width="6.44140625" style="10" customWidth="1"/>
    <col min="17" max="26" width="5.21875" style="10" customWidth="1"/>
    <col min="27" max="16384" width="9.21875" style="10"/>
  </cols>
  <sheetData>
    <row r="1" spans="1:25" x14ac:dyDescent="0.3">
      <c r="E1" s="11" t="s">
        <v>94</v>
      </c>
      <c r="F1" s="11" t="s">
        <v>95</v>
      </c>
      <c r="G1" s="11" t="s">
        <v>96</v>
      </c>
      <c r="H1" s="11" t="s">
        <v>94</v>
      </c>
      <c r="I1" s="11" t="s">
        <v>95</v>
      </c>
      <c r="J1" s="11" t="s">
        <v>96</v>
      </c>
    </row>
    <row r="2" spans="1:25" x14ac:dyDescent="0.3">
      <c r="D2" s="10" t="s">
        <v>2</v>
      </c>
      <c r="E2" s="11" t="s">
        <v>7</v>
      </c>
      <c r="F2" s="11" t="s">
        <v>7</v>
      </c>
      <c r="G2" s="11" t="s">
        <v>7</v>
      </c>
      <c r="H2" s="11" t="s">
        <v>72</v>
      </c>
      <c r="I2" s="11" t="s">
        <v>72</v>
      </c>
      <c r="J2" s="11" t="s">
        <v>72</v>
      </c>
      <c r="R2" s="10" t="s">
        <v>94</v>
      </c>
      <c r="U2" s="10" t="s">
        <v>95</v>
      </c>
      <c r="X2" s="11" t="s">
        <v>94</v>
      </c>
      <c r="Y2" s="11" t="s">
        <v>95</v>
      </c>
    </row>
    <row r="3" spans="1:25" x14ac:dyDescent="0.3">
      <c r="A3" s="10" t="s">
        <v>14</v>
      </c>
      <c r="B3" s="10" t="s">
        <v>94</v>
      </c>
      <c r="C3" s="10" t="s">
        <v>81</v>
      </c>
      <c r="D3" s="10" t="s">
        <v>36</v>
      </c>
      <c r="E3" s="9">
        <v>0</v>
      </c>
      <c r="F3" s="10">
        <v>0</v>
      </c>
      <c r="G3" s="10">
        <v>0</v>
      </c>
      <c r="H3" s="59">
        <v>0</v>
      </c>
      <c r="I3" s="54">
        <v>0</v>
      </c>
      <c r="J3" s="60">
        <v>0</v>
      </c>
      <c r="R3" s="10" t="s">
        <v>104</v>
      </c>
      <c r="S3" s="10" t="s">
        <v>105</v>
      </c>
      <c r="T3" s="10" t="s">
        <v>106</v>
      </c>
      <c r="U3" s="10" t="s">
        <v>104</v>
      </c>
      <c r="V3" s="10" t="s">
        <v>105</v>
      </c>
      <c r="W3" s="10" t="s">
        <v>106</v>
      </c>
      <c r="X3" s="11" t="s">
        <v>53</v>
      </c>
      <c r="Y3" s="11" t="s">
        <v>53</v>
      </c>
    </row>
    <row r="4" spans="1:25" x14ac:dyDescent="0.3">
      <c r="B4" s="10" t="s">
        <v>95</v>
      </c>
      <c r="C4" s="10" t="s">
        <v>81</v>
      </c>
      <c r="D4" s="10" t="s">
        <v>36</v>
      </c>
      <c r="E4" s="10">
        <v>0</v>
      </c>
      <c r="F4" s="9">
        <v>0</v>
      </c>
      <c r="G4" s="10">
        <v>0</v>
      </c>
      <c r="H4" s="61">
        <v>0.4</v>
      </c>
      <c r="I4" s="10">
        <v>0</v>
      </c>
      <c r="J4" s="62">
        <v>0</v>
      </c>
      <c r="P4" s="10" t="s">
        <v>94</v>
      </c>
      <c r="Q4" s="10" t="s">
        <v>104</v>
      </c>
      <c r="R4" s="9">
        <v>0</v>
      </c>
      <c r="S4" s="9">
        <v>2.2000000000000002</v>
      </c>
      <c r="T4" s="9">
        <v>0</v>
      </c>
    </row>
    <row r="5" spans="1:25" x14ac:dyDescent="0.3">
      <c r="B5" s="10" t="s">
        <v>96</v>
      </c>
      <c r="C5" s="10" t="s">
        <v>81</v>
      </c>
      <c r="D5" s="10" t="s">
        <v>36</v>
      </c>
      <c r="E5" s="10">
        <v>0</v>
      </c>
      <c r="F5" s="10">
        <v>0</v>
      </c>
      <c r="G5" s="9">
        <v>0</v>
      </c>
      <c r="H5" s="63">
        <v>0.3</v>
      </c>
      <c r="I5" s="64">
        <v>0</v>
      </c>
      <c r="J5" s="65">
        <v>0</v>
      </c>
      <c r="Q5" s="10" t="s">
        <v>107</v>
      </c>
      <c r="R5" s="9">
        <v>0</v>
      </c>
      <c r="S5" s="9">
        <v>0</v>
      </c>
      <c r="T5" s="9">
        <v>0</v>
      </c>
      <c r="X5" s="9">
        <v>0.2</v>
      </c>
    </row>
    <row r="6" spans="1:25" x14ac:dyDescent="0.3">
      <c r="A6" s="10" t="s">
        <v>99</v>
      </c>
      <c r="B6" s="10" t="s">
        <v>94</v>
      </c>
      <c r="C6" s="10" t="s">
        <v>85</v>
      </c>
      <c r="D6" s="10" t="s">
        <v>72</v>
      </c>
      <c r="E6" s="66">
        <v>1</v>
      </c>
      <c r="F6" s="22">
        <v>0</v>
      </c>
      <c r="G6" s="67">
        <v>0</v>
      </c>
      <c r="H6" s="10">
        <v>0</v>
      </c>
      <c r="I6" s="10">
        <v>0</v>
      </c>
      <c r="J6" s="10">
        <v>0</v>
      </c>
      <c r="P6" s="10" t="s">
        <v>95</v>
      </c>
      <c r="Q6" s="10" t="s">
        <v>104</v>
      </c>
      <c r="U6" s="9">
        <v>0</v>
      </c>
      <c r="V6" s="9">
        <v>2.2000000000000002</v>
      </c>
      <c r="W6" s="9">
        <v>0</v>
      </c>
    </row>
    <row r="7" spans="1:25" x14ac:dyDescent="0.3">
      <c r="B7" s="10" t="s">
        <v>95</v>
      </c>
      <c r="C7" s="10" t="s">
        <v>85</v>
      </c>
      <c r="D7" s="10" t="s">
        <v>72</v>
      </c>
      <c r="E7" s="68">
        <v>0</v>
      </c>
      <c r="F7" s="9">
        <v>1</v>
      </c>
      <c r="G7" s="69">
        <v>0</v>
      </c>
      <c r="H7" s="10">
        <v>0</v>
      </c>
      <c r="I7" s="10">
        <v>0</v>
      </c>
      <c r="J7" s="10">
        <v>0</v>
      </c>
      <c r="Q7" s="10" t="s">
        <v>107</v>
      </c>
      <c r="U7" s="9">
        <v>0</v>
      </c>
      <c r="V7" s="9">
        <v>0</v>
      </c>
      <c r="W7" s="9">
        <v>0</v>
      </c>
      <c r="Y7" s="9">
        <v>0</v>
      </c>
    </row>
    <row r="8" spans="1:25" x14ac:dyDescent="0.3">
      <c r="B8" s="10" t="s">
        <v>96</v>
      </c>
      <c r="C8" s="10" t="s">
        <v>85</v>
      </c>
      <c r="D8" s="10" t="s">
        <v>72</v>
      </c>
      <c r="E8" s="70">
        <v>0</v>
      </c>
      <c r="F8" s="71">
        <v>0</v>
      </c>
      <c r="G8" s="72">
        <v>1</v>
      </c>
      <c r="H8" s="10">
        <v>0</v>
      </c>
      <c r="I8" s="10">
        <v>0</v>
      </c>
      <c r="J8" s="10">
        <v>0</v>
      </c>
      <c r="P8" s="10" t="s">
        <v>94</v>
      </c>
      <c r="Q8" s="10" t="s">
        <v>53</v>
      </c>
      <c r="R8" s="9">
        <v>0</v>
      </c>
      <c r="S8" s="9">
        <v>1</v>
      </c>
      <c r="T8" s="9">
        <v>1</v>
      </c>
    </row>
    <row r="9" spans="1:25" x14ac:dyDescent="0.3">
      <c r="P9" s="10" t="s">
        <v>95</v>
      </c>
      <c r="Q9" s="10" t="s">
        <v>53</v>
      </c>
      <c r="U9" s="9">
        <v>0</v>
      </c>
      <c r="V9" s="9">
        <v>1</v>
      </c>
      <c r="W9" s="9">
        <v>1</v>
      </c>
    </row>
    <row r="10" spans="1:25" x14ac:dyDescent="0.3">
      <c r="C10" s="10" t="s">
        <v>100</v>
      </c>
      <c r="D10" s="10" t="s">
        <v>45</v>
      </c>
      <c r="E10" s="9">
        <v>0.3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</row>
    <row r="11" spans="1:25" x14ac:dyDescent="0.3">
      <c r="C11" s="10" t="s">
        <v>24</v>
      </c>
      <c r="D11" s="10" t="s">
        <v>46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P11" s="10" t="s">
        <v>26</v>
      </c>
    </row>
    <row r="14" spans="1:25" x14ac:dyDescent="0.3">
      <c r="A14" s="10" t="s">
        <v>25</v>
      </c>
      <c r="D14" s="10" t="s">
        <v>26</v>
      </c>
      <c r="E14" s="5">
        <v>10</v>
      </c>
      <c r="F14" s="5">
        <v>4</v>
      </c>
      <c r="G14" s="5">
        <v>3</v>
      </c>
      <c r="H14" s="5">
        <v>10</v>
      </c>
      <c r="I14" s="5">
        <v>4</v>
      </c>
      <c r="J14" s="5">
        <v>3</v>
      </c>
      <c r="R14" s="23"/>
    </row>
    <row r="15" spans="1:25" x14ac:dyDescent="0.3">
      <c r="R15" s="23"/>
    </row>
    <row r="16" spans="1:25" x14ac:dyDescent="0.3">
      <c r="E16" s="11" t="s">
        <v>94</v>
      </c>
      <c r="F16" s="11" t="s">
        <v>95</v>
      </c>
      <c r="G16" s="11" t="s">
        <v>96</v>
      </c>
      <c r="H16" s="11" t="s">
        <v>94</v>
      </c>
      <c r="I16" s="11" t="s">
        <v>95</v>
      </c>
      <c r="J16" s="11" t="s">
        <v>96</v>
      </c>
      <c r="L16" s="11" t="s">
        <v>101</v>
      </c>
      <c r="N16" s="11" t="s">
        <v>11</v>
      </c>
      <c r="P16" s="11" t="s">
        <v>13</v>
      </c>
      <c r="R16" s="23"/>
    </row>
    <row r="17" spans="1:23" x14ac:dyDescent="0.3">
      <c r="D17" s="10" t="s">
        <v>12</v>
      </c>
      <c r="E17" s="11" t="s">
        <v>7</v>
      </c>
      <c r="F17" s="11" t="s">
        <v>7</v>
      </c>
      <c r="G17" s="11" t="s">
        <v>7</v>
      </c>
      <c r="H17" s="11" t="s">
        <v>72</v>
      </c>
      <c r="I17" s="11" t="s">
        <v>72</v>
      </c>
      <c r="J17" s="11" t="s">
        <v>72</v>
      </c>
      <c r="L17" s="11"/>
      <c r="M17" s="11"/>
      <c r="N17" s="11"/>
      <c r="P17" s="11"/>
      <c r="R17" s="23"/>
    </row>
    <row r="18" spans="1:23" x14ac:dyDescent="0.3">
      <c r="A18" s="10" t="s">
        <v>14</v>
      </c>
      <c r="B18" s="10" t="s">
        <v>94</v>
      </c>
      <c r="C18" s="10" t="s">
        <v>81</v>
      </c>
      <c r="D18" s="10" t="s">
        <v>36</v>
      </c>
      <c r="E18" s="8">
        <f t="array" ref="E18:J23">MMULT(E3:J8,E14:J14*_xlfn.MUNIT(6))</f>
        <v>0</v>
      </c>
      <c r="F18" s="27">
        <v>0</v>
      </c>
      <c r="G18" s="27">
        <v>0</v>
      </c>
      <c r="H18" s="27">
        <v>0</v>
      </c>
      <c r="I18" s="8">
        <v>0</v>
      </c>
      <c r="J18" s="8">
        <v>0</v>
      </c>
      <c r="K18" s="27"/>
      <c r="L18" s="28">
        <v>10</v>
      </c>
      <c r="M18" s="27"/>
      <c r="N18" s="57">
        <f t="array" ref="N18:N23">MMULT(E31:J36-E3:J8,TRANSPOSE(E14:J14))</f>
        <v>10</v>
      </c>
      <c r="O18" s="27"/>
      <c r="P18" s="8">
        <f t="array" ref="P18:P23">MMULT(E31:J36,TRANSPOSE(E14:J14))</f>
        <v>10</v>
      </c>
    </row>
    <row r="19" spans="1:23" x14ac:dyDescent="0.3">
      <c r="B19" s="10" t="s">
        <v>95</v>
      </c>
      <c r="C19" s="10" t="s">
        <v>81</v>
      </c>
      <c r="D19" s="10" t="s">
        <v>36</v>
      </c>
      <c r="E19" s="27">
        <v>0</v>
      </c>
      <c r="F19" s="8">
        <v>0</v>
      </c>
      <c r="G19" s="27">
        <v>0</v>
      </c>
      <c r="H19" s="8">
        <v>4</v>
      </c>
      <c r="I19" s="27">
        <v>0</v>
      </c>
      <c r="J19" s="8">
        <v>0</v>
      </c>
      <c r="K19" s="27"/>
      <c r="L19" s="28">
        <v>0</v>
      </c>
      <c r="M19" s="27"/>
      <c r="N19" s="57">
        <v>0</v>
      </c>
      <c r="O19" s="27"/>
      <c r="P19" s="8">
        <v>4</v>
      </c>
    </row>
    <row r="20" spans="1:23" x14ac:dyDescent="0.3">
      <c r="B20" s="10" t="s">
        <v>96</v>
      </c>
      <c r="C20" s="10" t="s">
        <v>81</v>
      </c>
      <c r="D20" s="10" t="s">
        <v>36</v>
      </c>
      <c r="E20" s="27">
        <v>0</v>
      </c>
      <c r="F20" s="27">
        <v>0</v>
      </c>
      <c r="G20" s="8">
        <v>0</v>
      </c>
      <c r="H20" s="8">
        <v>3</v>
      </c>
      <c r="I20" s="8">
        <v>0</v>
      </c>
      <c r="J20" s="27">
        <v>0</v>
      </c>
      <c r="K20" s="27"/>
      <c r="L20" s="28">
        <v>0</v>
      </c>
      <c r="M20" s="27"/>
      <c r="N20" s="57">
        <v>0</v>
      </c>
      <c r="O20" s="27"/>
      <c r="P20" s="8">
        <v>3</v>
      </c>
    </row>
    <row r="21" spans="1:23" x14ac:dyDescent="0.3">
      <c r="A21" s="10" t="s">
        <v>99</v>
      </c>
      <c r="B21" s="10" t="s">
        <v>94</v>
      </c>
      <c r="C21" s="10" t="s">
        <v>85</v>
      </c>
      <c r="D21" s="10" t="s">
        <v>72</v>
      </c>
      <c r="E21" s="8">
        <v>10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/>
      <c r="L21" s="27">
        <v>0</v>
      </c>
      <c r="M21" s="27"/>
      <c r="N21" s="58">
        <v>0</v>
      </c>
      <c r="O21" s="27"/>
      <c r="P21" s="27">
        <v>10</v>
      </c>
    </row>
    <row r="22" spans="1:23" x14ac:dyDescent="0.3">
      <c r="B22" s="10" t="s">
        <v>95</v>
      </c>
      <c r="C22" s="10" t="s">
        <v>85</v>
      </c>
      <c r="D22" s="10" t="s">
        <v>72</v>
      </c>
      <c r="E22" s="27">
        <v>0</v>
      </c>
      <c r="F22" s="8">
        <v>4</v>
      </c>
      <c r="G22" s="27">
        <v>0</v>
      </c>
      <c r="H22" s="27">
        <v>0</v>
      </c>
      <c r="I22" s="27">
        <v>0</v>
      </c>
      <c r="J22" s="27">
        <v>0</v>
      </c>
      <c r="K22" s="27"/>
      <c r="L22" s="27">
        <v>0</v>
      </c>
      <c r="M22" s="27"/>
      <c r="N22" s="58">
        <v>0</v>
      </c>
      <c r="O22" s="27"/>
      <c r="P22" s="27">
        <v>4</v>
      </c>
    </row>
    <row r="23" spans="1:23" x14ac:dyDescent="0.3">
      <c r="B23" s="10" t="s">
        <v>96</v>
      </c>
      <c r="C23" s="10" t="s">
        <v>85</v>
      </c>
      <c r="D23" s="10" t="s">
        <v>72</v>
      </c>
      <c r="E23" s="27">
        <v>0</v>
      </c>
      <c r="F23" s="27">
        <v>0</v>
      </c>
      <c r="G23" s="8">
        <v>3</v>
      </c>
      <c r="H23" s="27">
        <v>0</v>
      </c>
      <c r="I23" s="27">
        <v>0</v>
      </c>
      <c r="J23" s="27">
        <v>0</v>
      </c>
      <c r="K23" s="27"/>
      <c r="L23" s="27">
        <v>0</v>
      </c>
      <c r="M23" s="27"/>
      <c r="N23" s="58">
        <v>0</v>
      </c>
      <c r="O23" s="27"/>
      <c r="P23" s="27">
        <v>3</v>
      </c>
    </row>
    <row r="24" spans="1:23" x14ac:dyDescent="0.3"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23" x14ac:dyDescent="0.3">
      <c r="D25" s="10" t="s">
        <v>45</v>
      </c>
      <c r="E25" s="8">
        <f t="array" ref="E25:J26">MMULT(E10:J11,E14:J14*_xlfn.MUNIT(6))</f>
        <v>3</v>
      </c>
      <c r="F25" s="8">
        <v>4</v>
      </c>
      <c r="G25" s="8">
        <v>3</v>
      </c>
      <c r="H25" s="8">
        <v>0</v>
      </c>
      <c r="I25" s="8">
        <v>0</v>
      </c>
      <c r="J25" s="8">
        <v>0</v>
      </c>
      <c r="K25" s="27"/>
      <c r="L25" s="27"/>
      <c r="M25" s="27"/>
      <c r="N25" s="27" t="s">
        <v>102</v>
      </c>
      <c r="O25" s="27"/>
      <c r="P25" s="8">
        <f>SUM(E25:J25)</f>
        <v>10</v>
      </c>
    </row>
    <row r="26" spans="1:23" x14ac:dyDescent="0.3">
      <c r="D26" s="10" t="s">
        <v>46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27"/>
      <c r="L26" s="27"/>
      <c r="M26" s="27"/>
      <c r="N26" s="27" t="s">
        <v>103</v>
      </c>
      <c r="O26" s="27"/>
      <c r="P26" s="8">
        <f>SUM(E26:J26)</f>
        <v>0</v>
      </c>
      <c r="Q26" s="10" t="s">
        <v>92</v>
      </c>
      <c r="W26" s="23"/>
    </row>
    <row r="29" spans="1:23" x14ac:dyDescent="0.3">
      <c r="D29" s="10" t="s">
        <v>49</v>
      </c>
      <c r="E29" s="11" t="s">
        <v>94</v>
      </c>
      <c r="F29" s="11" t="s">
        <v>95</v>
      </c>
      <c r="G29" s="11" t="s">
        <v>96</v>
      </c>
      <c r="H29" s="11" t="s">
        <v>94</v>
      </c>
      <c r="I29" s="11" t="s">
        <v>95</v>
      </c>
      <c r="J29" s="11" t="s">
        <v>96</v>
      </c>
    </row>
    <row r="30" spans="1:23" x14ac:dyDescent="0.3">
      <c r="D30" s="10" t="s">
        <v>12</v>
      </c>
      <c r="E30" s="11" t="s">
        <v>7</v>
      </c>
      <c r="F30" s="11" t="s">
        <v>7</v>
      </c>
      <c r="G30" s="11" t="s">
        <v>7</v>
      </c>
      <c r="H30" s="11" t="s">
        <v>72</v>
      </c>
      <c r="I30" s="11" t="s">
        <v>72</v>
      </c>
      <c r="J30" s="11" t="s">
        <v>72</v>
      </c>
    </row>
    <row r="31" spans="1:23" x14ac:dyDescent="0.3">
      <c r="B31" s="10" t="s">
        <v>94</v>
      </c>
      <c r="C31" s="10" t="s">
        <v>81</v>
      </c>
      <c r="D31" s="10" t="s">
        <v>36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23" x14ac:dyDescent="0.3">
      <c r="B32" s="10" t="s">
        <v>95</v>
      </c>
      <c r="C32" s="10" t="s">
        <v>81</v>
      </c>
      <c r="D32" s="10" t="s">
        <v>36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2:10" x14ac:dyDescent="0.3">
      <c r="B33" s="10" t="s">
        <v>96</v>
      </c>
      <c r="C33" s="10" t="s">
        <v>81</v>
      </c>
      <c r="D33" s="10" t="s">
        <v>36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</row>
    <row r="34" spans="2:10" x14ac:dyDescent="0.3">
      <c r="B34" s="10" t="s">
        <v>94</v>
      </c>
      <c r="C34" s="10" t="s">
        <v>85</v>
      </c>
      <c r="D34" s="10" t="s">
        <v>72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</row>
    <row r="35" spans="2:10" x14ac:dyDescent="0.3">
      <c r="B35" s="10" t="s">
        <v>95</v>
      </c>
      <c r="C35" s="10" t="s">
        <v>85</v>
      </c>
      <c r="D35" s="10" t="s">
        <v>72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</row>
    <row r="36" spans="2:10" x14ac:dyDescent="0.3">
      <c r="B36" s="10" t="s">
        <v>96</v>
      </c>
      <c r="C36" s="10" t="s">
        <v>85</v>
      </c>
      <c r="D36" s="10" t="s">
        <v>72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BD81-E90C-4917-B7C4-88F299D5DEBF}">
  <dimension ref="A1:AJ36"/>
  <sheetViews>
    <sheetView workbookViewId="0"/>
  </sheetViews>
  <sheetFormatPr defaultColWidth="9.21875" defaultRowHeight="14.4" x14ac:dyDescent="0.3"/>
  <cols>
    <col min="1" max="2" width="9.21875" style="10"/>
    <col min="3" max="3" width="13.44140625" style="10" customWidth="1"/>
    <col min="4" max="4" width="9.21875" style="10"/>
    <col min="5" max="11" width="6.44140625" style="10" customWidth="1"/>
    <col min="12" max="33" width="6.21875" style="10" customWidth="1"/>
    <col min="34" max="39" width="6" style="10" customWidth="1"/>
    <col min="40" max="16384" width="9.21875" style="10"/>
  </cols>
  <sheetData>
    <row r="1" spans="1:30" x14ac:dyDescent="0.3">
      <c r="E1" s="11" t="s">
        <v>94</v>
      </c>
      <c r="F1" s="11" t="s">
        <v>95</v>
      </c>
      <c r="G1" s="11" t="s">
        <v>96</v>
      </c>
      <c r="H1" s="11" t="s">
        <v>94</v>
      </c>
      <c r="I1" s="11" t="s">
        <v>95</v>
      </c>
      <c r="J1" s="11" t="s">
        <v>96</v>
      </c>
    </row>
    <row r="2" spans="1:30" x14ac:dyDescent="0.3">
      <c r="D2" s="10" t="s">
        <v>2</v>
      </c>
      <c r="E2" s="11" t="s">
        <v>7</v>
      </c>
      <c r="F2" s="11" t="s">
        <v>7</v>
      </c>
      <c r="G2" s="11" t="s">
        <v>7</v>
      </c>
      <c r="H2" s="11" t="s">
        <v>72</v>
      </c>
      <c r="I2" s="11" t="s">
        <v>72</v>
      </c>
      <c r="J2" s="11" t="s">
        <v>72</v>
      </c>
      <c r="U2" s="10" t="s">
        <v>2</v>
      </c>
      <c r="W2" s="10" t="s">
        <v>94</v>
      </c>
      <c r="Z2" s="10" t="s">
        <v>95</v>
      </c>
      <c r="AC2" s="11" t="s">
        <v>94</v>
      </c>
      <c r="AD2" s="11" t="s">
        <v>95</v>
      </c>
    </row>
    <row r="3" spans="1:30" x14ac:dyDescent="0.3">
      <c r="A3" s="10" t="s">
        <v>14</v>
      </c>
      <c r="B3" s="10" t="s">
        <v>94</v>
      </c>
      <c r="C3" s="10" t="s">
        <v>81</v>
      </c>
      <c r="D3" s="10" t="s">
        <v>36</v>
      </c>
      <c r="E3" s="9">
        <v>0</v>
      </c>
      <c r="F3" s="10">
        <v>0</v>
      </c>
      <c r="G3" s="10">
        <v>0</v>
      </c>
      <c r="H3" s="59">
        <v>0</v>
      </c>
      <c r="I3" s="54">
        <v>0</v>
      </c>
      <c r="J3" s="60">
        <v>0</v>
      </c>
      <c r="W3" s="10" t="s">
        <v>104</v>
      </c>
      <c r="X3" s="10" t="s">
        <v>105</v>
      </c>
      <c r="Y3" s="10" t="s">
        <v>106</v>
      </c>
      <c r="Z3" s="10" t="s">
        <v>104</v>
      </c>
      <c r="AA3" s="10" t="s">
        <v>105</v>
      </c>
      <c r="AB3" s="10" t="s">
        <v>106</v>
      </c>
      <c r="AC3" s="11" t="s">
        <v>53</v>
      </c>
      <c r="AD3" s="11" t="s">
        <v>53</v>
      </c>
    </row>
    <row r="4" spans="1:30" x14ac:dyDescent="0.3">
      <c r="B4" s="10" t="s">
        <v>95</v>
      </c>
      <c r="C4" s="10" t="s">
        <v>81</v>
      </c>
      <c r="D4" s="10" t="s">
        <v>36</v>
      </c>
      <c r="E4" s="10">
        <v>0</v>
      </c>
      <c r="F4" s="9">
        <v>0</v>
      </c>
      <c r="G4" s="10">
        <v>0</v>
      </c>
      <c r="H4" s="61">
        <v>0.4</v>
      </c>
      <c r="I4" s="10">
        <v>0</v>
      </c>
      <c r="J4" s="62">
        <v>0</v>
      </c>
      <c r="U4" s="10" t="s">
        <v>94</v>
      </c>
      <c r="V4" s="10" t="s">
        <v>104</v>
      </c>
      <c r="W4" s="9">
        <v>0</v>
      </c>
      <c r="X4" s="9">
        <v>2.2000000000000002</v>
      </c>
      <c r="Y4" s="9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</row>
    <row r="5" spans="1:30" x14ac:dyDescent="0.3">
      <c r="B5" s="10" t="s">
        <v>96</v>
      </c>
      <c r="C5" s="10" t="s">
        <v>81</v>
      </c>
      <c r="D5" s="10" t="s">
        <v>36</v>
      </c>
      <c r="E5" s="10">
        <v>0</v>
      </c>
      <c r="F5" s="10">
        <v>0</v>
      </c>
      <c r="G5" s="9">
        <v>0</v>
      </c>
      <c r="H5" s="63">
        <v>0.3</v>
      </c>
      <c r="I5" s="64">
        <v>0</v>
      </c>
      <c r="J5" s="65">
        <v>0</v>
      </c>
      <c r="V5" s="10" t="s">
        <v>107</v>
      </c>
      <c r="W5" s="9">
        <f>0.8*1</f>
        <v>0.8</v>
      </c>
      <c r="X5" s="9">
        <v>0</v>
      </c>
      <c r="Y5" s="9">
        <v>0</v>
      </c>
      <c r="Z5" s="10">
        <v>0</v>
      </c>
      <c r="AA5" s="10">
        <v>0</v>
      </c>
      <c r="AB5" s="10">
        <v>0</v>
      </c>
      <c r="AC5" s="10">
        <v>0</v>
      </c>
      <c r="AD5" s="9">
        <v>0</v>
      </c>
    </row>
    <row r="6" spans="1:30" x14ac:dyDescent="0.3">
      <c r="A6" s="10" t="s">
        <v>99</v>
      </c>
      <c r="B6" s="10" t="s">
        <v>94</v>
      </c>
      <c r="C6" s="10" t="s">
        <v>85</v>
      </c>
      <c r="D6" s="10" t="s">
        <v>72</v>
      </c>
      <c r="E6" s="66">
        <v>1</v>
      </c>
      <c r="F6" s="22">
        <v>0</v>
      </c>
      <c r="G6" s="67">
        <v>0</v>
      </c>
      <c r="H6" s="10">
        <v>0</v>
      </c>
      <c r="I6" s="10">
        <v>0</v>
      </c>
      <c r="J6" s="10">
        <v>0</v>
      </c>
      <c r="U6" s="10" t="s">
        <v>95</v>
      </c>
      <c r="V6" s="10" t="s">
        <v>104</v>
      </c>
      <c r="W6" s="10">
        <v>0</v>
      </c>
      <c r="X6" s="10">
        <v>0</v>
      </c>
      <c r="Y6" s="10">
        <v>0</v>
      </c>
      <c r="Z6" s="9">
        <v>0</v>
      </c>
      <c r="AA6" s="9">
        <v>2.2000000000000002</v>
      </c>
      <c r="AB6" s="9">
        <v>0</v>
      </c>
      <c r="AC6" s="10">
        <v>0</v>
      </c>
      <c r="AD6" s="10">
        <v>0</v>
      </c>
    </row>
    <row r="7" spans="1:30" x14ac:dyDescent="0.3">
      <c r="B7" s="10" t="s">
        <v>95</v>
      </c>
      <c r="C7" s="10" t="s">
        <v>85</v>
      </c>
      <c r="D7" s="10" t="s">
        <v>72</v>
      </c>
      <c r="E7" s="68">
        <v>0</v>
      </c>
      <c r="F7" s="9">
        <v>1</v>
      </c>
      <c r="G7" s="69">
        <v>0</v>
      </c>
      <c r="H7" s="10">
        <v>0</v>
      </c>
      <c r="I7" s="10">
        <v>0</v>
      </c>
      <c r="J7" s="10">
        <v>0</v>
      </c>
      <c r="V7" s="10" t="s">
        <v>107</v>
      </c>
      <c r="W7" s="10">
        <f>0.2*1</f>
        <v>0.2</v>
      </c>
      <c r="X7" s="10">
        <v>0</v>
      </c>
      <c r="Y7" s="10">
        <v>0</v>
      </c>
      <c r="Z7" s="9">
        <v>0</v>
      </c>
      <c r="AA7" s="9">
        <v>0</v>
      </c>
      <c r="AB7" s="9">
        <v>0</v>
      </c>
      <c r="AC7" s="9">
        <v>0</v>
      </c>
      <c r="AD7" s="10">
        <v>0</v>
      </c>
    </row>
    <row r="8" spans="1:30" x14ac:dyDescent="0.3">
      <c r="B8" s="10" t="s">
        <v>96</v>
      </c>
      <c r="C8" s="10" t="s">
        <v>85</v>
      </c>
      <c r="D8" s="10" t="s">
        <v>72</v>
      </c>
      <c r="E8" s="70">
        <v>0</v>
      </c>
      <c r="F8" s="71">
        <v>0</v>
      </c>
      <c r="G8" s="72">
        <v>1</v>
      </c>
      <c r="H8" s="10">
        <v>0</v>
      </c>
      <c r="I8" s="10">
        <v>0</v>
      </c>
      <c r="J8" s="10">
        <v>0</v>
      </c>
      <c r="U8" s="10" t="s">
        <v>94</v>
      </c>
      <c r="V8" s="10" t="s">
        <v>53</v>
      </c>
      <c r="W8" s="9">
        <v>0</v>
      </c>
      <c r="X8" s="9">
        <v>0</v>
      </c>
      <c r="Y8" s="9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</row>
    <row r="9" spans="1:30" x14ac:dyDescent="0.3">
      <c r="U9" s="10" t="s">
        <v>95</v>
      </c>
      <c r="V9" s="10" t="s">
        <v>53</v>
      </c>
      <c r="W9" s="10">
        <v>0</v>
      </c>
      <c r="X9" s="10">
        <v>0</v>
      </c>
      <c r="Y9" s="10">
        <v>0</v>
      </c>
      <c r="Z9" s="9">
        <v>0</v>
      </c>
      <c r="AA9" s="9">
        <v>0</v>
      </c>
      <c r="AB9" s="9">
        <v>0</v>
      </c>
      <c r="AC9" s="10">
        <v>0</v>
      </c>
      <c r="AD9" s="10">
        <v>0</v>
      </c>
    </row>
    <row r="10" spans="1:30" x14ac:dyDescent="0.3">
      <c r="C10" s="10" t="s">
        <v>100</v>
      </c>
      <c r="D10" s="10" t="s">
        <v>45</v>
      </c>
      <c r="E10" s="9">
        <v>0.3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</row>
    <row r="11" spans="1:30" x14ac:dyDescent="0.3">
      <c r="C11" s="10" t="s">
        <v>24</v>
      </c>
      <c r="D11" s="10" t="s">
        <v>46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U11" s="10" t="s">
        <v>91</v>
      </c>
      <c r="V11" s="10" t="s">
        <v>24</v>
      </c>
      <c r="W11" s="10">
        <v>5</v>
      </c>
      <c r="X11" s="10">
        <v>0</v>
      </c>
      <c r="Y11" s="10">
        <v>0</v>
      </c>
      <c r="Z11" s="10">
        <v>10</v>
      </c>
      <c r="AA11" s="10">
        <v>0</v>
      </c>
      <c r="AB11" s="10">
        <v>0</v>
      </c>
      <c r="AC11" s="10">
        <v>0</v>
      </c>
      <c r="AD11" s="10">
        <v>0</v>
      </c>
    </row>
    <row r="14" spans="1:30" x14ac:dyDescent="0.3">
      <c r="A14" s="10" t="s">
        <v>25</v>
      </c>
      <c r="D14" s="10" t="s">
        <v>26</v>
      </c>
      <c r="E14" s="5">
        <v>10</v>
      </c>
      <c r="F14" s="5">
        <v>4</v>
      </c>
      <c r="G14" s="5">
        <v>3</v>
      </c>
      <c r="H14" s="5">
        <v>10</v>
      </c>
      <c r="I14" s="5">
        <v>4</v>
      </c>
      <c r="J14" s="5">
        <v>3</v>
      </c>
      <c r="R14" s="23"/>
      <c r="U14" s="10" t="s">
        <v>26</v>
      </c>
      <c r="W14" s="12">
        <v>0</v>
      </c>
      <c r="X14" s="12">
        <v>0</v>
      </c>
      <c r="Y14" s="12">
        <v>10</v>
      </c>
      <c r="Z14" s="12">
        <v>0</v>
      </c>
      <c r="AA14" s="12">
        <v>0</v>
      </c>
      <c r="AB14" s="12">
        <v>2</v>
      </c>
      <c r="AC14" s="12">
        <v>10</v>
      </c>
      <c r="AD14" s="12">
        <v>2</v>
      </c>
    </row>
    <row r="15" spans="1:30" x14ac:dyDescent="0.3">
      <c r="R15" s="23"/>
    </row>
    <row r="16" spans="1:30" x14ac:dyDescent="0.3">
      <c r="E16" s="11" t="s">
        <v>94</v>
      </c>
      <c r="F16" s="11" t="s">
        <v>95</v>
      </c>
      <c r="G16" s="11" t="s">
        <v>96</v>
      </c>
      <c r="H16" s="11" t="s">
        <v>94</v>
      </c>
      <c r="I16" s="11" t="s">
        <v>95</v>
      </c>
      <c r="J16" s="11" t="s">
        <v>96</v>
      </c>
      <c r="L16" s="11" t="s">
        <v>101</v>
      </c>
      <c r="N16" s="11" t="s">
        <v>11</v>
      </c>
      <c r="P16" s="11" t="s">
        <v>13</v>
      </c>
      <c r="R16" s="23"/>
      <c r="U16" s="10" t="s">
        <v>94</v>
      </c>
      <c r="V16" s="10" t="s">
        <v>104</v>
      </c>
      <c r="W16" s="9">
        <v>1</v>
      </c>
      <c r="X16" s="9">
        <v>0</v>
      </c>
      <c r="Y16" s="9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</row>
    <row r="17" spans="1:36" x14ac:dyDescent="0.3">
      <c r="D17" s="10" t="s">
        <v>12</v>
      </c>
      <c r="E17" s="11" t="s">
        <v>7</v>
      </c>
      <c r="F17" s="11" t="s">
        <v>7</v>
      </c>
      <c r="G17" s="11" t="s">
        <v>7</v>
      </c>
      <c r="H17" s="11" t="s">
        <v>72</v>
      </c>
      <c r="I17" s="11" t="s">
        <v>72</v>
      </c>
      <c r="J17" s="11" t="s">
        <v>72</v>
      </c>
      <c r="L17" s="11"/>
      <c r="M17" s="11"/>
      <c r="N17" s="11"/>
      <c r="P17" s="11"/>
      <c r="R17" s="23"/>
      <c r="V17" s="10" t="s">
        <v>107</v>
      </c>
      <c r="W17" s="9">
        <v>0</v>
      </c>
      <c r="X17" s="9">
        <v>1</v>
      </c>
      <c r="Y17" s="9">
        <v>1</v>
      </c>
      <c r="Z17" s="10">
        <v>0</v>
      </c>
      <c r="AA17" s="10">
        <v>0</v>
      </c>
      <c r="AB17" s="10">
        <v>0</v>
      </c>
      <c r="AC17" s="9">
        <v>0</v>
      </c>
      <c r="AD17" s="10">
        <v>0</v>
      </c>
    </row>
    <row r="18" spans="1:36" x14ac:dyDescent="0.3">
      <c r="A18" s="10" t="s">
        <v>14</v>
      </c>
      <c r="B18" s="10" t="s">
        <v>94</v>
      </c>
      <c r="C18" s="10" t="s">
        <v>81</v>
      </c>
      <c r="D18" s="10" t="s">
        <v>36</v>
      </c>
      <c r="E18" s="8">
        <f t="array" ref="E18:J23">MMULT(E3:J8,E14:J14*_xlfn.MUNIT(6))</f>
        <v>0</v>
      </c>
      <c r="F18" s="27">
        <v>0</v>
      </c>
      <c r="G18" s="27">
        <v>0</v>
      </c>
      <c r="H18" s="27">
        <v>0</v>
      </c>
      <c r="I18" s="8">
        <v>0</v>
      </c>
      <c r="J18" s="8">
        <v>0</v>
      </c>
      <c r="K18" s="27"/>
      <c r="L18" s="28">
        <v>10</v>
      </c>
      <c r="M18" s="27"/>
      <c r="N18" s="57">
        <f t="array" ref="N18:N23">MMULT(E31:J36-E3:J8,TRANSPOSE(E14:J14))</f>
        <v>10</v>
      </c>
      <c r="O18" s="27"/>
      <c r="P18" s="8">
        <f t="array" ref="P18:P23">MMULT(E31:J36,TRANSPOSE(E14:J14))</f>
        <v>10</v>
      </c>
      <c r="U18" s="10" t="s">
        <v>95</v>
      </c>
      <c r="V18" s="10" t="s">
        <v>104</v>
      </c>
      <c r="W18" s="10">
        <v>0</v>
      </c>
      <c r="X18" s="10">
        <v>0</v>
      </c>
      <c r="Y18" s="10">
        <v>0</v>
      </c>
      <c r="Z18" s="9">
        <v>1</v>
      </c>
      <c r="AA18" s="9">
        <v>0</v>
      </c>
      <c r="AB18" s="9">
        <v>0</v>
      </c>
      <c r="AC18" s="10">
        <v>0</v>
      </c>
      <c r="AD18" s="10">
        <v>0</v>
      </c>
    </row>
    <row r="19" spans="1:36" x14ac:dyDescent="0.3">
      <c r="B19" s="10" t="s">
        <v>95</v>
      </c>
      <c r="C19" s="10" t="s">
        <v>81</v>
      </c>
      <c r="D19" s="10" t="s">
        <v>36</v>
      </c>
      <c r="E19" s="27">
        <v>0</v>
      </c>
      <c r="F19" s="8">
        <v>0</v>
      </c>
      <c r="G19" s="27">
        <v>0</v>
      </c>
      <c r="H19" s="8">
        <v>4</v>
      </c>
      <c r="I19" s="27">
        <v>0</v>
      </c>
      <c r="J19" s="8">
        <v>0</v>
      </c>
      <c r="K19" s="27"/>
      <c r="L19" s="28">
        <v>0</v>
      </c>
      <c r="M19" s="27"/>
      <c r="N19" s="57">
        <v>0</v>
      </c>
      <c r="O19" s="27"/>
      <c r="P19" s="8">
        <v>4</v>
      </c>
      <c r="V19" s="10" t="s">
        <v>107</v>
      </c>
      <c r="W19" s="10">
        <v>0</v>
      </c>
      <c r="X19" s="10">
        <v>0</v>
      </c>
      <c r="Y19" s="10">
        <v>0</v>
      </c>
      <c r="Z19" s="9">
        <v>0</v>
      </c>
      <c r="AA19" s="9">
        <v>1</v>
      </c>
      <c r="AB19" s="9">
        <v>1</v>
      </c>
      <c r="AC19" s="10">
        <v>0</v>
      </c>
      <c r="AD19" s="9">
        <v>0</v>
      </c>
    </row>
    <row r="20" spans="1:36" x14ac:dyDescent="0.3">
      <c r="B20" s="10" t="s">
        <v>96</v>
      </c>
      <c r="C20" s="10" t="s">
        <v>81</v>
      </c>
      <c r="D20" s="10" t="s">
        <v>36</v>
      </c>
      <c r="E20" s="27">
        <v>0</v>
      </c>
      <c r="F20" s="27">
        <v>0</v>
      </c>
      <c r="G20" s="8">
        <v>0</v>
      </c>
      <c r="H20" s="8">
        <v>3</v>
      </c>
      <c r="I20" s="8">
        <v>0</v>
      </c>
      <c r="J20" s="27">
        <v>0</v>
      </c>
      <c r="K20" s="27"/>
      <c r="L20" s="28">
        <v>0</v>
      </c>
      <c r="M20" s="27"/>
      <c r="N20" s="57">
        <v>0</v>
      </c>
      <c r="O20" s="27"/>
      <c r="P20" s="8">
        <v>3</v>
      </c>
      <c r="U20" s="10" t="s">
        <v>94</v>
      </c>
      <c r="V20" s="10" t="s">
        <v>53</v>
      </c>
      <c r="W20" s="9">
        <v>0</v>
      </c>
      <c r="X20" s="9">
        <v>0</v>
      </c>
      <c r="Y20" s="9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</row>
    <row r="21" spans="1:36" x14ac:dyDescent="0.3">
      <c r="A21" s="10" t="s">
        <v>99</v>
      </c>
      <c r="B21" s="10" t="s">
        <v>94</v>
      </c>
      <c r="C21" s="10" t="s">
        <v>85</v>
      </c>
      <c r="D21" s="10" t="s">
        <v>72</v>
      </c>
      <c r="E21" s="8">
        <v>10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/>
      <c r="L21" s="27">
        <v>0</v>
      </c>
      <c r="M21" s="27"/>
      <c r="N21" s="58">
        <v>0</v>
      </c>
      <c r="O21" s="27"/>
      <c r="P21" s="27">
        <v>10</v>
      </c>
      <c r="U21" s="10" t="s">
        <v>95</v>
      </c>
      <c r="V21" s="10" t="s">
        <v>53</v>
      </c>
      <c r="W21" s="10">
        <v>0</v>
      </c>
      <c r="X21" s="10">
        <v>0</v>
      </c>
      <c r="Y21" s="10">
        <v>0</v>
      </c>
      <c r="Z21" s="9">
        <v>0</v>
      </c>
      <c r="AA21" s="9">
        <v>0</v>
      </c>
      <c r="AB21" s="9">
        <v>0</v>
      </c>
      <c r="AC21" s="10">
        <v>0</v>
      </c>
      <c r="AD21" s="10">
        <v>1</v>
      </c>
    </row>
    <row r="22" spans="1:36" x14ac:dyDescent="0.3">
      <c r="B22" s="10" t="s">
        <v>95</v>
      </c>
      <c r="C22" s="10" t="s">
        <v>85</v>
      </c>
      <c r="D22" s="10" t="s">
        <v>72</v>
      </c>
      <c r="E22" s="27">
        <v>0</v>
      </c>
      <c r="F22" s="8">
        <v>4</v>
      </c>
      <c r="G22" s="27">
        <v>0</v>
      </c>
      <c r="H22" s="27">
        <v>0</v>
      </c>
      <c r="I22" s="27">
        <v>0</v>
      </c>
      <c r="J22" s="27">
        <v>0</v>
      </c>
      <c r="K22" s="27"/>
      <c r="L22" s="27">
        <v>0</v>
      </c>
      <c r="M22" s="27"/>
      <c r="N22" s="58">
        <v>0</v>
      </c>
      <c r="O22" s="27"/>
      <c r="P22" s="27">
        <v>4</v>
      </c>
    </row>
    <row r="23" spans="1:36" x14ac:dyDescent="0.3">
      <c r="B23" s="10" t="s">
        <v>96</v>
      </c>
      <c r="C23" s="10" t="s">
        <v>85</v>
      </c>
      <c r="D23" s="10" t="s">
        <v>72</v>
      </c>
      <c r="E23" s="27">
        <v>0</v>
      </c>
      <c r="F23" s="27">
        <v>0</v>
      </c>
      <c r="G23" s="8">
        <v>3</v>
      </c>
      <c r="H23" s="27">
        <v>0</v>
      </c>
      <c r="I23" s="27">
        <v>0</v>
      </c>
      <c r="J23" s="27">
        <v>0</v>
      </c>
      <c r="K23" s="27"/>
      <c r="L23" s="27">
        <v>0</v>
      </c>
      <c r="M23" s="27"/>
      <c r="N23" s="58">
        <v>0</v>
      </c>
      <c r="O23" s="27"/>
      <c r="P23" s="27">
        <v>3</v>
      </c>
      <c r="W23" s="10" t="s">
        <v>94</v>
      </c>
      <c r="Z23" s="10" t="s">
        <v>95</v>
      </c>
      <c r="AC23" s="11" t="s">
        <v>94</v>
      </c>
      <c r="AD23" s="11" t="s">
        <v>95</v>
      </c>
      <c r="AF23" s="10" t="s">
        <v>10</v>
      </c>
      <c r="AH23" s="10" t="s">
        <v>108</v>
      </c>
      <c r="AJ23" s="10" t="s">
        <v>26</v>
      </c>
    </row>
    <row r="24" spans="1:36" x14ac:dyDescent="0.3"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W24" s="10" t="s">
        <v>104</v>
      </c>
      <c r="X24" s="10" t="s">
        <v>105</v>
      </c>
      <c r="Y24" s="10" t="s">
        <v>106</v>
      </c>
      <c r="Z24" s="10" t="s">
        <v>104</v>
      </c>
      <c r="AA24" s="10" t="s">
        <v>105</v>
      </c>
      <c r="AB24" s="10" t="s">
        <v>106</v>
      </c>
      <c r="AC24" s="11" t="s">
        <v>53</v>
      </c>
      <c r="AD24" s="11" t="s">
        <v>53</v>
      </c>
    </row>
    <row r="25" spans="1:36" x14ac:dyDescent="0.3">
      <c r="D25" s="10" t="s">
        <v>45</v>
      </c>
      <c r="E25" s="8">
        <f t="array" ref="E25:J26">MMULT(E10:J11,E14:J14*_xlfn.MUNIT(6))</f>
        <v>3</v>
      </c>
      <c r="F25" s="8">
        <v>4</v>
      </c>
      <c r="G25" s="8">
        <v>3</v>
      </c>
      <c r="H25" s="8">
        <v>0</v>
      </c>
      <c r="I25" s="8">
        <v>0</v>
      </c>
      <c r="J25" s="8">
        <v>0</v>
      </c>
      <c r="K25" s="27"/>
      <c r="L25" s="27"/>
      <c r="M25" s="27"/>
      <c r="N25" s="27" t="s">
        <v>102</v>
      </c>
      <c r="O25" s="27"/>
      <c r="P25" s="8">
        <f>SUM(E25:J25)</f>
        <v>10</v>
      </c>
      <c r="U25" s="10" t="s">
        <v>94</v>
      </c>
      <c r="V25" s="10" t="s">
        <v>104</v>
      </c>
      <c r="W25" s="9">
        <f t="array" ref="W25:AD30">MMULT(W4:AD9,W14:AD14*_xlfn.MUNIT(8))</f>
        <v>0</v>
      </c>
      <c r="X25" s="9">
        <v>0</v>
      </c>
      <c r="Y25" s="9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F25" s="13">
        <v>0</v>
      </c>
      <c r="AH25" s="9">
        <f t="array" ref="AH25:AH30">MMULT(W16:AD21-W4:AD9,TRANSPOSE(W14:AD14))</f>
        <v>0</v>
      </c>
      <c r="AJ25" s="9">
        <f t="array" ref="AJ25:AJ30">MMULT(W16:AD21,TRANSPOSE(W14:AD14))</f>
        <v>0</v>
      </c>
    </row>
    <row r="26" spans="1:36" x14ac:dyDescent="0.3">
      <c r="D26" s="10" t="s">
        <v>46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27"/>
      <c r="L26" s="27"/>
      <c r="M26" s="27"/>
      <c r="N26" s="27" t="s">
        <v>103</v>
      </c>
      <c r="O26" s="27"/>
      <c r="P26" s="8">
        <f>SUM(E26:J26)</f>
        <v>0</v>
      </c>
      <c r="Q26" s="10" t="s">
        <v>92</v>
      </c>
      <c r="V26" s="10" t="s">
        <v>107</v>
      </c>
      <c r="W26" s="9">
        <v>0</v>
      </c>
      <c r="X26" s="9">
        <v>0</v>
      </c>
      <c r="Y26" s="9">
        <v>0</v>
      </c>
      <c r="Z26" s="10">
        <v>0</v>
      </c>
      <c r="AA26" s="10">
        <v>0</v>
      </c>
      <c r="AB26" s="10">
        <v>0</v>
      </c>
      <c r="AC26" s="9">
        <v>0</v>
      </c>
      <c r="AD26" s="10">
        <v>0</v>
      </c>
      <c r="AF26" s="13">
        <v>10</v>
      </c>
      <c r="AH26" s="9">
        <v>10</v>
      </c>
      <c r="AJ26" s="9">
        <v>10</v>
      </c>
    </row>
    <row r="27" spans="1:36" x14ac:dyDescent="0.3">
      <c r="U27" s="10" t="s">
        <v>95</v>
      </c>
      <c r="V27" s="10" t="s">
        <v>104</v>
      </c>
      <c r="W27" s="10">
        <v>0</v>
      </c>
      <c r="X27" s="10">
        <v>0</v>
      </c>
      <c r="Y27" s="10">
        <v>0</v>
      </c>
      <c r="Z27" s="9">
        <v>0</v>
      </c>
      <c r="AA27" s="9">
        <v>0</v>
      </c>
      <c r="AB27" s="9">
        <v>0</v>
      </c>
      <c r="AC27" s="10">
        <v>0</v>
      </c>
      <c r="AD27" s="10">
        <v>0</v>
      </c>
      <c r="AF27" s="13">
        <v>0</v>
      </c>
      <c r="AH27" s="9">
        <v>0</v>
      </c>
      <c r="AJ27" s="9">
        <v>0</v>
      </c>
    </row>
    <row r="28" spans="1:36" x14ac:dyDescent="0.3">
      <c r="V28" s="10" t="s">
        <v>107</v>
      </c>
      <c r="W28" s="10">
        <v>0</v>
      </c>
      <c r="X28" s="10">
        <v>0</v>
      </c>
      <c r="Y28" s="10">
        <v>0</v>
      </c>
      <c r="Z28" s="9">
        <v>0</v>
      </c>
      <c r="AA28" s="9">
        <v>0</v>
      </c>
      <c r="AB28" s="9">
        <v>0</v>
      </c>
      <c r="AC28" s="10">
        <v>0</v>
      </c>
      <c r="AD28" s="9">
        <v>0</v>
      </c>
      <c r="AF28" s="13">
        <v>0</v>
      </c>
      <c r="AH28" s="9">
        <v>2</v>
      </c>
      <c r="AJ28" s="9">
        <v>2</v>
      </c>
    </row>
    <row r="29" spans="1:36" x14ac:dyDescent="0.3">
      <c r="D29" s="10" t="s">
        <v>49</v>
      </c>
      <c r="E29" s="11" t="s">
        <v>94</v>
      </c>
      <c r="F29" s="11" t="s">
        <v>95</v>
      </c>
      <c r="G29" s="11" t="s">
        <v>96</v>
      </c>
      <c r="H29" s="11" t="s">
        <v>94</v>
      </c>
      <c r="I29" s="11" t="s">
        <v>95</v>
      </c>
      <c r="J29" s="11" t="s">
        <v>96</v>
      </c>
      <c r="U29" s="10" t="s">
        <v>94</v>
      </c>
      <c r="V29" s="10" t="s">
        <v>53</v>
      </c>
      <c r="W29" s="9">
        <v>0</v>
      </c>
      <c r="X29" s="9">
        <v>0</v>
      </c>
      <c r="Y29" s="9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F29" s="13">
        <v>0</v>
      </c>
      <c r="AH29" s="9">
        <v>10</v>
      </c>
      <c r="AJ29" s="9">
        <v>10</v>
      </c>
    </row>
    <row r="30" spans="1:36" x14ac:dyDescent="0.3">
      <c r="D30" s="10" t="s">
        <v>12</v>
      </c>
      <c r="E30" s="11" t="s">
        <v>7</v>
      </c>
      <c r="F30" s="11" t="s">
        <v>7</v>
      </c>
      <c r="G30" s="11" t="s">
        <v>7</v>
      </c>
      <c r="H30" s="11" t="s">
        <v>72</v>
      </c>
      <c r="I30" s="11" t="s">
        <v>72</v>
      </c>
      <c r="J30" s="11" t="s">
        <v>72</v>
      </c>
      <c r="U30" s="10" t="s">
        <v>95</v>
      </c>
      <c r="V30" s="10" t="s">
        <v>53</v>
      </c>
      <c r="W30" s="10">
        <v>0</v>
      </c>
      <c r="X30" s="10">
        <v>0</v>
      </c>
      <c r="Y30" s="10">
        <v>0</v>
      </c>
      <c r="Z30" s="9">
        <v>0</v>
      </c>
      <c r="AA30" s="9">
        <v>0</v>
      </c>
      <c r="AB30" s="9">
        <v>0</v>
      </c>
      <c r="AC30" s="10">
        <v>0</v>
      </c>
      <c r="AD30" s="10">
        <v>0</v>
      </c>
      <c r="AF30" s="13">
        <v>0</v>
      </c>
      <c r="AH30" s="9">
        <v>2</v>
      </c>
      <c r="AJ30" s="9">
        <v>2</v>
      </c>
    </row>
    <row r="31" spans="1:36" x14ac:dyDescent="0.3">
      <c r="B31" s="10" t="s">
        <v>94</v>
      </c>
      <c r="C31" s="10" t="s">
        <v>81</v>
      </c>
      <c r="D31" s="10" t="s">
        <v>36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36" x14ac:dyDescent="0.3">
      <c r="B32" s="10" t="s">
        <v>95</v>
      </c>
      <c r="C32" s="10" t="s">
        <v>81</v>
      </c>
      <c r="D32" s="10" t="s">
        <v>36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U32" s="10" t="s">
        <v>91</v>
      </c>
      <c r="V32" s="10" t="s">
        <v>24</v>
      </c>
      <c r="W32" s="9">
        <f t="array" ref="W32:AD32">MMULT(W11:AD11,W14:AD14*_xlfn.MUNIT(8))</f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J32" s="10">
        <f>SUM(W32:AD32)</f>
        <v>0</v>
      </c>
    </row>
    <row r="33" spans="2:10" x14ac:dyDescent="0.3">
      <c r="B33" s="10" t="s">
        <v>96</v>
      </c>
      <c r="C33" s="10" t="s">
        <v>81</v>
      </c>
      <c r="D33" s="10" t="s">
        <v>36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</row>
    <row r="34" spans="2:10" x14ac:dyDescent="0.3">
      <c r="B34" s="10" t="s">
        <v>94</v>
      </c>
      <c r="C34" s="10" t="s">
        <v>85</v>
      </c>
      <c r="D34" s="10" t="s">
        <v>72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</row>
    <row r="35" spans="2:10" x14ac:dyDescent="0.3">
      <c r="B35" s="10" t="s">
        <v>95</v>
      </c>
      <c r="C35" s="10" t="s">
        <v>85</v>
      </c>
      <c r="D35" s="10" t="s">
        <v>72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</row>
    <row r="36" spans="2:10" x14ac:dyDescent="0.3">
      <c r="B36" s="10" t="s">
        <v>96</v>
      </c>
      <c r="C36" s="10" t="s">
        <v>85</v>
      </c>
      <c r="D36" s="10" t="s">
        <v>72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803-0AB9-446F-8303-F6EEA3C29F38}">
  <sheetPr>
    <tabColor theme="7" tint="0.59999389629810485"/>
  </sheetPr>
  <dimension ref="A1:Z54"/>
  <sheetViews>
    <sheetView showGridLines="0" zoomScale="115" zoomScaleNormal="115" workbookViewId="0">
      <selection activeCell="U15" sqref="U15"/>
    </sheetView>
  </sheetViews>
  <sheetFormatPr defaultColWidth="9.21875" defaultRowHeight="14.4" x14ac:dyDescent="0.3"/>
  <cols>
    <col min="1" max="2" width="9.21875" style="10"/>
    <col min="3" max="3" width="13.44140625" style="10" customWidth="1"/>
    <col min="4" max="4" width="9.21875" style="10"/>
    <col min="5" max="35" width="6" style="10" customWidth="1"/>
    <col min="36" max="16384" width="9.21875" style="10"/>
  </cols>
  <sheetData>
    <row r="1" spans="1:26" x14ac:dyDescent="0.3">
      <c r="E1" s="10" t="s">
        <v>94</v>
      </c>
      <c r="G1" s="10" t="s">
        <v>95</v>
      </c>
      <c r="I1" s="10" t="s">
        <v>94</v>
      </c>
      <c r="K1" s="10" t="s">
        <v>95</v>
      </c>
      <c r="M1" s="10" t="s">
        <v>94</v>
      </c>
      <c r="O1" s="10" t="s">
        <v>95</v>
      </c>
      <c r="S1" s="10" t="s">
        <v>94</v>
      </c>
      <c r="U1" s="10" t="s">
        <v>95</v>
      </c>
      <c r="W1" s="10" t="s">
        <v>94</v>
      </c>
      <c r="Y1" s="10" t="s">
        <v>95</v>
      </c>
    </row>
    <row r="2" spans="1:26" x14ac:dyDescent="0.3">
      <c r="D2" s="10" t="s">
        <v>2</v>
      </c>
      <c r="E2" s="11" t="s">
        <v>36</v>
      </c>
      <c r="F2" s="11" t="s">
        <v>5</v>
      </c>
      <c r="G2" s="11" t="s">
        <v>36</v>
      </c>
      <c r="H2" s="11" t="s">
        <v>5</v>
      </c>
      <c r="I2" s="11" t="s">
        <v>7</v>
      </c>
      <c r="J2" s="11" t="s">
        <v>8</v>
      </c>
      <c r="K2" s="11" t="s">
        <v>7</v>
      </c>
      <c r="L2" s="11" t="s">
        <v>8</v>
      </c>
      <c r="M2" s="11" t="s">
        <v>72</v>
      </c>
      <c r="N2" s="11" t="s">
        <v>73</v>
      </c>
      <c r="O2" s="11" t="s">
        <v>72</v>
      </c>
      <c r="P2" s="11" t="s">
        <v>73</v>
      </c>
      <c r="S2" s="11" t="s">
        <v>36</v>
      </c>
      <c r="T2" s="11" t="s">
        <v>5</v>
      </c>
      <c r="U2" s="11" t="s">
        <v>36</v>
      </c>
      <c r="V2" s="11" t="s">
        <v>5</v>
      </c>
      <c r="W2" s="11" t="s">
        <v>7</v>
      </c>
      <c r="X2" s="11" t="s">
        <v>8</v>
      </c>
      <c r="Y2" s="11" t="s">
        <v>7</v>
      </c>
      <c r="Z2" s="11" t="s">
        <v>8</v>
      </c>
    </row>
    <row r="3" spans="1:26" x14ac:dyDescent="0.3">
      <c r="A3" s="10" t="s">
        <v>14</v>
      </c>
      <c r="B3" s="10" t="s">
        <v>94</v>
      </c>
      <c r="C3" s="10" t="s">
        <v>81</v>
      </c>
      <c r="D3" s="10" t="s">
        <v>36</v>
      </c>
      <c r="E3" s="10">
        <v>0</v>
      </c>
      <c r="F3" s="10">
        <v>0</v>
      </c>
      <c r="G3" s="10">
        <v>0</v>
      </c>
      <c r="H3" s="10">
        <v>0</v>
      </c>
      <c r="I3" s="9">
        <v>0.1</v>
      </c>
      <c r="J3" s="9">
        <v>1.2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W3" s="9">
        <f t="array" ref="W3:Z6">MMULT(E7:H10,I3:L6)</f>
        <v>4.0000000000000008E-2</v>
      </c>
      <c r="X3" s="9">
        <v>0.48</v>
      </c>
      <c r="Y3" s="10">
        <v>0.03</v>
      </c>
      <c r="Z3" s="10">
        <v>0.24</v>
      </c>
    </row>
    <row r="4" spans="1:26" x14ac:dyDescent="0.3">
      <c r="C4" s="10" t="s">
        <v>109</v>
      </c>
      <c r="D4" s="10" t="s">
        <v>5</v>
      </c>
      <c r="E4" s="10">
        <v>0</v>
      </c>
      <c r="F4" s="10">
        <v>0</v>
      </c>
      <c r="G4" s="10">
        <v>0</v>
      </c>
      <c r="H4" s="10">
        <v>0</v>
      </c>
      <c r="I4" s="9">
        <v>0</v>
      </c>
      <c r="J4" s="9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W4" s="9">
        <v>0</v>
      </c>
      <c r="X4" s="9">
        <v>0</v>
      </c>
      <c r="Y4" s="10">
        <v>0</v>
      </c>
      <c r="Z4" s="10">
        <v>0</v>
      </c>
    </row>
    <row r="5" spans="1:26" x14ac:dyDescent="0.3">
      <c r="B5" s="10" t="s">
        <v>95</v>
      </c>
      <c r="C5" s="10" t="s">
        <v>81</v>
      </c>
      <c r="D5" s="10" t="s">
        <v>36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9">
        <v>0.15</v>
      </c>
      <c r="L5" s="9">
        <v>1.2</v>
      </c>
      <c r="M5" s="10">
        <v>0</v>
      </c>
      <c r="N5" s="10">
        <v>0</v>
      </c>
      <c r="O5" s="10">
        <v>0</v>
      </c>
      <c r="P5" s="10">
        <v>0</v>
      </c>
      <c r="W5" s="10">
        <v>0.06</v>
      </c>
      <c r="X5" s="10">
        <v>0.72</v>
      </c>
      <c r="Y5" s="9">
        <v>0.12</v>
      </c>
      <c r="Z5" s="9">
        <v>0.96</v>
      </c>
    </row>
    <row r="6" spans="1:26" x14ac:dyDescent="0.3">
      <c r="C6" s="10" t="s">
        <v>109</v>
      </c>
      <c r="D6" s="10" t="s">
        <v>5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9">
        <v>0</v>
      </c>
      <c r="L6" s="9">
        <v>0</v>
      </c>
      <c r="M6" s="10">
        <v>0</v>
      </c>
      <c r="N6" s="10">
        <v>0</v>
      </c>
      <c r="O6" s="10">
        <v>0</v>
      </c>
      <c r="P6" s="10">
        <v>0</v>
      </c>
      <c r="W6" s="10">
        <v>0</v>
      </c>
      <c r="X6" s="10">
        <v>0</v>
      </c>
      <c r="Y6" s="9">
        <v>0</v>
      </c>
      <c r="Z6" s="9">
        <v>0</v>
      </c>
    </row>
    <row r="7" spans="1:26" x14ac:dyDescent="0.3">
      <c r="A7" s="10" t="s">
        <v>98</v>
      </c>
      <c r="B7" s="10" t="s">
        <v>94</v>
      </c>
      <c r="C7" s="10" t="s">
        <v>83</v>
      </c>
      <c r="D7" s="10" t="s">
        <v>7</v>
      </c>
      <c r="E7" s="9">
        <v>0.4</v>
      </c>
      <c r="F7" s="9">
        <v>0</v>
      </c>
      <c r="G7" s="9">
        <v>0.2</v>
      </c>
      <c r="H7" s="9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</row>
    <row r="8" spans="1:26" x14ac:dyDescent="0.3">
      <c r="C8" s="10" t="s">
        <v>84</v>
      </c>
      <c r="D8" s="10" t="s">
        <v>8</v>
      </c>
      <c r="E8" s="9">
        <v>0</v>
      </c>
      <c r="F8" s="9">
        <v>1</v>
      </c>
      <c r="G8" s="9">
        <v>0</v>
      </c>
      <c r="H8" s="9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W8" s="10">
        <f>W3/(W3+W5)</f>
        <v>0.40000000000000008</v>
      </c>
      <c r="X8" s="10">
        <f t="shared" ref="X8:Z8" si="0">X3/(X3+X5)</f>
        <v>0.4</v>
      </c>
      <c r="Y8" s="10">
        <f t="shared" si="0"/>
        <v>0.2</v>
      </c>
      <c r="Z8" s="10">
        <f t="shared" si="0"/>
        <v>0.2</v>
      </c>
    </row>
    <row r="9" spans="1:26" x14ac:dyDescent="0.3">
      <c r="B9" s="10" t="s">
        <v>95</v>
      </c>
      <c r="C9" s="10" t="s">
        <v>83</v>
      </c>
      <c r="D9" s="10" t="s">
        <v>7</v>
      </c>
      <c r="E9" s="9">
        <v>0.6</v>
      </c>
      <c r="F9" s="9">
        <v>0</v>
      </c>
      <c r="G9" s="9">
        <v>0.8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W9" s="10">
        <f>W5/(W3+W5)</f>
        <v>0.6</v>
      </c>
      <c r="X9" s="10">
        <f t="shared" ref="X9:Z9" si="1">X5/(X3+X5)</f>
        <v>0.6</v>
      </c>
      <c r="Y9" s="10">
        <f t="shared" si="1"/>
        <v>0.8</v>
      </c>
      <c r="Z9" s="10">
        <f t="shared" si="1"/>
        <v>0.8</v>
      </c>
    </row>
    <row r="10" spans="1:26" x14ac:dyDescent="0.3">
      <c r="C10" s="10" t="s">
        <v>84</v>
      </c>
      <c r="D10" s="10" t="s">
        <v>8</v>
      </c>
      <c r="E10" s="9">
        <v>0</v>
      </c>
      <c r="F10" s="9">
        <v>0</v>
      </c>
      <c r="G10" s="9">
        <v>0</v>
      </c>
      <c r="H10" s="9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26" x14ac:dyDescent="0.3">
      <c r="A11" s="10" t="s">
        <v>99</v>
      </c>
      <c r="B11" s="10" t="s">
        <v>94</v>
      </c>
      <c r="C11" s="10" t="s">
        <v>85</v>
      </c>
      <c r="D11" s="10" t="s">
        <v>72</v>
      </c>
      <c r="E11" s="54">
        <f t="array" ref="E11:H14">E7:H10-E7:H10*_xlfn.MUNIT(4)+_xlfn.MUNIT(4)</f>
        <v>1</v>
      </c>
      <c r="F11" s="54">
        <v>0</v>
      </c>
      <c r="G11" s="54">
        <v>0.2</v>
      </c>
      <c r="H11" s="54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26" x14ac:dyDescent="0.3">
      <c r="C12" s="10" t="s">
        <v>86</v>
      </c>
      <c r="D12" s="10" t="s">
        <v>73</v>
      </c>
      <c r="E12" s="9">
        <v>0</v>
      </c>
      <c r="F12" s="9">
        <v>1</v>
      </c>
      <c r="G12" s="9">
        <v>0</v>
      </c>
      <c r="H12" s="9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26" x14ac:dyDescent="0.3">
      <c r="B13" s="10" t="s">
        <v>95</v>
      </c>
      <c r="C13" s="10" t="s">
        <v>85</v>
      </c>
      <c r="D13" s="10" t="s">
        <v>72</v>
      </c>
      <c r="E13" s="9">
        <v>0.6</v>
      </c>
      <c r="F13" s="9">
        <v>0</v>
      </c>
      <c r="G13" s="9">
        <v>1</v>
      </c>
      <c r="H13" s="9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26" x14ac:dyDescent="0.3">
      <c r="C14" s="10" t="s">
        <v>86</v>
      </c>
      <c r="D14" s="10" t="s">
        <v>73</v>
      </c>
      <c r="E14" s="9">
        <v>0</v>
      </c>
      <c r="F14" s="9">
        <v>0</v>
      </c>
      <c r="G14" s="9">
        <v>0</v>
      </c>
      <c r="H14" s="9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6" spans="1:26" x14ac:dyDescent="0.3">
      <c r="C16" s="10" t="s">
        <v>100</v>
      </c>
      <c r="D16" s="10" t="s">
        <v>45</v>
      </c>
      <c r="E16" s="10">
        <v>0</v>
      </c>
      <c r="F16" s="10">
        <v>0</v>
      </c>
      <c r="G16" s="10">
        <v>0</v>
      </c>
      <c r="H16" s="10">
        <v>0</v>
      </c>
      <c r="I16" s="9">
        <v>1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</row>
    <row r="17" spans="1:25" x14ac:dyDescent="0.3">
      <c r="C17" s="10" t="s">
        <v>24</v>
      </c>
      <c r="D17" s="10" t="s">
        <v>46</v>
      </c>
      <c r="E17" s="10">
        <v>0</v>
      </c>
      <c r="F17" s="10">
        <v>0</v>
      </c>
      <c r="G17" s="10">
        <v>0</v>
      </c>
      <c r="H17" s="10">
        <v>0</v>
      </c>
      <c r="I17" s="9">
        <v>20</v>
      </c>
      <c r="J17" s="9">
        <v>0</v>
      </c>
      <c r="K17" s="9">
        <v>60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20" spans="1:25" x14ac:dyDescent="0.3">
      <c r="A20" s="10" t="s">
        <v>25</v>
      </c>
      <c r="D20" s="10" t="s">
        <v>26</v>
      </c>
      <c r="E20" s="5">
        <v>104.38909</v>
      </c>
      <c r="F20" s="5">
        <v>0</v>
      </c>
      <c r="G20" s="5">
        <v>10.676157</v>
      </c>
      <c r="H20" s="5">
        <v>0</v>
      </c>
      <c r="I20" s="5">
        <v>43.890866000000003</v>
      </c>
      <c r="J20" s="5">
        <v>0</v>
      </c>
      <c r="K20" s="5">
        <v>71.174377000000007</v>
      </c>
      <c r="L20" s="5">
        <v>0</v>
      </c>
      <c r="M20" s="5">
        <v>106.52432</v>
      </c>
      <c r="N20" s="5">
        <v>0</v>
      </c>
      <c r="O20" s="5">
        <v>73.309608999999995</v>
      </c>
      <c r="P20" s="5">
        <v>0</v>
      </c>
    </row>
    <row r="22" spans="1:25" x14ac:dyDescent="0.3">
      <c r="E22" s="10" t="s">
        <v>94</v>
      </c>
      <c r="G22" s="10" t="s">
        <v>95</v>
      </c>
      <c r="I22" s="10" t="s">
        <v>94</v>
      </c>
      <c r="K22" s="10" t="s">
        <v>95</v>
      </c>
      <c r="M22" s="10" t="s">
        <v>94</v>
      </c>
      <c r="O22" s="10" t="s">
        <v>95</v>
      </c>
      <c r="R22" s="11" t="s">
        <v>101</v>
      </c>
      <c r="T22" s="11" t="s">
        <v>11</v>
      </c>
      <c r="V22" s="11" t="s">
        <v>13</v>
      </c>
    </row>
    <row r="23" spans="1:25" x14ac:dyDescent="0.3">
      <c r="D23" s="10" t="s">
        <v>12</v>
      </c>
      <c r="E23" s="11" t="s">
        <v>36</v>
      </c>
      <c r="F23" s="11" t="s">
        <v>5</v>
      </c>
      <c r="G23" s="11" t="s">
        <v>36</v>
      </c>
      <c r="H23" s="11" t="s">
        <v>5</v>
      </c>
      <c r="I23" s="11" t="s">
        <v>7</v>
      </c>
      <c r="J23" s="11" t="s">
        <v>8</v>
      </c>
      <c r="K23" s="11" t="s">
        <v>7</v>
      </c>
      <c r="L23" s="11" t="s">
        <v>8</v>
      </c>
      <c r="M23" s="11" t="s">
        <v>72</v>
      </c>
      <c r="N23" s="11" t="s">
        <v>73</v>
      </c>
      <c r="O23" s="11" t="s">
        <v>110</v>
      </c>
      <c r="P23" s="11" t="s">
        <v>111</v>
      </c>
      <c r="R23" s="11"/>
      <c r="S23" s="11"/>
      <c r="T23" s="11"/>
      <c r="V23" s="11"/>
    </row>
    <row r="24" spans="1:25" x14ac:dyDescent="0.3">
      <c r="A24" s="10" t="s">
        <v>14</v>
      </c>
      <c r="B24" s="10" t="s">
        <v>94</v>
      </c>
      <c r="C24" s="10" t="s">
        <v>81</v>
      </c>
      <c r="D24" s="10" t="s">
        <v>36</v>
      </c>
      <c r="E24" s="27">
        <f t="array" ref="E24:P35">MMULT(E3:P14,E20:P20*_xlfn.MUNIT(12))</f>
        <v>0</v>
      </c>
      <c r="F24" s="27">
        <v>0</v>
      </c>
      <c r="G24" s="27">
        <v>0</v>
      </c>
      <c r="H24" s="27">
        <v>0</v>
      </c>
      <c r="I24" s="8">
        <v>4.3890866000000006</v>
      </c>
      <c r="J24" s="8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/>
      <c r="R24" s="28">
        <v>100</v>
      </c>
      <c r="S24" s="27"/>
      <c r="T24" s="8">
        <f t="array" ref="T24:T35">MMULT(E43:P54-E3:P14,TRANSPOSE(E20:P20))</f>
        <v>100.0000034</v>
      </c>
      <c r="U24" s="27"/>
      <c r="V24" s="57">
        <f t="array" ref="V24:V35">MMULT(E43:P54,TRANSPOSE(E20:P20))</f>
        <v>104.38909</v>
      </c>
      <c r="Y24" s="23"/>
    </row>
    <row r="25" spans="1:25" x14ac:dyDescent="0.3">
      <c r="C25" s="10" t="s">
        <v>109</v>
      </c>
      <c r="D25" s="10" t="s">
        <v>5</v>
      </c>
      <c r="E25" s="27">
        <v>0</v>
      </c>
      <c r="F25" s="27">
        <v>0</v>
      </c>
      <c r="G25" s="27">
        <v>0</v>
      </c>
      <c r="H25" s="27">
        <v>0</v>
      </c>
      <c r="I25" s="8">
        <v>0</v>
      </c>
      <c r="J25" s="8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/>
      <c r="R25" s="28">
        <v>0</v>
      </c>
      <c r="S25" s="27"/>
      <c r="T25" s="8">
        <v>0</v>
      </c>
      <c r="U25" s="27"/>
      <c r="V25" s="57">
        <v>0</v>
      </c>
      <c r="Y25" s="23"/>
    </row>
    <row r="26" spans="1:25" x14ac:dyDescent="0.3">
      <c r="B26" s="10" t="s">
        <v>95</v>
      </c>
      <c r="C26" s="10" t="s">
        <v>81</v>
      </c>
      <c r="D26" s="10" t="s">
        <v>36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8">
        <v>10.67615655</v>
      </c>
      <c r="L26" s="8">
        <v>0</v>
      </c>
      <c r="M26" s="27">
        <v>0</v>
      </c>
      <c r="N26" s="27">
        <v>0</v>
      </c>
      <c r="O26" s="27">
        <v>0</v>
      </c>
      <c r="P26" s="27">
        <v>0</v>
      </c>
      <c r="Q26" s="27"/>
      <c r="R26" s="28">
        <v>0</v>
      </c>
      <c r="S26" s="27"/>
      <c r="T26" s="8">
        <v>4.4999999992967332E-7</v>
      </c>
      <c r="U26" s="27"/>
      <c r="V26" s="57">
        <v>10.676157</v>
      </c>
    </row>
    <row r="27" spans="1:25" x14ac:dyDescent="0.3">
      <c r="C27" s="10" t="s">
        <v>109</v>
      </c>
      <c r="D27" s="10" t="s">
        <v>5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8">
        <v>0</v>
      </c>
      <c r="L27" s="8">
        <v>0</v>
      </c>
      <c r="M27" s="27">
        <v>0</v>
      </c>
      <c r="N27" s="27">
        <v>0</v>
      </c>
      <c r="O27" s="27">
        <v>0</v>
      </c>
      <c r="P27" s="27">
        <v>0</v>
      </c>
      <c r="Q27" s="27"/>
      <c r="R27" s="28">
        <v>0</v>
      </c>
      <c r="S27" s="27"/>
      <c r="T27" s="8">
        <v>0</v>
      </c>
      <c r="U27" s="27"/>
      <c r="V27" s="57">
        <v>0</v>
      </c>
    </row>
    <row r="28" spans="1:25" x14ac:dyDescent="0.3">
      <c r="A28" s="10" t="s">
        <v>98</v>
      </c>
      <c r="B28" s="10" t="s">
        <v>94</v>
      </c>
      <c r="C28" s="10" t="s">
        <v>83</v>
      </c>
      <c r="D28" s="10" t="s">
        <v>7</v>
      </c>
      <c r="E28" s="8">
        <v>41.755636000000003</v>
      </c>
      <c r="F28" s="8">
        <v>0</v>
      </c>
      <c r="G28" s="8">
        <v>2.1352313999999999</v>
      </c>
      <c r="H28" s="8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/>
      <c r="R28" s="27"/>
      <c r="S28" s="27"/>
      <c r="T28" s="27">
        <v>-1.4000000021496817E-6</v>
      </c>
      <c r="U28" s="27"/>
      <c r="V28" s="58">
        <v>43.890866000000003</v>
      </c>
    </row>
    <row r="29" spans="1:25" x14ac:dyDescent="0.3">
      <c r="C29" s="10" t="s">
        <v>84</v>
      </c>
      <c r="D29" s="10" t="s">
        <v>8</v>
      </c>
      <c r="E29" s="8">
        <v>0</v>
      </c>
      <c r="F29" s="8">
        <v>0</v>
      </c>
      <c r="G29" s="8">
        <v>0</v>
      </c>
      <c r="H29" s="8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/>
      <c r="R29" s="27"/>
      <c r="S29" s="27"/>
      <c r="T29" s="27">
        <v>0</v>
      </c>
      <c r="U29" s="27"/>
      <c r="V29" s="58">
        <v>0</v>
      </c>
    </row>
    <row r="30" spans="1:25" x14ac:dyDescent="0.3">
      <c r="B30" s="10" t="s">
        <v>95</v>
      </c>
      <c r="C30" s="10" t="s">
        <v>83</v>
      </c>
      <c r="D30" s="10" t="s">
        <v>7</v>
      </c>
      <c r="E30" s="8">
        <v>62.633453999999993</v>
      </c>
      <c r="F30" s="8">
        <v>0</v>
      </c>
      <c r="G30" s="8">
        <v>8.5409255999999996</v>
      </c>
      <c r="H30" s="8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/>
      <c r="R30" s="27"/>
      <c r="S30" s="27"/>
      <c r="T30" s="27">
        <v>-2.5999999877512892E-6</v>
      </c>
      <c r="U30" s="27"/>
      <c r="V30" s="58">
        <v>71.174377000000007</v>
      </c>
    </row>
    <row r="31" spans="1:25" x14ac:dyDescent="0.3">
      <c r="C31" s="10" t="s">
        <v>84</v>
      </c>
      <c r="D31" s="10" t="s">
        <v>8</v>
      </c>
      <c r="E31" s="8">
        <v>0</v>
      </c>
      <c r="F31" s="8">
        <v>0</v>
      </c>
      <c r="G31" s="8">
        <v>0</v>
      </c>
      <c r="H31" s="8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/>
      <c r="R31" s="27"/>
      <c r="S31" s="27"/>
      <c r="T31" s="27">
        <v>0</v>
      </c>
      <c r="U31" s="27"/>
      <c r="V31" s="58">
        <v>0</v>
      </c>
    </row>
    <row r="32" spans="1:25" x14ac:dyDescent="0.3">
      <c r="A32" s="10" t="s">
        <v>99</v>
      </c>
      <c r="B32" s="10" t="s">
        <v>94</v>
      </c>
      <c r="C32" s="10" t="s">
        <v>85</v>
      </c>
      <c r="D32" s="10" t="s">
        <v>72</v>
      </c>
      <c r="E32" s="8">
        <v>104.38909</v>
      </c>
      <c r="F32" s="8">
        <v>0</v>
      </c>
      <c r="G32" s="8">
        <v>2.1352313999999999</v>
      </c>
      <c r="H32" s="8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/>
      <c r="R32" s="27"/>
      <c r="S32" s="27"/>
      <c r="T32" s="27">
        <v>-1.399999987938827E-6</v>
      </c>
      <c r="U32" s="27"/>
      <c r="V32" s="58">
        <v>106.52432</v>
      </c>
    </row>
    <row r="33" spans="2:23" x14ac:dyDescent="0.3">
      <c r="C33" s="10" t="s">
        <v>86</v>
      </c>
      <c r="D33" s="10" t="s">
        <v>73</v>
      </c>
      <c r="E33" s="8">
        <v>0</v>
      </c>
      <c r="F33" s="8">
        <v>0</v>
      </c>
      <c r="G33" s="8">
        <v>0</v>
      </c>
      <c r="H33" s="8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/>
      <c r="R33" s="27"/>
      <c r="S33" s="27"/>
      <c r="T33" s="27">
        <v>0</v>
      </c>
      <c r="U33" s="27"/>
      <c r="V33" s="58">
        <v>0</v>
      </c>
    </row>
    <row r="34" spans="2:23" x14ac:dyDescent="0.3">
      <c r="B34" s="10" t="s">
        <v>95</v>
      </c>
      <c r="C34" s="10" t="s">
        <v>85</v>
      </c>
      <c r="D34" s="10" t="s">
        <v>72</v>
      </c>
      <c r="E34" s="8">
        <v>62.633453999999993</v>
      </c>
      <c r="F34" s="8">
        <v>0</v>
      </c>
      <c r="G34" s="8">
        <v>10.676157</v>
      </c>
      <c r="H34" s="8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/>
      <c r="R34" s="27"/>
      <c r="S34" s="27"/>
      <c r="T34" s="27">
        <v>-1.9999999949504854E-6</v>
      </c>
      <c r="U34" s="27"/>
      <c r="V34" s="58">
        <v>73.309608999999995</v>
      </c>
    </row>
    <row r="35" spans="2:23" x14ac:dyDescent="0.3">
      <c r="C35" s="10" t="s">
        <v>86</v>
      </c>
      <c r="D35" s="10" t="s">
        <v>73</v>
      </c>
      <c r="E35" s="8">
        <v>0</v>
      </c>
      <c r="F35" s="8">
        <v>0</v>
      </c>
      <c r="G35" s="8">
        <v>0</v>
      </c>
      <c r="H35" s="8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/>
      <c r="R35" s="27"/>
      <c r="S35" s="27"/>
      <c r="T35" s="27">
        <v>0</v>
      </c>
      <c r="U35" s="27"/>
      <c r="V35" s="58">
        <v>0</v>
      </c>
    </row>
    <row r="36" spans="2:23" x14ac:dyDescent="0.3"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2:23" x14ac:dyDescent="0.3">
      <c r="D37" s="10" t="s">
        <v>45</v>
      </c>
      <c r="E37" s="27">
        <f t="array" ref="E37:P38">MMULT(E16:P17,E20:P20*_xlfn.MUNIT(12))</f>
        <v>0</v>
      </c>
      <c r="F37" s="27">
        <v>0</v>
      </c>
      <c r="G37" s="27">
        <v>0</v>
      </c>
      <c r="H37" s="27">
        <v>0</v>
      </c>
      <c r="I37" s="8">
        <v>43.890866000000003</v>
      </c>
      <c r="J37" s="8">
        <v>0</v>
      </c>
      <c r="K37" s="8">
        <v>71.174377000000007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27"/>
      <c r="R37" s="27"/>
      <c r="S37" s="27"/>
      <c r="T37" s="27" t="s">
        <v>102</v>
      </c>
      <c r="U37" s="27"/>
      <c r="V37" s="8">
        <f>SUM(E37:P37)</f>
        <v>115.06524300000001</v>
      </c>
    </row>
    <row r="38" spans="2:23" x14ac:dyDescent="0.3">
      <c r="D38" s="10" t="s">
        <v>46</v>
      </c>
      <c r="E38" s="27">
        <v>0</v>
      </c>
      <c r="F38" s="27">
        <v>0</v>
      </c>
      <c r="G38" s="27">
        <v>0</v>
      </c>
      <c r="H38" s="27">
        <v>0</v>
      </c>
      <c r="I38" s="8">
        <v>877.81732000000011</v>
      </c>
      <c r="J38" s="8">
        <v>0</v>
      </c>
      <c r="K38" s="8">
        <v>4270.4626200000002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27"/>
      <c r="R38" s="27"/>
      <c r="S38" s="27"/>
      <c r="T38" s="27" t="s">
        <v>103</v>
      </c>
      <c r="U38" s="27"/>
      <c r="V38" s="8">
        <f>SUM(E38:P38)</f>
        <v>5148.2799400000004</v>
      </c>
      <c r="W38" s="10" t="s">
        <v>92</v>
      </c>
    </row>
    <row r="41" spans="2:23" x14ac:dyDescent="0.3">
      <c r="D41" s="10" t="s">
        <v>49</v>
      </c>
      <c r="E41" s="10" t="s">
        <v>94</v>
      </c>
      <c r="G41" s="10" t="s">
        <v>95</v>
      </c>
      <c r="I41" s="10" t="s">
        <v>94</v>
      </c>
      <c r="K41" s="10" t="s">
        <v>95</v>
      </c>
    </row>
    <row r="42" spans="2:23" x14ac:dyDescent="0.3">
      <c r="D42" s="10" t="s">
        <v>12</v>
      </c>
      <c r="E42" s="11" t="s">
        <v>36</v>
      </c>
      <c r="F42" s="11" t="s">
        <v>5</v>
      </c>
      <c r="G42" s="11" t="s">
        <v>36</v>
      </c>
      <c r="H42" s="11" t="s">
        <v>5</v>
      </c>
      <c r="I42" s="11" t="s">
        <v>7</v>
      </c>
      <c r="J42" s="11" t="s">
        <v>8</v>
      </c>
      <c r="K42" s="11" t="s">
        <v>7</v>
      </c>
      <c r="L42" s="11" t="s">
        <v>8</v>
      </c>
      <c r="M42" s="11" t="s">
        <v>72</v>
      </c>
      <c r="N42" s="11" t="s">
        <v>73</v>
      </c>
      <c r="O42" s="11" t="s">
        <v>110</v>
      </c>
      <c r="P42" s="11" t="s">
        <v>111</v>
      </c>
    </row>
    <row r="43" spans="2:23" x14ac:dyDescent="0.3">
      <c r="D43" s="10" t="s">
        <v>36</v>
      </c>
      <c r="E43" s="10">
        <v>1</v>
      </c>
      <c r="F43" s="10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 spans="2:23" x14ac:dyDescent="0.3">
      <c r="D44" s="10" t="s">
        <v>5</v>
      </c>
      <c r="E44" s="10">
        <v>0</v>
      </c>
      <c r="F44" s="10">
        <v>1</v>
      </c>
      <c r="G44" s="10">
        <v>0</v>
      </c>
      <c r="H44" s="10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</row>
    <row r="45" spans="2:23" x14ac:dyDescent="0.3">
      <c r="D45" s="10" t="s">
        <v>36</v>
      </c>
      <c r="E45" s="10">
        <v>0</v>
      </c>
      <c r="F45" s="10">
        <v>0</v>
      </c>
      <c r="G45" s="10">
        <v>1</v>
      </c>
      <c r="H45" s="10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2:23" x14ac:dyDescent="0.3">
      <c r="D46" s="10" t="s">
        <v>5</v>
      </c>
      <c r="E46" s="10">
        <v>0</v>
      </c>
      <c r="F46" s="10">
        <v>0</v>
      </c>
      <c r="G46" s="10">
        <v>0</v>
      </c>
      <c r="H46" s="10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</row>
    <row r="47" spans="2:23" x14ac:dyDescent="0.3">
      <c r="D47" s="10" t="s">
        <v>7</v>
      </c>
      <c r="E47" s="9">
        <v>0</v>
      </c>
      <c r="F47" s="9">
        <v>0</v>
      </c>
      <c r="G47" s="9">
        <v>0</v>
      </c>
      <c r="H47" s="9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</row>
    <row r="48" spans="2:23" x14ac:dyDescent="0.3">
      <c r="D48" s="10" t="s">
        <v>8</v>
      </c>
      <c r="E48" s="9">
        <v>0</v>
      </c>
      <c r="F48" s="9">
        <v>0</v>
      </c>
      <c r="G48" s="9">
        <v>0</v>
      </c>
      <c r="H48" s="9">
        <v>0</v>
      </c>
      <c r="I48" s="10">
        <v>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</row>
    <row r="49" spans="4:16" x14ac:dyDescent="0.3">
      <c r="D49" s="10" t="s">
        <v>7</v>
      </c>
      <c r="E49" s="9">
        <v>0</v>
      </c>
      <c r="F49" s="9">
        <v>0</v>
      </c>
      <c r="G49" s="9">
        <v>0</v>
      </c>
      <c r="H49" s="9">
        <v>0</v>
      </c>
      <c r="I49" s="10">
        <v>0</v>
      </c>
      <c r="J49" s="10">
        <v>0</v>
      </c>
      <c r="K49" s="10">
        <v>1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</row>
    <row r="50" spans="4:16" x14ac:dyDescent="0.3">
      <c r="D50" s="10" t="s">
        <v>8</v>
      </c>
      <c r="E50" s="9">
        <v>0</v>
      </c>
      <c r="F50" s="9">
        <v>0</v>
      </c>
      <c r="G50" s="9">
        <v>0</v>
      </c>
      <c r="H50" s="9">
        <v>0</v>
      </c>
      <c r="I50" s="10">
        <v>0</v>
      </c>
      <c r="J50" s="10">
        <v>0</v>
      </c>
      <c r="K50" s="10">
        <v>0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</row>
    <row r="51" spans="4:16" x14ac:dyDescent="0.3">
      <c r="D51" s="10" t="s">
        <v>72</v>
      </c>
      <c r="E51" s="9">
        <v>0</v>
      </c>
      <c r="F51" s="9">
        <v>0</v>
      </c>
      <c r="G51" s="9">
        <v>0</v>
      </c>
      <c r="H51" s="9">
        <v>0</v>
      </c>
      <c r="I51" s="10">
        <v>0</v>
      </c>
      <c r="J51" s="10">
        <v>0</v>
      </c>
      <c r="K51" s="10">
        <v>0</v>
      </c>
      <c r="L51" s="10">
        <v>0</v>
      </c>
      <c r="M51" s="10">
        <v>1</v>
      </c>
      <c r="N51" s="10">
        <v>0</v>
      </c>
      <c r="O51" s="10">
        <v>0</v>
      </c>
      <c r="P51" s="10">
        <v>0</v>
      </c>
    </row>
    <row r="52" spans="4:16" x14ac:dyDescent="0.3">
      <c r="D52" s="10" t="s">
        <v>73</v>
      </c>
      <c r="E52" s="9">
        <v>0</v>
      </c>
      <c r="F52" s="9">
        <v>0</v>
      </c>
      <c r="G52" s="9">
        <v>0</v>
      </c>
      <c r="H52" s="9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1</v>
      </c>
      <c r="O52" s="10">
        <v>0</v>
      </c>
      <c r="P52" s="10">
        <v>0</v>
      </c>
    </row>
    <row r="53" spans="4:16" x14ac:dyDescent="0.3">
      <c r="D53" s="10" t="s">
        <v>72</v>
      </c>
      <c r="E53" s="9">
        <v>0</v>
      </c>
      <c r="F53" s="9">
        <v>0</v>
      </c>
      <c r="G53" s="9">
        <v>0</v>
      </c>
      <c r="H53" s="9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</v>
      </c>
      <c r="P53" s="10">
        <v>0</v>
      </c>
    </row>
    <row r="54" spans="4:16" x14ac:dyDescent="0.3">
      <c r="D54" s="10" t="s">
        <v>73</v>
      </c>
      <c r="E54" s="9">
        <v>0</v>
      </c>
      <c r="F54" s="9">
        <v>0</v>
      </c>
      <c r="G54" s="9">
        <v>0</v>
      </c>
      <c r="H54" s="9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A31-5F8F-4EED-A5CA-375259483CC9}">
  <sheetPr>
    <tabColor theme="8" tint="0.59999389629810485"/>
  </sheetPr>
  <dimension ref="A1:AG45"/>
  <sheetViews>
    <sheetView workbookViewId="0"/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4" width="7.21875" style="1" customWidth="1"/>
    <col min="35" max="16384" width="9.21875" style="1"/>
  </cols>
  <sheetData>
    <row r="1" spans="1:31" x14ac:dyDescent="0.3">
      <c r="J1" s="2" t="s">
        <v>112</v>
      </c>
      <c r="K1" s="2" t="s">
        <v>113</v>
      </c>
      <c r="Q1" s="2" t="s">
        <v>114</v>
      </c>
    </row>
    <row r="2" spans="1:31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37</v>
      </c>
      <c r="K2" s="2" t="s">
        <v>38</v>
      </c>
      <c r="M2" s="2" t="s">
        <v>10</v>
      </c>
      <c r="O2" s="11" t="s">
        <v>11</v>
      </c>
      <c r="Q2" s="2" t="s">
        <v>115</v>
      </c>
      <c r="U2" s="1" t="s">
        <v>12</v>
      </c>
      <c r="V2" s="2" t="s">
        <v>36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37</v>
      </c>
      <c r="AB2" s="2" t="s">
        <v>38</v>
      </c>
    </row>
    <row r="3" spans="1:31" x14ac:dyDescent="0.3">
      <c r="A3" s="1" t="s">
        <v>116</v>
      </c>
      <c r="B3" s="1" t="s">
        <v>81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9">
        <v>0.1</v>
      </c>
      <c r="I3" s="9">
        <v>1.1000000000000001</v>
      </c>
      <c r="J3" s="9">
        <v>0.1</v>
      </c>
      <c r="K3" s="9">
        <v>0</v>
      </c>
      <c r="M3" s="4">
        <v>5</v>
      </c>
      <c r="O3" s="8">
        <f t="array" ref="O3:O8">MMULT($E$24:$K$29-$E$3:$K$8,TRANSPOSE($E$20:$K$20))</f>
        <v>5</v>
      </c>
      <c r="Q3" s="29">
        <v>15</v>
      </c>
      <c r="U3" s="1" t="s">
        <v>36</v>
      </c>
      <c r="V3" s="1">
        <f t="array" ref="V3:AB8">MMULT(E3:K8,E20:K20*_xlfn.MUNIT(7))</f>
        <v>0</v>
      </c>
      <c r="W3" s="1">
        <v>0</v>
      </c>
      <c r="X3" s="1">
        <v>0</v>
      </c>
      <c r="Y3" s="3">
        <v>8.0047189999999997</v>
      </c>
      <c r="Z3" s="3">
        <v>66.042471000000006</v>
      </c>
      <c r="AA3" s="3">
        <v>1</v>
      </c>
      <c r="AB3" s="3">
        <v>0</v>
      </c>
    </row>
    <row r="4" spans="1:31" x14ac:dyDescent="0.3">
      <c r="B4" s="1" t="s">
        <v>117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9">
        <v>0</v>
      </c>
      <c r="I4" s="9">
        <v>0.3</v>
      </c>
      <c r="J4" s="9">
        <f>1/0.37</f>
        <v>2.7027027027027026</v>
      </c>
      <c r="K4" s="9">
        <f>1/0.32</f>
        <v>3.125</v>
      </c>
      <c r="M4" s="4">
        <v>15</v>
      </c>
      <c r="O4" s="8">
        <v>14.999999972972979</v>
      </c>
      <c r="Q4" s="30">
        <v>12</v>
      </c>
      <c r="U4" s="1" t="s">
        <v>5</v>
      </c>
      <c r="V4" s="1">
        <v>0</v>
      </c>
      <c r="W4" s="1">
        <v>0</v>
      </c>
      <c r="X4" s="1">
        <v>0</v>
      </c>
      <c r="Y4" s="3">
        <v>0</v>
      </c>
      <c r="Z4" s="3">
        <v>18.011582999999998</v>
      </c>
      <c r="AA4" s="3">
        <v>27.027027027027025</v>
      </c>
      <c r="AB4" s="3">
        <v>0</v>
      </c>
    </row>
    <row r="5" spans="1:31" x14ac:dyDescent="0.3">
      <c r="B5" s="1" t="s">
        <v>17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M5" s="4">
        <v>10</v>
      </c>
      <c r="O5" s="8">
        <v>10</v>
      </c>
      <c r="Q5" s="31">
        <v>0</v>
      </c>
      <c r="U5" s="1" t="s">
        <v>6</v>
      </c>
      <c r="V5" s="1">
        <v>0</v>
      </c>
      <c r="W5" s="1">
        <v>0</v>
      </c>
      <c r="X5" s="1">
        <v>0</v>
      </c>
      <c r="Y5" s="3">
        <v>0</v>
      </c>
      <c r="Z5" s="3">
        <v>0</v>
      </c>
      <c r="AA5" s="3">
        <v>0</v>
      </c>
      <c r="AB5" s="3">
        <v>0</v>
      </c>
    </row>
    <row r="6" spans="1:31" x14ac:dyDescent="0.3">
      <c r="A6" s="1" t="s">
        <v>19</v>
      </c>
      <c r="B6" s="1" t="s">
        <v>118</v>
      </c>
      <c r="C6" s="1" t="s">
        <v>60</v>
      </c>
      <c r="D6" s="1" t="s">
        <v>7</v>
      </c>
      <c r="E6" s="9">
        <v>1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M6" s="1">
        <v>0</v>
      </c>
      <c r="O6" s="27">
        <v>0</v>
      </c>
      <c r="Q6" s="27">
        <v>0</v>
      </c>
      <c r="U6" s="1" t="s">
        <v>7</v>
      </c>
      <c r="V6" s="3">
        <v>80.047190000000001</v>
      </c>
      <c r="W6" s="3">
        <v>0</v>
      </c>
      <c r="X6" s="3">
        <v>0</v>
      </c>
      <c r="Y6" s="1">
        <v>0</v>
      </c>
      <c r="Z6" s="1">
        <v>0</v>
      </c>
      <c r="AA6" s="1">
        <v>0</v>
      </c>
      <c r="AB6" s="1">
        <v>0</v>
      </c>
    </row>
    <row r="7" spans="1:31" x14ac:dyDescent="0.3">
      <c r="B7" s="1" t="s">
        <v>119</v>
      </c>
      <c r="C7" s="1" t="s">
        <v>60</v>
      </c>
      <c r="D7" s="1" t="s">
        <v>8</v>
      </c>
      <c r="E7" s="9">
        <v>0</v>
      </c>
      <c r="F7" s="9">
        <v>1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M7" s="1">
        <v>0</v>
      </c>
      <c r="O7" s="27">
        <v>0</v>
      </c>
      <c r="Q7" s="27">
        <v>0</v>
      </c>
      <c r="U7" s="1" t="s">
        <v>8</v>
      </c>
      <c r="V7" s="3">
        <v>0</v>
      </c>
      <c r="W7" s="3">
        <v>60.038609999999998</v>
      </c>
      <c r="X7" s="3">
        <v>0</v>
      </c>
      <c r="Y7" s="1">
        <v>0</v>
      </c>
      <c r="Z7" s="1">
        <v>0</v>
      </c>
      <c r="AA7" s="1">
        <v>0</v>
      </c>
      <c r="AB7" s="1">
        <v>0</v>
      </c>
    </row>
    <row r="8" spans="1:31" x14ac:dyDescent="0.3">
      <c r="B8" s="1" t="s">
        <v>120</v>
      </c>
      <c r="C8" s="1" t="s">
        <v>60</v>
      </c>
      <c r="D8" s="1" t="s">
        <v>9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M8" s="1">
        <v>0</v>
      </c>
      <c r="O8" s="27">
        <v>0</v>
      </c>
      <c r="Q8" s="27">
        <v>0</v>
      </c>
      <c r="U8" s="1" t="s">
        <v>9</v>
      </c>
      <c r="V8" s="3">
        <v>0</v>
      </c>
      <c r="W8" s="3">
        <v>0</v>
      </c>
      <c r="X8" s="3">
        <v>10</v>
      </c>
      <c r="Y8" s="1">
        <v>0</v>
      </c>
      <c r="Z8" s="1">
        <v>0</v>
      </c>
      <c r="AA8" s="1">
        <v>0</v>
      </c>
      <c r="AB8" s="1">
        <v>0</v>
      </c>
    </row>
    <row r="9" spans="1:31" x14ac:dyDescent="0.3">
      <c r="E9" s="10"/>
      <c r="F9" s="10"/>
      <c r="G9" s="10"/>
      <c r="H9" s="10"/>
      <c r="I9" s="10"/>
      <c r="J9" s="10"/>
      <c r="K9" s="10"/>
      <c r="O9" s="27"/>
    </row>
    <row r="10" spans="1:31" x14ac:dyDescent="0.3">
      <c r="A10" s="1" t="s">
        <v>24</v>
      </c>
      <c r="B10" s="1" t="s">
        <v>24</v>
      </c>
      <c r="C10" s="1" t="s">
        <v>121</v>
      </c>
      <c r="E10" s="10">
        <v>0</v>
      </c>
      <c r="F10" s="10">
        <v>0</v>
      </c>
      <c r="G10" s="10">
        <v>0</v>
      </c>
      <c r="H10" s="9">
        <v>2</v>
      </c>
      <c r="I10" s="9">
        <v>2.5</v>
      </c>
      <c r="J10" s="9">
        <v>3.5</v>
      </c>
      <c r="K10" s="9">
        <v>4.5</v>
      </c>
      <c r="V10" s="1">
        <f t="array" ref="V10:AB11">MMULT(E10:K11,E20:K20*_xlfn.MUNIT(7))</f>
        <v>0</v>
      </c>
      <c r="W10" s="1">
        <v>0</v>
      </c>
      <c r="X10" s="1">
        <v>0</v>
      </c>
      <c r="Y10" s="3">
        <v>160.09438</v>
      </c>
      <c r="Z10" s="3">
        <v>150.09652499999999</v>
      </c>
      <c r="AA10" s="3">
        <v>35</v>
      </c>
      <c r="AB10" s="3">
        <v>0</v>
      </c>
      <c r="AD10" s="1">
        <f>SUM(Y10:AB10)</f>
        <v>345.19090499999999</v>
      </c>
      <c r="AE10" s="6" t="s">
        <v>92</v>
      </c>
    </row>
    <row r="11" spans="1:31" x14ac:dyDescent="0.3">
      <c r="A11" s="1" t="s">
        <v>122</v>
      </c>
      <c r="B11" s="1" t="s">
        <v>122</v>
      </c>
      <c r="C11" s="1" t="s">
        <v>60</v>
      </c>
      <c r="E11" s="10">
        <v>0</v>
      </c>
      <c r="F11" s="10">
        <v>0</v>
      </c>
      <c r="G11" s="10">
        <v>0</v>
      </c>
      <c r="H11" s="9">
        <v>1</v>
      </c>
      <c r="I11" s="9">
        <v>0</v>
      </c>
      <c r="J11" s="9">
        <v>0</v>
      </c>
      <c r="K11" s="9">
        <v>0</v>
      </c>
      <c r="V11" s="1">
        <v>0</v>
      </c>
      <c r="W11" s="1">
        <v>0</v>
      </c>
      <c r="X11" s="1">
        <v>0</v>
      </c>
      <c r="Y11" s="3">
        <v>80.047190000000001</v>
      </c>
      <c r="Z11" s="3">
        <v>0</v>
      </c>
      <c r="AA11" s="3">
        <v>0</v>
      </c>
      <c r="AB11" s="3">
        <v>0</v>
      </c>
      <c r="AD11" s="1">
        <f>SUM(Y11:AB11)</f>
        <v>80.047190000000001</v>
      </c>
    </row>
    <row r="13" spans="1:31" x14ac:dyDescent="0.3">
      <c r="B13" s="1" t="s">
        <v>123</v>
      </c>
      <c r="H13" s="25">
        <v>0</v>
      </c>
      <c r="I13" s="26">
        <v>0</v>
      </c>
      <c r="J13" s="46">
        <v>2.5</v>
      </c>
      <c r="K13" s="47">
        <v>0</v>
      </c>
    </row>
    <row r="15" spans="1:31" x14ac:dyDescent="0.3">
      <c r="B15" s="1" t="s">
        <v>124</v>
      </c>
      <c r="H15" s="38">
        <v>1</v>
      </c>
      <c r="I15" s="39">
        <f>I3-1</f>
        <v>0.10000000000000009</v>
      </c>
      <c r="J15" s="39">
        <v>1</v>
      </c>
      <c r="K15" s="40">
        <v>0</v>
      </c>
    </row>
    <row r="16" spans="1:31" x14ac:dyDescent="0.3">
      <c r="H16" s="41">
        <v>1</v>
      </c>
      <c r="I16" s="28">
        <v>1</v>
      </c>
      <c r="J16" s="28">
        <v>1</v>
      </c>
      <c r="K16" s="42">
        <v>0</v>
      </c>
    </row>
    <row r="17" spans="2:23" x14ac:dyDescent="0.3">
      <c r="H17" s="43">
        <v>1</v>
      </c>
      <c r="I17" s="44">
        <v>1</v>
      </c>
      <c r="J17" s="44">
        <v>1</v>
      </c>
      <c r="K17" s="45">
        <v>0</v>
      </c>
    </row>
    <row r="20" spans="2:23" x14ac:dyDescent="0.3">
      <c r="B20" s="1" t="s">
        <v>25</v>
      </c>
      <c r="C20" s="1" t="s">
        <v>60</v>
      </c>
      <c r="D20" s="6" t="s">
        <v>26</v>
      </c>
      <c r="E20" s="5">
        <v>80.047190000000001</v>
      </c>
      <c r="F20" s="5">
        <v>60.038609999999998</v>
      </c>
      <c r="G20" s="5">
        <v>10</v>
      </c>
      <c r="H20" s="5">
        <v>80.047190000000001</v>
      </c>
      <c r="I20" s="5">
        <v>60.038609999999998</v>
      </c>
      <c r="J20" s="5">
        <v>10</v>
      </c>
      <c r="K20" s="5">
        <v>0</v>
      </c>
    </row>
    <row r="23" spans="2:23" x14ac:dyDescent="0.3">
      <c r="D23" s="1" t="s">
        <v>49</v>
      </c>
      <c r="E23" s="2" t="s">
        <v>36</v>
      </c>
      <c r="F23" s="2" t="s">
        <v>5</v>
      </c>
      <c r="G23" s="2" t="s">
        <v>125</v>
      </c>
      <c r="H23" s="2" t="s">
        <v>126</v>
      </c>
      <c r="I23" s="2" t="s">
        <v>127</v>
      </c>
      <c r="J23" s="2" t="s">
        <v>128</v>
      </c>
      <c r="K23" s="2" t="s">
        <v>129</v>
      </c>
      <c r="U23" s="2"/>
      <c r="V23" s="2"/>
      <c r="W23" s="2"/>
    </row>
    <row r="24" spans="2:23" x14ac:dyDescent="0.3">
      <c r="D24" s="1" t="s">
        <v>36</v>
      </c>
      <c r="E24" s="1">
        <v>1</v>
      </c>
      <c r="F24" s="1">
        <v>0</v>
      </c>
      <c r="G24" s="1">
        <v>0</v>
      </c>
      <c r="H24" s="9">
        <v>0</v>
      </c>
      <c r="I24" s="9">
        <v>0</v>
      </c>
      <c r="J24" s="9">
        <v>0</v>
      </c>
      <c r="K24" s="9">
        <v>0</v>
      </c>
      <c r="U24" s="27"/>
      <c r="V24" s="27"/>
      <c r="W24" s="27"/>
    </row>
    <row r="25" spans="2:23" x14ac:dyDescent="0.3">
      <c r="D25" s="1" t="s">
        <v>5</v>
      </c>
      <c r="E25" s="1">
        <v>0</v>
      </c>
      <c r="F25" s="1">
        <v>1</v>
      </c>
      <c r="G25" s="1">
        <v>0</v>
      </c>
      <c r="H25" s="9">
        <v>0</v>
      </c>
      <c r="I25" s="9">
        <v>0</v>
      </c>
      <c r="J25" s="9">
        <v>0</v>
      </c>
      <c r="K25" s="9">
        <v>0</v>
      </c>
      <c r="U25" s="27"/>
      <c r="V25" s="27"/>
      <c r="W25" s="27"/>
    </row>
    <row r="26" spans="2:23" x14ac:dyDescent="0.3">
      <c r="D26" s="1" t="s">
        <v>6</v>
      </c>
      <c r="E26" s="1">
        <v>0</v>
      </c>
      <c r="F26" s="1">
        <v>0</v>
      </c>
      <c r="G26" s="1">
        <v>1</v>
      </c>
      <c r="H26" s="9">
        <v>0</v>
      </c>
      <c r="I26" s="9">
        <v>0</v>
      </c>
      <c r="J26" s="9">
        <v>0</v>
      </c>
      <c r="K26" s="9">
        <v>0</v>
      </c>
      <c r="U26" s="27"/>
      <c r="V26" s="27"/>
      <c r="W26" s="27"/>
    </row>
    <row r="27" spans="2:23" x14ac:dyDescent="0.3">
      <c r="D27" s="1" t="s">
        <v>7</v>
      </c>
      <c r="E27" s="3">
        <v>0</v>
      </c>
      <c r="F27" s="3">
        <v>0</v>
      </c>
      <c r="G27" s="3">
        <v>0</v>
      </c>
      <c r="H27" s="1">
        <v>1</v>
      </c>
      <c r="I27" s="1">
        <v>0</v>
      </c>
      <c r="J27" s="1">
        <v>0</v>
      </c>
      <c r="K27" s="1">
        <v>0</v>
      </c>
    </row>
    <row r="28" spans="2:23" x14ac:dyDescent="0.3">
      <c r="D28" s="1" t="s">
        <v>8</v>
      </c>
      <c r="E28" s="3">
        <v>0</v>
      </c>
      <c r="F28" s="3">
        <v>0</v>
      </c>
      <c r="G28" s="3">
        <v>0</v>
      </c>
      <c r="H28" s="1">
        <v>0</v>
      </c>
      <c r="I28" s="1">
        <v>1</v>
      </c>
      <c r="J28" s="1">
        <v>0</v>
      </c>
      <c r="K28" s="1">
        <v>0</v>
      </c>
    </row>
    <row r="29" spans="2:23" x14ac:dyDescent="0.3">
      <c r="D29" s="1" t="s">
        <v>9</v>
      </c>
      <c r="E29" s="3">
        <v>0</v>
      </c>
      <c r="F29" s="3">
        <v>0</v>
      </c>
      <c r="G29" s="3">
        <v>0</v>
      </c>
      <c r="H29" s="1">
        <v>0</v>
      </c>
      <c r="I29" s="1">
        <v>0</v>
      </c>
      <c r="J29" s="1">
        <v>1</v>
      </c>
      <c r="K29" s="1">
        <v>1</v>
      </c>
    </row>
    <row r="35" spans="24:33" x14ac:dyDescent="0.3">
      <c r="X35" s="1" t="s">
        <v>130</v>
      </c>
    </row>
    <row r="36" spans="24:33" x14ac:dyDescent="0.3">
      <c r="X36" s="1" t="s">
        <v>131</v>
      </c>
      <c r="Y36" s="2" t="s">
        <v>7</v>
      </c>
      <c r="Z36" s="2" t="s">
        <v>8</v>
      </c>
      <c r="AA36" s="2" t="s">
        <v>37</v>
      </c>
      <c r="AB36" s="2" t="s">
        <v>38</v>
      </c>
      <c r="AD36" s="1" t="s">
        <v>132</v>
      </c>
      <c r="AF36" s="1" t="s">
        <v>133</v>
      </c>
    </row>
    <row r="37" spans="24:33" x14ac:dyDescent="0.3">
      <c r="X37" s="1" t="s">
        <v>36</v>
      </c>
      <c r="Y37" s="8">
        <f t="array" ref="Y37:AB39">H15:K17*Z3:AC5*Q3:Q5</f>
        <v>990.63706500000012</v>
      </c>
      <c r="Z37" s="8">
        <v>1.5000000000000013</v>
      </c>
      <c r="AA37" s="8">
        <v>0</v>
      </c>
      <c r="AB37" s="8">
        <v>0</v>
      </c>
      <c r="AD37" s="3">
        <f t="array" ref="AD37:AD39">M3:M5*Q3:Q5</f>
        <v>75</v>
      </c>
      <c r="AF37" s="35">
        <f>SUM(Y37:AB37,AD37)</f>
        <v>1067.1370650000001</v>
      </c>
    </row>
    <row r="38" spans="24:33" x14ac:dyDescent="0.3">
      <c r="X38" s="1" t="s">
        <v>5</v>
      </c>
      <c r="Y38" s="8">
        <v>216.13899599999996</v>
      </c>
      <c r="Z38" s="8">
        <v>324.32432432432427</v>
      </c>
      <c r="AA38" s="8">
        <v>0</v>
      </c>
      <c r="AB38" s="8">
        <v>0</v>
      </c>
      <c r="AD38" s="3">
        <v>180</v>
      </c>
      <c r="AF38" s="36">
        <f t="shared" ref="AF38:AF39" si="0">SUM(Y38:AB38,AD38)</f>
        <v>720.46332032432429</v>
      </c>
    </row>
    <row r="39" spans="24:33" x14ac:dyDescent="0.3">
      <c r="X39" s="1" t="s">
        <v>6</v>
      </c>
      <c r="Y39" s="8">
        <v>0</v>
      </c>
      <c r="Z39" s="8">
        <v>0</v>
      </c>
      <c r="AA39" s="8">
        <v>0</v>
      </c>
      <c r="AB39" s="8">
        <v>0</v>
      </c>
      <c r="AD39" s="3">
        <v>0</v>
      </c>
      <c r="AF39" s="37">
        <f t="shared" si="0"/>
        <v>0</v>
      </c>
    </row>
    <row r="41" spans="24:33" x14ac:dyDescent="0.3">
      <c r="X41" s="1" t="s">
        <v>134</v>
      </c>
      <c r="Y41" s="32">
        <f>SUM(Y37:Y39)</f>
        <v>1206.776061</v>
      </c>
      <c r="Z41" s="33">
        <f t="shared" ref="Z41:AD41" si="1">SUM(Z37:Z39)</f>
        <v>325.82432432432427</v>
      </c>
      <c r="AA41" s="33">
        <f t="shared" si="1"/>
        <v>0</v>
      </c>
      <c r="AB41" s="34">
        <f t="shared" si="1"/>
        <v>0</v>
      </c>
      <c r="AD41" s="7">
        <f t="shared" si="1"/>
        <v>255</v>
      </c>
      <c r="AF41" s="1">
        <f>SUM(AF37:AF39)</f>
        <v>1787.6003853243244</v>
      </c>
      <c r="AG41" s="1" t="s">
        <v>80</v>
      </c>
    </row>
    <row r="43" spans="24:33" x14ac:dyDescent="0.3">
      <c r="AF43" s="1">
        <v>950</v>
      </c>
    </row>
    <row r="44" spans="24:33" x14ac:dyDescent="0.3">
      <c r="X44" s="1" t="s">
        <v>135</v>
      </c>
    </row>
    <row r="45" spans="24:33" x14ac:dyDescent="0.3">
      <c r="X45" s="1" t="s">
        <v>80</v>
      </c>
      <c r="Y45" s="32">
        <f t="array" ref="Y45:AB45">MMULT(H13:K13,AE6:AE9*_xlfn.MUNIT(4))</f>
        <v>0</v>
      </c>
      <c r="Z45" s="33">
        <v>0</v>
      </c>
      <c r="AA45" s="33">
        <v>0</v>
      </c>
      <c r="AB45" s="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EEB8-122C-4AF1-9F40-2FE6CA1212E0}">
  <sheetPr>
    <tabColor theme="9" tint="0.59999389629810485"/>
  </sheetPr>
  <dimension ref="A1:AL47"/>
  <sheetViews>
    <sheetView workbookViewId="0"/>
  </sheetViews>
  <sheetFormatPr defaultColWidth="9.21875" defaultRowHeight="14.4" x14ac:dyDescent="0.3"/>
  <cols>
    <col min="1" max="1" width="14.21875" style="10" customWidth="1"/>
    <col min="2" max="2" width="16.77734375" style="10" customWidth="1"/>
    <col min="3" max="3" width="5.77734375" style="10" customWidth="1"/>
    <col min="4" max="45" width="7" style="10" customWidth="1"/>
    <col min="46" max="16384" width="9.21875" style="10"/>
  </cols>
  <sheetData>
    <row r="1" spans="1:38" x14ac:dyDescent="0.3">
      <c r="Q1" s="10" t="s">
        <v>136</v>
      </c>
    </row>
    <row r="2" spans="1:38" x14ac:dyDescent="0.3">
      <c r="E2" s="11" t="s">
        <v>137</v>
      </c>
      <c r="F2" s="11" t="s">
        <v>138</v>
      </c>
      <c r="G2" s="11" t="s">
        <v>138</v>
      </c>
      <c r="H2" s="11" t="s">
        <v>138</v>
      </c>
      <c r="I2" s="11" t="s">
        <v>137</v>
      </c>
      <c r="J2" s="11" t="s">
        <v>138</v>
      </c>
      <c r="K2" s="11" t="s">
        <v>138</v>
      </c>
      <c r="L2" s="11" t="s">
        <v>138</v>
      </c>
      <c r="Q2" s="11" t="s">
        <v>139</v>
      </c>
      <c r="R2" s="11" t="s">
        <v>140</v>
      </c>
      <c r="S2" s="11" t="s">
        <v>141</v>
      </c>
      <c r="T2" s="11" t="s">
        <v>142</v>
      </c>
      <c r="U2" s="11" t="s">
        <v>143</v>
      </c>
      <c r="W2" s="11" t="s">
        <v>139</v>
      </c>
      <c r="X2" s="11" t="s">
        <v>140</v>
      </c>
      <c r="Y2" s="11" t="s">
        <v>141</v>
      </c>
      <c r="Z2" s="11" t="s">
        <v>142</v>
      </c>
      <c r="AA2" s="11" t="s">
        <v>143</v>
      </c>
      <c r="AD2" s="11" t="s">
        <v>139</v>
      </c>
      <c r="AE2" s="11" t="s">
        <v>140</v>
      </c>
      <c r="AF2" s="11" t="s">
        <v>141</v>
      </c>
      <c r="AG2" s="11" t="s">
        <v>142</v>
      </c>
      <c r="AH2" s="11" t="s">
        <v>143</v>
      </c>
      <c r="AJ2" s="11" t="s">
        <v>80</v>
      </c>
      <c r="AL2" s="11" t="s">
        <v>13</v>
      </c>
    </row>
    <row r="3" spans="1:38" x14ac:dyDescent="0.3">
      <c r="D3" s="10" t="s">
        <v>2</v>
      </c>
      <c r="E3" s="11" t="s">
        <v>36</v>
      </c>
      <c r="F3" s="11" t="s">
        <v>5</v>
      </c>
      <c r="G3" s="11" t="s">
        <v>125</v>
      </c>
      <c r="H3" s="11" t="s">
        <v>144</v>
      </c>
      <c r="I3" s="11" t="s">
        <v>7</v>
      </c>
      <c r="J3" s="11" t="s">
        <v>8</v>
      </c>
      <c r="K3" s="11" t="s">
        <v>37</v>
      </c>
      <c r="L3" s="11" t="s">
        <v>38</v>
      </c>
      <c r="N3" s="11" t="s">
        <v>10</v>
      </c>
      <c r="Q3" s="10" t="s">
        <v>7</v>
      </c>
      <c r="W3" s="10" t="s">
        <v>10</v>
      </c>
      <c r="AD3" s="10" t="s">
        <v>145</v>
      </c>
    </row>
    <row r="4" spans="1:38" x14ac:dyDescent="0.3">
      <c r="A4" s="10" t="s">
        <v>14</v>
      </c>
      <c r="B4" s="10" t="s">
        <v>82</v>
      </c>
      <c r="C4" s="10" t="s">
        <v>137</v>
      </c>
      <c r="D4" s="10" t="s">
        <v>36</v>
      </c>
      <c r="E4" s="10">
        <v>0</v>
      </c>
      <c r="F4" s="10">
        <v>0</v>
      </c>
      <c r="G4" s="10">
        <v>0</v>
      </c>
      <c r="H4" s="10">
        <v>0</v>
      </c>
      <c r="I4" s="74">
        <v>0</v>
      </c>
      <c r="J4" s="74">
        <f>1/0.45</f>
        <v>2.2222222222222223</v>
      </c>
      <c r="K4" s="74">
        <v>0</v>
      </c>
      <c r="L4" s="74">
        <v>12</v>
      </c>
      <c r="N4" s="75">
        <v>0</v>
      </c>
      <c r="AJ4" s="10">
        <f t="array" ref="AJ4">MMULT($E$17:$L$17-$E$4:$L$4,TRANSPOSE($E33:$L33))-$N$4</f>
        <v>-1.4217959999999999E-11</v>
      </c>
      <c r="AL4" s="1">
        <f t="array" ref="AL4:AL10">MMULT(E17:L23,TRANSPOSE(E33:L33))</f>
        <v>100</v>
      </c>
    </row>
    <row r="5" spans="1:38" x14ac:dyDescent="0.3">
      <c r="B5" s="10" t="s">
        <v>17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10">
        <v>0</v>
      </c>
      <c r="I5" s="56">
        <v>0.05</v>
      </c>
      <c r="J5" s="56">
        <v>0</v>
      </c>
      <c r="K5" s="56">
        <v>4</v>
      </c>
      <c r="L5" s="56">
        <v>0</v>
      </c>
      <c r="N5" s="55">
        <v>0</v>
      </c>
      <c r="Q5" s="55">
        <f>1/5</f>
        <v>0.2</v>
      </c>
      <c r="R5" s="55">
        <f t="shared" ref="R5:U6" si="0">1/5</f>
        <v>0.2</v>
      </c>
      <c r="S5" s="55">
        <f t="shared" si="0"/>
        <v>0.2</v>
      </c>
      <c r="T5" s="55">
        <f t="shared" si="0"/>
        <v>0.2</v>
      </c>
      <c r="U5" s="55">
        <f t="shared" si="0"/>
        <v>0.2</v>
      </c>
      <c r="W5" s="55">
        <v>0.05</v>
      </c>
      <c r="X5" s="55">
        <v>0.35</v>
      </c>
      <c r="Y5" s="55">
        <v>0.1</v>
      </c>
      <c r="Z5" s="55">
        <v>0.4</v>
      </c>
      <c r="AA5" s="55">
        <v>0.1</v>
      </c>
      <c r="AD5" s="10">
        <f t="array" ref="AD5:AD6">MMULT($F$18:$H$19,TRANSPOSE($F$27:$H$27))-$I$5:$I$6*$Q$5:$Q$6*$I$33-MMULT($J$5:$L$6,TRANSPOSE($J$27:$L$27))-$N$5:$N$6*$W$5:$W$6</f>
        <v>-2.2204460492503131E-16</v>
      </c>
      <c r="AE5" s="10">
        <f t="array" ref="AE5:AE6">MMULT($F$18:$H$19,TRANSPOSE($F$28:$H$28))-$I$5:$I$6*$R$5:$R$6*$I$33-MMULT($J$5:$L$6,TRANSPOSE($J$28:$L$28))-$N$5:$N$6*$X$5:$X$6</f>
        <v>0</v>
      </c>
      <c r="AF5" s="10">
        <f t="array" ref="AF5:AF6">MMULT($F$18:$H$19,TRANSPOSE($F$29:$H$29))-$I$5:$I$6*$S$5:$S$6*$I$33-MMULT($J$5:$L$6,TRANSPOSE($J$29:$L$29))-$N$5:$N$6*$Y$5:$Y$6</f>
        <v>0</v>
      </c>
      <c r="AG5" s="10">
        <f t="array" ref="AG5:AG6">MMULT($F$18:$H$19,TRANSPOSE($F$30:$H$30))-$I$5:$I$6*$T$5:$T$6*$I$33-MMULT($J$5:$L$6,TRANSPOSE($J$30:$L$30))-$N$5:$N$6*$Z$5:$Z$6</f>
        <v>0</v>
      </c>
      <c r="AH5" s="10">
        <f t="array" ref="AH5:AH6">MMULT($F$18:$H$19,TRANSPOSE($F$31:$H$31))-$I$5:$I$6*$U$5:$U$6*$I$33-MMULT($J$5:$L$6,TRANSPOSE($J$31:$L$31))-$N$5:$N$6*$AA$5:$AA$6</f>
        <v>0</v>
      </c>
      <c r="AL5" s="1">
        <v>45</v>
      </c>
    </row>
    <row r="6" spans="1:38" x14ac:dyDescent="0.3">
      <c r="B6" s="10" t="s">
        <v>146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10">
        <v>0</v>
      </c>
      <c r="I6" s="56">
        <v>0</v>
      </c>
      <c r="J6" s="56">
        <v>0</v>
      </c>
      <c r="K6" s="56">
        <v>0</v>
      </c>
      <c r="L6" s="56">
        <v>0</v>
      </c>
      <c r="N6" s="55">
        <v>10</v>
      </c>
      <c r="Q6" s="55">
        <f>1/5</f>
        <v>0.2</v>
      </c>
      <c r="R6" s="55">
        <f t="shared" si="0"/>
        <v>0.2</v>
      </c>
      <c r="S6" s="55">
        <f t="shared" si="0"/>
        <v>0.2</v>
      </c>
      <c r="T6" s="55">
        <f t="shared" si="0"/>
        <v>0.2</v>
      </c>
      <c r="U6" s="55">
        <f t="shared" si="0"/>
        <v>0.2</v>
      </c>
      <c r="W6" s="55">
        <v>0</v>
      </c>
      <c r="X6" s="55">
        <v>0.1</v>
      </c>
      <c r="Y6" s="55">
        <v>0.2</v>
      </c>
      <c r="Z6" s="55">
        <v>0.4</v>
      </c>
      <c r="AA6" s="55">
        <v>0.3</v>
      </c>
      <c r="AD6" s="10">
        <v>0</v>
      </c>
      <c r="AE6" s="10">
        <v>0</v>
      </c>
      <c r="AF6" s="10">
        <v>0</v>
      </c>
      <c r="AG6" s="10">
        <v>0</v>
      </c>
      <c r="AH6" s="10">
        <v>1.1848300118799671E-12</v>
      </c>
      <c r="AL6" s="1">
        <v>10.000000000001185</v>
      </c>
    </row>
    <row r="7" spans="1:38" x14ac:dyDescent="0.3">
      <c r="A7" s="10" t="s">
        <v>19</v>
      </c>
      <c r="B7" s="10" t="s">
        <v>147</v>
      </c>
      <c r="C7" s="10" t="s">
        <v>137</v>
      </c>
      <c r="D7" s="10" t="s">
        <v>7</v>
      </c>
      <c r="E7" s="74">
        <v>1</v>
      </c>
      <c r="F7" s="74">
        <v>0</v>
      </c>
      <c r="G7" s="74">
        <v>0</v>
      </c>
      <c r="H7" s="74">
        <v>0</v>
      </c>
      <c r="I7" s="10">
        <v>0</v>
      </c>
      <c r="J7" s="10">
        <v>0</v>
      </c>
      <c r="K7" s="10">
        <v>0</v>
      </c>
      <c r="L7" s="10">
        <v>0</v>
      </c>
      <c r="N7" s="12">
        <v>0</v>
      </c>
      <c r="AJ7" s="10">
        <f t="array" ref="AJ7">MMULT($E$20:$L$20-$E$7:$L$7,TRANSPOSE($E33:$L33))</f>
        <v>0</v>
      </c>
      <c r="AL7" s="1">
        <v>100</v>
      </c>
    </row>
    <row r="8" spans="1:38" x14ac:dyDescent="0.3">
      <c r="B8" s="10" t="s">
        <v>21</v>
      </c>
      <c r="C8" s="10" t="s">
        <v>138</v>
      </c>
      <c r="D8" s="10" t="s">
        <v>8</v>
      </c>
      <c r="E8" s="56">
        <v>0</v>
      </c>
      <c r="F8" s="56">
        <v>1</v>
      </c>
      <c r="G8" s="56">
        <v>0</v>
      </c>
      <c r="H8" s="56">
        <v>0</v>
      </c>
      <c r="I8" s="10">
        <v>0</v>
      </c>
      <c r="J8" s="10">
        <v>0</v>
      </c>
      <c r="K8" s="10">
        <v>0</v>
      </c>
      <c r="L8" s="10">
        <v>0</v>
      </c>
      <c r="N8" s="12">
        <v>0</v>
      </c>
      <c r="AD8" s="10">
        <f t="array" ref="AD8:AD10">MMULT($F$8:$H$10,TRANSPOSE($F$27:$H$27))-MMULT($J$21:$L$23,TRANSPOSE($J$27:$L$27))</f>
        <v>0</v>
      </c>
      <c r="AE8" s="10">
        <f t="array" ref="AE8:AE10">MMULT($F$8:$H$10,TRANSPOSE($F$28:$H$28))-MMULT($J$21:$L$23,TRANSPOSE($J$28:$L$28))</f>
        <v>0</v>
      </c>
      <c r="AF8" s="10">
        <f t="array" ref="AF8:AF10">MMULT($F$8:$H$10,TRANSPOSE($F$29:$H$29))-MMULT($J$21:$L$23,TRANSPOSE($J$29:$L$29))</f>
        <v>0</v>
      </c>
      <c r="AG8" s="10">
        <f t="array" ref="AG8:AG10">MMULT($F$8:$H$10,TRANSPOSE($F$30:$H$30))-MMULT($J$21:$L$23,TRANSPOSE($J$30:$L$30))</f>
        <v>0</v>
      </c>
      <c r="AH8" s="10">
        <f t="array" ref="AH8:AH10">MMULT($F$8:$H$10,TRANSPOSE($F$31:$H$31))-MMULT($J$21:$L$23,TRANSPOSE($J$31:$L$31))</f>
        <v>0</v>
      </c>
      <c r="AL8" s="1">
        <v>45</v>
      </c>
    </row>
    <row r="9" spans="1:38" x14ac:dyDescent="0.3">
      <c r="B9" s="10" t="s">
        <v>148</v>
      </c>
      <c r="C9" s="10" t="s">
        <v>138</v>
      </c>
      <c r="D9" s="10" t="s">
        <v>37</v>
      </c>
      <c r="E9" s="56">
        <v>0</v>
      </c>
      <c r="F9" s="56">
        <v>0</v>
      </c>
      <c r="G9" s="56">
        <v>1</v>
      </c>
      <c r="H9" s="56">
        <v>0</v>
      </c>
      <c r="I9" s="10">
        <v>0</v>
      </c>
      <c r="J9" s="10">
        <v>0</v>
      </c>
      <c r="K9" s="10">
        <v>0</v>
      </c>
      <c r="L9" s="10">
        <v>0</v>
      </c>
      <c r="N9" s="12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L9" s="1">
        <v>10</v>
      </c>
    </row>
    <row r="10" spans="1:38" x14ac:dyDescent="0.3">
      <c r="B10" s="10" t="s">
        <v>149</v>
      </c>
      <c r="C10" s="10" t="s">
        <v>138</v>
      </c>
      <c r="D10" s="10" t="s">
        <v>38</v>
      </c>
      <c r="E10" s="56">
        <v>0</v>
      </c>
      <c r="F10" s="56">
        <v>0</v>
      </c>
      <c r="G10" s="56">
        <v>0</v>
      </c>
      <c r="H10" s="56">
        <v>1</v>
      </c>
      <c r="I10" s="10">
        <v>0</v>
      </c>
      <c r="J10" s="10">
        <v>0</v>
      </c>
      <c r="K10" s="10">
        <v>0</v>
      </c>
      <c r="L10" s="10">
        <v>0</v>
      </c>
      <c r="N10" s="12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L10" s="1">
        <v>1.1848299999999999E-12</v>
      </c>
    </row>
    <row r="12" spans="1:38" x14ac:dyDescent="0.3">
      <c r="A12" s="10" t="s">
        <v>14</v>
      </c>
      <c r="B12" s="10" t="s">
        <v>44</v>
      </c>
      <c r="D12" s="10" t="s">
        <v>45</v>
      </c>
      <c r="E12" s="10">
        <v>0</v>
      </c>
      <c r="F12" s="10">
        <v>0</v>
      </c>
      <c r="G12" s="10">
        <v>0</v>
      </c>
      <c r="H12" s="10">
        <v>0</v>
      </c>
      <c r="I12" s="9">
        <v>0</v>
      </c>
      <c r="J12" s="9">
        <f>1.2*J4</f>
        <v>2.6666666666666665</v>
      </c>
      <c r="K12" s="9">
        <v>0</v>
      </c>
      <c r="L12" s="9">
        <f>1.2*L4</f>
        <v>14.399999999999999</v>
      </c>
    </row>
    <row r="13" spans="1:38" x14ac:dyDescent="0.3">
      <c r="B13" s="10" t="s">
        <v>24</v>
      </c>
      <c r="D13" s="10" t="s">
        <v>46</v>
      </c>
      <c r="E13" s="10">
        <v>0</v>
      </c>
      <c r="F13" s="10">
        <v>0</v>
      </c>
      <c r="G13" s="10">
        <v>0</v>
      </c>
      <c r="H13" s="10">
        <v>0</v>
      </c>
      <c r="I13" s="9">
        <v>0.4</v>
      </c>
      <c r="J13" s="9">
        <v>0.7</v>
      </c>
      <c r="K13" s="9">
        <v>0</v>
      </c>
      <c r="L13" s="9">
        <v>0</v>
      </c>
    </row>
    <row r="16" spans="1:38" x14ac:dyDescent="0.3">
      <c r="D16" s="10" t="s">
        <v>49</v>
      </c>
      <c r="E16" s="11" t="s">
        <v>36</v>
      </c>
      <c r="F16" s="11" t="s">
        <v>5</v>
      </c>
      <c r="G16" s="11" t="s">
        <v>125</v>
      </c>
      <c r="H16" s="11" t="s">
        <v>144</v>
      </c>
      <c r="I16" s="11" t="s">
        <v>7</v>
      </c>
      <c r="J16" s="11" t="s">
        <v>8</v>
      </c>
      <c r="K16" s="11" t="s">
        <v>37</v>
      </c>
      <c r="L16" s="11" t="s">
        <v>38</v>
      </c>
    </row>
    <row r="17" spans="1:16" x14ac:dyDescent="0.3">
      <c r="D17" s="10" t="s">
        <v>36</v>
      </c>
      <c r="E17" s="10">
        <v>1</v>
      </c>
      <c r="F17" s="10">
        <v>0</v>
      </c>
      <c r="G17" s="10">
        <v>0</v>
      </c>
      <c r="H17" s="10">
        <v>0</v>
      </c>
      <c r="I17" s="9">
        <v>0</v>
      </c>
      <c r="J17" s="9">
        <v>0</v>
      </c>
      <c r="K17" s="9">
        <v>0</v>
      </c>
      <c r="L17" s="9">
        <v>0</v>
      </c>
    </row>
    <row r="18" spans="1:16" x14ac:dyDescent="0.3">
      <c r="D18" s="10" t="s">
        <v>5</v>
      </c>
      <c r="E18" s="10">
        <v>0</v>
      </c>
      <c r="F18" s="10">
        <v>1</v>
      </c>
      <c r="G18" s="10">
        <v>0</v>
      </c>
      <c r="H18" s="10">
        <v>0</v>
      </c>
      <c r="I18" s="9">
        <v>0</v>
      </c>
      <c r="J18" s="9">
        <v>0</v>
      </c>
      <c r="K18" s="9">
        <v>0</v>
      </c>
      <c r="L18" s="9">
        <v>0</v>
      </c>
    </row>
    <row r="19" spans="1:16" x14ac:dyDescent="0.3">
      <c r="D19" s="10" t="s">
        <v>6</v>
      </c>
      <c r="E19" s="10">
        <v>0</v>
      </c>
      <c r="F19" s="10">
        <v>0</v>
      </c>
      <c r="G19" s="10">
        <v>1</v>
      </c>
      <c r="H19" s="10">
        <v>1</v>
      </c>
      <c r="I19" s="9">
        <v>0</v>
      </c>
      <c r="J19" s="9">
        <v>0</v>
      </c>
      <c r="K19" s="9">
        <v>0</v>
      </c>
      <c r="L19" s="9">
        <v>0</v>
      </c>
    </row>
    <row r="20" spans="1:16" x14ac:dyDescent="0.3">
      <c r="D20" s="10" t="s">
        <v>7</v>
      </c>
      <c r="E20" s="9">
        <v>0</v>
      </c>
      <c r="F20" s="9">
        <v>0</v>
      </c>
      <c r="G20" s="9">
        <v>0</v>
      </c>
      <c r="H20" s="9">
        <v>0</v>
      </c>
      <c r="I20" s="10">
        <v>1</v>
      </c>
      <c r="J20" s="10">
        <v>0</v>
      </c>
      <c r="K20" s="10">
        <v>0</v>
      </c>
      <c r="L20" s="10">
        <v>0</v>
      </c>
    </row>
    <row r="21" spans="1:16" x14ac:dyDescent="0.3">
      <c r="D21" s="10" t="s">
        <v>8</v>
      </c>
      <c r="E21" s="9">
        <v>0</v>
      </c>
      <c r="F21" s="9">
        <v>0</v>
      </c>
      <c r="G21" s="9">
        <v>0</v>
      </c>
      <c r="H21" s="9">
        <v>0</v>
      </c>
      <c r="I21" s="10">
        <v>0</v>
      </c>
      <c r="J21" s="10">
        <v>1</v>
      </c>
      <c r="K21" s="10">
        <v>0</v>
      </c>
      <c r="L21" s="10">
        <v>0</v>
      </c>
    </row>
    <row r="22" spans="1:16" x14ac:dyDescent="0.3">
      <c r="D22" s="10" t="s">
        <v>37</v>
      </c>
      <c r="E22" s="9">
        <v>0</v>
      </c>
      <c r="F22" s="9">
        <v>0</v>
      </c>
      <c r="G22" s="9">
        <v>0</v>
      </c>
      <c r="H22" s="9">
        <v>0</v>
      </c>
      <c r="I22" s="10">
        <v>0</v>
      </c>
      <c r="J22" s="10">
        <v>0</v>
      </c>
      <c r="K22" s="10">
        <v>1</v>
      </c>
      <c r="L22" s="10">
        <v>0</v>
      </c>
    </row>
    <row r="23" spans="1:16" x14ac:dyDescent="0.3">
      <c r="D23" s="10" t="s">
        <v>38</v>
      </c>
      <c r="E23" s="9">
        <v>0</v>
      </c>
      <c r="F23" s="9">
        <v>0</v>
      </c>
      <c r="G23" s="9">
        <v>0</v>
      </c>
      <c r="H23" s="9">
        <v>0</v>
      </c>
      <c r="I23" s="10">
        <v>0</v>
      </c>
      <c r="J23" s="10">
        <v>0</v>
      </c>
      <c r="K23" s="10">
        <v>0</v>
      </c>
      <c r="L23" s="10">
        <v>1</v>
      </c>
    </row>
    <row r="26" spans="1:16" x14ac:dyDescent="0.3">
      <c r="E26" s="11" t="s">
        <v>36</v>
      </c>
      <c r="F26" s="11" t="s">
        <v>5</v>
      </c>
      <c r="G26" s="11" t="s">
        <v>125</v>
      </c>
      <c r="H26" s="11" t="s">
        <v>144</v>
      </c>
      <c r="I26" s="11" t="s">
        <v>7</v>
      </c>
      <c r="J26" s="11" t="s">
        <v>8</v>
      </c>
      <c r="K26" s="11" t="s">
        <v>37</v>
      </c>
      <c r="L26" s="11" t="s">
        <v>38</v>
      </c>
      <c r="N26" s="11" t="s">
        <v>45</v>
      </c>
      <c r="O26" s="11" t="s">
        <v>46</v>
      </c>
      <c r="P26" s="11"/>
    </row>
    <row r="27" spans="1:16" x14ac:dyDescent="0.3">
      <c r="A27" s="10" t="s">
        <v>25</v>
      </c>
      <c r="B27" s="10" t="s">
        <v>26</v>
      </c>
      <c r="D27" s="76" t="s">
        <v>139</v>
      </c>
      <c r="E27" s="12"/>
      <c r="F27" s="12">
        <v>1</v>
      </c>
      <c r="G27" s="12">
        <v>0</v>
      </c>
      <c r="H27" s="12">
        <v>0</v>
      </c>
      <c r="I27" s="12"/>
      <c r="J27" s="12">
        <v>1</v>
      </c>
      <c r="K27" s="12">
        <v>0</v>
      </c>
      <c r="L27" s="12">
        <v>0</v>
      </c>
    </row>
    <row r="28" spans="1:16" x14ac:dyDescent="0.3">
      <c r="D28" s="76" t="s">
        <v>140</v>
      </c>
      <c r="E28" s="12"/>
      <c r="F28" s="12">
        <v>5</v>
      </c>
      <c r="G28" s="12">
        <v>1</v>
      </c>
      <c r="H28" s="12">
        <v>0</v>
      </c>
      <c r="I28" s="12"/>
      <c r="J28" s="12">
        <v>5</v>
      </c>
      <c r="K28" s="12">
        <v>1</v>
      </c>
      <c r="L28" s="12">
        <v>0</v>
      </c>
    </row>
    <row r="29" spans="1:16" x14ac:dyDescent="0.3">
      <c r="D29" s="76" t="s">
        <v>141</v>
      </c>
      <c r="E29" s="12"/>
      <c r="F29" s="12">
        <v>9</v>
      </c>
      <c r="G29" s="12">
        <v>2</v>
      </c>
      <c r="H29" s="12">
        <v>0</v>
      </c>
      <c r="I29" s="12"/>
      <c r="J29" s="12">
        <v>9</v>
      </c>
      <c r="K29" s="12">
        <v>2</v>
      </c>
      <c r="L29" s="12">
        <v>0</v>
      </c>
    </row>
    <row r="30" spans="1:16" x14ac:dyDescent="0.3">
      <c r="D30" s="76" t="s">
        <v>142</v>
      </c>
      <c r="E30" s="12"/>
      <c r="F30" s="12">
        <v>17</v>
      </c>
      <c r="G30" s="12">
        <v>4</v>
      </c>
      <c r="H30" s="12">
        <v>0</v>
      </c>
      <c r="I30" s="12"/>
      <c r="J30" s="12">
        <v>17</v>
      </c>
      <c r="K30" s="12">
        <v>4</v>
      </c>
      <c r="L30" s="12">
        <v>0</v>
      </c>
    </row>
    <row r="31" spans="1:16" x14ac:dyDescent="0.3">
      <c r="D31" s="76" t="s">
        <v>143</v>
      </c>
      <c r="E31" s="12"/>
      <c r="F31" s="12">
        <v>13</v>
      </c>
      <c r="G31" s="12">
        <v>3</v>
      </c>
      <c r="H31" s="12">
        <v>1.1848299999999999E-12</v>
      </c>
      <c r="I31" s="12"/>
      <c r="J31" s="12">
        <v>13</v>
      </c>
      <c r="K31" s="12">
        <v>3</v>
      </c>
      <c r="L31" s="12">
        <v>1.1848299999999999E-12</v>
      </c>
    </row>
    <row r="33" spans="1:18" x14ac:dyDescent="0.3">
      <c r="D33" s="10" t="s">
        <v>80</v>
      </c>
      <c r="E33" s="12">
        <v>100</v>
      </c>
      <c r="F33" s="10">
        <f t="shared" ref="F33:L33" si="1">SUM(F27:F31)</f>
        <v>45</v>
      </c>
      <c r="G33" s="10">
        <f t="shared" si="1"/>
        <v>10</v>
      </c>
      <c r="H33" s="10">
        <f t="shared" si="1"/>
        <v>1.1848299999999999E-12</v>
      </c>
      <c r="I33" s="12">
        <v>100</v>
      </c>
      <c r="J33" s="10">
        <f t="shared" si="1"/>
        <v>45</v>
      </c>
      <c r="K33" s="10">
        <f t="shared" si="1"/>
        <v>10</v>
      </c>
      <c r="L33" s="10">
        <f t="shared" si="1"/>
        <v>1.1848299999999999E-12</v>
      </c>
      <c r="N33" s="10">
        <f t="array" ref="N33">MMULT($E$12:$L$12,TRANSPOSE(E33:L33))</f>
        <v>120.00000000001707</v>
      </c>
      <c r="O33" s="10">
        <f t="array" ref="O33">MMULT($E$13:$L$13,TRANSPOSE(E33:L33))</f>
        <v>71.5</v>
      </c>
    </row>
    <row r="34" spans="1:18" x14ac:dyDescent="0.3">
      <c r="N34" s="12">
        <v>120</v>
      </c>
    </row>
    <row r="35" spans="1:18" x14ac:dyDescent="0.3">
      <c r="D35" s="76"/>
    </row>
    <row r="36" spans="1:18" x14ac:dyDescent="0.3">
      <c r="D36" s="76"/>
    </row>
    <row r="37" spans="1:18" x14ac:dyDescent="0.3">
      <c r="E37" s="1"/>
    </row>
    <row r="38" spans="1:18" x14ac:dyDescent="0.3">
      <c r="A38" s="10" t="s">
        <v>150</v>
      </c>
      <c r="D38" s="77" t="s">
        <v>80</v>
      </c>
    </row>
    <row r="39" spans="1:18" x14ac:dyDescent="0.3">
      <c r="E39" s="11" t="s">
        <v>137</v>
      </c>
      <c r="F39" s="11" t="s">
        <v>138</v>
      </c>
      <c r="G39" s="11" t="s">
        <v>138</v>
      </c>
      <c r="H39" s="11" t="s">
        <v>138</v>
      </c>
      <c r="I39" s="11" t="s">
        <v>137</v>
      </c>
      <c r="J39" s="11" t="s">
        <v>138</v>
      </c>
      <c r="K39" s="11" t="s">
        <v>138</v>
      </c>
      <c r="L39" s="11" t="s">
        <v>138</v>
      </c>
    </row>
    <row r="40" spans="1:18" x14ac:dyDescent="0.3">
      <c r="D40" s="10" t="s">
        <v>12</v>
      </c>
      <c r="E40" s="11" t="s">
        <v>36</v>
      </c>
      <c r="F40" s="11" t="s">
        <v>5</v>
      </c>
      <c r="G40" s="11" t="s">
        <v>125</v>
      </c>
      <c r="H40" s="11" t="s">
        <v>144</v>
      </c>
      <c r="I40" s="11" t="s">
        <v>7</v>
      </c>
      <c r="J40" s="11" t="s">
        <v>8</v>
      </c>
      <c r="K40" s="11" t="s">
        <v>37</v>
      </c>
      <c r="L40" s="11" t="s">
        <v>38</v>
      </c>
      <c r="N40" s="11" t="s">
        <v>10</v>
      </c>
      <c r="P40" s="10" t="s">
        <v>11</v>
      </c>
      <c r="R40" s="10" t="s">
        <v>13</v>
      </c>
    </row>
    <row r="41" spans="1:18" x14ac:dyDescent="0.3">
      <c r="A41" s="10" t="s">
        <v>14</v>
      </c>
      <c r="B41" s="10" t="s">
        <v>82</v>
      </c>
      <c r="C41" s="10" t="s">
        <v>137</v>
      </c>
      <c r="D41" s="10" t="s">
        <v>36</v>
      </c>
      <c r="E41" s="27">
        <f t="array" ref="E41:L47">MMULT(E4:L10,E33:L33*_xlfn.MUNIT(8))</f>
        <v>0</v>
      </c>
      <c r="F41" s="27">
        <v>0</v>
      </c>
      <c r="G41" s="27">
        <v>0</v>
      </c>
      <c r="H41" s="27">
        <v>0</v>
      </c>
      <c r="I41" s="78">
        <v>0</v>
      </c>
      <c r="J41" s="78">
        <v>100</v>
      </c>
      <c r="K41" s="78">
        <v>0</v>
      </c>
      <c r="L41" s="78">
        <v>1.4217959999999999E-11</v>
      </c>
      <c r="N41" s="78">
        <f t="array" ref="N41:N47">N4:N10</f>
        <v>0</v>
      </c>
      <c r="P41" s="78">
        <f t="array" ref="P41:P47">MMULT(E17:L23-E4:L10,TRANSPOSE(E33:L33))</f>
        <v>-1.4217959999999999E-11</v>
      </c>
      <c r="R41" s="78">
        <f t="array" ref="R41:R47">MMULT(E17:L23,TRANSPOSE(E33:L33))</f>
        <v>100</v>
      </c>
    </row>
    <row r="42" spans="1:18" x14ac:dyDescent="0.3">
      <c r="B42" s="10" t="s">
        <v>17</v>
      </c>
      <c r="C42" s="10" t="s">
        <v>138</v>
      </c>
      <c r="D42" s="10" t="s">
        <v>5</v>
      </c>
      <c r="E42" s="27">
        <v>0</v>
      </c>
      <c r="F42" s="27">
        <v>0</v>
      </c>
      <c r="G42" s="27">
        <v>0</v>
      </c>
      <c r="H42" s="27">
        <v>0</v>
      </c>
      <c r="I42" s="73">
        <v>5</v>
      </c>
      <c r="J42" s="73">
        <v>0</v>
      </c>
      <c r="K42" s="73">
        <v>40</v>
      </c>
      <c r="L42" s="73">
        <v>0</v>
      </c>
      <c r="N42" s="73">
        <v>0</v>
      </c>
      <c r="P42" s="73">
        <v>0</v>
      </c>
      <c r="R42" s="73">
        <v>45</v>
      </c>
    </row>
    <row r="43" spans="1:18" x14ac:dyDescent="0.3">
      <c r="B43" s="10" t="s">
        <v>146</v>
      </c>
      <c r="C43" s="10" t="s">
        <v>138</v>
      </c>
      <c r="D43" s="10" t="s">
        <v>6</v>
      </c>
      <c r="E43" s="27">
        <v>0</v>
      </c>
      <c r="F43" s="27">
        <v>0</v>
      </c>
      <c r="G43" s="27">
        <v>0</v>
      </c>
      <c r="H43" s="27">
        <v>0</v>
      </c>
      <c r="I43" s="73">
        <v>0</v>
      </c>
      <c r="J43" s="73">
        <v>0</v>
      </c>
      <c r="K43" s="73">
        <v>0</v>
      </c>
      <c r="L43" s="73">
        <v>0</v>
      </c>
      <c r="N43" s="73">
        <v>10</v>
      </c>
      <c r="P43" s="73">
        <v>10.000000000001185</v>
      </c>
      <c r="R43" s="73">
        <v>10.000000000001185</v>
      </c>
    </row>
    <row r="44" spans="1:18" x14ac:dyDescent="0.3">
      <c r="A44" s="10" t="s">
        <v>19</v>
      </c>
      <c r="B44" s="10" t="s">
        <v>147</v>
      </c>
      <c r="C44" s="10" t="s">
        <v>137</v>
      </c>
      <c r="D44" s="10" t="s">
        <v>7</v>
      </c>
      <c r="E44" s="78">
        <v>100</v>
      </c>
      <c r="F44" s="78">
        <v>0</v>
      </c>
      <c r="G44" s="78">
        <v>0</v>
      </c>
      <c r="H44" s="78">
        <v>0</v>
      </c>
      <c r="I44" s="27">
        <v>0</v>
      </c>
      <c r="J44" s="27">
        <v>0</v>
      </c>
      <c r="K44" s="27">
        <v>0</v>
      </c>
      <c r="L44" s="27">
        <v>0</v>
      </c>
      <c r="N44" s="27">
        <v>0</v>
      </c>
      <c r="P44" s="27">
        <v>0</v>
      </c>
      <c r="R44" s="27">
        <v>100</v>
      </c>
    </row>
    <row r="45" spans="1:18" x14ac:dyDescent="0.3">
      <c r="B45" s="10" t="s">
        <v>21</v>
      </c>
      <c r="C45" s="10" t="s">
        <v>138</v>
      </c>
      <c r="D45" s="10" t="s">
        <v>8</v>
      </c>
      <c r="E45" s="73">
        <v>0</v>
      </c>
      <c r="F45" s="73">
        <v>45</v>
      </c>
      <c r="G45" s="73">
        <v>0</v>
      </c>
      <c r="H45" s="73">
        <v>0</v>
      </c>
      <c r="I45" s="27">
        <v>0</v>
      </c>
      <c r="J45" s="27">
        <v>0</v>
      </c>
      <c r="K45" s="27">
        <v>0</v>
      </c>
      <c r="L45" s="27">
        <v>0</v>
      </c>
      <c r="N45" s="27">
        <v>0</v>
      </c>
      <c r="P45" s="27">
        <v>0</v>
      </c>
      <c r="R45" s="27">
        <v>45</v>
      </c>
    </row>
    <row r="46" spans="1:18" x14ac:dyDescent="0.3">
      <c r="B46" s="10" t="s">
        <v>148</v>
      </c>
      <c r="C46" s="10" t="s">
        <v>138</v>
      </c>
      <c r="D46" s="10" t="s">
        <v>37</v>
      </c>
      <c r="E46" s="73">
        <v>0</v>
      </c>
      <c r="F46" s="73">
        <v>0</v>
      </c>
      <c r="G46" s="73">
        <v>10</v>
      </c>
      <c r="H46" s="73">
        <v>0</v>
      </c>
      <c r="I46" s="27">
        <v>0</v>
      </c>
      <c r="J46" s="27">
        <v>0</v>
      </c>
      <c r="K46" s="27">
        <v>0</v>
      </c>
      <c r="L46" s="27">
        <v>0</v>
      </c>
      <c r="N46" s="27">
        <v>0</v>
      </c>
      <c r="P46" s="27">
        <v>0</v>
      </c>
      <c r="R46" s="27">
        <v>10</v>
      </c>
    </row>
    <row r="47" spans="1:18" x14ac:dyDescent="0.3">
      <c r="B47" s="10" t="s">
        <v>149</v>
      </c>
      <c r="C47" s="10" t="s">
        <v>138</v>
      </c>
      <c r="D47" s="10" t="s">
        <v>38</v>
      </c>
      <c r="E47" s="73">
        <v>0</v>
      </c>
      <c r="F47" s="73">
        <v>0</v>
      </c>
      <c r="G47" s="73">
        <v>0</v>
      </c>
      <c r="H47" s="73">
        <v>1.1848299999999999E-12</v>
      </c>
      <c r="I47" s="27">
        <v>0</v>
      </c>
      <c r="J47" s="27">
        <v>0</v>
      </c>
      <c r="K47" s="27">
        <v>0</v>
      </c>
      <c r="L47" s="27">
        <v>0</v>
      </c>
      <c r="N47" s="27">
        <v>0</v>
      </c>
      <c r="P47" s="27">
        <v>0</v>
      </c>
      <c r="R47" s="27">
        <v>1.1848299999999999E-12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301B-5E0F-406F-A994-22A2CA4C8BB6}">
  <sheetPr>
    <tabColor theme="7" tint="0.59999389629810485"/>
  </sheetPr>
  <dimension ref="A1:X35"/>
  <sheetViews>
    <sheetView showGridLines="0" zoomScale="115" zoomScaleNormal="115" workbookViewId="0">
      <selection activeCell="S13" sqref="S13"/>
    </sheetView>
  </sheetViews>
  <sheetFormatPr defaultColWidth="9.21875" defaultRowHeight="14.4" x14ac:dyDescent="0.3"/>
  <cols>
    <col min="1" max="2" width="9.21875" style="10"/>
    <col min="3" max="3" width="13.44140625" style="10" customWidth="1"/>
    <col min="4" max="4" width="9.21875" style="10"/>
    <col min="5" max="31" width="6" style="10" customWidth="1"/>
    <col min="32" max="16384" width="9.21875" style="10"/>
  </cols>
  <sheetData>
    <row r="1" spans="1:12" x14ac:dyDescent="0.3">
      <c r="E1" s="10" t="s">
        <v>94</v>
      </c>
      <c r="G1" s="10" t="s">
        <v>95</v>
      </c>
      <c r="I1" s="10" t="s">
        <v>94</v>
      </c>
      <c r="K1" s="10" t="s">
        <v>95</v>
      </c>
    </row>
    <row r="2" spans="1:12" x14ac:dyDescent="0.3">
      <c r="D2" s="10" t="s">
        <v>2</v>
      </c>
      <c r="E2" s="11" t="s">
        <v>36</v>
      </c>
      <c r="F2" s="11" t="s">
        <v>5</v>
      </c>
      <c r="G2" s="11" t="s">
        <v>36</v>
      </c>
      <c r="H2" s="11" t="s">
        <v>5</v>
      </c>
      <c r="I2" s="11" t="s">
        <v>7</v>
      </c>
      <c r="J2" s="11" t="s">
        <v>8</v>
      </c>
      <c r="K2" s="11" t="s">
        <v>7</v>
      </c>
      <c r="L2" s="11" t="s">
        <v>8</v>
      </c>
    </row>
    <row r="3" spans="1:12" x14ac:dyDescent="0.3">
      <c r="A3" s="10" t="s">
        <v>14</v>
      </c>
      <c r="B3" s="10" t="s">
        <v>94</v>
      </c>
      <c r="C3" s="10" t="s">
        <v>81</v>
      </c>
      <c r="D3" s="10" t="s">
        <v>36</v>
      </c>
      <c r="E3" s="10">
        <v>0</v>
      </c>
      <c r="F3" s="10">
        <v>0</v>
      </c>
      <c r="G3" s="10">
        <v>0</v>
      </c>
      <c r="H3" s="10">
        <v>0</v>
      </c>
      <c r="I3" s="9">
        <v>0</v>
      </c>
      <c r="J3" s="9">
        <v>0</v>
      </c>
      <c r="K3" s="10">
        <v>0</v>
      </c>
      <c r="L3" s="10">
        <v>0</v>
      </c>
    </row>
    <row r="4" spans="1:12" x14ac:dyDescent="0.3">
      <c r="C4" s="10" t="s">
        <v>109</v>
      </c>
      <c r="D4" s="10" t="s">
        <v>5</v>
      </c>
      <c r="E4" s="10">
        <v>0</v>
      </c>
      <c r="F4" s="10">
        <v>0</v>
      </c>
      <c r="G4" s="10">
        <v>0</v>
      </c>
      <c r="H4" s="10">
        <v>0</v>
      </c>
      <c r="I4" s="9">
        <v>0</v>
      </c>
      <c r="J4" s="9">
        <v>0</v>
      </c>
      <c r="K4" s="10">
        <v>0</v>
      </c>
      <c r="L4" s="10">
        <v>0</v>
      </c>
    </row>
    <row r="5" spans="1:12" x14ac:dyDescent="0.3">
      <c r="B5" s="10" t="s">
        <v>95</v>
      </c>
      <c r="C5" s="10" t="s">
        <v>81</v>
      </c>
      <c r="D5" s="10" t="s">
        <v>36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9">
        <v>0</v>
      </c>
      <c r="L5" s="9">
        <v>0</v>
      </c>
    </row>
    <row r="6" spans="1:12" x14ac:dyDescent="0.3">
      <c r="C6" s="10" t="s">
        <v>109</v>
      </c>
      <c r="D6" s="10" t="s">
        <v>5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9">
        <v>0</v>
      </c>
      <c r="L6" s="9">
        <v>0</v>
      </c>
    </row>
    <row r="7" spans="1:12" x14ac:dyDescent="0.3">
      <c r="A7" s="10" t="s">
        <v>98</v>
      </c>
      <c r="B7" s="10" t="s">
        <v>94</v>
      </c>
      <c r="C7" s="10" t="s">
        <v>83</v>
      </c>
      <c r="D7" s="10" t="s">
        <v>7</v>
      </c>
      <c r="E7" s="9">
        <v>0.6</v>
      </c>
      <c r="F7" s="9">
        <v>0</v>
      </c>
      <c r="G7" s="9">
        <v>0</v>
      </c>
      <c r="H7" s="9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3">
      <c r="C8" s="10" t="s">
        <v>84</v>
      </c>
      <c r="D8" s="10" t="s">
        <v>8</v>
      </c>
      <c r="E8" s="9">
        <v>0</v>
      </c>
      <c r="F8" s="9">
        <v>1</v>
      </c>
      <c r="G8" s="9">
        <v>0</v>
      </c>
      <c r="H8" s="9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3">
      <c r="B9" s="10" t="s">
        <v>95</v>
      </c>
      <c r="C9" s="10" t="s">
        <v>83</v>
      </c>
      <c r="D9" s="10" t="s">
        <v>7</v>
      </c>
      <c r="E9" s="9">
        <v>0.4</v>
      </c>
      <c r="F9" s="9">
        <v>0</v>
      </c>
      <c r="G9" s="9">
        <v>0</v>
      </c>
      <c r="H9" s="9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3">
      <c r="C10" s="10" t="s">
        <v>84</v>
      </c>
      <c r="D10" s="10" t="s">
        <v>8</v>
      </c>
      <c r="E10" s="9">
        <v>0</v>
      </c>
      <c r="F10" s="9">
        <v>0</v>
      </c>
      <c r="G10" s="9">
        <v>0</v>
      </c>
      <c r="H10" s="9">
        <v>1</v>
      </c>
      <c r="I10" s="10">
        <v>0</v>
      </c>
      <c r="J10" s="10">
        <v>0</v>
      </c>
      <c r="K10" s="10">
        <v>0</v>
      </c>
      <c r="L10" s="10">
        <v>0</v>
      </c>
    </row>
    <row r="12" spans="1:12" x14ac:dyDescent="0.3">
      <c r="C12" s="10" t="s">
        <v>100</v>
      </c>
      <c r="D12" s="10" t="s">
        <v>45</v>
      </c>
      <c r="E12" s="10">
        <v>0</v>
      </c>
      <c r="F12" s="10">
        <v>0</v>
      </c>
      <c r="G12" s="10">
        <v>0</v>
      </c>
      <c r="H12" s="10">
        <v>0</v>
      </c>
      <c r="I12" s="9">
        <v>1</v>
      </c>
      <c r="J12" s="9">
        <v>0</v>
      </c>
      <c r="K12" s="9">
        <v>1</v>
      </c>
      <c r="L12" s="9">
        <v>0</v>
      </c>
    </row>
    <row r="13" spans="1:12" x14ac:dyDescent="0.3">
      <c r="C13" s="10" t="s">
        <v>24</v>
      </c>
      <c r="D13" s="10" t="s">
        <v>46</v>
      </c>
      <c r="E13" s="10">
        <v>0</v>
      </c>
      <c r="F13" s="10">
        <v>0</v>
      </c>
      <c r="G13" s="10">
        <v>0</v>
      </c>
      <c r="H13" s="10">
        <v>0</v>
      </c>
      <c r="I13" s="9">
        <v>20</v>
      </c>
      <c r="J13" s="9">
        <v>0</v>
      </c>
      <c r="K13" s="9">
        <v>60</v>
      </c>
      <c r="L13" s="9">
        <v>0</v>
      </c>
    </row>
    <row r="16" spans="1:12" x14ac:dyDescent="0.3">
      <c r="A16" s="10" t="s">
        <v>25</v>
      </c>
      <c r="D16" s="10" t="s">
        <v>26</v>
      </c>
      <c r="E16" s="5">
        <v>10</v>
      </c>
      <c r="F16" s="5">
        <v>0</v>
      </c>
      <c r="G16" s="5">
        <v>10</v>
      </c>
      <c r="H16" s="5">
        <v>0</v>
      </c>
      <c r="I16" s="5">
        <v>6</v>
      </c>
      <c r="J16" s="5">
        <v>0</v>
      </c>
      <c r="K16" s="5">
        <v>0</v>
      </c>
      <c r="L16" s="5">
        <v>0</v>
      </c>
    </row>
    <row r="18" spans="1:21" x14ac:dyDescent="0.3">
      <c r="E18" s="10" t="s">
        <v>94</v>
      </c>
      <c r="G18" s="10" t="s">
        <v>95</v>
      </c>
      <c r="I18" s="10" t="s">
        <v>94</v>
      </c>
      <c r="K18" s="10" t="s">
        <v>95</v>
      </c>
      <c r="N18" s="11" t="s">
        <v>426</v>
      </c>
      <c r="P18" s="11" t="s">
        <v>668</v>
      </c>
      <c r="R18" s="11" t="s">
        <v>13</v>
      </c>
    </row>
    <row r="19" spans="1:21" x14ac:dyDescent="0.3">
      <c r="D19" s="10" t="s">
        <v>12</v>
      </c>
      <c r="E19" s="11" t="s">
        <v>36</v>
      </c>
      <c r="F19" s="11" t="s">
        <v>5</v>
      </c>
      <c r="G19" s="11" t="s">
        <v>36</v>
      </c>
      <c r="H19" s="11" t="s">
        <v>5</v>
      </c>
      <c r="I19" s="11" t="s">
        <v>7</v>
      </c>
      <c r="J19" s="11" t="s">
        <v>8</v>
      </c>
      <c r="K19" s="11" t="s">
        <v>7</v>
      </c>
      <c r="L19" s="11" t="s">
        <v>8</v>
      </c>
      <c r="N19" s="11"/>
      <c r="O19" s="11"/>
      <c r="P19" s="11"/>
      <c r="R19" s="11"/>
    </row>
    <row r="20" spans="1:21" x14ac:dyDescent="0.3">
      <c r="A20" s="10" t="s">
        <v>14</v>
      </c>
      <c r="B20" s="10" t="s">
        <v>94</v>
      </c>
      <c r="C20" s="10" t="s">
        <v>81</v>
      </c>
      <c r="D20" s="10" t="s">
        <v>36</v>
      </c>
      <c r="E20" s="27"/>
      <c r="F20" s="27"/>
      <c r="G20" s="27"/>
      <c r="H20" s="27"/>
      <c r="I20" s="8">
        <f t="array" ref="I20:J21">MMULT(I3:J4,I16:J16*_xlfn.MUNIT(2))</f>
        <v>0</v>
      </c>
      <c r="J20" s="8">
        <v>0</v>
      </c>
      <c r="K20" s="27"/>
      <c r="L20" s="27"/>
      <c r="M20" s="27"/>
      <c r="N20" s="28">
        <v>10</v>
      </c>
      <c r="O20" s="27"/>
      <c r="P20" s="8">
        <f t="array" ref="P20:P21">TRANSPOSE(E16:F16)-MMULT(I3:J4,TRANSPOSE(I16:J16))-N20:N21</f>
        <v>0</v>
      </c>
      <c r="Q20" s="27"/>
      <c r="R20" s="57">
        <f t="array" ref="R20:R21">MMULT(_xlfn.MUNIT(2),TRANSPOSE(E16:F16))</f>
        <v>10</v>
      </c>
      <c r="T20" s="193" t="s">
        <v>234</v>
      </c>
      <c r="U20" s="23"/>
    </row>
    <row r="21" spans="1:21" x14ac:dyDescent="0.3">
      <c r="C21" s="10" t="s">
        <v>109</v>
      </c>
      <c r="D21" s="10" t="s">
        <v>5</v>
      </c>
      <c r="E21" s="27"/>
      <c r="F21" s="27"/>
      <c r="G21" s="27"/>
      <c r="H21" s="27"/>
      <c r="I21" s="8">
        <v>0</v>
      </c>
      <c r="J21" s="8">
        <v>0</v>
      </c>
      <c r="K21" s="27"/>
      <c r="L21" s="27"/>
      <c r="M21" s="27"/>
      <c r="N21" s="28">
        <v>0</v>
      </c>
      <c r="O21" s="27"/>
      <c r="P21" s="8">
        <v>0</v>
      </c>
      <c r="Q21" s="27"/>
      <c r="R21" s="57">
        <v>0</v>
      </c>
      <c r="U21" s="23"/>
    </row>
    <row r="22" spans="1:21" x14ac:dyDescent="0.3">
      <c r="B22" s="10" t="s">
        <v>95</v>
      </c>
      <c r="C22" s="10" t="s">
        <v>81</v>
      </c>
      <c r="D22" s="10" t="s">
        <v>36</v>
      </c>
      <c r="E22" s="27"/>
      <c r="F22" s="27"/>
      <c r="G22" s="27"/>
      <c r="H22" s="27"/>
      <c r="I22" s="27"/>
      <c r="J22" s="27"/>
      <c r="K22" s="8">
        <f t="array" ref="K22:L23">MMULT(K5:L6,K16:L16*_xlfn.MUNIT(2))</f>
        <v>0</v>
      </c>
      <c r="L22" s="8">
        <v>0</v>
      </c>
      <c r="M22" s="27"/>
      <c r="N22" s="28">
        <v>10</v>
      </c>
      <c r="O22" s="27"/>
      <c r="P22" s="8">
        <f t="array" ref="P22:P23">TRANSPOSE(G16:H16)-MMULT(K5:L6,TRANSPOSE(K16:L16))-N22:N23</f>
        <v>0</v>
      </c>
      <c r="Q22" s="27"/>
      <c r="R22" s="57">
        <f t="array" ref="R22:R23">MMULT(_xlfn.MUNIT(2),TRANSPOSE(G16:H16))</f>
        <v>10</v>
      </c>
    </row>
    <row r="23" spans="1:21" x14ac:dyDescent="0.3">
      <c r="C23" s="10" t="s">
        <v>109</v>
      </c>
      <c r="D23" s="10" t="s">
        <v>5</v>
      </c>
      <c r="E23" s="27"/>
      <c r="F23" s="27"/>
      <c r="G23" s="27"/>
      <c r="H23" s="27"/>
      <c r="I23" s="27"/>
      <c r="J23" s="27"/>
      <c r="K23" s="8">
        <v>0</v>
      </c>
      <c r="L23" s="8">
        <v>0</v>
      </c>
      <c r="M23" s="27"/>
      <c r="N23" s="28">
        <v>0</v>
      </c>
      <c r="O23" s="27"/>
      <c r="P23" s="8">
        <v>0</v>
      </c>
      <c r="Q23" s="27"/>
      <c r="R23" s="57">
        <v>0</v>
      </c>
    </row>
    <row r="24" spans="1:21" x14ac:dyDescent="0.3">
      <c r="A24" s="10" t="s">
        <v>98</v>
      </c>
      <c r="B24" s="10" t="s">
        <v>94</v>
      </c>
      <c r="C24" s="10" t="s">
        <v>83</v>
      </c>
      <c r="D24" s="10" t="s">
        <v>7</v>
      </c>
      <c r="E24" s="8">
        <f t="array" ref="E24:F25">MMULT(E7:F8,E16:F16*_xlfn.MUNIT(2))</f>
        <v>6</v>
      </c>
      <c r="F24" s="8">
        <v>0</v>
      </c>
      <c r="G24" s="8">
        <f t="array" ref="G24:H25">MMULT(G7:H8,G16:H16*_xlfn.MUNIT(2))</f>
        <v>0</v>
      </c>
      <c r="H24" s="8">
        <v>0</v>
      </c>
      <c r="I24" s="27"/>
      <c r="J24" s="27"/>
      <c r="K24" s="27"/>
      <c r="L24" s="27"/>
      <c r="M24" s="27"/>
      <c r="N24" s="27"/>
      <c r="O24" s="27"/>
      <c r="P24" s="27">
        <f t="array" ref="P24:P25">MMULT(E7:F8,TRANSPOSE(E16:F16))-MMULT(_xlfn.MUNIT(2),TRANSPOSE(I16:J16))</f>
        <v>0</v>
      </c>
      <c r="Q24" s="27"/>
      <c r="R24" s="58">
        <f t="array" ref="R24:R25">MMULT(_xlfn.MUNIT(2),TRANSPOSE(I16:J16))</f>
        <v>6</v>
      </c>
      <c r="T24" s="193" t="s">
        <v>235</v>
      </c>
    </row>
    <row r="25" spans="1:21" x14ac:dyDescent="0.3">
      <c r="C25" s="10" t="s">
        <v>84</v>
      </c>
      <c r="D25" s="10" t="s">
        <v>8</v>
      </c>
      <c r="E25" s="8">
        <v>0</v>
      </c>
      <c r="F25" s="8">
        <v>0</v>
      </c>
      <c r="G25" s="8">
        <v>0</v>
      </c>
      <c r="H25" s="8">
        <v>0</v>
      </c>
      <c r="I25" s="27"/>
      <c r="J25" s="27"/>
      <c r="K25" s="27"/>
      <c r="L25" s="27"/>
      <c r="M25" s="27"/>
      <c r="N25" s="27"/>
      <c r="O25" s="27"/>
      <c r="P25" s="27">
        <v>0</v>
      </c>
      <c r="Q25" s="27"/>
      <c r="R25" s="58">
        <v>0</v>
      </c>
    </row>
    <row r="26" spans="1:21" x14ac:dyDescent="0.3">
      <c r="B26" s="10" t="s">
        <v>95</v>
      </c>
      <c r="C26" s="10" t="s">
        <v>83</v>
      </c>
      <c r="D26" s="10" t="s">
        <v>7</v>
      </c>
      <c r="E26" s="8">
        <f t="array" ref="E26:F27">MMULT(E9:F10,E16:F16*_xlfn.MUNIT(2))</f>
        <v>4</v>
      </c>
      <c r="F26" s="8">
        <v>0</v>
      </c>
      <c r="G26" s="8">
        <f t="array" ref="G26:H27">MMULT(G9:H10,G16:H16*_xlfn.MUNIT(2))</f>
        <v>0</v>
      </c>
      <c r="H26" s="8">
        <v>0</v>
      </c>
      <c r="I26" s="27"/>
      <c r="J26" s="27"/>
      <c r="K26" s="27"/>
      <c r="L26" s="27"/>
      <c r="M26" s="27"/>
      <c r="N26" s="27"/>
      <c r="O26" s="27"/>
      <c r="P26" s="27">
        <f t="array" ref="P26:P27">MMULT(G9:H10,TRANSPOSE(G16:H16))-MMULT(_xlfn.MUNIT(2),TRANSPOSE(K16:L16))</f>
        <v>0</v>
      </c>
      <c r="Q26" s="27"/>
      <c r="R26" s="58">
        <f t="array" ref="R26:R27">MMULT(_xlfn.MUNIT(2),TRANSPOSE(K16:L16))</f>
        <v>0</v>
      </c>
    </row>
    <row r="27" spans="1:21" x14ac:dyDescent="0.3">
      <c r="C27" s="10" t="s">
        <v>84</v>
      </c>
      <c r="D27" s="10" t="s">
        <v>8</v>
      </c>
      <c r="E27" s="8">
        <v>0</v>
      </c>
      <c r="F27" s="8">
        <v>0</v>
      </c>
      <c r="G27" s="8">
        <v>0</v>
      </c>
      <c r="H27" s="8">
        <v>0</v>
      </c>
      <c r="I27" s="27"/>
      <c r="J27" s="27"/>
      <c r="K27" s="27"/>
      <c r="L27" s="27"/>
      <c r="M27" s="27"/>
      <c r="N27" s="27"/>
      <c r="O27" s="27"/>
      <c r="P27" s="27">
        <v>0</v>
      </c>
      <c r="Q27" s="27"/>
      <c r="R27" s="58">
        <v>0</v>
      </c>
    </row>
    <row r="29" spans="1:21" x14ac:dyDescent="0.3"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90" t="s">
        <v>94</v>
      </c>
      <c r="S29" s="11" t="s">
        <v>95</v>
      </c>
      <c r="T29" s="11" t="s">
        <v>80</v>
      </c>
    </row>
    <row r="30" spans="1:21" x14ac:dyDescent="0.3">
      <c r="D30" s="10" t="s">
        <v>45</v>
      </c>
      <c r="E30" s="27"/>
      <c r="F30" s="27"/>
      <c r="G30" s="27"/>
      <c r="H30" s="27"/>
      <c r="I30" s="8">
        <f t="array" ref="I30:J31">MMULT(I12:J13,I16:J16*_xlfn.MUNIT(2))</f>
        <v>6</v>
      </c>
      <c r="J30" s="8">
        <v>0</v>
      </c>
      <c r="K30" s="8">
        <f t="array" ref="K30:L31">MMULT(K12:L13,K16:L16*_xlfn.MUNIT(2))</f>
        <v>0</v>
      </c>
      <c r="L30" s="8">
        <v>0</v>
      </c>
      <c r="M30" s="27"/>
      <c r="N30" s="27"/>
      <c r="O30" s="27"/>
      <c r="P30" s="27" t="s">
        <v>102</v>
      </c>
      <c r="Q30" s="27"/>
      <c r="R30" s="3">
        <f>SUM(I30:J30)</f>
        <v>6</v>
      </c>
      <c r="S30" s="3">
        <f>SUM(K30:L30)</f>
        <v>0</v>
      </c>
      <c r="T30" s="1">
        <f>SUM(R30:S30)</f>
        <v>6</v>
      </c>
    </row>
    <row r="31" spans="1:21" x14ac:dyDescent="0.3">
      <c r="D31" s="10" t="s">
        <v>46</v>
      </c>
      <c r="E31" s="27"/>
      <c r="F31" s="27"/>
      <c r="G31" s="27"/>
      <c r="H31" s="27"/>
      <c r="I31" s="8">
        <v>120</v>
      </c>
      <c r="J31" s="8">
        <v>0</v>
      </c>
      <c r="K31" s="8">
        <v>0</v>
      </c>
      <c r="L31" s="8">
        <v>0</v>
      </c>
      <c r="M31" s="27"/>
      <c r="N31" s="27"/>
      <c r="O31" s="27"/>
      <c r="P31" s="27" t="s">
        <v>103</v>
      </c>
      <c r="Q31" s="27"/>
      <c r="R31" s="3">
        <f>SUM(I31:J31)</f>
        <v>120</v>
      </c>
      <c r="S31" s="3">
        <f>SUM(K31:L31)</f>
        <v>0</v>
      </c>
      <c r="T31" s="1">
        <f>SUM(R31:S31)</f>
        <v>120</v>
      </c>
    </row>
    <row r="33" spans="24:24" x14ac:dyDescent="0.3">
      <c r="X33" s="23" t="s">
        <v>665</v>
      </c>
    </row>
    <row r="34" spans="24:24" x14ac:dyDescent="0.3">
      <c r="X34" s="23" t="s">
        <v>666</v>
      </c>
    </row>
    <row r="35" spans="24:24" x14ac:dyDescent="0.3">
      <c r="X35" s="23" t="s">
        <v>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3E2-86DF-4304-838B-667A6106C81E}">
  <sheetPr>
    <tabColor theme="8" tint="0.59999389629810485"/>
  </sheetPr>
  <dimension ref="A1:AF57"/>
  <sheetViews>
    <sheetView showGridLines="0" workbookViewId="0">
      <selection activeCell="U36" sqref="U36"/>
    </sheetView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4" width="7.21875" style="1" customWidth="1"/>
    <col min="35" max="16384" width="9.21875" style="1"/>
  </cols>
  <sheetData>
    <row r="1" spans="1:31" x14ac:dyDescent="0.3">
      <c r="J1" s="2" t="s">
        <v>112</v>
      </c>
      <c r="K1" s="2" t="s">
        <v>113</v>
      </c>
      <c r="X1" s="2" t="s">
        <v>112</v>
      </c>
      <c r="Y1" s="2" t="s">
        <v>113</v>
      </c>
    </row>
    <row r="2" spans="1:31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37</v>
      </c>
      <c r="K2" s="2" t="s">
        <v>38</v>
      </c>
      <c r="M2" s="2" t="s">
        <v>10</v>
      </c>
      <c r="O2" s="11" t="s">
        <v>11</v>
      </c>
      <c r="R2" s="1" t="s">
        <v>12</v>
      </c>
      <c r="S2" s="2" t="s">
        <v>36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37</v>
      </c>
      <c r="Y2" s="2" t="s">
        <v>38</v>
      </c>
    </row>
    <row r="3" spans="1:31" x14ac:dyDescent="0.3">
      <c r="A3" s="1" t="s">
        <v>116</v>
      </c>
      <c r="B3" s="1" t="s">
        <v>81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9">
        <v>0</v>
      </c>
      <c r="I3" s="9">
        <v>1.1000000000000001</v>
      </c>
      <c r="J3" s="9">
        <v>0</v>
      </c>
      <c r="K3" s="9">
        <v>0</v>
      </c>
      <c r="M3" s="4">
        <v>0</v>
      </c>
      <c r="O3" s="8">
        <f t="array" ref="O3:O8">MMULT($E$27:$K$32-$E$3:$K$8,TRANSPOSE($E$23:$K$23))</f>
        <v>2.9999999640040187E-7</v>
      </c>
      <c r="R3" s="1" t="s">
        <v>36</v>
      </c>
      <c r="S3" s="1">
        <f t="array" ref="S3:Y8">MMULT(E3:K8,E23:K23*_xlfn.MUNIT(7))</f>
        <v>0</v>
      </c>
      <c r="T3" s="1">
        <v>0</v>
      </c>
      <c r="U3" s="1">
        <v>0</v>
      </c>
      <c r="V3" s="3">
        <v>0</v>
      </c>
      <c r="W3" s="3">
        <v>29.729729700000004</v>
      </c>
      <c r="X3" s="3">
        <v>0</v>
      </c>
      <c r="Y3" s="3">
        <v>0</v>
      </c>
    </row>
    <row r="4" spans="1:31" x14ac:dyDescent="0.3">
      <c r="B4" s="1" t="s">
        <v>117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f>1/0.37</f>
        <v>2.7027027027027026</v>
      </c>
      <c r="K4" s="9">
        <f>1/0.32</f>
        <v>3.125</v>
      </c>
      <c r="M4" s="4">
        <v>0</v>
      </c>
      <c r="O4" s="8">
        <v>-2.7027024174230974E-8</v>
      </c>
      <c r="R4" s="1" t="s">
        <v>5</v>
      </c>
      <c r="S4" s="1">
        <v>0</v>
      </c>
      <c r="T4" s="1">
        <v>0</v>
      </c>
      <c r="U4" s="1">
        <v>0</v>
      </c>
      <c r="V4" s="3">
        <v>0</v>
      </c>
      <c r="W4" s="3">
        <v>0</v>
      </c>
      <c r="X4" s="3">
        <v>27.027027027027025</v>
      </c>
      <c r="Y4" s="3">
        <v>0</v>
      </c>
    </row>
    <row r="5" spans="1:31" x14ac:dyDescent="0.3">
      <c r="B5" s="1" t="s">
        <v>17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M5" s="4">
        <v>10</v>
      </c>
      <c r="O5" s="8">
        <v>10</v>
      </c>
      <c r="R5" s="1" t="s">
        <v>6</v>
      </c>
      <c r="S5" s="1">
        <v>0</v>
      </c>
      <c r="T5" s="1">
        <v>0</v>
      </c>
      <c r="U5" s="1">
        <v>0</v>
      </c>
      <c r="V5" s="3">
        <v>0</v>
      </c>
      <c r="W5" s="3">
        <v>0</v>
      </c>
      <c r="X5" s="3">
        <v>0</v>
      </c>
      <c r="Y5" s="3">
        <v>0</v>
      </c>
    </row>
    <row r="6" spans="1:31" x14ac:dyDescent="0.3">
      <c r="A6" s="1" t="s">
        <v>19</v>
      </c>
      <c r="B6" s="1" t="s">
        <v>118</v>
      </c>
      <c r="C6" s="1" t="s">
        <v>60</v>
      </c>
      <c r="D6" s="1" t="s">
        <v>7</v>
      </c>
      <c r="E6" s="9">
        <v>1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M6" s="1">
        <v>0</v>
      </c>
      <c r="O6" s="27">
        <v>0</v>
      </c>
      <c r="R6" s="1" t="s">
        <v>7</v>
      </c>
      <c r="S6" s="3">
        <v>29.72973</v>
      </c>
      <c r="T6" s="3">
        <v>0</v>
      </c>
      <c r="U6" s="3">
        <v>0</v>
      </c>
      <c r="V6" s="1">
        <v>0</v>
      </c>
      <c r="W6" s="1">
        <v>0</v>
      </c>
      <c r="X6" s="1">
        <v>0</v>
      </c>
      <c r="Y6" s="1">
        <v>0</v>
      </c>
    </row>
    <row r="7" spans="1:31" x14ac:dyDescent="0.3">
      <c r="B7" s="1" t="s">
        <v>119</v>
      </c>
      <c r="C7" s="1" t="s">
        <v>60</v>
      </c>
      <c r="D7" s="1" t="s">
        <v>8</v>
      </c>
      <c r="E7" s="9">
        <v>0</v>
      </c>
      <c r="F7" s="9">
        <v>1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M7" s="1">
        <v>0</v>
      </c>
      <c r="O7" s="27">
        <v>0</v>
      </c>
      <c r="R7" s="1" t="s">
        <v>8</v>
      </c>
      <c r="S7" s="3">
        <v>0</v>
      </c>
      <c r="T7" s="3">
        <v>27.027027</v>
      </c>
      <c r="U7" s="3">
        <v>0</v>
      </c>
      <c r="V7" s="1">
        <v>0</v>
      </c>
      <c r="W7" s="1">
        <v>0</v>
      </c>
      <c r="X7" s="1">
        <v>0</v>
      </c>
      <c r="Y7" s="1">
        <v>0</v>
      </c>
    </row>
    <row r="8" spans="1:31" x14ac:dyDescent="0.3">
      <c r="B8" s="1" t="s">
        <v>120</v>
      </c>
      <c r="C8" s="1" t="s">
        <v>60</v>
      </c>
      <c r="D8" s="1" t="s">
        <v>9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M8" s="1">
        <v>0</v>
      </c>
      <c r="O8" s="27">
        <v>0</v>
      </c>
      <c r="R8" s="1" t="s">
        <v>9</v>
      </c>
      <c r="S8" s="3">
        <v>0</v>
      </c>
      <c r="T8" s="3">
        <v>0</v>
      </c>
      <c r="U8" s="3">
        <v>10</v>
      </c>
      <c r="V8" s="1">
        <v>0</v>
      </c>
      <c r="W8" s="1">
        <v>0</v>
      </c>
      <c r="X8" s="1">
        <v>0</v>
      </c>
      <c r="Y8" s="1">
        <v>0</v>
      </c>
    </row>
    <row r="9" spans="1:31" x14ac:dyDescent="0.3">
      <c r="E9" s="10"/>
      <c r="F9" s="10"/>
      <c r="G9" s="10"/>
      <c r="H9" s="10"/>
      <c r="I9" s="10"/>
      <c r="J9" s="10"/>
      <c r="K9" s="10"/>
      <c r="O9" s="27"/>
    </row>
    <row r="10" spans="1:31" x14ac:dyDescent="0.3">
      <c r="A10" s="1" t="s">
        <v>116</v>
      </c>
      <c r="B10" s="1" t="s">
        <v>24</v>
      </c>
      <c r="C10" s="1" t="s">
        <v>121</v>
      </c>
      <c r="D10" s="1" t="s">
        <v>45</v>
      </c>
      <c r="E10" s="27">
        <v>0</v>
      </c>
      <c r="F10" s="27">
        <v>0</v>
      </c>
      <c r="G10" s="27">
        <v>0</v>
      </c>
      <c r="H10" s="8">
        <v>2</v>
      </c>
      <c r="I10" s="8">
        <v>2.5</v>
      </c>
      <c r="J10" s="8">
        <v>3.5</v>
      </c>
      <c r="K10" s="8">
        <v>4.5</v>
      </c>
      <c r="R10" s="1" t="s">
        <v>45</v>
      </c>
      <c r="S10" s="1">
        <f t="array" ref="S10:Y10">MMULT(E10:K10,E23:K23*_xlfn.MUNIT(7))</f>
        <v>0</v>
      </c>
      <c r="T10" s="1">
        <v>0</v>
      </c>
      <c r="U10" s="1">
        <v>0</v>
      </c>
      <c r="V10" s="3">
        <v>59.45946</v>
      </c>
      <c r="W10" s="3">
        <v>67.567567499999996</v>
      </c>
      <c r="X10" s="3">
        <v>35</v>
      </c>
      <c r="Y10" s="3">
        <v>0</v>
      </c>
      <c r="AA10" s="1">
        <f>SUM(V10:Y10)</f>
        <v>162.0270275</v>
      </c>
      <c r="AB10" s="6" t="s">
        <v>92</v>
      </c>
    </row>
    <row r="12" spans="1:31" x14ac:dyDescent="0.3">
      <c r="A12" s="1" t="s">
        <v>116</v>
      </c>
      <c r="B12" s="1" t="s">
        <v>44</v>
      </c>
      <c r="C12" s="1" t="s">
        <v>151</v>
      </c>
      <c r="D12" s="1" t="s">
        <v>152</v>
      </c>
      <c r="E12" s="4">
        <v>15</v>
      </c>
      <c r="F12" s="4">
        <v>15</v>
      </c>
      <c r="G12" s="28">
        <v>0</v>
      </c>
      <c r="H12" s="1">
        <v>0</v>
      </c>
      <c r="I12" s="1">
        <v>0</v>
      </c>
      <c r="J12" s="1">
        <v>0</v>
      </c>
      <c r="K12" s="1">
        <v>0</v>
      </c>
      <c r="R12" s="1" t="s">
        <v>152</v>
      </c>
      <c r="S12" s="108">
        <f t="array" ref="S12:Y13">MMULT(E12:K13,E23:K23*_xlfn.MUNIT(7))</f>
        <v>445.94594999999998</v>
      </c>
      <c r="T12" s="108">
        <v>405.40540500000003</v>
      </c>
      <c r="U12" s="108">
        <v>0</v>
      </c>
      <c r="V12" s="180">
        <v>0</v>
      </c>
      <c r="W12" s="180">
        <v>0</v>
      </c>
      <c r="X12" s="180">
        <v>0</v>
      </c>
      <c r="Y12" s="180">
        <v>0</v>
      </c>
    </row>
    <row r="13" spans="1:31" x14ac:dyDescent="0.3">
      <c r="C13" s="1" t="s">
        <v>153</v>
      </c>
      <c r="D13" s="1" t="s">
        <v>154</v>
      </c>
      <c r="E13" s="1">
        <v>0</v>
      </c>
      <c r="F13" s="1">
        <v>0</v>
      </c>
      <c r="G13" s="1">
        <v>0</v>
      </c>
      <c r="H13" s="4">
        <v>0</v>
      </c>
      <c r="I13" s="4">
        <v>0</v>
      </c>
      <c r="J13" s="28">
        <v>2.5</v>
      </c>
      <c r="K13" s="28">
        <v>0</v>
      </c>
      <c r="R13" s="1" t="s">
        <v>154</v>
      </c>
      <c r="S13" s="180">
        <v>0</v>
      </c>
      <c r="T13" s="180">
        <v>0</v>
      </c>
      <c r="U13" s="180">
        <v>0</v>
      </c>
      <c r="V13" s="108">
        <v>0</v>
      </c>
      <c r="W13" s="108">
        <v>0</v>
      </c>
      <c r="X13" s="108">
        <v>25</v>
      </c>
      <c r="Y13" s="108">
        <v>0</v>
      </c>
    </row>
    <row r="15" spans="1:31" x14ac:dyDescent="0.3">
      <c r="AA15" s="1" t="s">
        <v>155</v>
      </c>
      <c r="AC15" s="1" t="s">
        <v>156</v>
      </c>
      <c r="AE15" s="1" t="s">
        <v>157</v>
      </c>
    </row>
    <row r="16" spans="1:31" x14ac:dyDescent="0.3">
      <c r="B16" s="1" t="s">
        <v>124</v>
      </c>
      <c r="D16" s="1" t="s">
        <v>158</v>
      </c>
      <c r="H16" s="3">
        <v>1</v>
      </c>
      <c r="I16" s="28">
        <v>0.1</v>
      </c>
      <c r="J16" s="3">
        <v>1</v>
      </c>
      <c r="K16" s="3">
        <v>0</v>
      </c>
      <c r="R16" s="1" t="s">
        <v>159</v>
      </c>
      <c r="V16" s="3">
        <f t="array" ref="V16:Y18">H16:K18*V3:Y5*TRANSPOSE(E12:G12)</f>
        <v>0</v>
      </c>
      <c r="W16" s="3">
        <v>44.594594550000011</v>
      </c>
      <c r="X16" s="3">
        <v>0</v>
      </c>
      <c r="Y16" s="3">
        <v>0</v>
      </c>
      <c r="AA16" s="3">
        <f t="array" ref="AA16:AA18">M3:M5*TRANSPOSE(E12:G12)</f>
        <v>0</v>
      </c>
      <c r="AC16" s="35">
        <f>SUM(V16:Y16,AA16)</f>
        <v>44.594594550000011</v>
      </c>
    </row>
    <row r="17" spans="2:30" x14ac:dyDescent="0.3">
      <c r="H17" s="3">
        <v>1</v>
      </c>
      <c r="I17" s="3">
        <v>1</v>
      </c>
      <c r="J17" s="3">
        <v>1</v>
      </c>
      <c r="K17" s="3">
        <v>0</v>
      </c>
      <c r="V17" s="3">
        <v>0</v>
      </c>
      <c r="W17" s="3">
        <v>0</v>
      </c>
      <c r="X17" s="3">
        <v>405.40540540540536</v>
      </c>
      <c r="Y17" s="3">
        <v>0</v>
      </c>
      <c r="AA17" s="3">
        <v>0</v>
      </c>
      <c r="AC17" s="36">
        <f t="shared" ref="AC17:AC18" si="0">SUM(V17:Y17,AA17)</f>
        <v>405.40540540540536</v>
      </c>
    </row>
    <row r="18" spans="2:30" x14ac:dyDescent="0.3">
      <c r="H18" s="3">
        <v>1</v>
      </c>
      <c r="I18" s="3">
        <v>1</v>
      </c>
      <c r="J18" s="3">
        <v>1</v>
      </c>
      <c r="K18" s="3">
        <v>0</v>
      </c>
      <c r="V18" s="3">
        <v>0</v>
      </c>
      <c r="W18" s="3">
        <v>0</v>
      </c>
      <c r="X18" s="3">
        <v>0</v>
      </c>
      <c r="Y18" s="3">
        <v>0</v>
      </c>
      <c r="AA18" s="3">
        <v>0</v>
      </c>
      <c r="AC18" s="37">
        <f t="shared" si="0"/>
        <v>0</v>
      </c>
    </row>
    <row r="20" spans="2:30" x14ac:dyDescent="0.3">
      <c r="U20" s="1" t="s">
        <v>160</v>
      </c>
      <c r="V20" s="32">
        <f>SUM(V16:V18)</f>
        <v>0</v>
      </c>
      <c r="W20" s="33">
        <f t="shared" ref="W20:AA20" si="1">SUM(W16:W18)</f>
        <v>44.594594550000011</v>
      </c>
      <c r="X20" s="33">
        <f t="shared" si="1"/>
        <v>405.40540540540536</v>
      </c>
      <c r="Y20" s="33">
        <f t="shared" si="1"/>
        <v>0</v>
      </c>
      <c r="Z20" s="33"/>
      <c r="AA20" s="34">
        <f t="shared" si="1"/>
        <v>0</v>
      </c>
      <c r="AD20" s="1">
        <f>SUM(V20:Y20,AA20)</f>
        <v>449.99999995540537</v>
      </c>
    </row>
    <row r="21" spans="2:30" x14ac:dyDescent="0.3">
      <c r="AC21" s="1">
        <f>SUM(AC16:AC18)</f>
        <v>449.99999995540537</v>
      </c>
    </row>
    <row r="23" spans="2:30" x14ac:dyDescent="0.3">
      <c r="B23" s="1" t="s">
        <v>25</v>
      </c>
      <c r="C23" s="1" t="s">
        <v>60</v>
      </c>
      <c r="D23" s="6" t="s">
        <v>26</v>
      </c>
      <c r="E23" s="109">
        <v>29.72973</v>
      </c>
      <c r="F23" s="109">
        <v>27.027027</v>
      </c>
      <c r="G23" s="109">
        <v>10</v>
      </c>
      <c r="H23" s="109">
        <v>29.72973</v>
      </c>
      <c r="I23" s="109">
        <v>27.027027</v>
      </c>
      <c r="J23" s="109">
        <v>10</v>
      </c>
      <c r="K23" s="109">
        <v>0</v>
      </c>
      <c r="L23" s="27"/>
    </row>
    <row r="26" spans="2:30" x14ac:dyDescent="0.3">
      <c r="D26" s="1" t="s">
        <v>49</v>
      </c>
      <c r="E26" s="2" t="s">
        <v>36</v>
      </c>
      <c r="F26" s="2" t="s">
        <v>5</v>
      </c>
      <c r="G26" s="2" t="s">
        <v>125</v>
      </c>
      <c r="H26" s="2" t="s">
        <v>126</v>
      </c>
      <c r="I26" s="2" t="s">
        <v>127</v>
      </c>
      <c r="J26" s="2" t="s">
        <v>128</v>
      </c>
      <c r="K26" s="2" t="s">
        <v>129</v>
      </c>
    </row>
    <row r="27" spans="2:30" x14ac:dyDescent="0.3">
      <c r="D27" s="1" t="s">
        <v>36</v>
      </c>
      <c r="E27" s="1">
        <v>1</v>
      </c>
      <c r="F27" s="1">
        <v>0</v>
      </c>
      <c r="G27" s="1">
        <v>0</v>
      </c>
      <c r="H27" s="9">
        <v>0</v>
      </c>
      <c r="I27" s="9">
        <v>0</v>
      </c>
      <c r="J27" s="9">
        <v>0</v>
      </c>
      <c r="K27" s="9">
        <v>0</v>
      </c>
    </row>
    <row r="28" spans="2:30" x14ac:dyDescent="0.3">
      <c r="D28" s="1" t="s">
        <v>5</v>
      </c>
      <c r="E28" s="1">
        <v>0</v>
      </c>
      <c r="F28" s="1">
        <v>1</v>
      </c>
      <c r="G28" s="1">
        <v>0</v>
      </c>
      <c r="H28" s="9">
        <v>0</v>
      </c>
      <c r="I28" s="9">
        <v>0</v>
      </c>
      <c r="J28" s="9">
        <v>0</v>
      </c>
      <c r="K28" s="9">
        <v>0</v>
      </c>
    </row>
    <row r="29" spans="2:30" x14ac:dyDescent="0.3">
      <c r="D29" s="1" t="s">
        <v>6</v>
      </c>
      <c r="E29" s="1">
        <v>0</v>
      </c>
      <c r="F29" s="1">
        <v>0</v>
      </c>
      <c r="G29" s="1">
        <v>1</v>
      </c>
      <c r="H29" s="9">
        <v>0</v>
      </c>
      <c r="I29" s="9">
        <v>0</v>
      </c>
      <c r="J29" s="9">
        <v>0</v>
      </c>
      <c r="K29" s="9">
        <v>0</v>
      </c>
    </row>
    <row r="30" spans="2:30" x14ac:dyDescent="0.3">
      <c r="D30" s="1" t="s">
        <v>7</v>
      </c>
      <c r="E30" s="3">
        <v>0</v>
      </c>
      <c r="F30" s="3">
        <v>0</v>
      </c>
      <c r="G30" s="3">
        <v>0</v>
      </c>
      <c r="H30" s="1">
        <v>1</v>
      </c>
      <c r="I30" s="1">
        <v>0</v>
      </c>
      <c r="J30" s="1">
        <v>0</v>
      </c>
      <c r="K30" s="1">
        <v>0</v>
      </c>
    </row>
    <row r="31" spans="2:30" x14ac:dyDescent="0.3">
      <c r="D31" s="1" t="s">
        <v>8</v>
      </c>
      <c r="E31" s="3">
        <v>0</v>
      </c>
      <c r="F31" s="3">
        <v>0</v>
      </c>
      <c r="G31" s="3">
        <v>0</v>
      </c>
      <c r="H31" s="1">
        <v>0</v>
      </c>
      <c r="I31" s="1">
        <v>1</v>
      </c>
      <c r="J31" s="1">
        <v>0</v>
      </c>
      <c r="K31" s="1">
        <v>0</v>
      </c>
    </row>
    <row r="32" spans="2:30" x14ac:dyDescent="0.3">
      <c r="D32" s="1" t="s">
        <v>9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1</v>
      </c>
      <c r="K32" s="1">
        <v>1</v>
      </c>
    </row>
    <row r="33" spans="21:29" x14ac:dyDescent="0.3">
      <c r="U33" s="1" t="s">
        <v>161</v>
      </c>
    </row>
    <row r="35" spans="21:29" x14ac:dyDescent="0.3">
      <c r="U35" s="1" t="s">
        <v>162</v>
      </c>
      <c r="V35" s="2" t="s">
        <v>7</v>
      </c>
      <c r="W35" s="2" t="s">
        <v>8</v>
      </c>
      <c r="X35" s="2" t="s">
        <v>9</v>
      </c>
      <c r="Z35" s="2" t="s">
        <v>10</v>
      </c>
      <c r="AB35" s="1" t="s">
        <v>26</v>
      </c>
      <c r="AC35" s="1" t="s">
        <v>163</v>
      </c>
    </row>
    <row r="36" spans="21:29" x14ac:dyDescent="0.3">
      <c r="U36" s="1" t="s">
        <v>36</v>
      </c>
      <c r="V36" s="3">
        <f t="array" ref="V36:X38">MMULT(MMULT(E6:G8,V3:Y5),TRANSPOSE(H30:K32))</f>
        <v>0</v>
      </c>
      <c r="W36" s="3">
        <v>29.729729700000004</v>
      </c>
      <c r="X36" s="3">
        <v>0</v>
      </c>
      <c r="Z36" s="3">
        <f t="array" ref="Z36:Z38">M3:M5</f>
        <v>0</v>
      </c>
      <c r="AB36" s="1">
        <f>SUM(V36:X36,Z36)</f>
        <v>29.729729700000004</v>
      </c>
      <c r="AC36" s="3">
        <f>IF(AB36=0,1,AB36)</f>
        <v>29.729729700000004</v>
      </c>
    </row>
    <row r="37" spans="21:29" x14ac:dyDescent="0.3">
      <c r="U37" s="1" t="s">
        <v>5</v>
      </c>
      <c r="V37" s="3">
        <v>0</v>
      </c>
      <c r="W37" s="3">
        <v>0</v>
      </c>
      <c r="X37" s="3">
        <v>27.027027027027025</v>
      </c>
      <c r="Z37" s="3">
        <v>0</v>
      </c>
      <c r="AB37" s="1">
        <f t="shared" ref="AB37:AB38" si="2">SUM(V37:X37,Z37)</f>
        <v>27.027027027027025</v>
      </c>
      <c r="AC37" s="3">
        <f t="shared" ref="AC37:AC38" si="3">IF(AB37=0,1,AB37)</f>
        <v>27.027027027027025</v>
      </c>
    </row>
    <row r="38" spans="21:29" x14ac:dyDescent="0.3">
      <c r="U38" s="1" t="s">
        <v>6</v>
      </c>
      <c r="V38" s="3">
        <v>0</v>
      </c>
      <c r="W38" s="3">
        <v>0</v>
      </c>
      <c r="X38" s="3">
        <v>0</v>
      </c>
      <c r="Z38" s="3">
        <v>10</v>
      </c>
      <c r="AB38" s="1">
        <f t="shared" si="2"/>
        <v>10</v>
      </c>
      <c r="AC38" s="3">
        <f t="shared" si="3"/>
        <v>10</v>
      </c>
    </row>
    <row r="40" spans="21:29" x14ac:dyDescent="0.3">
      <c r="U40" s="1" t="s">
        <v>164</v>
      </c>
      <c r="V40" s="3">
        <f t="array" ref="V40:X40">MMULT(V20:Y20,TRANSPOSE(H30:K32))</f>
        <v>0</v>
      </c>
      <c r="W40" s="3">
        <v>44.594594550000011</v>
      </c>
      <c r="X40" s="3">
        <v>405.40540540540536</v>
      </c>
    </row>
    <row r="43" spans="21:29" x14ac:dyDescent="0.3">
      <c r="U43" s="1" t="s">
        <v>165</v>
      </c>
      <c r="V43" s="2" t="s">
        <v>7</v>
      </c>
      <c r="W43" s="2" t="s">
        <v>8</v>
      </c>
      <c r="X43" s="2" t="s">
        <v>9</v>
      </c>
    </row>
    <row r="44" spans="21:29" x14ac:dyDescent="0.3">
      <c r="U44" s="1" t="s">
        <v>36</v>
      </c>
      <c r="V44" s="8">
        <f t="array" ref="V44:X46">MMULT(V36:X38,MINVERSE(AC36:AC38*_xlfn.MUNIT(3)))</f>
        <v>0</v>
      </c>
      <c r="W44" s="8">
        <v>1.0999999989000002</v>
      </c>
      <c r="X44" s="8">
        <v>0</v>
      </c>
    </row>
    <row r="45" spans="21:29" x14ac:dyDescent="0.3">
      <c r="U45" s="1" t="s">
        <v>5</v>
      </c>
      <c r="V45" s="8">
        <v>0</v>
      </c>
      <c r="W45" s="185">
        <v>0</v>
      </c>
      <c r="X45" s="8">
        <v>2.7027027027027026</v>
      </c>
    </row>
    <row r="46" spans="21:29" x14ac:dyDescent="0.3">
      <c r="U46" s="1" t="s">
        <v>6</v>
      </c>
      <c r="V46" s="8">
        <v>0</v>
      </c>
      <c r="W46" s="185">
        <v>0</v>
      </c>
      <c r="X46" s="8">
        <v>0</v>
      </c>
    </row>
    <row r="47" spans="21:29" x14ac:dyDescent="0.3">
      <c r="W47" s="2"/>
    </row>
    <row r="48" spans="21:29" x14ac:dyDescent="0.3">
      <c r="U48" s="1" t="s">
        <v>166</v>
      </c>
      <c r="V48" s="8">
        <f t="array" ref="V48:X48">MMULT(V40:X40,MINVERSE(AC36:AC38*_xlfn.MUNIT(3)))</f>
        <v>0</v>
      </c>
      <c r="W48" s="8">
        <v>1.6499999983500007</v>
      </c>
      <c r="X48" s="8">
        <v>40.54054054054054</v>
      </c>
    </row>
    <row r="51" spans="21:32" x14ac:dyDescent="0.3">
      <c r="Z51" s="1" t="s">
        <v>132</v>
      </c>
      <c r="AB51" s="1" t="s">
        <v>131</v>
      </c>
      <c r="AD51" s="1" t="s">
        <v>167</v>
      </c>
    </row>
    <row r="52" spans="21:32" x14ac:dyDescent="0.3">
      <c r="Z52" s="3">
        <f t="array" ref="Z52:Z54">AA16:AA18</f>
        <v>0</v>
      </c>
      <c r="AB52" s="3">
        <f t="array" ref="AB52:AB54">MMULT(MMULT(V48:X48,MINVERSE(_xlfn.MUNIT(3)-V44:X46))*_xlfn.MUNIT(3),Z36:Z38)</f>
        <v>0</v>
      </c>
      <c r="AD52" s="35">
        <f>Z52+AB52</f>
        <v>0</v>
      </c>
    </row>
    <row r="53" spans="21:32" x14ac:dyDescent="0.3">
      <c r="Z53" s="3">
        <v>0</v>
      </c>
      <c r="AB53" s="3">
        <v>0</v>
      </c>
      <c r="AD53" s="36">
        <f t="shared" ref="AD53:AD54" si="4">Z53+AB53</f>
        <v>0</v>
      </c>
    </row>
    <row r="54" spans="21:32" x14ac:dyDescent="0.3">
      <c r="Z54" s="3">
        <v>0</v>
      </c>
      <c r="AB54" s="3">
        <v>449.99999995540543</v>
      </c>
      <c r="AD54" s="37">
        <f t="shared" si="4"/>
        <v>449.99999995540543</v>
      </c>
    </row>
    <row r="56" spans="21:32" x14ac:dyDescent="0.3">
      <c r="U56" s="1" t="s">
        <v>164</v>
      </c>
      <c r="V56" s="32">
        <f t="array" ref="V56:X56">MMULT(V48:X48,AC36:AC38*_xlfn.MUNIT(3))</f>
        <v>0</v>
      </c>
      <c r="W56" s="33">
        <v>44.594594550000011</v>
      </c>
      <c r="X56" s="34">
        <v>405.40540540540542</v>
      </c>
      <c r="Z56" s="7">
        <f>AA20</f>
        <v>0</v>
      </c>
      <c r="AE56" s="1">
        <f>SUM(V56:Z56)</f>
        <v>449.99999995540543</v>
      </c>
      <c r="AF56" s="1" t="s">
        <v>168</v>
      </c>
    </row>
    <row r="57" spans="21:32" x14ac:dyDescent="0.3">
      <c r="AD57" s="1">
        <f>SUM(AD52:AD54)</f>
        <v>449.99999995540543</v>
      </c>
      <c r="AE57" s="1" t="s">
        <v>169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EB3-E14F-4F4F-8DBE-EC71A7231102}">
  <sheetPr>
    <tabColor theme="8" tint="0.59999389629810485"/>
  </sheetPr>
  <dimension ref="A1:AG57"/>
  <sheetViews>
    <sheetView showGridLines="0" zoomScale="99" workbookViewId="0">
      <selection activeCell="J5" sqref="J5"/>
    </sheetView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4" width="7.21875" style="1" customWidth="1"/>
    <col min="35" max="16384" width="9.21875" style="1"/>
  </cols>
  <sheetData>
    <row r="1" spans="1:32" x14ac:dyDescent="0.3">
      <c r="J1" s="2" t="s">
        <v>34</v>
      </c>
      <c r="K1" s="2" t="s">
        <v>35</v>
      </c>
      <c r="X1" s="2" t="s">
        <v>34</v>
      </c>
      <c r="Y1" s="2" t="s">
        <v>35</v>
      </c>
    </row>
    <row r="2" spans="1:32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37</v>
      </c>
      <c r="K2" s="2" t="s">
        <v>38</v>
      </c>
      <c r="M2" s="2" t="s">
        <v>10</v>
      </c>
      <c r="O2" s="11" t="s">
        <v>11</v>
      </c>
      <c r="R2" s="1" t="s">
        <v>12</v>
      </c>
      <c r="S2" s="2" t="s">
        <v>36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37</v>
      </c>
      <c r="Y2" s="2" t="s">
        <v>38</v>
      </c>
    </row>
    <row r="3" spans="1:32" x14ac:dyDescent="0.3">
      <c r="A3" s="1" t="s">
        <v>116</v>
      </c>
      <c r="B3" s="10" t="s">
        <v>39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9">
        <v>0.1</v>
      </c>
      <c r="I3" s="9">
        <v>0</v>
      </c>
      <c r="J3" s="9">
        <v>1</v>
      </c>
      <c r="K3" s="9">
        <v>0</v>
      </c>
      <c r="M3" s="4">
        <v>0</v>
      </c>
      <c r="O3" s="8">
        <f t="array" ref="O3:O8">MMULT($E$27:$K$32-$E$3:$K$8,TRANSPOSE($E$23:$K$23))</f>
        <v>2.9999998929497451E-8</v>
      </c>
      <c r="R3" s="1" t="s">
        <v>36</v>
      </c>
      <c r="S3" s="1">
        <f t="array" ref="S3:Y8">MMULT(E3:K8,E23:K23*_xlfn.MUNIT(7))</f>
        <v>0</v>
      </c>
      <c r="T3" s="1">
        <v>0</v>
      </c>
      <c r="U3" s="1">
        <v>0</v>
      </c>
      <c r="V3" s="3">
        <v>0.82742316999999999</v>
      </c>
      <c r="W3" s="3">
        <v>0</v>
      </c>
      <c r="X3" s="3">
        <v>7.4468085000000004</v>
      </c>
      <c r="Y3" s="3">
        <v>0</v>
      </c>
    </row>
    <row r="4" spans="1:32" x14ac:dyDescent="0.3">
      <c r="B4" s="10" t="s">
        <v>40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v>0</v>
      </c>
      <c r="K4" s="9">
        <v>1</v>
      </c>
      <c r="M4" s="4">
        <v>0</v>
      </c>
      <c r="O4" s="8">
        <v>0</v>
      </c>
      <c r="R4" s="1" t="s">
        <v>5</v>
      </c>
      <c r="S4" s="1">
        <v>0</v>
      </c>
      <c r="T4" s="1">
        <v>0</v>
      </c>
      <c r="U4" s="1">
        <v>0</v>
      </c>
      <c r="V4" s="3">
        <v>0</v>
      </c>
      <c r="W4" s="3">
        <v>0</v>
      </c>
      <c r="X4" s="3">
        <v>0</v>
      </c>
      <c r="Y4" s="3">
        <v>3.1914894</v>
      </c>
    </row>
    <row r="5" spans="1:32" x14ac:dyDescent="0.3">
      <c r="B5" s="10" t="s">
        <v>41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9">
        <v>0</v>
      </c>
      <c r="I5" s="9">
        <v>0.2</v>
      </c>
      <c r="J5" s="9">
        <v>0</v>
      </c>
      <c r="K5" s="9">
        <v>0</v>
      </c>
      <c r="M5" s="4">
        <v>10</v>
      </c>
      <c r="O5" s="8">
        <v>10.000000120000001</v>
      </c>
      <c r="R5" s="1" t="s">
        <v>6</v>
      </c>
      <c r="S5" s="1">
        <v>0</v>
      </c>
      <c r="T5" s="1">
        <v>0</v>
      </c>
      <c r="U5" s="1">
        <v>0</v>
      </c>
      <c r="V5" s="3">
        <v>0</v>
      </c>
      <c r="W5" s="9">
        <v>0.6382978800000001</v>
      </c>
      <c r="X5" s="3">
        <v>0</v>
      </c>
      <c r="Y5" s="3">
        <v>0</v>
      </c>
    </row>
    <row r="6" spans="1:32" x14ac:dyDescent="0.3">
      <c r="A6" s="1" t="s">
        <v>19</v>
      </c>
      <c r="B6" s="10" t="s">
        <v>20</v>
      </c>
      <c r="C6" s="1" t="s">
        <v>60</v>
      </c>
      <c r="D6" s="1" t="s">
        <v>7</v>
      </c>
      <c r="E6" s="9">
        <v>1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M6" s="1">
        <v>0</v>
      </c>
      <c r="O6" s="27">
        <v>0</v>
      </c>
      <c r="R6" s="1" t="s">
        <v>7</v>
      </c>
      <c r="S6" s="3">
        <v>8.2742316999999996</v>
      </c>
      <c r="T6" s="3">
        <v>0</v>
      </c>
      <c r="U6" s="3">
        <v>0</v>
      </c>
      <c r="V6" s="1">
        <v>0</v>
      </c>
      <c r="W6" s="1">
        <v>0</v>
      </c>
      <c r="X6" s="1">
        <v>0</v>
      </c>
      <c r="Y6" s="1">
        <v>0</v>
      </c>
    </row>
    <row r="7" spans="1:32" x14ac:dyDescent="0.3">
      <c r="B7" s="10" t="s">
        <v>42</v>
      </c>
      <c r="C7" s="1" t="s">
        <v>60</v>
      </c>
      <c r="D7" s="1" t="s">
        <v>8</v>
      </c>
      <c r="E7" s="9">
        <v>0</v>
      </c>
      <c r="F7" s="9">
        <v>1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M7" s="1">
        <v>0</v>
      </c>
      <c r="O7" s="27">
        <v>0</v>
      </c>
      <c r="R7" s="1" t="s">
        <v>8</v>
      </c>
      <c r="S7" s="3">
        <v>0</v>
      </c>
      <c r="T7" s="3">
        <v>3.1914894</v>
      </c>
      <c r="U7" s="3">
        <v>0</v>
      </c>
      <c r="V7" s="1">
        <v>0</v>
      </c>
      <c r="W7" s="1">
        <v>0</v>
      </c>
      <c r="X7" s="1">
        <v>0</v>
      </c>
      <c r="Y7" s="1">
        <v>0</v>
      </c>
    </row>
    <row r="8" spans="1:32" x14ac:dyDescent="0.3">
      <c r="B8" s="10" t="s">
        <v>43</v>
      </c>
      <c r="C8" s="1" t="s">
        <v>60</v>
      </c>
      <c r="D8" s="1" t="s">
        <v>9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M8" s="1">
        <v>0</v>
      </c>
      <c r="O8" s="27">
        <v>-1.0000000028043132E-7</v>
      </c>
      <c r="R8" s="1" t="s">
        <v>9</v>
      </c>
      <c r="S8" s="3">
        <v>0</v>
      </c>
      <c r="T8" s="3">
        <v>0</v>
      </c>
      <c r="U8" s="3">
        <v>10.638298000000001</v>
      </c>
      <c r="V8" s="1">
        <v>0</v>
      </c>
      <c r="W8" s="1">
        <v>0</v>
      </c>
      <c r="X8" s="1">
        <v>0</v>
      </c>
      <c r="Y8" s="1">
        <v>0</v>
      </c>
    </row>
    <row r="9" spans="1:32" x14ac:dyDescent="0.3">
      <c r="E9" s="10"/>
      <c r="F9" s="10"/>
      <c r="G9" s="10"/>
      <c r="H9" s="10"/>
      <c r="I9" s="10"/>
      <c r="J9" s="10"/>
      <c r="K9" s="10"/>
      <c r="O9" s="27"/>
    </row>
    <row r="10" spans="1:32" x14ac:dyDescent="0.3">
      <c r="A10" s="1" t="s">
        <v>116</v>
      </c>
      <c r="B10" s="1" t="s">
        <v>24</v>
      </c>
      <c r="C10" s="1" t="s">
        <v>121</v>
      </c>
      <c r="D10" s="1" t="s">
        <v>45</v>
      </c>
      <c r="E10" s="27">
        <v>0</v>
      </c>
      <c r="F10" s="27">
        <v>0</v>
      </c>
      <c r="G10" s="27">
        <v>0</v>
      </c>
      <c r="H10" s="8">
        <v>2</v>
      </c>
      <c r="I10" s="8">
        <v>2.5</v>
      </c>
      <c r="J10" s="8">
        <v>0</v>
      </c>
      <c r="K10" s="8">
        <v>0</v>
      </c>
      <c r="R10" s="1" t="s">
        <v>45</v>
      </c>
      <c r="S10" s="1">
        <f t="array" ref="S10:Y10">MMULT(E10:K10,E23:K23*_xlfn.MUNIT(7))</f>
        <v>0</v>
      </c>
      <c r="T10" s="1">
        <v>0</v>
      </c>
      <c r="U10" s="1">
        <v>0</v>
      </c>
      <c r="V10" s="3">
        <v>16.548463399999999</v>
      </c>
      <c r="W10" s="3">
        <v>7.9787235000000001</v>
      </c>
      <c r="X10" s="3">
        <v>0</v>
      </c>
      <c r="Y10" s="3">
        <v>0</v>
      </c>
      <c r="AA10" s="1">
        <f>SUM(V10:Y10)</f>
        <v>24.5271869</v>
      </c>
      <c r="AB10" s="6" t="s">
        <v>92</v>
      </c>
      <c r="AD10" s="27">
        <v>0.3</v>
      </c>
      <c r="AE10" s="1" t="s">
        <v>660</v>
      </c>
      <c r="AF10" s="27"/>
    </row>
    <row r="11" spans="1:32" x14ac:dyDescent="0.3">
      <c r="AD11" s="1">
        <f>AD10*U8</f>
        <v>3.1914894</v>
      </c>
      <c r="AE11" s="1" t="s">
        <v>661</v>
      </c>
      <c r="AF11" s="27"/>
    </row>
    <row r="12" spans="1:32" x14ac:dyDescent="0.3">
      <c r="A12" s="1" t="s">
        <v>116</v>
      </c>
      <c r="B12" s="1" t="s">
        <v>44</v>
      </c>
      <c r="C12" s="1" t="s">
        <v>151</v>
      </c>
      <c r="D12" s="1" t="s">
        <v>152</v>
      </c>
      <c r="E12" s="4">
        <v>15</v>
      </c>
      <c r="F12" s="4">
        <v>0</v>
      </c>
      <c r="G12" s="28">
        <v>0</v>
      </c>
      <c r="H12" s="1">
        <v>0</v>
      </c>
      <c r="I12" s="1">
        <v>0</v>
      </c>
      <c r="J12" s="1">
        <v>0</v>
      </c>
      <c r="K12" s="1">
        <v>0</v>
      </c>
      <c r="R12" s="1" t="s">
        <v>152</v>
      </c>
      <c r="S12" s="108">
        <f t="array" ref="S12:Y13">MMULT(E12:K13,E23:K23*_xlfn.MUNIT(7))</f>
        <v>124.11347549999999</v>
      </c>
      <c r="T12" s="108">
        <v>0</v>
      </c>
      <c r="U12" s="108">
        <v>0</v>
      </c>
      <c r="V12" s="180">
        <v>0</v>
      </c>
      <c r="W12" s="180">
        <v>0</v>
      </c>
      <c r="X12" s="180">
        <v>0</v>
      </c>
      <c r="Y12" s="180">
        <v>0</v>
      </c>
    </row>
    <row r="13" spans="1:32" x14ac:dyDescent="0.3">
      <c r="C13" s="1" t="s">
        <v>153</v>
      </c>
      <c r="D13" s="1" t="s">
        <v>154</v>
      </c>
      <c r="E13" s="1">
        <v>0</v>
      </c>
      <c r="F13" s="1">
        <v>0</v>
      </c>
      <c r="G13" s="1">
        <v>0</v>
      </c>
      <c r="H13" s="4">
        <v>0</v>
      </c>
      <c r="I13" s="4">
        <v>0</v>
      </c>
      <c r="J13" s="28">
        <v>0</v>
      </c>
      <c r="K13" s="28">
        <v>0</v>
      </c>
      <c r="R13" s="1" t="s">
        <v>154</v>
      </c>
      <c r="S13" s="180">
        <v>0</v>
      </c>
      <c r="T13" s="180">
        <v>0</v>
      </c>
      <c r="U13" s="180">
        <v>0</v>
      </c>
      <c r="V13" s="108">
        <v>0</v>
      </c>
      <c r="W13" s="108">
        <v>0</v>
      </c>
      <c r="X13" s="108">
        <v>0</v>
      </c>
      <c r="Y13" s="108">
        <v>0</v>
      </c>
    </row>
    <row r="15" spans="1:32" x14ac:dyDescent="0.3">
      <c r="AA15" s="1" t="s">
        <v>155</v>
      </c>
      <c r="AC15" s="1" t="s">
        <v>156</v>
      </c>
    </row>
    <row r="16" spans="1:32" x14ac:dyDescent="0.3">
      <c r="B16" s="1" t="s">
        <v>124</v>
      </c>
      <c r="D16" s="1" t="s">
        <v>158</v>
      </c>
      <c r="H16" s="3">
        <v>1</v>
      </c>
      <c r="I16" s="3"/>
      <c r="J16" s="3">
        <v>1</v>
      </c>
      <c r="K16" s="3"/>
      <c r="Q16" s="10"/>
      <c r="R16" s="1" t="s">
        <v>159</v>
      </c>
      <c r="U16" s="1" t="s">
        <v>36</v>
      </c>
      <c r="V16" s="3">
        <f t="array" ref="V16:Y18">H16:K18*V3:Y5*TRANSPOSE(E12:G12)</f>
        <v>12.41134755</v>
      </c>
      <c r="W16" s="3">
        <v>0</v>
      </c>
      <c r="X16" s="3">
        <v>111.7021275</v>
      </c>
      <c r="Y16" s="3">
        <v>0</v>
      </c>
      <c r="AA16" s="3">
        <f t="array" ref="AA16:AA18">M3:M5*TRANSPOSE(E12:G12)</f>
        <v>0</v>
      </c>
      <c r="AC16" s="35">
        <f>SUM(V16:Y16,AA16)</f>
        <v>124.11347505000001</v>
      </c>
    </row>
    <row r="17" spans="2:33" x14ac:dyDescent="0.3">
      <c r="H17" s="3"/>
      <c r="I17" s="3"/>
      <c r="J17" s="3"/>
      <c r="K17" s="3"/>
      <c r="Q17" s="10"/>
      <c r="U17" s="1" t="s">
        <v>5</v>
      </c>
      <c r="V17" s="3">
        <v>0</v>
      </c>
      <c r="W17" s="3">
        <v>0</v>
      </c>
      <c r="X17" s="3">
        <v>0</v>
      </c>
      <c r="Y17" s="3">
        <v>0</v>
      </c>
      <c r="AA17" s="3">
        <v>0</v>
      </c>
      <c r="AC17" s="36">
        <f t="shared" ref="AC17:AC18" si="0">SUM(V17:Y17,AA17)</f>
        <v>0</v>
      </c>
    </row>
    <row r="18" spans="2:33" x14ac:dyDescent="0.3">
      <c r="H18" s="3"/>
      <c r="I18" s="3"/>
      <c r="J18" s="3"/>
      <c r="K18" s="3"/>
      <c r="Q18" s="10"/>
      <c r="U18" s="1" t="s">
        <v>6</v>
      </c>
      <c r="V18" s="3">
        <v>0</v>
      </c>
      <c r="W18" s="3">
        <v>0</v>
      </c>
      <c r="X18" s="3">
        <v>0</v>
      </c>
      <c r="Y18" s="3">
        <v>0</v>
      </c>
      <c r="AA18" s="3">
        <v>0</v>
      </c>
      <c r="AC18" s="37">
        <f t="shared" si="0"/>
        <v>0</v>
      </c>
    </row>
    <row r="20" spans="2:33" x14ac:dyDescent="0.3">
      <c r="E20" s="1" t="s">
        <v>663</v>
      </c>
      <c r="U20" s="1" t="s">
        <v>160</v>
      </c>
      <c r="V20" s="32">
        <f>SUM(V16:V18)</f>
        <v>12.41134755</v>
      </c>
      <c r="W20" s="33">
        <f t="shared" ref="W20:AA20" si="1">SUM(W16:W18)</f>
        <v>0</v>
      </c>
      <c r="X20" s="33">
        <f t="shared" si="1"/>
        <v>111.7021275</v>
      </c>
      <c r="Y20" s="33">
        <f t="shared" si="1"/>
        <v>0</v>
      </c>
      <c r="Z20" s="33"/>
      <c r="AA20" s="34">
        <f t="shared" si="1"/>
        <v>0</v>
      </c>
      <c r="AD20" s="1">
        <f>SUM(V20:Y20,AA20)</f>
        <v>124.11347505000001</v>
      </c>
    </row>
    <row r="21" spans="2:33" x14ac:dyDescent="0.3">
      <c r="E21" s="1" t="s">
        <v>664</v>
      </c>
      <c r="AC21" s="1">
        <f>SUM(AC16:AC18)</f>
        <v>124.11347505000001</v>
      </c>
    </row>
    <row r="23" spans="2:33" x14ac:dyDescent="0.3">
      <c r="B23" s="1" t="s">
        <v>25</v>
      </c>
      <c r="C23" s="1" t="s">
        <v>60</v>
      </c>
      <c r="D23" s="6" t="s">
        <v>26</v>
      </c>
      <c r="E23" s="109">
        <v>8.2742316999999996</v>
      </c>
      <c r="F23" s="109">
        <v>3.1914894</v>
      </c>
      <c r="G23" s="109">
        <v>10.638298000000001</v>
      </c>
      <c r="H23" s="109">
        <v>8.2742316999999996</v>
      </c>
      <c r="I23" s="109">
        <v>3.1914894</v>
      </c>
      <c r="J23" s="109">
        <v>7.4468085000000004</v>
      </c>
      <c r="K23" s="109">
        <v>3.1914894</v>
      </c>
      <c r="L23" s="27"/>
      <c r="R23" s="1" t="s">
        <v>658</v>
      </c>
      <c r="AA23" s="1" t="s">
        <v>155</v>
      </c>
      <c r="AC23" s="1" t="s">
        <v>156</v>
      </c>
    </row>
    <row r="24" spans="2:33" x14ac:dyDescent="0.3">
      <c r="R24" s="1" t="s">
        <v>159</v>
      </c>
      <c r="U24" s="1" t="s">
        <v>36</v>
      </c>
      <c r="V24" s="3">
        <f t="array" ref="V24:W25">V16:W17</f>
        <v>12.41134755</v>
      </c>
      <c r="W24" s="3">
        <v>0</v>
      </c>
      <c r="X24" s="3">
        <f t="array" ref="X24:Y25">0</f>
        <v>0</v>
      </c>
      <c r="Y24" s="3">
        <v>0</v>
      </c>
      <c r="AA24" s="3">
        <f t="array" ref="AA24:AA25">AA16:AA17</f>
        <v>0</v>
      </c>
      <c r="AC24" s="35">
        <f>SUM(V24:Y24,AA24)</f>
        <v>12.41134755</v>
      </c>
    </row>
    <row r="25" spans="2:33" x14ac:dyDescent="0.3">
      <c r="U25" s="1" t="s">
        <v>5</v>
      </c>
      <c r="V25" s="3">
        <v>0</v>
      </c>
      <c r="W25" s="3">
        <v>0</v>
      </c>
      <c r="X25" s="3">
        <v>0</v>
      </c>
      <c r="Y25" s="3">
        <v>0</v>
      </c>
      <c r="AA25" s="3">
        <v>0</v>
      </c>
      <c r="AC25" s="36">
        <f t="shared" ref="AC25:AC26" si="2">SUM(V25:Y25,AA25)</f>
        <v>0</v>
      </c>
      <c r="AF25" s="1" t="s">
        <v>662</v>
      </c>
    </row>
    <row r="26" spans="2:33" x14ac:dyDescent="0.3">
      <c r="D26" s="1" t="s">
        <v>49</v>
      </c>
      <c r="E26" s="2" t="s">
        <v>36</v>
      </c>
      <c r="F26" s="2" t="s">
        <v>5</v>
      </c>
      <c r="G26" s="2" t="s">
        <v>125</v>
      </c>
      <c r="H26" s="2" t="s">
        <v>126</v>
      </c>
      <c r="I26" s="2" t="s">
        <v>127</v>
      </c>
      <c r="J26" s="2" t="s">
        <v>128</v>
      </c>
      <c r="K26" s="2" t="s">
        <v>129</v>
      </c>
      <c r="U26" s="1" t="s">
        <v>6</v>
      </c>
      <c r="V26" s="3">
        <f t="array" ref="V26:Y26">V5:Y5*AF26</f>
        <v>0</v>
      </c>
      <c r="W26" s="3">
        <v>6.7021277129999994</v>
      </c>
      <c r="X26" s="3">
        <v>0</v>
      </c>
      <c r="Y26" s="3">
        <v>0</v>
      </c>
      <c r="AA26" s="3">
        <f t="array" ref="AA26">M5*AF26</f>
        <v>104.99999957699998</v>
      </c>
      <c r="AC26" s="37">
        <f t="shared" si="2"/>
        <v>111.70212728999998</v>
      </c>
      <c r="AF26" s="27">
        <f>(E12*J23+F12*K23)/(J23+K23)</f>
        <v>10.499999957699998</v>
      </c>
      <c r="AG26" s="1" t="s">
        <v>659</v>
      </c>
    </row>
    <row r="27" spans="2:33" x14ac:dyDescent="0.3">
      <c r="D27" s="1" t="s">
        <v>36</v>
      </c>
      <c r="E27" s="1">
        <v>1</v>
      </c>
      <c r="F27" s="1">
        <v>0</v>
      </c>
      <c r="G27" s="1">
        <v>0</v>
      </c>
      <c r="H27" s="9">
        <v>0</v>
      </c>
      <c r="I27" s="9">
        <v>0</v>
      </c>
      <c r="J27" s="9">
        <v>0</v>
      </c>
      <c r="K27" s="9">
        <v>0</v>
      </c>
    </row>
    <row r="28" spans="2:33" x14ac:dyDescent="0.3">
      <c r="D28" s="1" t="s">
        <v>5</v>
      </c>
      <c r="E28" s="1">
        <v>0</v>
      </c>
      <c r="F28" s="1">
        <v>1</v>
      </c>
      <c r="G28" s="1">
        <v>0</v>
      </c>
      <c r="H28" s="9">
        <v>0</v>
      </c>
      <c r="I28" s="9">
        <v>0</v>
      </c>
      <c r="J28" s="9">
        <v>0</v>
      </c>
      <c r="K28" s="9">
        <v>0</v>
      </c>
      <c r="U28" s="1" t="s">
        <v>160</v>
      </c>
      <c r="V28" s="32">
        <f>SUM(V24:V26)</f>
        <v>12.41134755</v>
      </c>
      <c r="W28" s="33">
        <f t="shared" ref="W28:Y28" si="3">SUM(W24:W26)</f>
        <v>6.7021277129999994</v>
      </c>
      <c r="X28" s="33">
        <f t="shared" si="3"/>
        <v>0</v>
      </c>
      <c r="Y28" s="33">
        <f t="shared" si="3"/>
        <v>0</v>
      </c>
      <c r="Z28" s="33"/>
      <c r="AA28" s="34">
        <f>SUM(AA24:AA26)</f>
        <v>104.99999957699998</v>
      </c>
    </row>
    <row r="29" spans="2:33" x14ac:dyDescent="0.3">
      <c r="D29" s="1" t="s">
        <v>6</v>
      </c>
      <c r="E29" s="1">
        <v>0</v>
      </c>
      <c r="F29" s="1">
        <v>0</v>
      </c>
      <c r="G29" s="1">
        <v>1</v>
      </c>
      <c r="H29" s="9">
        <v>0</v>
      </c>
      <c r="I29" s="9">
        <v>0</v>
      </c>
      <c r="J29" s="9">
        <v>0</v>
      </c>
      <c r="K29" s="9">
        <v>0</v>
      </c>
    </row>
    <row r="30" spans="2:33" x14ac:dyDescent="0.3">
      <c r="D30" s="1" t="s">
        <v>7</v>
      </c>
      <c r="E30" s="3">
        <v>0</v>
      </c>
      <c r="F30" s="3">
        <v>0</v>
      </c>
      <c r="G30" s="3">
        <v>0</v>
      </c>
      <c r="H30" s="1">
        <v>1</v>
      </c>
      <c r="I30" s="1">
        <v>0</v>
      </c>
      <c r="J30" s="1">
        <v>0</v>
      </c>
      <c r="K30" s="1">
        <v>0</v>
      </c>
    </row>
    <row r="31" spans="2:33" x14ac:dyDescent="0.3">
      <c r="D31" s="1" t="s">
        <v>8</v>
      </c>
      <c r="E31" s="3">
        <v>0</v>
      </c>
      <c r="F31" s="3">
        <v>0</v>
      </c>
      <c r="G31" s="3">
        <v>0</v>
      </c>
      <c r="H31" s="1">
        <v>0</v>
      </c>
      <c r="I31" s="1">
        <v>1</v>
      </c>
      <c r="J31" s="1">
        <v>0</v>
      </c>
      <c r="K31" s="1">
        <v>0</v>
      </c>
    </row>
    <row r="32" spans="2:33" x14ac:dyDescent="0.3">
      <c r="D32" s="1" t="s">
        <v>9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1</v>
      </c>
      <c r="K32" s="1">
        <v>1</v>
      </c>
    </row>
    <row r="33" spans="21:29" x14ac:dyDescent="0.3">
      <c r="U33" s="1" t="s">
        <v>161</v>
      </c>
    </row>
    <row r="35" spans="21:29" x14ac:dyDescent="0.3">
      <c r="U35" s="1" t="s">
        <v>162</v>
      </c>
      <c r="V35" s="2" t="s">
        <v>7</v>
      </c>
      <c r="W35" s="2" t="s">
        <v>8</v>
      </c>
      <c r="X35" s="2" t="s">
        <v>9</v>
      </c>
      <c r="Z35" s="2" t="s">
        <v>10</v>
      </c>
      <c r="AB35" s="1" t="s">
        <v>26</v>
      </c>
      <c r="AC35" s="1" t="s">
        <v>163</v>
      </c>
    </row>
    <row r="36" spans="21:29" x14ac:dyDescent="0.3">
      <c r="U36" s="1" t="s">
        <v>36</v>
      </c>
      <c r="V36" s="3">
        <f t="array" ref="V36:X38">MMULT(MMULT(E6:G8,V3:Y5),TRANSPOSE(H30:K32))</f>
        <v>0.82742316999999999</v>
      </c>
      <c r="W36" s="3">
        <v>0</v>
      </c>
      <c r="X36" s="3">
        <v>7.4468085000000004</v>
      </c>
      <c r="Z36" s="3">
        <f t="array" ref="Z36:Z38">M3:M5</f>
        <v>0</v>
      </c>
      <c r="AB36" s="1">
        <f>SUM(V36:X36,Z36)</f>
        <v>8.2742316700000007</v>
      </c>
      <c r="AC36" s="3">
        <f>IF(AB36=0,1,AB36)</f>
        <v>8.2742316700000007</v>
      </c>
    </row>
    <row r="37" spans="21:29" x14ac:dyDescent="0.3">
      <c r="U37" s="1" t="s">
        <v>5</v>
      </c>
      <c r="V37" s="3">
        <v>0</v>
      </c>
      <c r="W37" s="3">
        <v>0</v>
      </c>
      <c r="X37" s="3">
        <v>3.1914894</v>
      </c>
      <c r="Z37" s="3">
        <v>0</v>
      </c>
      <c r="AB37" s="1">
        <f t="shared" ref="AB37:AB38" si="4">SUM(V37:X37,Z37)</f>
        <v>3.1914894</v>
      </c>
      <c r="AC37" s="3">
        <f t="shared" ref="AC37:AC38" si="5">IF(AB37=0,1,AB37)</f>
        <v>3.1914894</v>
      </c>
    </row>
    <row r="38" spans="21:29" x14ac:dyDescent="0.3">
      <c r="U38" s="1" t="s">
        <v>6</v>
      </c>
      <c r="V38" s="3">
        <v>0</v>
      </c>
      <c r="W38" s="3">
        <v>0.6382978800000001</v>
      </c>
      <c r="X38" s="3">
        <v>0</v>
      </c>
      <c r="Z38" s="3">
        <v>10</v>
      </c>
      <c r="AB38" s="1">
        <f t="shared" si="4"/>
        <v>10.63829788</v>
      </c>
      <c r="AC38" s="3">
        <f t="shared" si="5"/>
        <v>10.63829788</v>
      </c>
    </row>
    <row r="40" spans="21:29" x14ac:dyDescent="0.3">
      <c r="U40" s="1" t="s">
        <v>164</v>
      </c>
      <c r="V40" s="3">
        <f t="array" ref="V40:X40">MMULT(V20:Y20,TRANSPOSE(H30:K32))</f>
        <v>12.41134755</v>
      </c>
      <c r="W40" s="3">
        <v>0</v>
      </c>
      <c r="X40" s="3">
        <v>111.7021275</v>
      </c>
    </row>
    <row r="43" spans="21:29" x14ac:dyDescent="0.3">
      <c r="U43" s="1" t="s">
        <v>165</v>
      </c>
      <c r="V43" s="2" t="s">
        <v>7</v>
      </c>
      <c r="W43" s="2" t="s">
        <v>8</v>
      </c>
      <c r="X43" s="2" t="s">
        <v>9</v>
      </c>
    </row>
    <row r="44" spans="21:29" x14ac:dyDescent="0.3">
      <c r="U44" s="1" t="s">
        <v>36</v>
      </c>
      <c r="V44" s="8">
        <f t="array" ref="V44:X46">MMULT(V36:X38,MINVERSE(AC36:AC38*_xlfn.MUNIT(3)))</f>
        <v>0.10000000036257142</v>
      </c>
      <c r="W44" s="8">
        <v>0</v>
      </c>
      <c r="X44" s="8">
        <v>0.69999999849600003</v>
      </c>
    </row>
    <row r="45" spans="21:29" x14ac:dyDescent="0.3">
      <c r="U45" s="1" t="s">
        <v>5</v>
      </c>
      <c r="V45" s="8">
        <v>0</v>
      </c>
      <c r="W45" s="185">
        <v>0</v>
      </c>
      <c r="X45" s="8">
        <v>0.30000000338400001</v>
      </c>
    </row>
    <row r="46" spans="21:29" x14ac:dyDescent="0.3">
      <c r="U46" s="1" t="s">
        <v>6</v>
      </c>
      <c r="V46" s="8">
        <v>0</v>
      </c>
      <c r="W46" s="185">
        <v>0.20000000000000004</v>
      </c>
      <c r="X46" s="8">
        <v>0</v>
      </c>
    </row>
    <row r="47" spans="21:29" x14ac:dyDescent="0.3">
      <c r="W47" s="2"/>
    </row>
    <row r="48" spans="21:29" x14ac:dyDescent="0.3">
      <c r="U48" s="1" t="s">
        <v>166</v>
      </c>
      <c r="V48" s="8">
        <f t="array" ref="V48:X48">MMULT(V40:X40,MINVERSE(AC36:AC38*_xlfn.MUNIT(3)))</f>
        <v>1.5000000054385714</v>
      </c>
      <c r="W48" s="8">
        <v>0</v>
      </c>
      <c r="X48" s="8">
        <v>10.49999997744</v>
      </c>
    </row>
    <row r="51" spans="21:32" x14ac:dyDescent="0.3">
      <c r="Z51" s="1" t="s">
        <v>132</v>
      </c>
      <c r="AB51" s="1" t="s">
        <v>131</v>
      </c>
      <c r="AD51" s="1" t="s">
        <v>167</v>
      </c>
    </row>
    <row r="52" spans="21:32" x14ac:dyDescent="0.3">
      <c r="Z52" s="3">
        <f t="array" ref="Z52:Z54">AA16:AA18</f>
        <v>0</v>
      </c>
      <c r="AB52" s="3">
        <f t="array" ref="AB52:AB54">MMULT(MMULT(V48:X48,MINVERSE(_xlfn.MUNIT(3)-V44:X46))*_xlfn.MUNIT(3),Z36:Z38)</f>
        <v>0</v>
      </c>
      <c r="AD52" s="35">
        <f>Z52+AB52</f>
        <v>0</v>
      </c>
    </row>
    <row r="53" spans="21:32" x14ac:dyDescent="0.3">
      <c r="Z53" s="3">
        <v>0</v>
      </c>
      <c r="AB53" s="3">
        <v>0</v>
      </c>
      <c r="AD53" s="36">
        <f t="shared" ref="AD53:AD54" si="6">Z53+AB53</f>
        <v>0</v>
      </c>
    </row>
    <row r="54" spans="21:32" x14ac:dyDescent="0.3">
      <c r="Z54" s="3">
        <v>0</v>
      </c>
      <c r="AB54" s="3">
        <v>124.11347505000002</v>
      </c>
      <c r="AD54" s="37">
        <f t="shared" si="6"/>
        <v>124.11347505000002</v>
      </c>
    </row>
    <row r="56" spans="21:32" x14ac:dyDescent="0.3">
      <c r="U56" s="1" t="s">
        <v>164</v>
      </c>
      <c r="V56" s="32">
        <f t="array" ref="V56:X56">MMULT(V48:X48,AC36:AC38*_xlfn.MUNIT(3))</f>
        <v>12.41134755</v>
      </c>
      <c r="W56" s="33">
        <v>0</v>
      </c>
      <c r="X56" s="34">
        <v>111.70212749999999</v>
      </c>
      <c r="Z56" s="7">
        <f>AA20</f>
        <v>0</v>
      </c>
      <c r="AE56" s="1">
        <f>SUM(V56:Z56)</f>
        <v>124.11347504999999</v>
      </c>
      <c r="AF56" s="1" t="s">
        <v>168</v>
      </c>
    </row>
    <row r="57" spans="21:32" x14ac:dyDescent="0.3">
      <c r="AD57" s="1">
        <f>SUM(AD52:AD54)</f>
        <v>124.11347505000002</v>
      </c>
      <c r="AE57" s="1" t="s">
        <v>169</v>
      </c>
    </row>
  </sheetData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6F1F-32CD-4313-AE8B-90BF905D0F7D}">
  <sheetPr>
    <tabColor theme="8" tint="0.59999389629810485"/>
  </sheetPr>
  <dimension ref="A1:AF59"/>
  <sheetViews>
    <sheetView showGridLines="0" zoomScale="85" zoomScaleNormal="85" workbookViewId="0">
      <selection activeCell="P24" sqref="P24"/>
    </sheetView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4" width="7.21875" style="1" customWidth="1"/>
    <col min="35" max="16384" width="9.21875" style="1"/>
  </cols>
  <sheetData>
    <row r="1" spans="1:30" x14ac:dyDescent="0.3">
      <c r="J1" s="2" t="s">
        <v>112</v>
      </c>
      <c r="K1" s="2" t="s">
        <v>113</v>
      </c>
      <c r="X1" s="2" t="s">
        <v>112</v>
      </c>
      <c r="Y1" s="2" t="s">
        <v>113</v>
      </c>
    </row>
    <row r="2" spans="1:30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37</v>
      </c>
      <c r="K2" s="2" t="s">
        <v>38</v>
      </c>
      <c r="M2" s="2" t="s">
        <v>10</v>
      </c>
      <c r="O2" s="11" t="s">
        <v>11</v>
      </c>
      <c r="R2" s="1" t="s">
        <v>12</v>
      </c>
      <c r="S2" s="2" t="s">
        <v>36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37</v>
      </c>
      <c r="Y2" s="2" t="s">
        <v>38</v>
      </c>
    </row>
    <row r="3" spans="1:30" x14ac:dyDescent="0.3">
      <c r="A3" s="1" t="s">
        <v>116</v>
      </c>
      <c r="B3" s="1" t="s">
        <v>81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9">
        <v>0</v>
      </c>
      <c r="I3" s="9">
        <v>1.1000000000000001</v>
      </c>
      <c r="J3" s="9">
        <v>0</v>
      </c>
      <c r="K3" s="9">
        <v>0</v>
      </c>
      <c r="M3" s="4">
        <v>0</v>
      </c>
      <c r="O3" s="8">
        <f t="array" ref="O3:O8">MMULT($E$29:$K$34-$E$3:$K$8,TRANSPOSE($E$25:$K$25))</f>
        <v>0</v>
      </c>
      <c r="R3" s="1" t="s">
        <v>36</v>
      </c>
      <c r="S3" s="1">
        <f t="array" ref="S3:Y8">MMULT(E3:K8,E25:K25*_xlfn.MUNIT(7))</f>
        <v>0</v>
      </c>
      <c r="T3" s="1">
        <v>0</v>
      </c>
      <c r="U3" s="1">
        <v>0</v>
      </c>
      <c r="V3" s="3">
        <v>0</v>
      </c>
      <c r="W3" s="3">
        <v>34.375</v>
      </c>
      <c r="X3" s="3">
        <v>0</v>
      </c>
      <c r="Y3" s="3">
        <v>0</v>
      </c>
    </row>
    <row r="4" spans="1:30" x14ac:dyDescent="0.3">
      <c r="B4" s="1" t="s">
        <v>117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f>1/0.37</f>
        <v>2.7027027027027026</v>
      </c>
      <c r="K4" s="9">
        <f>1/0.32</f>
        <v>3.125</v>
      </c>
      <c r="M4" s="4">
        <v>10</v>
      </c>
      <c r="O4" s="8">
        <v>0</v>
      </c>
      <c r="R4" s="1" t="s">
        <v>5</v>
      </c>
      <c r="S4" s="1">
        <v>0</v>
      </c>
      <c r="T4" s="1">
        <v>0</v>
      </c>
      <c r="U4" s="1">
        <v>0</v>
      </c>
      <c r="V4" s="3">
        <v>0</v>
      </c>
      <c r="W4" s="3">
        <v>0</v>
      </c>
      <c r="X4" s="3">
        <v>0</v>
      </c>
      <c r="Y4" s="3">
        <v>31.25</v>
      </c>
    </row>
    <row r="5" spans="1:30" x14ac:dyDescent="0.3">
      <c r="B5" s="1" t="s">
        <v>17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M5" s="4">
        <v>10</v>
      </c>
      <c r="O5" s="8">
        <v>10</v>
      </c>
      <c r="R5" s="1" t="s">
        <v>6</v>
      </c>
      <c r="S5" s="1">
        <v>0</v>
      </c>
      <c r="T5" s="1">
        <v>0</v>
      </c>
      <c r="U5" s="1">
        <v>0</v>
      </c>
      <c r="V5" s="3">
        <v>0</v>
      </c>
      <c r="W5" s="3">
        <v>0</v>
      </c>
      <c r="X5" s="3">
        <v>0</v>
      </c>
      <c r="Y5" s="3">
        <v>0</v>
      </c>
    </row>
    <row r="6" spans="1:30" x14ac:dyDescent="0.3">
      <c r="A6" s="1" t="s">
        <v>19</v>
      </c>
      <c r="B6" s="1" t="s">
        <v>118</v>
      </c>
      <c r="C6" s="1" t="s">
        <v>60</v>
      </c>
      <c r="D6" s="1" t="s">
        <v>7</v>
      </c>
      <c r="E6" s="9">
        <v>1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M6" s="1">
        <v>0</v>
      </c>
      <c r="O6" s="27">
        <v>0</v>
      </c>
      <c r="R6" s="1" t="s">
        <v>7</v>
      </c>
      <c r="S6" s="3">
        <v>34.375</v>
      </c>
      <c r="T6" s="3">
        <v>0</v>
      </c>
      <c r="U6" s="3">
        <v>0</v>
      </c>
      <c r="V6" s="1">
        <v>0</v>
      </c>
      <c r="W6" s="1">
        <v>0</v>
      </c>
      <c r="X6" s="1">
        <v>0</v>
      </c>
      <c r="Y6" s="1">
        <v>0</v>
      </c>
    </row>
    <row r="7" spans="1:30" x14ac:dyDescent="0.3">
      <c r="B7" s="1" t="s">
        <v>119</v>
      </c>
      <c r="C7" s="1" t="s">
        <v>60</v>
      </c>
      <c r="D7" s="1" t="s">
        <v>8</v>
      </c>
      <c r="E7" s="9">
        <v>0</v>
      </c>
      <c r="F7" s="9">
        <v>1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M7" s="1">
        <v>0</v>
      </c>
      <c r="O7" s="27">
        <v>0</v>
      </c>
      <c r="R7" s="1" t="s">
        <v>8</v>
      </c>
      <c r="S7" s="3">
        <v>0</v>
      </c>
      <c r="T7" s="3">
        <v>31.25</v>
      </c>
      <c r="U7" s="3">
        <v>0</v>
      </c>
      <c r="V7" s="1">
        <v>0</v>
      </c>
      <c r="W7" s="1">
        <v>0</v>
      </c>
      <c r="X7" s="1">
        <v>0</v>
      </c>
      <c r="Y7" s="1">
        <v>0</v>
      </c>
    </row>
    <row r="8" spans="1:30" x14ac:dyDescent="0.3">
      <c r="B8" s="1" t="s">
        <v>120</v>
      </c>
      <c r="C8" s="1" t="s">
        <v>60</v>
      </c>
      <c r="D8" s="1" t="s">
        <v>9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M8" s="1">
        <v>0</v>
      </c>
      <c r="O8" s="27">
        <v>0</v>
      </c>
      <c r="R8" s="1" t="s">
        <v>9</v>
      </c>
      <c r="S8" s="3">
        <v>0</v>
      </c>
      <c r="T8" s="3">
        <v>0</v>
      </c>
      <c r="U8" s="3">
        <v>10</v>
      </c>
      <c r="V8" s="1">
        <v>0</v>
      </c>
      <c r="W8" s="1">
        <v>0</v>
      </c>
      <c r="X8" s="1">
        <v>0</v>
      </c>
      <c r="Y8" s="1">
        <v>0</v>
      </c>
    </row>
    <row r="9" spans="1:30" x14ac:dyDescent="0.3">
      <c r="E9" s="10"/>
      <c r="F9" s="10"/>
      <c r="G9" s="10"/>
      <c r="H9" s="10"/>
      <c r="I9" s="10"/>
      <c r="J9" s="10"/>
      <c r="K9" s="10"/>
      <c r="O9" s="27"/>
    </row>
    <row r="10" spans="1:30" x14ac:dyDescent="0.3">
      <c r="A10" s="1" t="s">
        <v>116</v>
      </c>
      <c r="B10" s="1" t="s">
        <v>24</v>
      </c>
      <c r="C10" s="1" t="s">
        <v>121</v>
      </c>
      <c r="D10" s="1" t="s">
        <v>45</v>
      </c>
      <c r="E10" s="27"/>
      <c r="F10" s="27"/>
      <c r="G10" s="27"/>
      <c r="H10" s="8">
        <v>2</v>
      </c>
      <c r="I10" s="8">
        <v>2.5</v>
      </c>
      <c r="J10" s="8">
        <v>3.5</v>
      </c>
      <c r="K10" s="8">
        <v>4.5</v>
      </c>
      <c r="M10" s="8">
        <v>0</v>
      </c>
      <c r="R10" s="1" t="s">
        <v>45</v>
      </c>
      <c r="V10" s="3">
        <f t="array" ref="V10:Y10">MMULT(H10:K10,H25:K25*_xlfn.MUNIT(4))</f>
        <v>68.75</v>
      </c>
      <c r="W10" s="3">
        <v>78.125</v>
      </c>
      <c r="X10" s="3">
        <v>0</v>
      </c>
      <c r="Y10" s="3">
        <v>45</v>
      </c>
      <c r="AA10" s="3">
        <f>M10*AA21</f>
        <v>0</v>
      </c>
    </row>
    <row r="11" spans="1:30" x14ac:dyDescent="0.3">
      <c r="B11" s="1" t="s">
        <v>170</v>
      </c>
      <c r="C11" s="1" t="s">
        <v>171</v>
      </c>
      <c r="D11" s="1" t="s">
        <v>46</v>
      </c>
      <c r="E11" s="27"/>
      <c r="F11" s="27"/>
      <c r="G11" s="27"/>
      <c r="H11" s="8">
        <v>1</v>
      </c>
      <c r="I11" s="8">
        <v>1</v>
      </c>
      <c r="J11" s="8">
        <v>1</v>
      </c>
      <c r="K11" s="8">
        <v>1</v>
      </c>
      <c r="M11" s="8">
        <v>0</v>
      </c>
      <c r="V11" s="3">
        <f t="array" ref="V11:Y11">MMULT(H11:K11,V22:Y22*_xlfn.MUNIT(4))</f>
        <v>0</v>
      </c>
      <c r="W11" s="3">
        <v>51.5625</v>
      </c>
      <c r="X11" s="3">
        <v>0</v>
      </c>
      <c r="Y11" s="3">
        <v>0</v>
      </c>
      <c r="AA11" s="3">
        <f>M11*AA22</f>
        <v>0</v>
      </c>
      <c r="AB11" s="6"/>
    </row>
    <row r="12" spans="1:30" x14ac:dyDescent="0.3">
      <c r="B12" s="1" t="s">
        <v>172</v>
      </c>
      <c r="C12" s="1" t="s">
        <v>64</v>
      </c>
      <c r="D12" s="1" t="s">
        <v>173</v>
      </c>
      <c r="E12" s="27"/>
      <c r="F12" s="27"/>
      <c r="G12" s="27"/>
      <c r="H12" s="8">
        <v>0</v>
      </c>
      <c r="I12" s="8">
        <v>0</v>
      </c>
      <c r="J12" s="8">
        <v>0</v>
      </c>
      <c r="K12" s="8">
        <v>0</v>
      </c>
      <c r="M12" s="8">
        <v>0</v>
      </c>
      <c r="V12" s="3">
        <f t="array" ref="V12:Y12">MMULT(H12:K12,V4:Y4*_xlfn.MUNIT(4))</f>
        <v>0</v>
      </c>
      <c r="W12" s="3">
        <v>0</v>
      </c>
      <c r="X12" s="3">
        <v>0</v>
      </c>
      <c r="Y12" s="3">
        <v>0</v>
      </c>
      <c r="AA12" s="3">
        <f>M12*M4</f>
        <v>0</v>
      </c>
      <c r="AB12" s="6"/>
    </row>
    <row r="13" spans="1:30" x14ac:dyDescent="0.3">
      <c r="AC13" s="1">
        <f t="array" ref="AC13">SUM(V10:Y11,AA11)</f>
        <v>243.4375</v>
      </c>
      <c r="AD13" s="6" t="s">
        <v>92</v>
      </c>
    </row>
    <row r="14" spans="1:30" x14ac:dyDescent="0.3">
      <c r="A14" s="1" t="s">
        <v>116</v>
      </c>
      <c r="B14" s="1" t="s">
        <v>44</v>
      </c>
      <c r="C14" s="1" t="s">
        <v>151</v>
      </c>
      <c r="D14" s="1" t="s">
        <v>152</v>
      </c>
      <c r="E14" s="4">
        <v>15</v>
      </c>
      <c r="F14" s="4">
        <v>15</v>
      </c>
      <c r="G14" s="28">
        <v>0</v>
      </c>
      <c r="H14" s="1">
        <v>0</v>
      </c>
      <c r="I14" s="1">
        <v>0</v>
      </c>
      <c r="J14" s="1">
        <v>0</v>
      </c>
      <c r="K14" s="1">
        <v>0</v>
      </c>
      <c r="R14" s="1" t="s">
        <v>152</v>
      </c>
      <c r="S14" s="108">
        <f t="array" ref="S14:Y15">MMULT(E14:K15,E25:K25*_xlfn.MUNIT(7))</f>
        <v>515.625</v>
      </c>
      <c r="T14" s="108">
        <v>468.75</v>
      </c>
      <c r="U14" s="108">
        <v>0</v>
      </c>
      <c r="V14" s="180">
        <v>0</v>
      </c>
      <c r="W14" s="180">
        <v>0</v>
      </c>
      <c r="X14" s="180">
        <v>0</v>
      </c>
      <c r="Y14" s="180">
        <v>0</v>
      </c>
    </row>
    <row r="15" spans="1:30" x14ac:dyDescent="0.3">
      <c r="C15" s="1" t="s">
        <v>153</v>
      </c>
      <c r="D15" s="1" t="s">
        <v>154</v>
      </c>
      <c r="E15" s="1">
        <v>0</v>
      </c>
      <c r="F15" s="1">
        <v>0</v>
      </c>
      <c r="G15" s="1">
        <v>0</v>
      </c>
      <c r="H15" s="4">
        <v>0</v>
      </c>
      <c r="I15" s="4">
        <v>0</v>
      </c>
      <c r="J15" s="28">
        <v>2.5</v>
      </c>
      <c r="K15" s="28">
        <v>0</v>
      </c>
      <c r="R15" s="1" t="s">
        <v>154</v>
      </c>
      <c r="S15" s="180">
        <v>0</v>
      </c>
      <c r="T15" s="180">
        <v>0</v>
      </c>
      <c r="U15" s="180">
        <v>0</v>
      </c>
      <c r="V15" s="108">
        <v>0</v>
      </c>
      <c r="W15" s="108">
        <v>0</v>
      </c>
      <c r="X15" s="108">
        <v>0</v>
      </c>
      <c r="Y15" s="108">
        <v>0</v>
      </c>
    </row>
    <row r="17" spans="2:30" x14ac:dyDescent="0.3">
      <c r="AA17" s="1" t="s">
        <v>155</v>
      </c>
      <c r="AC17" s="1" t="s">
        <v>156</v>
      </c>
    </row>
    <row r="18" spans="2:30" x14ac:dyDescent="0.3">
      <c r="B18" s="1" t="s">
        <v>124</v>
      </c>
      <c r="D18" s="1" t="s">
        <v>158</v>
      </c>
      <c r="H18" s="3">
        <v>1</v>
      </c>
      <c r="I18" s="28">
        <v>0.1</v>
      </c>
      <c r="J18" s="3">
        <v>1</v>
      </c>
      <c r="K18" s="3">
        <v>0</v>
      </c>
      <c r="R18" s="1" t="s">
        <v>159</v>
      </c>
      <c r="V18" s="3">
        <f t="array" ref="V18:Y20">H18:K20*V3:Y5*TRANSPOSE(E14:G14)</f>
        <v>0</v>
      </c>
      <c r="W18" s="3">
        <v>51.5625</v>
      </c>
      <c r="X18" s="3">
        <v>0</v>
      </c>
      <c r="Y18" s="3">
        <v>0</v>
      </c>
      <c r="AA18" s="3">
        <f t="array" ref="AA18:AA20">M3:M5*TRANSPOSE(E14:G14)</f>
        <v>0</v>
      </c>
      <c r="AC18" s="35">
        <f>SUM(V18:Y18,AA18)</f>
        <v>51.5625</v>
      </c>
    </row>
    <row r="19" spans="2:30" x14ac:dyDescent="0.3">
      <c r="H19" s="3">
        <v>1</v>
      </c>
      <c r="I19" s="3">
        <v>1</v>
      </c>
      <c r="J19" s="3">
        <v>1</v>
      </c>
      <c r="K19" s="3">
        <v>0</v>
      </c>
      <c r="V19" s="3">
        <v>0</v>
      </c>
      <c r="W19" s="3">
        <v>0</v>
      </c>
      <c r="X19" s="3">
        <v>0</v>
      </c>
      <c r="Y19" s="3">
        <v>0</v>
      </c>
      <c r="AA19" s="3">
        <v>150</v>
      </c>
      <c r="AC19" s="36">
        <f t="shared" ref="AC19:AC20" si="0">SUM(V19:Y19,AA19)</f>
        <v>150</v>
      </c>
    </row>
    <row r="20" spans="2:30" x14ac:dyDescent="0.3">
      <c r="H20" s="3">
        <v>1</v>
      </c>
      <c r="I20" s="3">
        <v>1</v>
      </c>
      <c r="J20" s="3">
        <v>1</v>
      </c>
      <c r="K20" s="3">
        <v>0</v>
      </c>
      <c r="V20" s="3">
        <v>0</v>
      </c>
      <c r="W20" s="3">
        <v>0</v>
      </c>
      <c r="X20" s="3">
        <v>0</v>
      </c>
      <c r="Y20" s="3">
        <v>0</v>
      </c>
      <c r="AA20" s="3">
        <v>0</v>
      </c>
      <c r="AC20" s="37">
        <f t="shared" si="0"/>
        <v>0</v>
      </c>
    </row>
    <row r="22" spans="2:30" x14ac:dyDescent="0.3">
      <c r="U22" s="1" t="s">
        <v>160</v>
      </c>
      <c r="V22" s="32">
        <f>SUM(V18:V20)</f>
        <v>0</v>
      </c>
      <c r="W22" s="33">
        <f t="shared" ref="W22:AA22" si="1">SUM(W18:W20)</f>
        <v>51.5625</v>
      </c>
      <c r="X22" s="33">
        <f t="shared" si="1"/>
        <v>0</v>
      </c>
      <c r="Y22" s="33">
        <f t="shared" si="1"/>
        <v>0</v>
      </c>
      <c r="Z22" s="33"/>
      <c r="AA22" s="34">
        <f t="shared" si="1"/>
        <v>150</v>
      </c>
      <c r="AD22" s="1">
        <f>SUM(V22:Y22,AA22)</f>
        <v>201.5625</v>
      </c>
    </row>
    <row r="23" spans="2:30" x14ac:dyDescent="0.3">
      <c r="AC23" s="1">
        <f>SUM(AC18:AC20)</f>
        <v>201.5625</v>
      </c>
    </row>
    <row r="25" spans="2:30" x14ac:dyDescent="0.3">
      <c r="B25" s="1" t="s">
        <v>25</v>
      </c>
      <c r="C25" s="1" t="s">
        <v>60</v>
      </c>
      <c r="D25" s="6" t="s">
        <v>26</v>
      </c>
      <c r="E25" s="109">
        <v>34.375</v>
      </c>
      <c r="F25" s="109">
        <v>31.25</v>
      </c>
      <c r="G25" s="109">
        <v>10</v>
      </c>
      <c r="H25" s="109">
        <v>34.375</v>
      </c>
      <c r="I25" s="109">
        <v>31.25</v>
      </c>
      <c r="J25" s="109">
        <v>0</v>
      </c>
      <c r="K25" s="109">
        <v>10</v>
      </c>
      <c r="L25" s="27"/>
    </row>
    <row r="28" spans="2:30" x14ac:dyDescent="0.3">
      <c r="D28" s="1" t="s">
        <v>49</v>
      </c>
      <c r="E28" s="2" t="s">
        <v>36</v>
      </c>
      <c r="F28" s="2" t="s">
        <v>5</v>
      </c>
      <c r="G28" s="2" t="s">
        <v>125</v>
      </c>
      <c r="H28" s="2" t="s">
        <v>126</v>
      </c>
      <c r="I28" s="2" t="s">
        <v>127</v>
      </c>
      <c r="J28" s="2" t="s">
        <v>128</v>
      </c>
      <c r="K28" s="2" t="s">
        <v>129</v>
      </c>
    </row>
    <row r="29" spans="2:30" x14ac:dyDescent="0.3">
      <c r="D29" s="1" t="s">
        <v>36</v>
      </c>
      <c r="E29" s="1">
        <v>1</v>
      </c>
      <c r="F29" s="1">
        <v>0</v>
      </c>
      <c r="G29" s="1">
        <v>0</v>
      </c>
      <c r="H29" s="9">
        <v>0</v>
      </c>
      <c r="I29" s="9">
        <v>0</v>
      </c>
      <c r="J29" s="9">
        <v>0</v>
      </c>
      <c r="K29" s="9">
        <v>0</v>
      </c>
    </row>
    <row r="30" spans="2:30" x14ac:dyDescent="0.3">
      <c r="D30" s="1" t="s">
        <v>5</v>
      </c>
      <c r="E30" s="1">
        <v>0</v>
      </c>
      <c r="F30" s="1">
        <v>1</v>
      </c>
      <c r="G30" s="1">
        <v>0</v>
      </c>
      <c r="H30" s="9">
        <v>0</v>
      </c>
      <c r="I30" s="9">
        <v>0</v>
      </c>
      <c r="J30" s="9">
        <v>0</v>
      </c>
      <c r="K30" s="9">
        <v>0</v>
      </c>
    </row>
    <row r="31" spans="2:30" x14ac:dyDescent="0.3">
      <c r="D31" s="1" t="s">
        <v>6</v>
      </c>
      <c r="E31" s="1">
        <v>0</v>
      </c>
      <c r="F31" s="1">
        <v>0</v>
      </c>
      <c r="G31" s="1">
        <v>1</v>
      </c>
      <c r="H31" s="9">
        <v>0</v>
      </c>
      <c r="I31" s="9">
        <v>0</v>
      </c>
      <c r="J31" s="9">
        <v>0</v>
      </c>
      <c r="K31" s="9">
        <v>0</v>
      </c>
    </row>
    <row r="32" spans="2:30" x14ac:dyDescent="0.3">
      <c r="D32" s="1" t="s">
        <v>7</v>
      </c>
      <c r="E32" s="3">
        <v>0</v>
      </c>
      <c r="F32" s="3">
        <v>0</v>
      </c>
      <c r="G32" s="3">
        <v>0</v>
      </c>
      <c r="H32" s="1">
        <v>1</v>
      </c>
      <c r="I32" s="1">
        <v>0</v>
      </c>
      <c r="J32" s="1">
        <v>0</v>
      </c>
      <c r="K32" s="1">
        <v>0</v>
      </c>
    </row>
    <row r="33" spans="4:29" x14ac:dyDescent="0.3">
      <c r="D33" s="1" t="s">
        <v>8</v>
      </c>
      <c r="E33" s="3">
        <v>0</v>
      </c>
      <c r="F33" s="3">
        <v>0</v>
      </c>
      <c r="G33" s="3">
        <v>0</v>
      </c>
      <c r="H33" s="1">
        <v>0</v>
      </c>
      <c r="I33" s="1">
        <v>1</v>
      </c>
      <c r="J33" s="1">
        <v>0</v>
      </c>
      <c r="K33" s="1">
        <v>0</v>
      </c>
    </row>
    <row r="34" spans="4:29" x14ac:dyDescent="0.3">
      <c r="D34" s="1" t="s">
        <v>9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1</v>
      </c>
      <c r="K34" s="1">
        <v>1</v>
      </c>
    </row>
    <row r="35" spans="4:29" x14ac:dyDescent="0.3">
      <c r="U35" s="1" t="s">
        <v>161</v>
      </c>
    </row>
    <row r="37" spans="4:29" x14ac:dyDescent="0.3">
      <c r="U37" s="1" t="s">
        <v>162</v>
      </c>
      <c r="V37" s="2" t="s">
        <v>7</v>
      </c>
      <c r="W37" s="2" t="s">
        <v>8</v>
      </c>
      <c r="X37" s="2" t="s">
        <v>9</v>
      </c>
      <c r="Z37" s="2" t="s">
        <v>10</v>
      </c>
      <c r="AB37" s="1" t="s">
        <v>26</v>
      </c>
      <c r="AC37" s="1" t="s">
        <v>163</v>
      </c>
    </row>
    <row r="38" spans="4:29" x14ac:dyDescent="0.3">
      <c r="U38" s="1" t="s">
        <v>36</v>
      </c>
      <c r="V38" s="3">
        <f t="array" ref="V38:X40">MMULT(MMULT(E6:G8,V3:Y5),TRANSPOSE(H32:K34))</f>
        <v>0</v>
      </c>
      <c r="W38" s="3">
        <v>34.375</v>
      </c>
      <c r="X38" s="3">
        <v>0</v>
      </c>
      <c r="Z38" s="3">
        <f t="array" ref="Z38:Z40">M3:M5</f>
        <v>0</v>
      </c>
      <c r="AB38" s="1">
        <f>SUM(V38:X38,Z38)</f>
        <v>34.375</v>
      </c>
      <c r="AC38" s="3">
        <f>IF(AB38=0,1,AB38)</f>
        <v>34.375</v>
      </c>
    </row>
    <row r="39" spans="4:29" x14ac:dyDescent="0.3">
      <c r="U39" s="1" t="s">
        <v>5</v>
      </c>
      <c r="V39" s="3">
        <v>0</v>
      </c>
      <c r="W39" s="3">
        <v>0</v>
      </c>
      <c r="X39" s="3">
        <v>31.25</v>
      </c>
      <c r="Z39" s="3">
        <v>10</v>
      </c>
      <c r="AB39" s="1">
        <f t="shared" ref="AB39:AB40" si="2">SUM(V39:X39,Z39)</f>
        <v>41.25</v>
      </c>
      <c r="AC39" s="3">
        <f t="shared" ref="AC39:AC40" si="3">IF(AB39=0,1,AB39)</f>
        <v>41.25</v>
      </c>
    </row>
    <row r="40" spans="4:29" x14ac:dyDescent="0.3">
      <c r="U40" s="1" t="s">
        <v>6</v>
      </c>
      <c r="V40" s="3">
        <v>0</v>
      </c>
      <c r="W40" s="3">
        <v>0</v>
      </c>
      <c r="X40" s="3">
        <v>0</v>
      </c>
      <c r="Z40" s="3">
        <v>10</v>
      </c>
      <c r="AB40" s="1">
        <f t="shared" si="2"/>
        <v>10</v>
      </c>
      <c r="AC40" s="3">
        <f t="shared" si="3"/>
        <v>10</v>
      </c>
    </row>
    <row r="42" spans="4:29" x14ac:dyDescent="0.3">
      <c r="U42" s="1" t="s">
        <v>164</v>
      </c>
      <c r="V42" s="3">
        <f t="array" ref="V42:X42">MMULT(V22:Y22,TRANSPOSE(H32:K34))</f>
        <v>0</v>
      </c>
      <c r="W42" s="3">
        <v>51.5625</v>
      </c>
      <c r="X42" s="3">
        <v>0</v>
      </c>
    </row>
    <row r="45" spans="4:29" x14ac:dyDescent="0.3">
      <c r="U45" s="1" t="s">
        <v>165</v>
      </c>
      <c r="V45" s="2" t="s">
        <v>7</v>
      </c>
      <c r="W45" s="2" t="s">
        <v>8</v>
      </c>
      <c r="X45" s="2" t="s">
        <v>9</v>
      </c>
    </row>
    <row r="46" spans="4:29" x14ac:dyDescent="0.3">
      <c r="U46" s="1" t="s">
        <v>36</v>
      </c>
      <c r="V46" s="8">
        <f t="array" ref="V46:X48">MMULT(V38:X40,MINVERSE(AC38:AC40*_xlfn.MUNIT(3)))</f>
        <v>0</v>
      </c>
      <c r="W46" s="8">
        <v>0.83333333333333337</v>
      </c>
      <c r="X46" s="8">
        <v>0</v>
      </c>
    </row>
    <row r="47" spans="4:29" x14ac:dyDescent="0.3">
      <c r="U47" s="1" t="s">
        <v>5</v>
      </c>
      <c r="V47" s="8">
        <v>0</v>
      </c>
      <c r="W47" s="185">
        <v>0</v>
      </c>
      <c r="X47" s="8">
        <v>3.125</v>
      </c>
    </row>
    <row r="48" spans="4:29" x14ac:dyDescent="0.3">
      <c r="U48" s="1" t="s">
        <v>6</v>
      </c>
      <c r="V48" s="8">
        <v>0</v>
      </c>
      <c r="W48" s="185">
        <v>0</v>
      </c>
      <c r="X48" s="8">
        <v>0</v>
      </c>
    </row>
    <row r="49" spans="21:32" x14ac:dyDescent="0.3">
      <c r="W49" s="2"/>
    </row>
    <row r="50" spans="21:32" x14ac:dyDescent="0.3">
      <c r="U50" s="1" t="s">
        <v>166</v>
      </c>
      <c r="V50" s="8">
        <f t="array" ref="V50:X50">MMULT(V42:X42,MINVERSE(AC38:AC40*_xlfn.MUNIT(3)))</f>
        <v>0</v>
      </c>
      <c r="W50" s="8">
        <v>1.25</v>
      </c>
      <c r="X50" s="8">
        <v>0</v>
      </c>
    </row>
    <row r="53" spans="21:32" x14ac:dyDescent="0.3">
      <c r="Z53" s="1" t="s">
        <v>132</v>
      </c>
      <c r="AB53" s="1" t="s">
        <v>131</v>
      </c>
      <c r="AD53" s="1" t="s">
        <v>167</v>
      </c>
    </row>
    <row r="54" spans="21:32" x14ac:dyDescent="0.3">
      <c r="Z54" s="3">
        <f t="array" ref="Z54:Z56">AA18:AA20</f>
        <v>0</v>
      </c>
      <c r="AB54" s="3">
        <f t="array" ref="AB54:AB56">MMULT(MMULT(V50:X50,MINVERSE(_xlfn.MUNIT(3)-V46:X48))*_xlfn.MUNIT(3),Z38:Z40)</f>
        <v>0</v>
      </c>
      <c r="AD54" s="35">
        <f>Z54+AB54</f>
        <v>0</v>
      </c>
    </row>
    <row r="55" spans="21:32" x14ac:dyDescent="0.3">
      <c r="Z55" s="3">
        <v>150</v>
      </c>
      <c r="AB55" s="3">
        <v>12.5</v>
      </c>
      <c r="AD55" s="36">
        <f t="shared" ref="AD55:AD56" si="4">Z55+AB55</f>
        <v>162.5</v>
      </c>
    </row>
    <row r="56" spans="21:32" x14ac:dyDescent="0.3">
      <c r="Z56" s="3">
        <v>0</v>
      </c>
      <c r="AB56" s="3">
        <v>39.0625</v>
      </c>
      <c r="AD56" s="37">
        <f t="shared" si="4"/>
        <v>39.0625</v>
      </c>
    </row>
    <row r="58" spans="21:32" x14ac:dyDescent="0.3">
      <c r="U58" s="1" t="s">
        <v>164</v>
      </c>
      <c r="V58" s="32">
        <f t="array" ref="V58:X58">MMULT(V50:X50,AC38:AC40*_xlfn.MUNIT(3))</f>
        <v>0</v>
      </c>
      <c r="W58" s="33">
        <v>51.5625</v>
      </c>
      <c r="X58" s="34">
        <v>0</v>
      </c>
      <c r="Z58" s="7">
        <f>AA22</f>
        <v>150</v>
      </c>
      <c r="AE58" s="1">
        <f>SUM(V58:Z58)</f>
        <v>201.5625</v>
      </c>
      <c r="AF58" s="1" t="s">
        <v>168</v>
      </c>
    </row>
    <row r="59" spans="21:32" x14ac:dyDescent="0.3">
      <c r="AD59" s="1">
        <f>SUM(AD54:AD56)</f>
        <v>201.5625</v>
      </c>
      <c r="AE59" s="1" t="s">
        <v>169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86F4-50D6-415E-96A2-66F9EC5E02B0}">
  <sheetPr>
    <tabColor theme="8" tint="0.59999389629810485"/>
  </sheetPr>
  <dimension ref="A1:AF35"/>
  <sheetViews>
    <sheetView showGridLines="0" zoomScaleNormal="100" workbookViewId="0">
      <selection activeCell="Q45" sqref="Q45"/>
    </sheetView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6" width="7.21875" style="1" customWidth="1"/>
    <col min="37" max="16384" width="9.21875" style="1"/>
  </cols>
  <sheetData>
    <row r="1" spans="1:31" x14ac:dyDescent="0.3">
      <c r="J1" s="2" t="s">
        <v>112</v>
      </c>
      <c r="K1" s="2" t="s">
        <v>113</v>
      </c>
      <c r="L1" s="2"/>
      <c r="Y1" s="2" t="s">
        <v>112</v>
      </c>
      <c r="Z1" s="2" t="s">
        <v>113</v>
      </c>
      <c r="AA1" s="2"/>
    </row>
    <row r="2" spans="1:31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37</v>
      </c>
      <c r="K2" s="2" t="s">
        <v>38</v>
      </c>
      <c r="L2" s="2" t="s">
        <v>174</v>
      </c>
      <c r="N2" s="2" t="s">
        <v>10</v>
      </c>
      <c r="P2" s="11" t="s">
        <v>11</v>
      </c>
      <c r="S2" s="1" t="s">
        <v>12</v>
      </c>
      <c r="T2" s="2" t="s">
        <v>36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37</v>
      </c>
      <c r="Z2" s="2" t="s">
        <v>38</v>
      </c>
      <c r="AA2" s="2"/>
    </row>
    <row r="3" spans="1:31" x14ac:dyDescent="0.3">
      <c r="A3" s="1" t="s">
        <v>116</v>
      </c>
      <c r="B3" s="1" t="s">
        <v>81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9">
        <v>0</v>
      </c>
      <c r="I3" s="9">
        <v>1.1000000000000001</v>
      </c>
      <c r="J3" s="9">
        <v>0</v>
      </c>
      <c r="K3" s="9">
        <v>0</v>
      </c>
      <c r="L3" s="9">
        <v>0</v>
      </c>
      <c r="N3" s="4">
        <v>0</v>
      </c>
      <c r="P3" s="8">
        <f t="array" ref="P3:P9">MMULT($E$26:$L$32-$E$3:$L$9,TRANSPOSE($E$22:$L$22))</f>
        <v>-7.1054273576010019E-15</v>
      </c>
      <c r="S3" s="1" t="s">
        <v>36</v>
      </c>
      <c r="T3" s="1">
        <f t="array" ref="T3:AA9">MMULT(E3:L9,E22:L22*_xlfn.MUNIT(8))</f>
        <v>0</v>
      </c>
      <c r="U3" s="1">
        <v>0</v>
      </c>
      <c r="V3" s="1">
        <v>0</v>
      </c>
      <c r="W3" s="3">
        <v>0</v>
      </c>
      <c r="X3" s="3">
        <v>45.375000000000007</v>
      </c>
      <c r="Y3" s="3">
        <v>0</v>
      </c>
      <c r="Z3" s="3">
        <v>0</v>
      </c>
      <c r="AA3" s="3">
        <v>0</v>
      </c>
    </row>
    <row r="4" spans="1:31" x14ac:dyDescent="0.3">
      <c r="B4" s="1" t="s">
        <v>117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f>1/0.37</f>
        <v>2.7027027027027026</v>
      </c>
      <c r="K4" s="9">
        <f>1/0.32</f>
        <v>3.125</v>
      </c>
      <c r="L4" s="9">
        <v>0</v>
      </c>
      <c r="N4" s="4">
        <v>10</v>
      </c>
      <c r="P4" s="8">
        <v>10</v>
      </c>
      <c r="S4" s="1" t="s">
        <v>5</v>
      </c>
      <c r="T4" s="1">
        <v>0</v>
      </c>
      <c r="U4" s="1">
        <v>0</v>
      </c>
      <c r="V4" s="1">
        <v>0</v>
      </c>
      <c r="W4" s="3">
        <v>0</v>
      </c>
      <c r="X4" s="3">
        <v>0</v>
      </c>
      <c r="Y4" s="3">
        <v>0</v>
      </c>
      <c r="Z4" s="3">
        <v>31.25</v>
      </c>
      <c r="AA4" s="3">
        <v>0</v>
      </c>
    </row>
    <row r="5" spans="1:31" x14ac:dyDescent="0.3">
      <c r="B5" s="1" t="s">
        <v>17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N5" s="4">
        <v>10</v>
      </c>
      <c r="P5" s="8">
        <v>10</v>
      </c>
      <c r="S5" s="1" t="s">
        <v>6</v>
      </c>
      <c r="T5" s="1">
        <v>0</v>
      </c>
      <c r="U5" s="1">
        <v>0</v>
      </c>
      <c r="V5" s="1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31" x14ac:dyDescent="0.3">
      <c r="A6" s="1" t="s">
        <v>19</v>
      </c>
      <c r="B6" s="1" t="s">
        <v>118</v>
      </c>
      <c r="C6" s="1" t="s">
        <v>60</v>
      </c>
      <c r="D6" s="1" t="s">
        <v>7</v>
      </c>
      <c r="E6" s="9">
        <v>1</v>
      </c>
      <c r="F6" s="9">
        <v>0</v>
      </c>
      <c r="G6" s="9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N6" s="1">
        <v>0</v>
      </c>
      <c r="P6" s="27">
        <v>0</v>
      </c>
      <c r="S6" s="1" t="s">
        <v>7</v>
      </c>
      <c r="T6" s="3">
        <v>45.375</v>
      </c>
      <c r="U6" s="3">
        <v>0</v>
      </c>
      <c r="V6" s="3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31" x14ac:dyDescent="0.3">
      <c r="B7" s="1" t="s">
        <v>119</v>
      </c>
      <c r="C7" s="1" t="s">
        <v>60</v>
      </c>
      <c r="D7" s="1" t="s">
        <v>8</v>
      </c>
      <c r="E7" s="9">
        <v>0</v>
      </c>
      <c r="F7" s="9">
        <v>1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N7" s="1">
        <v>0</v>
      </c>
      <c r="P7" s="27">
        <v>0</v>
      </c>
      <c r="S7" s="1" t="s">
        <v>8</v>
      </c>
      <c r="T7" s="3">
        <v>0</v>
      </c>
      <c r="U7" s="3">
        <v>41.25</v>
      </c>
      <c r="V7" s="3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31" x14ac:dyDescent="0.3">
      <c r="B8" s="1" t="s">
        <v>120</v>
      </c>
      <c r="C8" s="1" t="s">
        <v>60</v>
      </c>
      <c r="D8" s="1" t="s">
        <v>9</v>
      </c>
      <c r="E8" s="9">
        <v>0</v>
      </c>
      <c r="F8" s="9">
        <v>0</v>
      </c>
      <c r="G8" s="9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N8" s="1">
        <v>0</v>
      </c>
      <c r="P8" s="27">
        <v>0</v>
      </c>
      <c r="S8" s="1" t="s">
        <v>9</v>
      </c>
      <c r="T8" s="3">
        <v>0</v>
      </c>
      <c r="U8" s="3">
        <v>0</v>
      </c>
      <c r="V8" s="3">
        <v>10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31" x14ac:dyDescent="0.3">
      <c r="B9" s="1" t="s">
        <v>175</v>
      </c>
      <c r="C9" s="1" t="s">
        <v>176</v>
      </c>
      <c r="D9" s="1" t="s">
        <v>174</v>
      </c>
      <c r="E9" s="9">
        <v>0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N9" s="1">
        <v>0</v>
      </c>
      <c r="P9" s="27">
        <v>0</v>
      </c>
      <c r="S9" s="1" t="s">
        <v>174</v>
      </c>
      <c r="T9" s="3">
        <v>0</v>
      </c>
      <c r="U9" s="3">
        <v>0</v>
      </c>
      <c r="V9" s="3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31" x14ac:dyDescent="0.3">
      <c r="E10" s="10"/>
      <c r="F10" s="10"/>
      <c r="G10" s="10"/>
      <c r="H10" s="10"/>
      <c r="I10" s="10"/>
      <c r="J10" s="10"/>
      <c r="K10" s="10"/>
      <c r="L10" s="10"/>
      <c r="P10" s="27"/>
    </row>
    <row r="11" spans="1:31" x14ac:dyDescent="0.3">
      <c r="A11" s="1" t="s">
        <v>116</v>
      </c>
      <c r="B11" s="1" t="s">
        <v>24</v>
      </c>
      <c r="C11" s="1" t="s">
        <v>121</v>
      </c>
      <c r="D11" s="1" t="s">
        <v>45</v>
      </c>
      <c r="E11" s="27"/>
      <c r="F11" s="27"/>
      <c r="G11" s="27"/>
      <c r="H11" s="8">
        <v>2</v>
      </c>
      <c r="I11" s="8">
        <v>2.5</v>
      </c>
      <c r="J11" s="8">
        <v>3.5</v>
      </c>
      <c r="K11" s="8">
        <v>4.5</v>
      </c>
      <c r="L11" s="8">
        <v>5</v>
      </c>
      <c r="N11" s="8">
        <v>0</v>
      </c>
      <c r="S11" s="1" t="s">
        <v>45</v>
      </c>
      <c r="W11" s="3">
        <f t="array" ref="W11:AA11">MMULT(H11:L11,H22:L22*_xlfn.MUNIT(5))</f>
        <v>90.75</v>
      </c>
      <c r="X11" s="3">
        <v>103.125</v>
      </c>
      <c r="Y11" s="3">
        <v>0</v>
      </c>
      <c r="Z11" s="3">
        <v>45</v>
      </c>
      <c r="AA11" s="3">
        <v>18.0625</v>
      </c>
      <c r="AC11" s="3">
        <f>N11*AC20</f>
        <v>0</v>
      </c>
    </row>
    <row r="13" spans="1:31" x14ac:dyDescent="0.3">
      <c r="A13" s="1" t="s">
        <v>116</v>
      </c>
      <c r="B13" s="1" t="s">
        <v>44</v>
      </c>
      <c r="C13" s="1" t="s">
        <v>151</v>
      </c>
      <c r="D13" s="1" t="s">
        <v>152</v>
      </c>
      <c r="E13" s="4">
        <v>15</v>
      </c>
      <c r="F13" s="4">
        <v>15</v>
      </c>
      <c r="G13" s="28">
        <v>0</v>
      </c>
      <c r="H13" s="1">
        <v>0</v>
      </c>
      <c r="I13" s="1">
        <v>0</v>
      </c>
      <c r="J13" s="1">
        <v>0</v>
      </c>
      <c r="K13" s="1">
        <v>0</v>
      </c>
      <c r="L13" s="1">
        <v>-5</v>
      </c>
      <c r="S13" s="1" t="s">
        <v>152</v>
      </c>
      <c r="T13" s="108">
        <f t="array" ref="T13:AA14">MMULT(E13:L14,E22:L22*_xlfn.MUNIT(8))</f>
        <v>680.625</v>
      </c>
      <c r="U13" s="108">
        <v>618.75</v>
      </c>
      <c r="V13" s="108">
        <v>0</v>
      </c>
      <c r="W13" s="180">
        <v>0</v>
      </c>
      <c r="X13" s="180">
        <v>0</v>
      </c>
      <c r="Y13" s="180">
        <v>0</v>
      </c>
      <c r="Z13" s="180">
        <v>0</v>
      </c>
      <c r="AA13" s="180">
        <v>-18.0625</v>
      </c>
    </row>
    <row r="14" spans="1:31" x14ac:dyDescent="0.3">
      <c r="C14" s="1" t="s">
        <v>153</v>
      </c>
      <c r="D14" s="1" t="s">
        <v>154</v>
      </c>
      <c r="E14" s="1">
        <v>0</v>
      </c>
      <c r="F14" s="1">
        <v>0</v>
      </c>
      <c r="G14" s="1">
        <v>0</v>
      </c>
      <c r="H14" s="4">
        <v>0</v>
      </c>
      <c r="I14" s="4">
        <v>0</v>
      </c>
      <c r="J14" s="28">
        <v>2.5</v>
      </c>
      <c r="K14" s="28">
        <v>0</v>
      </c>
      <c r="L14" s="28">
        <v>0</v>
      </c>
      <c r="S14" s="1" t="s">
        <v>154</v>
      </c>
      <c r="T14" s="180">
        <v>0</v>
      </c>
      <c r="U14" s="180">
        <v>0</v>
      </c>
      <c r="V14" s="180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</row>
    <row r="16" spans="1:31" x14ac:dyDescent="0.3">
      <c r="AC16" s="1" t="s">
        <v>155</v>
      </c>
      <c r="AE16" s="1" t="s">
        <v>156</v>
      </c>
    </row>
    <row r="17" spans="2:32" x14ac:dyDescent="0.3">
      <c r="B17" s="1" t="s">
        <v>124</v>
      </c>
      <c r="D17" s="1" t="s">
        <v>158</v>
      </c>
      <c r="H17" s="3">
        <v>1</v>
      </c>
      <c r="I17" s="28">
        <v>0.1</v>
      </c>
      <c r="J17" s="3">
        <v>1</v>
      </c>
      <c r="K17" s="3">
        <v>0</v>
      </c>
      <c r="L17" s="3">
        <v>0</v>
      </c>
      <c r="S17" s="1" t="s">
        <v>159</v>
      </c>
      <c r="W17" s="3">
        <f t="array" ref="W17:AA19">H17:L19*W3:AA5*TRANSPOSE(E13:G13)</f>
        <v>0</v>
      </c>
      <c r="X17" s="3">
        <v>68.062500000000014</v>
      </c>
      <c r="Y17" s="3">
        <v>0</v>
      </c>
      <c r="Z17" s="3">
        <v>0</v>
      </c>
      <c r="AA17" s="3">
        <v>0</v>
      </c>
      <c r="AC17" s="3">
        <f t="array" ref="AC17:AC19">N3:N5*TRANSPOSE(E13:G13)</f>
        <v>0</v>
      </c>
      <c r="AE17" s="35">
        <f>SUM(W17:Z17,AC17)</f>
        <v>68.062500000000014</v>
      </c>
    </row>
    <row r="18" spans="2:32" x14ac:dyDescent="0.3">
      <c r="H18" s="3">
        <v>1</v>
      </c>
      <c r="I18" s="3">
        <v>1</v>
      </c>
      <c r="J18" s="3">
        <v>1</v>
      </c>
      <c r="K18" s="3">
        <v>0</v>
      </c>
      <c r="L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C18" s="3">
        <v>150</v>
      </c>
      <c r="AE18" s="36">
        <f t="shared" ref="AE18:AE19" si="0">SUM(W18:Z18,AC18)</f>
        <v>150</v>
      </c>
    </row>
    <row r="19" spans="2:32" x14ac:dyDescent="0.3">
      <c r="H19" s="3">
        <v>1</v>
      </c>
      <c r="I19" s="3">
        <v>1</v>
      </c>
      <c r="J19" s="3">
        <v>1</v>
      </c>
      <c r="K19" s="3">
        <v>0</v>
      </c>
      <c r="L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C19" s="3">
        <v>0</v>
      </c>
      <c r="AE19" s="37">
        <f t="shared" si="0"/>
        <v>0</v>
      </c>
    </row>
    <row r="21" spans="2:32" x14ac:dyDescent="0.3">
      <c r="V21" s="1" t="s">
        <v>160</v>
      </c>
      <c r="W21" s="32">
        <f>SUM(W17:W19)</f>
        <v>0</v>
      </c>
      <c r="X21" s="33">
        <f>SUM(X17:X19)</f>
        <v>68.062500000000014</v>
      </c>
      <c r="Y21" s="33">
        <f>SUM(Y17:Y19)</f>
        <v>0</v>
      </c>
      <c r="Z21" s="33">
        <f>SUM(Z17:Z19)</f>
        <v>0</v>
      </c>
      <c r="AA21" s="33"/>
      <c r="AB21" s="33"/>
      <c r="AC21" s="34">
        <f>SUM(AC17:AC19)</f>
        <v>150</v>
      </c>
      <c r="AF21" s="1">
        <f>SUM(W21:Z21,AC21)</f>
        <v>218.0625</v>
      </c>
    </row>
    <row r="22" spans="2:32" x14ac:dyDescent="0.3">
      <c r="B22" s="1" t="s">
        <v>25</v>
      </c>
      <c r="C22" s="1" t="s">
        <v>60</v>
      </c>
      <c r="D22" s="6" t="s">
        <v>26</v>
      </c>
      <c r="E22" s="109">
        <v>45.375</v>
      </c>
      <c r="F22" s="109">
        <v>41.25</v>
      </c>
      <c r="G22" s="109">
        <v>10</v>
      </c>
      <c r="H22" s="109">
        <v>45.375</v>
      </c>
      <c r="I22" s="109">
        <v>41.25</v>
      </c>
      <c r="J22" s="109">
        <v>0</v>
      </c>
      <c r="K22" s="109">
        <v>10</v>
      </c>
      <c r="L22" s="109">
        <v>3.6124999999999998</v>
      </c>
      <c r="AE22" s="1">
        <f>SUM(AE17:AE19)</f>
        <v>218.0625</v>
      </c>
    </row>
    <row r="23" spans="2:32" x14ac:dyDescent="0.3">
      <c r="V23" s="1" t="s">
        <v>177</v>
      </c>
      <c r="W23" s="1">
        <f t="array" ref="W23:AA23">MMULT(H13:L13,H22:L22*_xlfn.MUNIT(5))</f>
        <v>0</v>
      </c>
      <c r="X23" s="1">
        <v>0</v>
      </c>
      <c r="Y23" s="1">
        <v>0</v>
      </c>
      <c r="Z23" s="1">
        <v>0</v>
      </c>
      <c r="AA23" s="1">
        <v>-18.0625</v>
      </c>
    </row>
    <row r="24" spans="2:32" x14ac:dyDescent="0.3">
      <c r="M24" s="27"/>
    </row>
    <row r="25" spans="2:32" x14ac:dyDescent="0.3">
      <c r="D25" s="1" t="s">
        <v>49</v>
      </c>
      <c r="E25" s="2" t="s">
        <v>36</v>
      </c>
      <c r="F25" s="2" t="s">
        <v>5</v>
      </c>
      <c r="G25" s="2" t="s">
        <v>125</v>
      </c>
      <c r="H25" s="2" t="s">
        <v>126</v>
      </c>
      <c r="I25" s="2" t="s">
        <v>127</v>
      </c>
      <c r="J25" s="2" t="s">
        <v>128</v>
      </c>
      <c r="K25" s="2" t="s">
        <v>129</v>
      </c>
      <c r="L25" s="2" t="s">
        <v>174</v>
      </c>
      <c r="V25" s="1" t="s">
        <v>178</v>
      </c>
      <c r="W25" s="1">
        <f t="array" ref="W25:AA25">W21:AA21+W23:AA23</f>
        <v>0</v>
      </c>
      <c r="X25" s="1">
        <v>68.062500000000014</v>
      </c>
      <c r="Y25" s="1">
        <v>0</v>
      </c>
      <c r="Z25" s="1">
        <v>0</v>
      </c>
      <c r="AA25" s="1">
        <v>-18.0625</v>
      </c>
    </row>
    <row r="26" spans="2:32" x14ac:dyDescent="0.3">
      <c r="D26" s="1" t="s">
        <v>36</v>
      </c>
      <c r="E26" s="1">
        <v>1</v>
      </c>
      <c r="F26" s="1">
        <v>0</v>
      </c>
      <c r="G26" s="1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</row>
    <row r="27" spans="2:32" x14ac:dyDescent="0.3">
      <c r="D27" s="1" t="s">
        <v>5</v>
      </c>
      <c r="E27" s="1">
        <v>0</v>
      </c>
      <c r="F27" s="1">
        <v>1</v>
      </c>
      <c r="G27" s="1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V27" s="1" t="s">
        <v>178</v>
      </c>
      <c r="W27" s="1">
        <f>SUM(W25:AA25,AC21)</f>
        <v>200</v>
      </c>
    </row>
    <row r="28" spans="2:32" x14ac:dyDescent="0.3">
      <c r="D28" s="1" t="s">
        <v>6</v>
      </c>
      <c r="E28" s="1">
        <v>0</v>
      </c>
      <c r="F28" s="1">
        <v>0</v>
      </c>
      <c r="G28" s="1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V28" s="1" t="s">
        <v>179</v>
      </c>
      <c r="W28" s="1">
        <v>200</v>
      </c>
    </row>
    <row r="29" spans="2:32" x14ac:dyDescent="0.3">
      <c r="D29" s="1" t="s">
        <v>7</v>
      </c>
      <c r="E29" s="3">
        <v>0</v>
      </c>
      <c r="F29" s="3">
        <v>0</v>
      </c>
      <c r="G29" s="3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</row>
    <row r="30" spans="2:32" x14ac:dyDescent="0.3">
      <c r="D30" s="1" t="s">
        <v>8</v>
      </c>
      <c r="E30" s="3">
        <v>0</v>
      </c>
      <c r="F30" s="3">
        <v>0</v>
      </c>
      <c r="G30" s="3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</row>
    <row r="31" spans="2:32" x14ac:dyDescent="0.3">
      <c r="D31" s="1" t="s">
        <v>9</v>
      </c>
      <c r="E31" s="3">
        <v>0</v>
      </c>
      <c r="F31" s="3">
        <v>0</v>
      </c>
      <c r="G31" s="3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</row>
    <row r="32" spans="2:32" x14ac:dyDescent="0.3">
      <c r="D32" s="1" t="s">
        <v>174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5" spans="5:6" x14ac:dyDescent="0.3">
      <c r="E35" s="6" t="s">
        <v>180</v>
      </c>
      <c r="F35" s="7">
        <f t="array" ref="F35">SUM(W11:AA11)</f>
        <v>256.9375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103E-9334-4CD4-8FCE-63172D8228C6}">
  <sheetPr>
    <tabColor theme="8" tint="0.59999389629810485"/>
  </sheetPr>
  <dimension ref="A1:AH38"/>
  <sheetViews>
    <sheetView showGridLines="0" zoomScaleNormal="100" workbookViewId="0">
      <selection activeCell="G38" sqref="G38"/>
    </sheetView>
  </sheetViews>
  <sheetFormatPr defaultColWidth="9.21875" defaultRowHeight="14.4" x14ac:dyDescent="0.3"/>
  <cols>
    <col min="1" max="1" width="13.77734375" style="1" customWidth="1"/>
    <col min="2" max="2" width="19.77734375" style="1" customWidth="1"/>
    <col min="3" max="3" width="10.77734375" style="1" customWidth="1"/>
    <col min="4" max="4" width="8.21875" style="1" customWidth="1"/>
    <col min="5" max="38" width="7.21875" style="1" customWidth="1"/>
    <col min="39" max="16384" width="9.21875" style="1"/>
  </cols>
  <sheetData>
    <row r="1" spans="1:31" x14ac:dyDescent="0.3">
      <c r="K1" s="2" t="s">
        <v>112</v>
      </c>
      <c r="L1" s="2" t="s">
        <v>113</v>
      </c>
      <c r="M1" s="2"/>
      <c r="AA1" s="2" t="s">
        <v>112</v>
      </c>
      <c r="AB1" s="2" t="s">
        <v>113</v>
      </c>
      <c r="AC1" s="2"/>
    </row>
    <row r="2" spans="1:31" x14ac:dyDescent="0.3">
      <c r="D2" s="1" t="s">
        <v>2</v>
      </c>
      <c r="E2" s="2" t="s">
        <v>36</v>
      </c>
      <c r="F2" s="2" t="s">
        <v>5</v>
      </c>
      <c r="G2" s="2" t="s">
        <v>6</v>
      </c>
      <c r="H2" s="2" t="s">
        <v>181</v>
      </c>
      <c r="I2" s="2" t="s">
        <v>7</v>
      </c>
      <c r="J2" s="2" t="s">
        <v>8</v>
      </c>
      <c r="K2" s="2" t="s">
        <v>37</v>
      </c>
      <c r="L2" s="2" t="s">
        <v>38</v>
      </c>
      <c r="M2" s="2" t="s">
        <v>174</v>
      </c>
      <c r="O2" s="2" t="s">
        <v>10</v>
      </c>
      <c r="Q2" s="11" t="s">
        <v>11</v>
      </c>
      <c r="T2" s="1" t="s">
        <v>12</v>
      </c>
      <c r="U2" s="2" t="s">
        <v>36</v>
      </c>
      <c r="V2" s="2" t="s">
        <v>5</v>
      </c>
      <c r="W2" s="2" t="s">
        <v>6</v>
      </c>
      <c r="X2" s="2" t="s">
        <v>181</v>
      </c>
      <c r="Y2" s="2" t="s">
        <v>7</v>
      </c>
      <c r="Z2" s="2" t="s">
        <v>8</v>
      </c>
      <c r="AA2" s="2" t="s">
        <v>37</v>
      </c>
      <c r="AB2" s="2" t="s">
        <v>38</v>
      </c>
      <c r="AC2" s="2" t="s">
        <v>174</v>
      </c>
    </row>
    <row r="3" spans="1:31" x14ac:dyDescent="0.3">
      <c r="A3" s="1" t="s">
        <v>116</v>
      </c>
      <c r="B3" s="1" t="s">
        <v>81</v>
      </c>
      <c r="C3" s="1" t="s">
        <v>60</v>
      </c>
      <c r="D3" s="1" t="s">
        <v>36</v>
      </c>
      <c r="E3" s="10">
        <v>0</v>
      </c>
      <c r="F3" s="10">
        <v>0</v>
      </c>
      <c r="G3" s="10">
        <v>0</v>
      </c>
      <c r="H3" s="10">
        <v>0</v>
      </c>
      <c r="I3" s="9">
        <v>0</v>
      </c>
      <c r="J3" s="9">
        <v>1.1000000000000001</v>
      </c>
      <c r="K3" s="9">
        <v>0</v>
      </c>
      <c r="L3" s="9">
        <v>0</v>
      </c>
      <c r="M3" s="9">
        <v>0</v>
      </c>
      <c r="O3" s="4">
        <v>0</v>
      </c>
      <c r="Q3" s="8">
        <f t="array" ref="Q3:Q10">MMULT($E$28:$M$35-$E$3:$M$10,TRANSPOSE($E$24:$M$24))</f>
        <v>-7.1054273576010019E-15</v>
      </c>
      <c r="T3" s="1" t="s">
        <v>36</v>
      </c>
      <c r="U3" s="1">
        <f t="array" ref="U3:AC10">MMULT(E3:M10,E24:M24*_xlfn.MUNIT(9))</f>
        <v>0</v>
      </c>
      <c r="V3" s="1">
        <v>0</v>
      </c>
      <c r="W3" s="1">
        <v>0</v>
      </c>
      <c r="X3" s="1">
        <v>0</v>
      </c>
      <c r="Y3" s="3">
        <v>0</v>
      </c>
      <c r="Z3" s="3">
        <v>45.375000000000007</v>
      </c>
      <c r="AA3" s="3">
        <v>0</v>
      </c>
      <c r="AB3" s="3">
        <v>0</v>
      </c>
      <c r="AC3" s="3">
        <v>0</v>
      </c>
    </row>
    <row r="4" spans="1:31" x14ac:dyDescent="0.3">
      <c r="B4" s="1" t="s">
        <v>117</v>
      </c>
      <c r="C4" s="1" t="s">
        <v>60</v>
      </c>
      <c r="D4" s="1" t="s">
        <v>5</v>
      </c>
      <c r="E4" s="10">
        <v>0</v>
      </c>
      <c r="F4" s="10">
        <v>0</v>
      </c>
      <c r="G4" s="10">
        <v>0</v>
      </c>
      <c r="H4" s="10">
        <v>0</v>
      </c>
      <c r="I4" s="9">
        <v>0</v>
      </c>
      <c r="J4" s="9">
        <v>0</v>
      </c>
      <c r="K4" s="9">
        <f>1/0.37</f>
        <v>2.7027027027027026</v>
      </c>
      <c r="L4" s="9">
        <f>1/0.32</f>
        <v>3.125</v>
      </c>
      <c r="M4" s="9">
        <v>0</v>
      </c>
      <c r="O4" s="4">
        <v>10</v>
      </c>
      <c r="Q4" s="8">
        <v>10</v>
      </c>
      <c r="T4" s="1" t="s">
        <v>5</v>
      </c>
      <c r="U4" s="1">
        <v>0</v>
      </c>
      <c r="V4" s="1">
        <v>0</v>
      </c>
      <c r="W4" s="1">
        <v>0</v>
      </c>
      <c r="X4" s="1">
        <v>0</v>
      </c>
      <c r="Y4" s="3">
        <v>0</v>
      </c>
      <c r="Z4" s="3">
        <v>0</v>
      </c>
      <c r="AA4" s="3">
        <v>0</v>
      </c>
      <c r="AB4" s="3">
        <v>31.25</v>
      </c>
      <c r="AC4" s="3">
        <v>0</v>
      </c>
    </row>
    <row r="5" spans="1:31" x14ac:dyDescent="0.3">
      <c r="B5" s="1" t="s">
        <v>17</v>
      </c>
      <c r="C5" s="1" t="s">
        <v>60</v>
      </c>
      <c r="D5" s="1" t="s">
        <v>6</v>
      </c>
      <c r="E5" s="10">
        <v>0</v>
      </c>
      <c r="F5" s="10">
        <v>0</v>
      </c>
      <c r="G5" s="10">
        <v>0</v>
      </c>
      <c r="H5" s="10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O5" s="4">
        <v>10</v>
      </c>
      <c r="Q5" s="8">
        <v>10</v>
      </c>
      <c r="T5" s="1" t="s">
        <v>6</v>
      </c>
      <c r="U5" s="1">
        <v>0</v>
      </c>
      <c r="V5" s="1">
        <v>0</v>
      </c>
      <c r="W5" s="1">
        <v>0</v>
      </c>
      <c r="X5" s="1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31" x14ac:dyDescent="0.3">
      <c r="B6" s="1" t="s">
        <v>175</v>
      </c>
      <c r="C6" s="1" t="s">
        <v>176</v>
      </c>
      <c r="D6" s="1" t="s">
        <v>181</v>
      </c>
      <c r="E6" s="10">
        <v>0</v>
      </c>
      <c r="F6" s="10">
        <v>0</v>
      </c>
      <c r="G6" s="10">
        <v>0</v>
      </c>
      <c r="H6" s="10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O6" s="4">
        <v>0</v>
      </c>
      <c r="Q6" s="8">
        <v>0</v>
      </c>
      <c r="U6" s="1">
        <v>0</v>
      </c>
      <c r="V6" s="1">
        <v>0</v>
      </c>
      <c r="W6" s="1">
        <v>0</v>
      </c>
      <c r="X6" s="1">
        <v>0</v>
      </c>
      <c r="Y6" s="3">
        <v>0</v>
      </c>
      <c r="Z6" s="3">
        <v>0</v>
      </c>
      <c r="AA6" s="3">
        <v>0</v>
      </c>
      <c r="AB6" s="3">
        <v>0</v>
      </c>
      <c r="AC6" s="3">
        <v>33.612499999999997</v>
      </c>
    </row>
    <row r="7" spans="1:31" x14ac:dyDescent="0.3">
      <c r="A7" s="1" t="s">
        <v>19</v>
      </c>
      <c r="B7" s="1" t="s">
        <v>118</v>
      </c>
      <c r="C7" s="1" t="s">
        <v>60</v>
      </c>
      <c r="D7" s="1" t="s">
        <v>7</v>
      </c>
      <c r="E7" s="9">
        <v>1</v>
      </c>
      <c r="F7" s="9">
        <v>0</v>
      </c>
      <c r="G7" s="9">
        <v>0</v>
      </c>
      <c r="H7" s="9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O7" s="1">
        <v>0</v>
      </c>
      <c r="Q7" s="27">
        <v>0</v>
      </c>
      <c r="T7" s="1" t="s">
        <v>7</v>
      </c>
      <c r="U7" s="3">
        <v>45.375</v>
      </c>
      <c r="V7" s="3">
        <v>0</v>
      </c>
      <c r="W7" s="3">
        <v>0</v>
      </c>
      <c r="X7" s="3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1" x14ac:dyDescent="0.3">
      <c r="B8" s="1" t="s">
        <v>119</v>
      </c>
      <c r="C8" s="1" t="s">
        <v>60</v>
      </c>
      <c r="D8" s="1" t="s">
        <v>8</v>
      </c>
      <c r="E8" s="9">
        <v>0</v>
      </c>
      <c r="F8" s="9">
        <v>1</v>
      </c>
      <c r="G8" s="9">
        <v>0</v>
      </c>
      <c r="H8" s="9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O8" s="1">
        <v>0</v>
      </c>
      <c r="Q8" s="27">
        <v>0</v>
      </c>
      <c r="T8" s="1" t="s">
        <v>8</v>
      </c>
      <c r="U8" s="3">
        <v>0</v>
      </c>
      <c r="V8" s="3">
        <v>41.25</v>
      </c>
      <c r="W8" s="3">
        <v>0</v>
      </c>
      <c r="X8" s="3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1" x14ac:dyDescent="0.3">
      <c r="B9" s="1" t="s">
        <v>120</v>
      </c>
      <c r="C9" s="1" t="s">
        <v>60</v>
      </c>
      <c r="D9" s="1" t="s">
        <v>9</v>
      </c>
      <c r="E9" s="9">
        <v>0</v>
      </c>
      <c r="F9" s="9">
        <v>0</v>
      </c>
      <c r="G9" s="9">
        <v>1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O9" s="1">
        <v>0</v>
      </c>
      <c r="Q9" s="27">
        <v>0</v>
      </c>
      <c r="T9" s="1" t="s">
        <v>9</v>
      </c>
      <c r="U9" s="3">
        <v>0</v>
      </c>
      <c r="V9" s="3">
        <v>0</v>
      </c>
      <c r="W9" s="3">
        <v>10</v>
      </c>
      <c r="X9" s="3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1" x14ac:dyDescent="0.3">
      <c r="B10" s="1" t="s">
        <v>175</v>
      </c>
      <c r="C10" s="1" t="s">
        <v>176</v>
      </c>
      <c r="D10" s="1" t="s">
        <v>174</v>
      </c>
      <c r="E10" s="9">
        <v>0</v>
      </c>
      <c r="F10" s="9">
        <v>0</v>
      </c>
      <c r="G10" s="9">
        <v>0</v>
      </c>
      <c r="H10" s="9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O10" s="1">
        <v>0</v>
      </c>
      <c r="Q10" s="27">
        <v>0</v>
      </c>
      <c r="T10" s="1" t="s">
        <v>174</v>
      </c>
      <c r="U10" s="3">
        <v>0</v>
      </c>
      <c r="V10" s="3">
        <v>0</v>
      </c>
      <c r="W10" s="3">
        <v>0</v>
      </c>
      <c r="X10" s="3">
        <v>33.612499999999997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1" x14ac:dyDescent="0.3">
      <c r="E11" s="10"/>
      <c r="F11" s="10"/>
      <c r="G11" s="10"/>
      <c r="H11" s="10"/>
      <c r="I11" s="10"/>
      <c r="J11" s="10"/>
      <c r="K11" s="10"/>
      <c r="L11" s="10"/>
      <c r="M11" s="10"/>
      <c r="Q11" s="27"/>
    </row>
    <row r="12" spans="1:31" x14ac:dyDescent="0.3">
      <c r="A12" s="1" t="s">
        <v>116</v>
      </c>
      <c r="B12" s="1" t="s">
        <v>24</v>
      </c>
      <c r="C12" s="1" t="s">
        <v>121</v>
      </c>
      <c r="D12" s="1" t="s">
        <v>45</v>
      </c>
      <c r="E12" s="27"/>
      <c r="F12" s="27"/>
      <c r="G12" s="27"/>
      <c r="H12" s="27"/>
      <c r="I12" s="8">
        <v>2</v>
      </c>
      <c r="J12" s="8">
        <v>2.5</v>
      </c>
      <c r="K12" s="8">
        <v>3.5</v>
      </c>
      <c r="L12" s="8">
        <v>4.5</v>
      </c>
      <c r="M12" s="8">
        <v>5</v>
      </c>
      <c r="O12" s="8">
        <v>0</v>
      </c>
      <c r="T12" s="1" t="s">
        <v>45</v>
      </c>
      <c r="Y12" s="3">
        <f t="array" ref="Y12:AC12">MMULT(I12:M12,I24:M24*_xlfn.MUNIT(5))</f>
        <v>90.75</v>
      </c>
      <c r="Z12" s="3">
        <v>103.125</v>
      </c>
      <c r="AA12" s="3">
        <v>0</v>
      </c>
      <c r="AB12" s="3">
        <v>45</v>
      </c>
      <c r="AC12" s="3">
        <v>168.0625</v>
      </c>
      <c r="AE12" s="3">
        <f>O12*AE22</f>
        <v>0</v>
      </c>
    </row>
    <row r="14" spans="1:31" x14ac:dyDescent="0.3">
      <c r="A14" s="1" t="s">
        <v>116</v>
      </c>
      <c r="B14" s="1" t="s">
        <v>44</v>
      </c>
      <c r="C14" s="1" t="s">
        <v>151</v>
      </c>
      <c r="D14" s="1" t="s">
        <v>152</v>
      </c>
      <c r="E14" s="4">
        <v>15</v>
      </c>
      <c r="F14" s="4">
        <v>15</v>
      </c>
      <c r="G14" s="28">
        <v>0</v>
      </c>
      <c r="H14" s="28">
        <v>-5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T14" s="1" t="s">
        <v>152</v>
      </c>
      <c r="U14" s="108">
        <f t="array" ref="U14:AC15">MMULT(E14:M15,E24:M24*_xlfn.MUNIT(9))</f>
        <v>680.625</v>
      </c>
      <c r="V14" s="108">
        <v>618.75</v>
      </c>
      <c r="W14" s="108">
        <v>0</v>
      </c>
      <c r="X14" s="108">
        <v>-168.0625</v>
      </c>
      <c r="Y14" s="180">
        <v>0</v>
      </c>
      <c r="Z14" s="180">
        <v>0</v>
      </c>
      <c r="AA14" s="180">
        <v>0</v>
      </c>
      <c r="AB14" s="180">
        <v>0</v>
      </c>
      <c r="AC14" s="180">
        <v>0</v>
      </c>
    </row>
    <row r="15" spans="1:31" x14ac:dyDescent="0.3">
      <c r="C15" s="1" t="s">
        <v>153</v>
      </c>
      <c r="D15" s="1" t="s">
        <v>154</v>
      </c>
      <c r="E15" s="1">
        <v>0</v>
      </c>
      <c r="F15" s="1">
        <v>0</v>
      </c>
      <c r="G15" s="1">
        <v>0</v>
      </c>
      <c r="H15" s="1">
        <v>0</v>
      </c>
      <c r="I15" s="4">
        <v>0</v>
      </c>
      <c r="J15" s="4">
        <v>0</v>
      </c>
      <c r="K15" s="28">
        <v>2.5</v>
      </c>
      <c r="L15" s="28">
        <v>0</v>
      </c>
      <c r="M15" s="28">
        <v>0</v>
      </c>
      <c r="T15" s="1" t="s">
        <v>154</v>
      </c>
      <c r="U15" s="180">
        <v>0</v>
      </c>
      <c r="V15" s="180">
        <v>0</v>
      </c>
      <c r="W15" s="180">
        <v>0</v>
      </c>
      <c r="X15" s="180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</row>
    <row r="17" spans="2:34" x14ac:dyDescent="0.3">
      <c r="AE17" s="1" t="s">
        <v>155</v>
      </c>
      <c r="AG17" s="1" t="s">
        <v>156</v>
      </c>
    </row>
    <row r="18" spans="2:34" x14ac:dyDescent="0.3">
      <c r="B18" s="1" t="s">
        <v>124</v>
      </c>
      <c r="D18" s="1" t="s">
        <v>158</v>
      </c>
      <c r="I18" s="3">
        <v>1</v>
      </c>
      <c r="J18" s="28">
        <v>0.1</v>
      </c>
      <c r="K18" s="3">
        <v>1</v>
      </c>
      <c r="L18" s="3">
        <v>0</v>
      </c>
      <c r="M18" s="3">
        <v>0</v>
      </c>
      <c r="T18" s="1" t="s">
        <v>159</v>
      </c>
      <c r="Y18" s="3">
        <f t="array" ref="Y18:AC21">I18:M21*Y3:AC6*TRANSPOSE(E14:H14)</f>
        <v>0</v>
      </c>
      <c r="Z18" s="3">
        <v>68.062500000000014</v>
      </c>
      <c r="AA18" s="3">
        <v>0</v>
      </c>
      <c r="AB18" s="3">
        <v>0</v>
      </c>
      <c r="AC18" s="3">
        <v>0</v>
      </c>
      <c r="AE18" s="3">
        <f t="array" ref="AE18:AE21">O3:O6*TRANSPOSE(E14:H14)</f>
        <v>0</v>
      </c>
      <c r="AG18" s="35">
        <f>SUM(Y18:AC18,AE18)</f>
        <v>68.062500000000014</v>
      </c>
    </row>
    <row r="19" spans="2:34" x14ac:dyDescent="0.3">
      <c r="I19" s="3">
        <v>1</v>
      </c>
      <c r="J19" s="3">
        <v>1</v>
      </c>
      <c r="K19" s="3">
        <v>1</v>
      </c>
      <c r="L19" s="3">
        <v>0</v>
      </c>
      <c r="M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E19" s="3">
        <v>150</v>
      </c>
      <c r="AG19" s="36">
        <f t="shared" ref="AG19:AG21" si="0">SUM(Y19:AC19,AE19)</f>
        <v>150</v>
      </c>
    </row>
    <row r="20" spans="2:34" x14ac:dyDescent="0.3">
      <c r="I20" s="3">
        <v>1</v>
      </c>
      <c r="J20" s="3">
        <v>1</v>
      </c>
      <c r="K20" s="3">
        <v>1</v>
      </c>
      <c r="L20" s="3">
        <v>0</v>
      </c>
      <c r="M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E20" s="3">
        <v>0</v>
      </c>
      <c r="AG20" s="36">
        <f t="shared" si="0"/>
        <v>0</v>
      </c>
    </row>
    <row r="21" spans="2:34" x14ac:dyDescent="0.3">
      <c r="I21" s="3">
        <v>1</v>
      </c>
      <c r="J21" s="3">
        <v>1</v>
      </c>
      <c r="K21" s="3">
        <v>1</v>
      </c>
      <c r="L21" s="3">
        <v>0</v>
      </c>
      <c r="M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-168.0625</v>
      </c>
      <c r="AE21" s="3">
        <v>0</v>
      </c>
      <c r="AG21" s="37">
        <f t="shared" si="0"/>
        <v>-168.0625</v>
      </c>
    </row>
    <row r="23" spans="2:34" x14ac:dyDescent="0.3">
      <c r="X23" s="1" t="s">
        <v>160</v>
      </c>
      <c r="Y23" s="32">
        <f>SUM(Y18:Y21)</f>
        <v>0</v>
      </c>
      <c r="Z23" s="33">
        <f t="shared" ref="Z23:AC23" si="1">SUM(Z18:Z21)</f>
        <v>68.062500000000014</v>
      </c>
      <c r="AA23" s="33">
        <f t="shared" si="1"/>
        <v>0</v>
      </c>
      <c r="AB23" s="33">
        <f t="shared" si="1"/>
        <v>0</v>
      </c>
      <c r="AC23" s="33">
        <f t="shared" si="1"/>
        <v>-168.0625</v>
      </c>
      <c r="AD23" s="33"/>
      <c r="AE23" s="34">
        <f>SUM(AE18:AE21)</f>
        <v>150</v>
      </c>
      <c r="AH23" s="1">
        <f>SUM(Y23:AC23,AE23)</f>
        <v>50.000000000000014</v>
      </c>
    </row>
    <row r="24" spans="2:34" x14ac:dyDescent="0.3">
      <c r="B24" s="1" t="s">
        <v>25</v>
      </c>
      <c r="C24" s="1" t="s">
        <v>60</v>
      </c>
      <c r="D24" s="6" t="s">
        <v>26</v>
      </c>
      <c r="E24" s="109">
        <v>45.375</v>
      </c>
      <c r="F24" s="109">
        <v>41.25</v>
      </c>
      <c r="G24" s="109">
        <v>10</v>
      </c>
      <c r="H24" s="109">
        <v>33.612499999999997</v>
      </c>
      <c r="I24" s="109">
        <v>45.375</v>
      </c>
      <c r="J24" s="109">
        <v>41.25</v>
      </c>
      <c r="K24" s="109">
        <v>0</v>
      </c>
      <c r="L24" s="109">
        <v>10</v>
      </c>
      <c r="M24" s="109">
        <v>33.612499999999997</v>
      </c>
      <c r="AG24" s="1">
        <f>SUM(AG18:AG21)</f>
        <v>50</v>
      </c>
    </row>
    <row r="26" spans="2:34" x14ac:dyDescent="0.3">
      <c r="N26" s="27"/>
      <c r="X26" s="1" t="s">
        <v>178</v>
      </c>
      <c r="Y26" s="1">
        <f>SUM(Y23:AC23,AE23)</f>
        <v>50.000000000000014</v>
      </c>
    </row>
    <row r="27" spans="2:34" x14ac:dyDescent="0.3">
      <c r="D27" s="1" t="s">
        <v>49</v>
      </c>
      <c r="E27" s="2" t="s">
        <v>36</v>
      </c>
      <c r="F27" s="2" t="s">
        <v>5</v>
      </c>
      <c r="G27" s="2" t="s">
        <v>6</v>
      </c>
      <c r="H27" s="2" t="s">
        <v>181</v>
      </c>
      <c r="I27" s="2" t="s">
        <v>126</v>
      </c>
      <c r="J27" s="2" t="s">
        <v>127</v>
      </c>
      <c r="K27" s="2" t="s">
        <v>128</v>
      </c>
      <c r="L27" s="2" t="s">
        <v>129</v>
      </c>
      <c r="M27" s="2" t="s">
        <v>174</v>
      </c>
      <c r="X27" s="1" t="s">
        <v>179</v>
      </c>
      <c r="Y27" s="1">
        <v>50</v>
      </c>
    </row>
    <row r="28" spans="2:34" x14ac:dyDescent="0.3">
      <c r="D28" s="1" t="s">
        <v>36</v>
      </c>
      <c r="E28" s="1">
        <v>1</v>
      </c>
      <c r="F28" s="1">
        <v>0</v>
      </c>
      <c r="G28" s="1">
        <v>0</v>
      </c>
      <c r="H28" s="1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2:34" x14ac:dyDescent="0.3">
      <c r="D29" s="1" t="s">
        <v>5</v>
      </c>
      <c r="E29" s="1">
        <v>0</v>
      </c>
      <c r="F29" s="1">
        <v>1</v>
      </c>
      <c r="G29" s="1">
        <v>0</v>
      </c>
      <c r="H29" s="1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2:34" x14ac:dyDescent="0.3">
      <c r="D30" s="1" t="s">
        <v>6</v>
      </c>
      <c r="E30" s="1">
        <v>0</v>
      </c>
      <c r="F30" s="1">
        <v>0</v>
      </c>
      <c r="G30" s="1">
        <v>1</v>
      </c>
      <c r="H30" s="1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2:34" x14ac:dyDescent="0.3">
      <c r="D31" s="1" t="s">
        <v>181</v>
      </c>
      <c r="E31" s="1">
        <v>0</v>
      </c>
      <c r="F31" s="1">
        <v>0</v>
      </c>
      <c r="G31" s="1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2:34" x14ac:dyDescent="0.3">
      <c r="D32" s="1" t="s">
        <v>7</v>
      </c>
      <c r="E32" s="3">
        <v>0</v>
      </c>
      <c r="F32" s="3">
        <v>0</v>
      </c>
      <c r="G32" s="3">
        <v>0</v>
      </c>
      <c r="H32" s="3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</row>
    <row r="33" spans="4:13" x14ac:dyDescent="0.3">
      <c r="D33" s="1" t="s">
        <v>8</v>
      </c>
      <c r="E33" s="3">
        <v>0</v>
      </c>
      <c r="F33" s="3">
        <v>0</v>
      </c>
      <c r="G33" s="3">
        <v>0</v>
      </c>
      <c r="H33" s="3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</row>
    <row r="34" spans="4:13" x14ac:dyDescent="0.3">
      <c r="D34" s="1" t="s">
        <v>9</v>
      </c>
      <c r="E34" s="3">
        <v>0</v>
      </c>
      <c r="F34" s="3">
        <v>0</v>
      </c>
      <c r="G34" s="3">
        <v>0</v>
      </c>
      <c r="H34" s="3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</row>
    <row r="35" spans="4:13" x14ac:dyDescent="0.3">
      <c r="D35" s="1" t="s">
        <v>174</v>
      </c>
      <c r="E35" s="3">
        <v>0</v>
      </c>
      <c r="F35" s="3">
        <v>0</v>
      </c>
      <c r="G35" s="3">
        <v>0</v>
      </c>
      <c r="H35" s="3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</row>
    <row r="38" spans="4:13" x14ac:dyDescent="0.3">
      <c r="E38" s="6" t="s">
        <v>180</v>
      </c>
      <c r="F38" s="7">
        <f t="array" ref="F38">SUM(Y12:AC12)</f>
        <v>406.9375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6CB9-CB58-431D-AA74-B97A275B3B07}">
  <sheetPr>
    <tabColor theme="8" tint="0.59999389629810485"/>
  </sheetPr>
  <dimension ref="A1:L25"/>
  <sheetViews>
    <sheetView showGridLines="0" zoomScale="85" zoomScaleNormal="85" workbookViewId="0">
      <selection activeCell="C7" sqref="C7"/>
    </sheetView>
  </sheetViews>
  <sheetFormatPr defaultColWidth="9.21875" defaultRowHeight="14.4" x14ac:dyDescent="0.3"/>
  <cols>
    <col min="1" max="1" width="22.21875" style="1" customWidth="1"/>
    <col min="2" max="2" width="19.77734375" style="1" customWidth="1"/>
    <col min="3" max="3" width="10.77734375" style="1" customWidth="1"/>
    <col min="4" max="4" width="8.21875" style="1" customWidth="1"/>
    <col min="5" max="35" width="7.21875" style="1" customWidth="1"/>
    <col min="36" max="16384" width="9.21875" style="1"/>
  </cols>
  <sheetData>
    <row r="1" spans="1:12" x14ac:dyDescent="0.3">
      <c r="B1" s="1" t="s">
        <v>191</v>
      </c>
    </row>
    <row r="3" spans="1:12" x14ac:dyDescent="0.3">
      <c r="E3" s="2" t="s">
        <v>192</v>
      </c>
    </row>
    <row r="4" spans="1:12" x14ac:dyDescent="0.3">
      <c r="A4" s="1" t="s">
        <v>193</v>
      </c>
      <c r="B4" s="1" t="s">
        <v>81</v>
      </c>
      <c r="C4" s="1" t="s">
        <v>64</v>
      </c>
      <c r="D4" s="6" t="s">
        <v>36</v>
      </c>
      <c r="E4" s="5">
        <v>10</v>
      </c>
    </row>
    <row r="5" spans="1:12" x14ac:dyDescent="0.3">
      <c r="B5" s="1" t="s">
        <v>117</v>
      </c>
      <c r="C5" s="1" t="s">
        <v>64</v>
      </c>
      <c r="D5" s="6" t="s">
        <v>5</v>
      </c>
      <c r="E5" s="5">
        <v>11.192368999999999</v>
      </c>
    </row>
    <row r="6" spans="1:12" x14ac:dyDescent="0.3">
      <c r="B6" s="1" t="s">
        <v>17</v>
      </c>
      <c r="C6" s="1" t="s">
        <v>64</v>
      </c>
      <c r="D6" s="6" t="s">
        <v>6</v>
      </c>
      <c r="E6" s="5">
        <v>34.976152999999996</v>
      </c>
      <c r="L6" s="27"/>
    </row>
    <row r="7" spans="1:12" x14ac:dyDescent="0.3">
      <c r="E7" s="5"/>
      <c r="F7" s="5"/>
      <c r="G7" s="5"/>
      <c r="H7" s="5"/>
      <c r="I7" s="5"/>
      <c r="J7" s="5"/>
      <c r="K7" s="5"/>
    </row>
    <row r="8" spans="1:12" x14ac:dyDescent="0.3">
      <c r="E8" s="2" t="s">
        <v>194</v>
      </c>
    </row>
    <row r="9" spans="1:12" x14ac:dyDescent="0.3">
      <c r="A9" s="1" t="s">
        <v>195</v>
      </c>
      <c r="B9" s="1" t="s">
        <v>44</v>
      </c>
      <c r="C9" s="1" t="s">
        <v>171</v>
      </c>
      <c r="D9" s="1" t="s">
        <v>196</v>
      </c>
      <c r="E9" s="211">
        <v>0.11658718</v>
      </c>
    </row>
    <row r="10" spans="1:12" x14ac:dyDescent="0.3">
      <c r="G10" s="2" t="s">
        <v>196</v>
      </c>
      <c r="H10" s="2" t="s">
        <v>197</v>
      </c>
    </row>
    <row r="11" spans="1:12" x14ac:dyDescent="0.3">
      <c r="D11" s="1" t="s">
        <v>198</v>
      </c>
      <c r="E11" s="2" t="s">
        <v>199</v>
      </c>
      <c r="F11" s="2" t="s">
        <v>200</v>
      </c>
      <c r="G11" s="2" t="s">
        <v>201</v>
      </c>
      <c r="H11" s="2" t="s">
        <v>201</v>
      </c>
      <c r="I11" s="2" t="s">
        <v>80</v>
      </c>
    </row>
    <row r="12" spans="1:12" x14ac:dyDescent="0.3">
      <c r="A12" s="1" t="s">
        <v>202</v>
      </c>
      <c r="B12" s="1" t="s">
        <v>118</v>
      </c>
      <c r="D12" s="6" t="s">
        <v>7</v>
      </c>
      <c r="E12" s="27">
        <f t="array" ref="E12:E15">MMULT(TRANSPOSE('emissions_1r-3p_primal'!G21:J23-'emissions_1r-3p_primal'!G3:J5),E4:E6)</f>
        <v>10</v>
      </c>
      <c r="F12" s="27">
        <f t="array" ref="F12:F15">TRANSPOSE('emissions_1r-3p_primal'!G12:J12)*E9</f>
        <v>0</v>
      </c>
      <c r="G12" s="27">
        <f t="array" ref="G12:G15">TRANSPOSE('emissions_1r-3p_primal'!G12:J12)*'emissions_1r-3p_primal'!N12</f>
        <v>0</v>
      </c>
      <c r="H12" s="1">
        <f t="array" ref="H12:H15">TRANSPOSE('emissions_1r-3p_primal'!G11:J11)*'emissions_1r-3p_primal'!N11</f>
        <v>10</v>
      </c>
      <c r="I12" s="27">
        <f t="array" ref="I12:I15">E12:E15-F12:F15-G12:G15-H12:H15</f>
        <v>0</v>
      </c>
    </row>
    <row r="13" spans="1:12" x14ac:dyDescent="0.3">
      <c r="B13" s="1" t="s">
        <v>119</v>
      </c>
      <c r="D13" s="6" t="s">
        <v>8</v>
      </c>
      <c r="E13" s="27">
        <v>0.19236899999999935</v>
      </c>
      <c r="F13" s="27">
        <v>0.19236884700000004</v>
      </c>
      <c r="G13" s="27">
        <v>0</v>
      </c>
      <c r="H13" s="1">
        <v>0</v>
      </c>
      <c r="I13" s="27">
        <v>1.5299999930884489E-7</v>
      </c>
    </row>
    <row r="14" spans="1:12" x14ac:dyDescent="0.3">
      <c r="B14" s="1" t="s">
        <v>203</v>
      </c>
      <c r="D14" s="6" t="s">
        <v>37</v>
      </c>
      <c r="E14" s="27">
        <v>4.7265070540540535</v>
      </c>
      <c r="F14" s="27">
        <v>4.7265072972972968</v>
      </c>
      <c r="G14" s="27">
        <v>0</v>
      </c>
      <c r="H14" s="1">
        <v>0</v>
      </c>
      <c r="I14" s="27">
        <v>-2.4324324332525293E-7</v>
      </c>
    </row>
    <row r="15" spans="1:12" x14ac:dyDescent="0.3">
      <c r="B15" s="1" t="s">
        <v>204</v>
      </c>
      <c r="D15" s="6" t="s">
        <v>38</v>
      </c>
      <c r="E15" s="27">
        <v>-1.2499999968440534E-7</v>
      </c>
      <c r="F15" s="27">
        <v>0</v>
      </c>
      <c r="G15" s="27">
        <v>0</v>
      </c>
      <c r="H15" s="1">
        <v>0</v>
      </c>
      <c r="I15" s="27">
        <v>-1.2499999968440534E-7</v>
      </c>
    </row>
    <row r="16" spans="1:12" x14ac:dyDescent="0.3">
      <c r="E16" s="5"/>
    </row>
    <row r="17" spans="1:5" x14ac:dyDescent="0.3">
      <c r="A17" s="1" t="s">
        <v>205</v>
      </c>
      <c r="B17" s="1" t="s">
        <v>206</v>
      </c>
      <c r="D17" s="212">
        <f t="array" ref="D17">MMULT(TRANSPOSE('emissions_1r-3p_primal'!L3:L5),E4:E6)-MMULT(TRANSPOSE('emissions_1r-3p_primal'!L12),E9)</f>
        <v>426.70906599999995</v>
      </c>
    </row>
    <row r="18" spans="1:5" x14ac:dyDescent="0.3">
      <c r="E18" s="5"/>
    </row>
    <row r="19" spans="1:5" x14ac:dyDescent="0.3">
      <c r="E19" s="5"/>
    </row>
    <row r="20" spans="1:5" x14ac:dyDescent="0.3">
      <c r="E20" s="5"/>
    </row>
    <row r="21" spans="1:5" x14ac:dyDescent="0.3">
      <c r="E21" s="5"/>
    </row>
    <row r="22" spans="1:5" x14ac:dyDescent="0.3">
      <c r="E22" s="5"/>
    </row>
    <row r="23" spans="1:5" x14ac:dyDescent="0.3">
      <c r="E23" s="5"/>
    </row>
    <row r="24" spans="1:5" x14ac:dyDescent="0.3">
      <c r="E24" s="5"/>
    </row>
    <row r="25" spans="1:5" x14ac:dyDescent="0.3">
      <c r="E25" s="5"/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131D-806C-45AD-916E-EC0CC4645839}">
  <sheetPr>
    <tabColor theme="8" tint="0.59999389629810485"/>
  </sheetPr>
  <dimension ref="A1:AZ50"/>
  <sheetViews>
    <sheetView showGridLines="0" topLeftCell="A9" workbookViewId="0">
      <selection activeCell="Y25" sqref="Y25"/>
    </sheetView>
  </sheetViews>
  <sheetFormatPr defaultColWidth="9.21875" defaultRowHeight="14.4" x14ac:dyDescent="0.3"/>
  <cols>
    <col min="1" max="1" width="13.77734375" style="1" customWidth="1"/>
    <col min="2" max="2" width="5" style="1" customWidth="1"/>
    <col min="3" max="3" width="19.77734375" style="1" customWidth="1"/>
    <col min="4" max="5" width="6.44140625" style="1" customWidth="1"/>
    <col min="6" max="57" width="5.44140625" style="1" customWidth="1"/>
    <col min="58" max="16384" width="9.21875" style="1"/>
  </cols>
  <sheetData>
    <row r="1" spans="1:52" x14ac:dyDescent="0.3">
      <c r="F1" s="1" t="s">
        <v>207</v>
      </c>
      <c r="I1" s="1" t="s">
        <v>208</v>
      </c>
      <c r="L1" s="1" t="s">
        <v>207</v>
      </c>
      <c r="P1" s="1" t="s">
        <v>208</v>
      </c>
      <c r="AA1" s="1" t="s">
        <v>207</v>
      </c>
      <c r="AD1" s="1" t="s">
        <v>208</v>
      </c>
      <c r="AG1" s="1" t="s">
        <v>207</v>
      </c>
      <c r="AK1" s="1" t="s">
        <v>208</v>
      </c>
      <c r="AS1" s="1" t="s">
        <v>207</v>
      </c>
      <c r="AW1" s="1" t="s">
        <v>208</v>
      </c>
    </row>
    <row r="2" spans="1:52" x14ac:dyDescent="0.3">
      <c r="N2" s="2" t="s">
        <v>112</v>
      </c>
      <c r="O2" s="2" t="s">
        <v>113</v>
      </c>
      <c r="R2" s="2" t="s">
        <v>112</v>
      </c>
      <c r="S2" s="2" t="s">
        <v>113</v>
      </c>
      <c r="AI2" s="2" t="s">
        <v>112</v>
      </c>
      <c r="AJ2" s="2" t="s">
        <v>113</v>
      </c>
      <c r="AM2" s="2" t="s">
        <v>112</v>
      </c>
      <c r="AN2" s="2" t="s">
        <v>113</v>
      </c>
      <c r="AU2" s="2" t="s">
        <v>112</v>
      </c>
      <c r="AV2" s="2" t="s">
        <v>113</v>
      </c>
      <c r="AY2" s="2" t="s">
        <v>112</v>
      </c>
      <c r="AZ2" s="2" t="s">
        <v>113</v>
      </c>
    </row>
    <row r="3" spans="1:52" x14ac:dyDescent="0.3">
      <c r="E3" s="1" t="s">
        <v>2</v>
      </c>
      <c r="F3" s="2" t="s">
        <v>36</v>
      </c>
      <c r="G3" s="2" t="s">
        <v>5</v>
      </c>
      <c r="H3" s="2" t="s">
        <v>6</v>
      </c>
      <c r="I3" s="2" t="s">
        <v>36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37</v>
      </c>
      <c r="O3" s="2" t="s">
        <v>38</v>
      </c>
      <c r="P3" s="2" t="s">
        <v>7</v>
      </c>
      <c r="Q3" s="2" t="s">
        <v>8</v>
      </c>
      <c r="R3" s="2" t="s">
        <v>37</v>
      </c>
      <c r="S3" s="2" t="s">
        <v>38</v>
      </c>
      <c r="U3" s="2" t="s">
        <v>10</v>
      </c>
      <c r="W3" s="11" t="s">
        <v>11</v>
      </c>
      <c r="Z3" s="1" t="s">
        <v>12</v>
      </c>
      <c r="AA3" s="2" t="s">
        <v>36</v>
      </c>
      <c r="AB3" s="2" t="s">
        <v>5</v>
      </c>
      <c r="AC3" s="2" t="s">
        <v>6</v>
      </c>
      <c r="AD3" s="2" t="s">
        <v>36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37</v>
      </c>
      <c r="AJ3" s="2" t="s">
        <v>38</v>
      </c>
      <c r="AK3" s="2" t="s">
        <v>7</v>
      </c>
      <c r="AL3" s="2" t="s">
        <v>8</v>
      </c>
      <c r="AM3" s="2" t="s">
        <v>37</v>
      </c>
      <c r="AN3" s="2" t="s">
        <v>38</v>
      </c>
      <c r="AS3" s="2" t="s">
        <v>7</v>
      </c>
      <c r="AT3" s="2" t="s">
        <v>8</v>
      </c>
      <c r="AU3" s="2" t="s">
        <v>37</v>
      </c>
      <c r="AV3" s="2" t="s">
        <v>38</v>
      </c>
      <c r="AW3" s="2" t="s">
        <v>7</v>
      </c>
      <c r="AX3" s="2" t="s">
        <v>8</v>
      </c>
      <c r="AY3" s="2" t="s">
        <v>37</v>
      </c>
      <c r="AZ3" s="2" t="s">
        <v>38</v>
      </c>
    </row>
    <row r="4" spans="1:52" x14ac:dyDescent="0.3">
      <c r="A4" s="1" t="s">
        <v>116</v>
      </c>
      <c r="B4" s="1" t="s">
        <v>207</v>
      </c>
      <c r="C4" s="1" t="s">
        <v>81</v>
      </c>
      <c r="D4" s="1" t="s">
        <v>60</v>
      </c>
      <c r="E4" s="1" t="s">
        <v>36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9">
        <v>0</v>
      </c>
      <c r="M4" s="9">
        <v>1.1000000000000001</v>
      </c>
      <c r="N4" s="9">
        <v>0</v>
      </c>
      <c r="O4" s="9">
        <v>0</v>
      </c>
      <c r="P4" s="10">
        <v>0</v>
      </c>
      <c r="Q4" s="10">
        <v>0</v>
      </c>
      <c r="R4" s="10">
        <v>0</v>
      </c>
      <c r="S4" s="10">
        <v>0</v>
      </c>
      <c r="U4" s="4">
        <v>0</v>
      </c>
      <c r="W4" s="8">
        <f t="array" ref="W4:W15">MMULT($F$38:$S$49-$F$4:$S$15,TRANSPOSE($F$32:$S$32))</f>
        <v>3.9999999756901161E-8</v>
      </c>
      <c r="Z4" s="1" t="s">
        <v>36</v>
      </c>
      <c r="AA4" s="1">
        <f t="array" ref="AA4:AN15">MMULT(F4:S15,F32:S32*_xlfn.MUNIT(14))</f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  <c r="AH4" s="3">
        <v>9.5135134600000004</v>
      </c>
      <c r="AI4" s="3">
        <v>0</v>
      </c>
      <c r="AJ4" s="3">
        <v>0</v>
      </c>
      <c r="AK4" s="1">
        <v>0</v>
      </c>
      <c r="AL4" s="1">
        <v>0</v>
      </c>
      <c r="AM4" s="1">
        <v>0</v>
      </c>
      <c r="AN4" s="1">
        <v>0</v>
      </c>
      <c r="AS4" s="3">
        <f t="array" ref="AS4:AZ9">MMULT(F10:K15,AG4:AN9)</f>
        <v>0</v>
      </c>
      <c r="AT4" s="3">
        <v>7.6108107680000003</v>
      </c>
      <c r="AU4" s="3">
        <v>0</v>
      </c>
      <c r="AV4" s="3">
        <v>0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3">
      <c r="C5" s="1" t="s">
        <v>117</v>
      </c>
      <c r="D5" s="1" t="s">
        <v>60</v>
      </c>
      <c r="E5" s="1" t="s">
        <v>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9">
        <v>0</v>
      </c>
      <c r="M5" s="9">
        <v>0</v>
      </c>
      <c r="N5" s="9">
        <f>1/0.37</f>
        <v>2.7027027027027026</v>
      </c>
      <c r="O5" s="9">
        <f>1/0.32</f>
        <v>3.125</v>
      </c>
      <c r="P5" s="10">
        <v>0</v>
      </c>
      <c r="Q5" s="10">
        <v>0</v>
      </c>
      <c r="R5" s="10">
        <v>0</v>
      </c>
      <c r="S5" s="10">
        <v>0</v>
      </c>
      <c r="U5" s="4">
        <v>0</v>
      </c>
      <c r="W5" s="8">
        <v>3.783783775190841E-7</v>
      </c>
      <c r="Z5" s="1" t="s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3">
        <v>0</v>
      </c>
      <c r="AH5" s="3">
        <v>0</v>
      </c>
      <c r="AI5" s="3">
        <v>21.621621621621621</v>
      </c>
      <c r="AJ5" s="3">
        <v>0</v>
      </c>
      <c r="AK5" s="1">
        <v>0</v>
      </c>
      <c r="AL5" s="1">
        <v>0</v>
      </c>
      <c r="AM5" s="1">
        <v>0</v>
      </c>
      <c r="AN5" s="1">
        <v>0</v>
      </c>
      <c r="AS5" s="3">
        <v>0</v>
      </c>
      <c r="AT5" s="3">
        <v>0</v>
      </c>
      <c r="AU5" s="3">
        <v>8.6486486486486491</v>
      </c>
      <c r="AV5" s="3">
        <v>0</v>
      </c>
      <c r="AW5" s="1">
        <v>0</v>
      </c>
      <c r="AX5" s="1">
        <v>0</v>
      </c>
      <c r="AY5" s="1">
        <v>0</v>
      </c>
      <c r="AZ5" s="1">
        <v>0</v>
      </c>
    </row>
    <row r="6" spans="1:52" x14ac:dyDescent="0.3">
      <c r="C6" s="1" t="s">
        <v>17</v>
      </c>
      <c r="D6" s="1" t="s">
        <v>60</v>
      </c>
      <c r="E6" s="1" t="s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9">
        <v>0</v>
      </c>
      <c r="M6" s="9">
        <v>0</v>
      </c>
      <c r="N6" s="9">
        <v>0</v>
      </c>
      <c r="O6" s="9">
        <v>0</v>
      </c>
      <c r="P6" s="10">
        <v>0</v>
      </c>
      <c r="Q6" s="10">
        <v>0</v>
      </c>
      <c r="R6" s="10">
        <v>0</v>
      </c>
      <c r="S6" s="10">
        <v>0</v>
      </c>
      <c r="U6" s="4">
        <v>10</v>
      </c>
      <c r="W6" s="8">
        <v>10</v>
      </c>
      <c r="Z6" s="1" t="s">
        <v>6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3">
        <v>0</v>
      </c>
      <c r="AH6" s="3">
        <v>0</v>
      </c>
      <c r="AI6" s="3">
        <v>0</v>
      </c>
      <c r="AJ6" s="3">
        <v>0</v>
      </c>
      <c r="AK6" s="1">
        <v>0</v>
      </c>
      <c r="AL6" s="1">
        <v>0</v>
      </c>
      <c r="AM6" s="1">
        <v>0</v>
      </c>
      <c r="AN6" s="1">
        <v>0</v>
      </c>
      <c r="AS6" s="3">
        <v>0</v>
      </c>
      <c r="AT6" s="3">
        <v>0</v>
      </c>
      <c r="AU6" s="3">
        <v>0</v>
      </c>
      <c r="AV6" s="3">
        <v>0</v>
      </c>
      <c r="AW6" s="1">
        <v>0</v>
      </c>
      <c r="AX6" s="1">
        <v>0</v>
      </c>
      <c r="AY6" s="1">
        <v>0</v>
      </c>
      <c r="AZ6" s="1">
        <v>0</v>
      </c>
    </row>
    <row r="7" spans="1:52" x14ac:dyDescent="0.3">
      <c r="B7" s="1" t="s">
        <v>208</v>
      </c>
      <c r="C7" s="1" t="s">
        <v>81</v>
      </c>
      <c r="D7" s="1" t="s">
        <v>60</v>
      </c>
      <c r="E7" s="1" t="s">
        <v>36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9">
        <v>0</v>
      </c>
      <c r="Q7" s="9">
        <v>1.1000000000000001</v>
      </c>
      <c r="R7" s="9">
        <v>0</v>
      </c>
      <c r="S7" s="9">
        <v>0</v>
      </c>
      <c r="U7" s="4">
        <v>0</v>
      </c>
      <c r="W7" s="8">
        <v>4.99999991632194E-7</v>
      </c>
      <c r="Z7" s="1" t="s">
        <v>36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3">
        <v>0</v>
      </c>
      <c r="AL7" s="3">
        <v>49.945945500000008</v>
      </c>
      <c r="AM7" s="3">
        <v>0</v>
      </c>
      <c r="AN7" s="3">
        <v>0</v>
      </c>
      <c r="AS7" s="1">
        <v>0</v>
      </c>
      <c r="AT7" s="1">
        <v>1.9027026920000001</v>
      </c>
      <c r="AU7" s="1">
        <v>0</v>
      </c>
      <c r="AV7" s="1">
        <v>0</v>
      </c>
      <c r="AW7" s="3">
        <v>0</v>
      </c>
      <c r="AX7" s="3">
        <v>49.945945500000008</v>
      </c>
      <c r="AY7" s="3">
        <v>0</v>
      </c>
      <c r="AZ7" s="3">
        <v>0</v>
      </c>
    </row>
    <row r="8" spans="1:52" x14ac:dyDescent="0.3">
      <c r="C8" s="1" t="s">
        <v>117</v>
      </c>
      <c r="D8" s="1" t="s">
        <v>60</v>
      </c>
      <c r="E8" s="1" t="s">
        <v>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9">
        <v>0</v>
      </c>
      <c r="Q8" s="9">
        <v>0</v>
      </c>
      <c r="R8" s="9">
        <f>1/0.37</f>
        <v>2.7027027027027026</v>
      </c>
      <c r="S8" s="9">
        <f>1/0.32</f>
        <v>3.125</v>
      </c>
      <c r="U8" s="4">
        <v>0</v>
      </c>
      <c r="W8" s="8">
        <v>-4.3243243652568708E-7</v>
      </c>
      <c r="Z8" s="1" t="s">
        <v>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3">
        <v>0</v>
      </c>
      <c r="AL8" s="3">
        <v>0</v>
      </c>
      <c r="AM8" s="3">
        <v>32.432432432432435</v>
      </c>
      <c r="AN8" s="3">
        <v>0</v>
      </c>
      <c r="AS8" s="1">
        <v>0</v>
      </c>
      <c r="AT8" s="1">
        <v>0</v>
      </c>
      <c r="AU8" s="1">
        <v>12.972972972972972</v>
      </c>
      <c r="AV8" s="1">
        <v>0</v>
      </c>
      <c r="AW8" s="3">
        <v>0</v>
      </c>
      <c r="AX8" s="3">
        <v>0</v>
      </c>
      <c r="AY8" s="3">
        <v>32.432432432432435</v>
      </c>
      <c r="AZ8" s="3">
        <v>0</v>
      </c>
    </row>
    <row r="9" spans="1:52" x14ac:dyDescent="0.3">
      <c r="C9" s="1" t="s">
        <v>17</v>
      </c>
      <c r="D9" s="1" t="s">
        <v>60</v>
      </c>
      <c r="E9" s="1" t="s">
        <v>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9">
        <v>0</v>
      </c>
      <c r="Q9" s="9">
        <v>0</v>
      </c>
      <c r="R9" s="9">
        <v>0</v>
      </c>
      <c r="S9" s="9">
        <v>0</v>
      </c>
      <c r="U9" s="4">
        <v>10</v>
      </c>
      <c r="W9" s="8">
        <v>10</v>
      </c>
      <c r="Z9" s="1" t="s">
        <v>6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3">
        <v>0</v>
      </c>
      <c r="AL9" s="3">
        <v>0</v>
      </c>
      <c r="AM9" s="3">
        <v>0</v>
      </c>
      <c r="AN9" s="3">
        <v>0</v>
      </c>
      <c r="AS9" s="1">
        <v>0</v>
      </c>
      <c r="AT9" s="1">
        <v>0</v>
      </c>
      <c r="AU9" s="1">
        <v>0</v>
      </c>
      <c r="AV9" s="1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3">
      <c r="A10" s="1" t="s">
        <v>19</v>
      </c>
      <c r="B10" s="1" t="s">
        <v>207</v>
      </c>
      <c r="C10" s="1" t="s">
        <v>118</v>
      </c>
      <c r="D10" s="1" t="s">
        <v>60</v>
      </c>
      <c r="E10" s="1" t="s">
        <v>7</v>
      </c>
      <c r="F10" s="9">
        <v>0.8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U10" s="1">
        <v>0</v>
      </c>
      <c r="W10" s="27">
        <v>0</v>
      </c>
      <c r="Z10" s="1" t="s">
        <v>7</v>
      </c>
      <c r="AA10" s="3">
        <v>7.6108108000000003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52" x14ac:dyDescent="0.3">
      <c r="C11" s="1" t="s">
        <v>119</v>
      </c>
      <c r="D11" s="1" t="s">
        <v>60</v>
      </c>
      <c r="E11" s="1" t="s">
        <v>8</v>
      </c>
      <c r="F11" s="9">
        <v>0</v>
      </c>
      <c r="G11" s="9">
        <v>0.4</v>
      </c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U11" s="1">
        <v>0</v>
      </c>
      <c r="W11" s="27">
        <v>-2.0000000056086265E-7</v>
      </c>
      <c r="Z11" s="1" t="s">
        <v>8</v>
      </c>
      <c r="AA11" s="3">
        <v>0</v>
      </c>
      <c r="AB11" s="3">
        <v>8.6486488000000001</v>
      </c>
      <c r="AC11" s="3">
        <v>0</v>
      </c>
      <c r="AD11" s="3">
        <v>0</v>
      </c>
      <c r="AE11" s="3">
        <v>0</v>
      </c>
      <c r="AF11" s="3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52" x14ac:dyDescent="0.3">
      <c r="C12" s="1" t="s">
        <v>120</v>
      </c>
      <c r="D12" s="1" t="s">
        <v>60</v>
      </c>
      <c r="E12" s="1" t="s">
        <v>9</v>
      </c>
      <c r="F12" s="9">
        <v>0</v>
      </c>
      <c r="G12" s="9">
        <v>0</v>
      </c>
      <c r="H12" s="9">
        <v>0.8</v>
      </c>
      <c r="I12" s="9">
        <v>0</v>
      </c>
      <c r="J12" s="9">
        <v>0</v>
      </c>
      <c r="K12" s="9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U12" s="1">
        <v>0</v>
      </c>
      <c r="W12" s="27">
        <v>0</v>
      </c>
      <c r="Z12" s="1" t="s">
        <v>9</v>
      </c>
      <c r="AA12" s="3">
        <v>0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52" x14ac:dyDescent="0.3">
      <c r="B13" s="1" t="s">
        <v>208</v>
      </c>
      <c r="C13" s="1" t="s">
        <v>118</v>
      </c>
      <c r="D13" s="1" t="s">
        <v>60</v>
      </c>
      <c r="E13" s="1" t="s">
        <v>7</v>
      </c>
      <c r="F13" s="9">
        <v>0.2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U13" s="1">
        <v>0</v>
      </c>
      <c r="W13" s="27">
        <v>3.0000000350582923E-7</v>
      </c>
      <c r="Z13" s="1" t="s">
        <v>7</v>
      </c>
      <c r="AA13" s="3">
        <v>1.9027027000000001</v>
      </c>
      <c r="AB13" s="3">
        <v>0</v>
      </c>
      <c r="AC13" s="3">
        <v>0</v>
      </c>
      <c r="AD13" s="3">
        <v>49.945945999999999</v>
      </c>
      <c r="AE13" s="3">
        <v>0</v>
      </c>
      <c r="AF13" s="3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52" x14ac:dyDescent="0.3">
      <c r="C14" s="1" t="s">
        <v>119</v>
      </c>
      <c r="D14" s="1" t="s">
        <v>60</v>
      </c>
      <c r="E14" s="1" t="s">
        <v>8</v>
      </c>
      <c r="F14" s="9">
        <v>0</v>
      </c>
      <c r="G14" s="9">
        <v>0.6</v>
      </c>
      <c r="H14" s="9">
        <v>0</v>
      </c>
      <c r="I14" s="9">
        <v>0</v>
      </c>
      <c r="J14" s="9">
        <v>1</v>
      </c>
      <c r="K14" s="9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U14" s="1">
        <v>0</v>
      </c>
      <c r="W14" s="27">
        <v>-1.9999999523179213E-7</v>
      </c>
      <c r="Z14" s="1" t="s">
        <v>8</v>
      </c>
      <c r="AA14" s="3">
        <v>0</v>
      </c>
      <c r="AB14" s="3">
        <v>12.972973199999998</v>
      </c>
      <c r="AC14" s="3">
        <v>0</v>
      </c>
      <c r="AD14" s="3">
        <v>0</v>
      </c>
      <c r="AE14" s="3">
        <v>32.432431999999999</v>
      </c>
      <c r="AF14" s="3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52" x14ac:dyDescent="0.3">
      <c r="C15" s="1" t="s">
        <v>120</v>
      </c>
      <c r="D15" s="1" t="s">
        <v>60</v>
      </c>
      <c r="E15" s="1" t="s">
        <v>9</v>
      </c>
      <c r="F15" s="9">
        <v>0</v>
      </c>
      <c r="G15" s="9">
        <v>0</v>
      </c>
      <c r="H15" s="9">
        <v>0.2</v>
      </c>
      <c r="I15" s="9">
        <v>0</v>
      </c>
      <c r="J15" s="9">
        <v>0</v>
      </c>
      <c r="K15" s="9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U15" s="1">
        <v>0</v>
      </c>
      <c r="W15" s="27">
        <v>0</v>
      </c>
      <c r="Z15" s="1" t="s">
        <v>9</v>
      </c>
      <c r="AA15" s="3">
        <v>0</v>
      </c>
      <c r="AB15" s="3">
        <v>0</v>
      </c>
      <c r="AC15" s="3">
        <v>2</v>
      </c>
      <c r="AD15" s="3">
        <v>0</v>
      </c>
      <c r="AE15" s="3">
        <v>0</v>
      </c>
      <c r="AF15" s="3">
        <v>10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52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W16" s="27"/>
    </row>
    <row r="17" spans="1:45" x14ac:dyDescent="0.3">
      <c r="A17" s="1" t="s">
        <v>116</v>
      </c>
      <c r="C17" s="1" t="s">
        <v>24</v>
      </c>
      <c r="D17" s="1" t="s">
        <v>121</v>
      </c>
      <c r="E17" s="1" t="s">
        <v>45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8">
        <v>2</v>
      </c>
      <c r="M17" s="8">
        <v>2.5</v>
      </c>
      <c r="N17" s="8">
        <v>3.5</v>
      </c>
      <c r="O17" s="8">
        <v>4.5</v>
      </c>
      <c r="P17" s="8">
        <v>2</v>
      </c>
      <c r="Q17" s="8">
        <v>2.5</v>
      </c>
      <c r="R17" s="8">
        <v>3.5</v>
      </c>
      <c r="S17" s="8">
        <v>4.5</v>
      </c>
      <c r="Z17" s="1" t="s">
        <v>45</v>
      </c>
      <c r="AA17" s="1">
        <f t="array" ref="AA17:AN17">MMULT(F17:S17,F32:S32*_xlfn.MUNIT(14))</f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3">
        <v>15.221621600000001</v>
      </c>
      <c r="AH17" s="3">
        <v>21.6216215</v>
      </c>
      <c r="AI17" s="3">
        <v>28</v>
      </c>
      <c r="AJ17" s="3">
        <v>0</v>
      </c>
      <c r="AK17" s="3">
        <v>103.697298</v>
      </c>
      <c r="AL17" s="3">
        <v>113.5135125</v>
      </c>
      <c r="AM17" s="3">
        <v>42</v>
      </c>
      <c r="AN17" s="3">
        <v>0</v>
      </c>
      <c r="AP17" s="1">
        <f>SUM(AA17:AN17)</f>
        <v>324.05405359999997</v>
      </c>
      <c r="AQ17" s="1" t="s">
        <v>92</v>
      </c>
    </row>
    <row r="19" spans="1:45" x14ac:dyDescent="0.3">
      <c r="A19" s="1" t="s">
        <v>116</v>
      </c>
      <c r="C19" s="1" t="s">
        <v>44</v>
      </c>
      <c r="D19" s="1" t="s">
        <v>151</v>
      </c>
      <c r="E19" s="1" t="s">
        <v>152</v>
      </c>
      <c r="F19" s="4">
        <v>15</v>
      </c>
      <c r="G19" s="4">
        <v>15</v>
      </c>
      <c r="H19" s="28">
        <v>0</v>
      </c>
      <c r="I19" s="4">
        <v>15</v>
      </c>
      <c r="J19" s="4">
        <v>15</v>
      </c>
      <c r="K19" s="28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Z19" s="1" t="s">
        <v>152</v>
      </c>
      <c r="AA19" s="4">
        <f t="array" ref="AA19:AN20">MMULT(F19:S20,F32:S32*_xlfn.MUNIT(14))</f>
        <v>142.70270250000002</v>
      </c>
      <c r="AB19" s="4">
        <v>324.32432999999997</v>
      </c>
      <c r="AC19" s="4">
        <v>0</v>
      </c>
      <c r="AD19" s="4">
        <v>749.18918999999994</v>
      </c>
      <c r="AE19" s="4">
        <v>486.48647999999997</v>
      </c>
      <c r="AF19" s="4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5" x14ac:dyDescent="0.3">
      <c r="D20" s="1" t="s">
        <v>153</v>
      </c>
      <c r="E20" s="1" t="s">
        <v>154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0</v>
      </c>
      <c r="M20" s="4">
        <v>0</v>
      </c>
      <c r="N20" s="28">
        <v>2.5</v>
      </c>
      <c r="O20" s="28">
        <v>0</v>
      </c>
      <c r="P20" s="4">
        <v>0</v>
      </c>
      <c r="Q20" s="4">
        <v>0</v>
      </c>
      <c r="R20" s="28">
        <v>2.5</v>
      </c>
      <c r="S20" s="28">
        <v>0</v>
      </c>
      <c r="Z20" s="1" t="s">
        <v>154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4">
        <v>0</v>
      </c>
      <c r="AH20" s="4">
        <v>0</v>
      </c>
      <c r="AI20" s="4">
        <v>20</v>
      </c>
      <c r="AJ20" s="4">
        <v>0</v>
      </c>
      <c r="AK20" s="4">
        <v>0</v>
      </c>
      <c r="AL20" s="4">
        <v>0</v>
      </c>
      <c r="AM20" s="4">
        <v>30</v>
      </c>
      <c r="AN20" s="4">
        <v>0</v>
      </c>
    </row>
    <row r="23" spans="1:45" x14ac:dyDescent="0.3">
      <c r="C23" s="1" t="s">
        <v>124</v>
      </c>
      <c r="E23" s="1" t="s">
        <v>158</v>
      </c>
      <c r="L23" s="3">
        <v>1</v>
      </c>
      <c r="M23" s="28">
        <v>0.1</v>
      </c>
      <c r="N23" s="3">
        <v>1</v>
      </c>
      <c r="O23" s="3">
        <v>0</v>
      </c>
      <c r="P23" s="10">
        <v>0</v>
      </c>
      <c r="Q23" s="10">
        <v>0</v>
      </c>
      <c r="R23" s="10">
        <v>0</v>
      </c>
      <c r="S23" s="10">
        <v>0</v>
      </c>
      <c r="Z23" s="1" t="s">
        <v>158</v>
      </c>
      <c r="AG23" s="108">
        <f t="array" ref="AG23:AN28">L23:S28*AG4:AN9*TRANSPOSE(F19:K19)</f>
        <v>0</v>
      </c>
      <c r="AH23" s="108">
        <v>14.270270190000002</v>
      </c>
      <c r="AI23" s="108">
        <v>0</v>
      </c>
      <c r="AJ23" s="108">
        <v>0</v>
      </c>
      <c r="AK23" s="180">
        <v>0</v>
      </c>
      <c r="AL23" s="180">
        <v>0</v>
      </c>
      <c r="AM23" s="180">
        <v>0</v>
      </c>
      <c r="AN23" s="180">
        <v>0</v>
      </c>
      <c r="AP23" s="3">
        <f t="array" ref="AP23:AP28">L23:S28*U4:U9*TRANSPOSE(F19:K19)</f>
        <v>0</v>
      </c>
      <c r="AR23" s="1">
        <f>SUM(AG23:AN23,AP23)</f>
        <v>14.270270190000002</v>
      </c>
    </row>
    <row r="24" spans="1:45" x14ac:dyDescent="0.3">
      <c r="L24" s="3">
        <v>1</v>
      </c>
      <c r="M24" s="3">
        <v>1</v>
      </c>
      <c r="N24" s="3">
        <v>1</v>
      </c>
      <c r="O24" s="3">
        <v>0</v>
      </c>
      <c r="P24" s="10">
        <v>0</v>
      </c>
      <c r="Q24" s="10">
        <v>0</v>
      </c>
      <c r="R24" s="10">
        <v>0</v>
      </c>
      <c r="S24" s="10">
        <v>0</v>
      </c>
      <c r="AG24" s="108">
        <v>0</v>
      </c>
      <c r="AH24" s="108">
        <v>0</v>
      </c>
      <c r="AI24" s="108">
        <v>324.32432432432432</v>
      </c>
      <c r="AJ24" s="108">
        <v>0</v>
      </c>
      <c r="AK24" s="180">
        <v>0</v>
      </c>
      <c r="AL24" s="180">
        <v>0</v>
      </c>
      <c r="AM24" s="180">
        <v>0</v>
      </c>
      <c r="AN24" s="180">
        <v>0</v>
      </c>
      <c r="AP24" s="3">
        <v>0</v>
      </c>
      <c r="AR24" s="1">
        <f t="shared" ref="AR24:AR28" si="0">SUM(AG24:AN24,AP24)</f>
        <v>324.32432432432432</v>
      </c>
    </row>
    <row r="25" spans="1:45" x14ac:dyDescent="0.3">
      <c r="L25" s="3">
        <v>1</v>
      </c>
      <c r="M25" s="3">
        <v>1</v>
      </c>
      <c r="N25" s="3">
        <v>1</v>
      </c>
      <c r="O25" s="3">
        <v>0</v>
      </c>
      <c r="P25" s="10">
        <v>0</v>
      </c>
      <c r="Q25" s="10">
        <v>0</v>
      </c>
      <c r="R25" s="10">
        <v>0</v>
      </c>
      <c r="S25" s="10">
        <v>0</v>
      </c>
      <c r="AG25" s="108">
        <v>0</v>
      </c>
      <c r="AH25" s="108">
        <v>0</v>
      </c>
      <c r="AI25" s="108">
        <v>0</v>
      </c>
      <c r="AJ25" s="108">
        <v>0</v>
      </c>
      <c r="AK25" s="180">
        <v>0</v>
      </c>
      <c r="AL25" s="180">
        <v>0</v>
      </c>
      <c r="AM25" s="180">
        <v>0</v>
      </c>
      <c r="AN25" s="180">
        <v>0</v>
      </c>
      <c r="AP25" s="3">
        <v>0</v>
      </c>
      <c r="AR25" s="1">
        <f t="shared" si="0"/>
        <v>0</v>
      </c>
    </row>
    <row r="26" spans="1:45" x14ac:dyDescent="0.3">
      <c r="L26" s="10">
        <v>0</v>
      </c>
      <c r="M26" s="10">
        <v>0</v>
      </c>
      <c r="N26" s="10">
        <v>0</v>
      </c>
      <c r="O26" s="10">
        <v>0</v>
      </c>
      <c r="P26" s="3">
        <v>1</v>
      </c>
      <c r="Q26" s="28">
        <v>0.1</v>
      </c>
      <c r="R26" s="3">
        <v>1</v>
      </c>
      <c r="S26" s="3">
        <v>0</v>
      </c>
      <c r="AG26" s="180">
        <v>0</v>
      </c>
      <c r="AH26" s="180">
        <v>0</v>
      </c>
      <c r="AI26" s="180">
        <v>0</v>
      </c>
      <c r="AJ26" s="180">
        <v>0</v>
      </c>
      <c r="AK26" s="108">
        <v>0</v>
      </c>
      <c r="AL26" s="108">
        <v>74.918918250000019</v>
      </c>
      <c r="AM26" s="108">
        <v>0</v>
      </c>
      <c r="AN26" s="108">
        <v>0</v>
      </c>
      <c r="AP26" s="3">
        <v>0</v>
      </c>
      <c r="AR26" s="1">
        <f t="shared" si="0"/>
        <v>74.918918250000019</v>
      </c>
    </row>
    <row r="27" spans="1:45" x14ac:dyDescent="0.3">
      <c r="L27" s="10">
        <v>0</v>
      </c>
      <c r="M27" s="10">
        <v>0</v>
      </c>
      <c r="N27" s="10">
        <v>0</v>
      </c>
      <c r="O27" s="10">
        <v>0</v>
      </c>
      <c r="P27" s="3">
        <v>1</v>
      </c>
      <c r="Q27" s="3">
        <v>1</v>
      </c>
      <c r="R27" s="3">
        <v>1</v>
      </c>
      <c r="S27" s="3">
        <v>0</v>
      </c>
      <c r="AG27" s="180">
        <v>0</v>
      </c>
      <c r="AH27" s="180">
        <v>0</v>
      </c>
      <c r="AI27" s="180">
        <v>0</v>
      </c>
      <c r="AJ27" s="180">
        <v>0</v>
      </c>
      <c r="AK27" s="108">
        <v>0</v>
      </c>
      <c r="AL27" s="108">
        <v>0</v>
      </c>
      <c r="AM27" s="108">
        <v>486.48648648648651</v>
      </c>
      <c r="AN27" s="108">
        <v>0</v>
      </c>
      <c r="AP27" s="3">
        <v>0</v>
      </c>
      <c r="AR27" s="1">
        <f t="shared" si="0"/>
        <v>486.48648648648651</v>
      </c>
    </row>
    <row r="28" spans="1:45" x14ac:dyDescent="0.3">
      <c r="L28" s="10">
        <v>0</v>
      </c>
      <c r="M28" s="10">
        <v>0</v>
      </c>
      <c r="N28" s="10">
        <v>0</v>
      </c>
      <c r="O28" s="10">
        <v>0</v>
      </c>
      <c r="P28" s="3">
        <v>1</v>
      </c>
      <c r="Q28" s="3">
        <v>1</v>
      </c>
      <c r="R28" s="3">
        <v>1</v>
      </c>
      <c r="S28" s="3">
        <v>0</v>
      </c>
      <c r="AG28" s="180">
        <v>0</v>
      </c>
      <c r="AH28" s="180">
        <v>0</v>
      </c>
      <c r="AI28" s="180">
        <v>0</v>
      </c>
      <c r="AJ28" s="180">
        <v>0</v>
      </c>
      <c r="AK28" s="108">
        <v>0</v>
      </c>
      <c r="AL28" s="108">
        <v>0</v>
      </c>
      <c r="AM28" s="108">
        <v>0</v>
      </c>
      <c r="AN28" s="108">
        <v>0</v>
      </c>
      <c r="AP28" s="3">
        <v>0</v>
      </c>
      <c r="AR28" s="1">
        <f t="shared" si="0"/>
        <v>0</v>
      </c>
    </row>
    <row r="30" spans="1:45" x14ac:dyDescent="0.3">
      <c r="AG30" s="1">
        <f>SUM(AG23:AG28)</f>
        <v>0</v>
      </c>
      <c r="AH30" s="1">
        <f t="shared" ref="AH30:AP30" si="1">SUM(AH23:AH28)</f>
        <v>14.270270190000002</v>
      </c>
      <c r="AI30" s="1">
        <f t="shared" si="1"/>
        <v>324.32432432432432</v>
      </c>
      <c r="AJ30" s="1">
        <f t="shared" si="1"/>
        <v>0</v>
      </c>
      <c r="AK30" s="1">
        <f t="shared" si="1"/>
        <v>0</v>
      </c>
      <c r="AL30" s="1">
        <f t="shared" si="1"/>
        <v>74.918918250000019</v>
      </c>
      <c r="AM30" s="1">
        <f t="shared" si="1"/>
        <v>486.48648648648651</v>
      </c>
      <c r="AN30" s="1">
        <f t="shared" si="1"/>
        <v>0</v>
      </c>
      <c r="AP30" s="1">
        <f t="shared" si="1"/>
        <v>0</v>
      </c>
      <c r="AS30" s="1">
        <f>SUM(AG30:AN30,AP30)</f>
        <v>899.99999925081079</v>
      </c>
    </row>
    <row r="31" spans="1:45" x14ac:dyDescent="0.3">
      <c r="AR31" s="1">
        <f>SUM(AR23:AR28)</f>
        <v>899.99999925081079</v>
      </c>
    </row>
    <row r="32" spans="1:45" x14ac:dyDescent="0.3">
      <c r="C32" s="1" t="s">
        <v>25</v>
      </c>
      <c r="D32" s="1" t="s">
        <v>60</v>
      </c>
      <c r="E32" s="6" t="s">
        <v>26</v>
      </c>
      <c r="F32" s="109">
        <v>9.5135135000000002</v>
      </c>
      <c r="G32" s="109">
        <v>21.621621999999999</v>
      </c>
      <c r="H32" s="109">
        <v>10</v>
      </c>
      <c r="I32" s="109">
        <v>49.945945999999999</v>
      </c>
      <c r="J32" s="109">
        <v>32.432431999999999</v>
      </c>
      <c r="K32" s="109">
        <v>10</v>
      </c>
      <c r="L32" s="109">
        <v>7.6108108000000003</v>
      </c>
      <c r="M32" s="109">
        <v>8.6486485999999996</v>
      </c>
      <c r="N32" s="109">
        <v>8</v>
      </c>
      <c r="O32" s="109">
        <v>0</v>
      </c>
      <c r="P32" s="109">
        <v>51.848649000000002</v>
      </c>
      <c r="Q32" s="109">
        <v>45.405405000000002</v>
      </c>
      <c r="R32" s="109">
        <v>12</v>
      </c>
      <c r="S32" s="109">
        <v>0</v>
      </c>
      <c r="T32" s="27"/>
      <c r="Z32" s="181"/>
      <c r="AP32" s="27"/>
    </row>
    <row r="33" spans="5:42" x14ac:dyDescent="0.3">
      <c r="Z33" s="181"/>
      <c r="AP33" s="27"/>
    </row>
    <row r="34" spans="5:42" x14ac:dyDescent="0.3">
      <c r="AI34" s="48"/>
      <c r="AP34" s="27"/>
    </row>
    <row r="35" spans="5:42" x14ac:dyDescent="0.3">
      <c r="F35" s="1" t="s">
        <v>207</v>
      </c>
      <c r="I35" s="1" t="s">
        <v>208</v>
      </c>
      <c r="L35" s="1" t="s">
        <v>207</v>
      </c>
      <c r="P35" s="1" t="s">
        <v>208</v>
      </c>
      <c r="AC35" s="2"/>
      <c r="AD35" s="2"/>
      <c r="AE35" s="2"/>
      <c r="AI35" s="48"/>
    </row>
    <row r="36" spans="5:42" x14ac:dyDescent="0.3">
      <c r="N36" s="2" t="s">
        <v>112</v>
      </c>
      <c r="O36" s="2" t="s">
        <v>113</v>
      </c>
      <c r="R36" s="2" t="s">
        <v>112</v>
      </c>
      <c r="S36" s="2" t="s">
        <v>113</v>
      </c>
      <c r="AC36" s="27"/>
      <c r="AD36" s="27"/>
      <c r="AE36" s="2"/>
      <c r="AI36" s="48"/>
    </row>
    <row r="37" spans="5:42" x14ac:dyDescent="0.3">
      <c r="E37" s="1" t="s">
        <v>2</v>
      </c>
      <c r="F37" s="2" t="s">
        <v>36</v>
      </c>
      <c r="G37" s="2" t="s">
        <v>5</v>
      </c>
      <c r="H37" s="2" t="s">
        <v>6</v>
      </c>
      <c r="I37" s="2" t="s">
        <v>36</v>
      </c>
      <c r="J37" s="2" t="s">
        <v>5</v>
      </c>
      <c r="K37" s="2" t="s">
        <v>6</v>
      </c>
      <c r="L37" s="2" t="s">
        <v>7</v>
      </c>
      <c r="M37" s="2" t="s">
        <v>8</v>
      </c>
      <c r="N37" s="2" t="s">
        <v>37</v>
      </c>
      <c r="O37" s="2" t="s">
        <v>38</v>
      </c>
      <c r="P37" s="2" t="s">
        <v>7</v>
      </c>
      <c r="Q37" s="2" t="s">
        <v>8</v>
      </c>
      <c r="R37" s="2" t="s">
        <v>37</v>
      </c>
      <c r="S37" s="2" t="s">
        <v>38</v>
      </c>
      <c r="AC37" s="27"/>
      <c r="AD37" s="27"/>
      <c r="AE37" s="2"/>
      <c r="AI37" s="48"/>
    </row>
    <row r="38" spans="5:42" x14ac:dyDescent="0.3">
      <c r="E38" s="1" t="s">
        <v>36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3">
        <v>0</v>
      </c>
      <c r="M38" s="3">
        <v>0</v>
      </c>
      <c r="N38" s="3">
        <v>0</v>
      </c>
      <c r="O38" s="3">
        <v>0</v>
      </c>
      <c r="P38" s="1">
        <v>0</v>
      </c>
      <c r="Q38" s="1">
        <v>0</v>
      </c>
      <c r="R38" s="1">
        <v>0</v>
      </c>
      <c r="S38" s="1">
        <v>0</v>
      </c>
      <c r="AC38" s="27"/>
      <c r="AD38" s="27"/>
      <c r="AE38" s="2"/>
      <c r="AI38" s="48"/>
    </row>
    <row r="39" spans="5:42" x14ac:dyDescent="0.3">
      <c r="E39" s="1" t="s">
        <v>5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3">
        <v>0</v>
      </c>
      <c r="M39" s="3">
        <v>0</v>
      </c>
      <c r="N39" s="3">
        <v>0</v>
      </c>
      <c r="O39" s="3">
        <v>0</v>
      </c>
      <c r="P39" s="1">
        <v>0</v>
      </c>
      <c r="Q39" s="1">
        <v>0</v>
      </c>
      <c r="R39" s="1">
        <v>0</v>
      </c>
      <c r="S39" s="1">
        <v>0</v>
      </c>
      <c r="AE39" s="2"/>
      <c r="AI39" s="48"/>
    </row>
    <row r="40" spans="5:42" x14ac:dyDescent="0.3">
      <c r="E40" s="1" t="s">
        <v>6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3">
        <v>0</v>
      </c>
      <c r="M40" s="3">
        <v>0</v>
      </c>
      <c r="N40" s="3">
        <v>0</v>
      </c>
      <c r="O40" s="3">
        <v>0</v>
      </c>
      <c r="P40" s="1">
        <v>0</v>
      </c>
      <c r="Q40" s="1">
        <v>0</v>
      </c>
      <c r="R40" s="1">
        <v>0</v>
      </c>
      <c r="S40" s="1">
        <v>0</v>
      </c>
      <c r="AE40" s="2"/>
      <c r="AI40" s="48"/>
    </row>
    <row r="41" spans="5:42" x14ac:dyDescent="0.3">
      <c r="E41" s="1" t="s">
        <v>36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3">
        <v>0</v>
      </c>
      <c r="Q41" s="3">
        <v>0</v>
      </c>
      <c r="R41" s="3">
        <v>0</v>
      </c>
      <c r="S41" s="3">
        <v>0</v>
      </c>
      <c r="AE41" s="2"/>
    </row>
    <row r="42" spans="5:42" x14ac:dyDescent="0.3">
      <c r="E42" s="1" t="s">
        <v>5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3">
        <v>0</v>
      </c>
      <c r="Q42" s="3">
        <v>0</v>
      </c>
      <c r="R42" s="3">
        <v>0</v>
      </c>
      <c r="S42" s="3">
        <v>0</v>
      </c>
      <c r="AE42" s="2"/>
    </row>
    <row r="43" spans="5:42" x14ac:dyDescent="0.3">
      <c r="E43" s="1" t="s">
        <v>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3">
        <v>0</v>
      </c>
      <c r="Q43" s="3">
        <v>0</v>
      </c>
      <c r="R43" s="3">
        <v>0</v>
      </c>
      <c r="S43" s="3">
        <v>0</v>
      </c>
      <c r="AE43" s="2"/>
    </row>
    <row r="44" spans="5:42" x14ac:dyDescent="0.3">
      <c r="E44" s="1" t="s">
        <v>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AE44" s="2"/>
    </row>
    <row r="45" spans="5:42" x14ac:dyDescent="0.3">
      <c r="E45" s="1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AE45" s="2"/>
    </row>
    <row r="46" spans="5:42" x14ac:dyDescent="0.3">
      <c r="E46" s="1" t="s">
        <v>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AE46" s="2"/>
    </row>
    <row r="47" spans="5:42" x14ac:dyDescent="0.3">
      <c r="E47" s="1" t="s">
        <v>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AE47" s="2"/>
    </row>
    <row r="48" spans="5:42" x14ac:dyDescent="0.3">
      <c r="E48" s="1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AE48" s="2"/>
    </row>
    <row r="49" spans="5:31" x14ac:dyDescent="0.3">
      <c r="E49" s="1" t="s">
        <v>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AE49" s="2"/>
    </row>
    <row r="50" spans="5:31" x14ac:dyDescent="0.3">
      <c r="AE50" s="2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2992-E495-4F61-B58E-BC02A73DD4F3}">
  <sheetPr>
    <tabColor theme="9" tint="0.59999389629810485"/>
  </sheetPr>
  <dimension ref="A1:AG65"/>
  <sheetViews>
    <sheetView workbookViewId="0"/>
  </sheetViews>
  <sheetFormatPr defaultColWidth="9.21875" defaultRowHeight="14.4" x14ac:dyDescent="0.3"/>
  <cols>
    <col min="1" max="1" width="14.21875" style="10" customWidth="1"/>
    <col min="2" max="2" width="16.77734375" style="10" customWidth="1"/>
    <col min="3" max="3" width="9" style="10" bestFit="1" customWidth="1"/>
    <col min="4" max="40" width="7" style="10" customWidth="1"/>
    <col min="41" max="16384" width="9.21875" style="10"/>
  </cols>
  <sheetData>
    <row r="1" spans="1:33" x14ac:dyDescent="0.3">
      <c r="H1" s="11" t="s">
        <v>209</v>
      </c>
      <c r="I1" s="11" t="s">
        <v>51</v>
      </c>
      <c r="P1" s="10" t="s">
        <v>210</v>
      </c>
    </row>
    <row r="2" spans="1:33" x14ac:dyDescent="0.3">
      <c r="C2" s="10" t="s">
        <v>211</v>
      </c>
      <c r="E2" s="11" t="s">
        <v>137</v>
      </c>
      <c r="F2" s="11" t="s">
        <v>138</v>
      </c>
      <c r="G2" s="11" t="s">
        <v>137</v>
      </c>
      <c r="H2" s="11" t="s">
        <v>138</v>
      </c>
      <c r="I2" s="11" t="s">
        <v>138</v>
      </c>
      <c r="P2" s="11" t="s">
        <v>139</v>
      </c>
      <c r="Q2" s="11" t="s">
        <v>140</v>
      </c>
      <c r="R2" s="11" t="s">
        <v>141</v>
      </c>
      <c r="S2" s="11" t="s">
        <v>142</v>
      </c>
      <c r="T2" s="11" t="s">
        <v>143</v>
      </c>
      <c r="V2" s="11" t="s">
        <v>80</v>
      </c>
      <c r="AG2" s="11"/>
    </row>
    <row r="3" spans="1:33" x14ac:dyDescent="0.3">
      <c r="D3" s="10" t="s">
        <v>2</v>
      </c>
      <c r="E3" s="11" t="s">
        <v>36</v>
      </c>
      <c r="F3" s="11" t="s">
        <v>5</v>
      </c>
      <c r="G3" s="11" t="s">
        <v>7</v>
      </c>
      <c r="H3" s="11" t="s">
        <v>212</v>
      </c>
      <c r="I3" s="11" t="s">
        <v>213</v>
      </c>
      <c r="K3" s="11" t="s">
        <v>10</v>
      </c>
    </row>
    <row r="4" spans="1:33" x14ac:dyDescent="0.3">
      <c r="A4" s="10" t="s">
        <v>14</v>
      </c>
      <c r="B4" s="10" t="s">
        <v>214</v>
      </c>
      <c r="C4" s="10" t="s">
        <v>137</v>
      </c>
      <c r="D4" s="10" t="s">
        <v>36</v>
      </c>
      <c r="E4" s="10">
        <v>0</v>
      </c>
      <c r="F4" s="10">
        <v>0</v>
      </c>
      <c r="G4" s="186">
        <v>0</v>
      </c>
      <c r="H4" s="74">
        <v>0</v>
      </c>
      <c r="I4" s="74">
        <v>0</v>
      </c>
      <c r="K4" s="186">
        <v>10</v>
      </c>
      <c r="O4" s="10" t="s">
        <v>36</v>
      </c>
      <c r="V4" s="10" cm="1">
        <f t="array" ref="V4">MMULT(E29,E16)-MMULT(G4,G29)-MMULT(H4:I4,TRANSPOSE(H29:I29))-K4</f>
        <v>0</v>
      </c>
      <c r="Y4" s="10" t="s">
        <v>192</v>
      </c>
      <c r="Z4" s="10" t="s">
        <v>215</v>
      </c>
    </row>
    <row r="5" spans="1:33" x14ac:dyDescent="0.3">
      <c r="B5" s="10" t="s">
        <v>17</v>
      </c>
      <c r="C5" s="10" t="s">
        <v>138</v>
      </c>
      <c r="D5" s="10" t="s">
        <v>5</v>
      </c>
      <c r="E5" s="10">
        <v>0</v>
      </c>
      <c r="F5" s="10">
        <v>0</v>
      </c>
      <c r="G5" s="56">
        <v>0</v>
      </c>
      <c r="H5" s="187">
        <v>0</v>
      </c>
      <c r="I5" s="187">
        <v>0</v>
      </c>
      <c r="K5" s="187">
        <v>10</v>
      </c>
      <c r="O5" s="10" t="s">
        <v>5</v>
      </c>
      <c r="P5" s="10">
        <f t="array" ref="P5:T5">MMULT(F17,TRANSPOSE(F23:F27))-MMULT($G$5*$G$29,TRANSPOSE(T23:T27))-MMULT(H5:I5,TRANSPOSE(H23:I27))-MMULT(K5:K5,TRANSPOSE(R23:R27))</f>
        <v>0</v>
      </c>
      <c r="Q5" s="10">
        <v>0</v>
      </c>
      <c r="R5" s="10">
        <v>0</v>
      </c>
      <c r="S5" s="10">
        <v>0</v>
      </c>
      <c r="T5" s="10">
        <v>0</v>
      </c>
      <c r="Y5" s="10" t="s">
        <v>216</v>
      </c>
      <c r="Z5" s="10" t="s">
        <v>217</v>
      </c>
    </row>
    <row r="6" spans="1:33" x14ac:dyDescent="0.3">
      <c r="A6" s="10" t="s">
        <v>19</v>
      </c>
      <c r="B6" s="10" t="s">
        <v>218</v>
      </c>
      <c r="C6" s="10" t="s">
        <v>137</v>
      </c>
      <c r="D6" s="10" t="s">
        <v>7</v>
      </c>
      <c r="E6" s="186">
        <v>1</v>
      </c>
      <c r="F6" s="74">
        <v>-0.1</v>
      </c>
      <c r="G6" s="10">
        <v>0</v>
      </c>
      <c r="H6" s="10">
        <v>0</v>
      </c>
      <c r="I6" s="10">
        <v>0</v>
      </c>
      <c r="K6" s="12">
        <v>0</v>
      </c>
      <c r="O6" s="10" t="s">
        <v>7</v>
      </c>
      <c r="V6" s="10">
        <f t="array" ref="V6">MMULT(E6:F6,TRANSPOSE(E29:F29))-MMULT(G18:I18,TRANSPOSE(G29:I29))</f>
        <v>0</v>
      </c>
    </row>
    <row r="7" spans="1:33" x14ac:dyDescent="0.3">
      <c r="B7" s="10" t="s">
        <v>219</v>
      </c>
      <c r="C7" s="10" t="s">
        <v>138</v>
      </c>
      <c r="D7" s="10" t="s">
        <v>8</v>
      </c>
      <c r="E7" s="56">
        <v>0</v>
      </c>
      <c r="F7" s="187">
        <v>1.1000000000000001</v>
      </c>
      <c r="G7" s="10">
        <v>0</v>
      </c>
      <c r="H7" s="10">
        <v>0</v>
      </c>
      <c r="I7" s="10">
        <v>0</v>
      </c>
      <c r="K7" s="12">
        <v>0</v>
      </c>
      <c r="O7" s="10" t="s">
        <v>8</v>
      </c>
      <c r="P7" s="10">
        <f t="array" ref="P7:T7">MMULT(E7:F7,TRANSPOSE(E23:F27))-MMULT(G19:I19,TRANSPOSE(G23:I27))</f>
        <v>0</v>
      </c>
      <c r="Q7" s="10">
        <v>0</v>
      </c>
      <c r="R7" s="10">
        <v>0</v>
      </c>
      <c r="S7" s="10">
        <v>0</v>
      </c>
      <c r="T7" s="10">
        <v>0</v>
      </c>
    </row>
    <row r="9" spans="1:33" x14ac:dyDescent="0.3">
      <c r="A9" s="10" t="s">
        <v>14</v>
      </c>
      <c r="B9" s="10" t="s">
        <v>24</v>
      </c>
      <c r="D9" s="10" t="s">
        <v>45</v>
      </c>
      <c r="E9" s="10">
        <v>0</v>
      </c>
      <c r="F9" s="10">
        <v>0</v>
      </c>
      <c r="G9" s="9">
        <v>0.4</v>
      </c>
      <c r="H9" s="9">
        <v>0.4</v>
      </c>
      <c r="I9" s="9">
        <v>0</v>
      </c>
    </row>
    <row r="10" spans="1:33" x14ac:dyDescent="0.3">
      <c r="P10" s="10" t="s">
        <v>220</v>
      </c>
    </row>
    <row r="11" spans="1:33" x14ac:dyDescent="0.3">
      <c r="A11" s="10" t="s">
        <v>221</v>
      </c>
      <c r="B11" s="10" t="s">
        <v>222</v>
      </c>
      <c r="D11" s="10" t="s">
        <v>223</v>
      </c>
      <c r="E11" s="10">
        <v>0</v>
      </c>
      <c r="F11" s="10">
        <v>0</v>
      </c>
      <c r="G11" s="9">
        <v>0</v>
      </c>
      <c r="H11" s="9">
        <v>2</v>
      </c>
      <c r="I11" s="9">
        <v>18</v>
      </c>
      <c r="P11" s="10">
        <f t="array" ref="P11:T11">MMULT(E7*E29,TRANSPOSE(Z23:Z27))+MMULT(F7,TRANSPOSE(F23:F27))-MMULT(H19:I19,TRANSPOSE(H23:I27))</f>
        <v>0</v>
      </c>
      <c r="Q11" s="10">
        <v>0</v>
      </c>
      <c r="R11" s="10">
        <v>0</v>
      </c>
      <c r="S11" s="10">
        <v>0</v>
      </c>
      <c r="T11" s="10">
        <v>0</v>
      </c>
    </row>
    <row r="12" spans="1:33" x14ac:dyDescent="0.3">
      <c r="B12" s="10" t="s">
        <v>224</v>
      </c>
      <c r="D12" s="10" t="s">
        <v>225</v>
      </c>
      <c r="E12" s="10">
        <v>0</v>
      </c>
      <c r="F12" s="10">
        <v>0</v>
      </c>
      <c r="G12" s="9">
        <v>0</v>
      </c>
      <c r="H12" s="9">
        <v>0.8</v>
      </c>
      <c r="I12" s="117" t="s">
        <v>226</v>
      </c>
    </row>
    <row r="13" spans="1:33" x14ac:dyDescent="0.3">
      <c r="D13" s="76"/>
    </row>
    <row r="14" spans="1:33" x14ac:dyDescent="0.3">
      <c r="D14" s="76"/>
    </row>
    <row r="15" spans="1:33" x14ac:dyDescent="0.3">
      <c r="D15" s="10" t="s">
        <v>49</v>
      </c>
      <c r="E15" s="11" t="s">
        <v>36</v>
      </c>
      <c r="F15" s="11" t="s">
        <v>5</v>
      </c>
      <c r="G15" s="11" t="s">
        <v>7</v>
      </c>
      <c r="H15" s="11" t="s">
        <v>212</v>
      </c>
      <c r="I15" s="11" t="s">
        <v>213</v>
      </c>
      <c r="AB15" s="11"/>
    </row>
    <row r="16" spans="1:33" x14ac:dyDescent="0.3">
      <c r="D16" s="10" t="s">
        <v>36</v>
      </c>
      <c r="E16" s="10">
        <v>1</v>
      </c>
      <c r="F16" s="10">
        <v>0</v>
      </c>
      <c r="G16" s="9">
        <v>0</v>
      </c>
      <c r="H16" s="9">
        <v>0</v>
      </c>
      <c r="I16" s="9">
        <v>0</v>
      </c>
      <c r="AB16" s="11"/>
    </row>
    <row r="17" spans="1:32" x14ac:dyDescent="0.3">
      <c r="D17" s="10" t="s">
        <v>5</v>
      </c>
      <c r="E17" s="10">
        <v>0</v>
      </c>
      <c r="F17" s="10">
        <v>1</v>
      </c>
      <c r="G17" s="9">
        <v>0</v>
      </c>
      <c r="H17" s="9">
        <v>0</v>
      </c>
      <c r="I17" s="9">
        <v>0</v>
      </c>
    </row>
    <row r="18" spans="1:32" x14ac:dyDescent="0.3">
      <c r="D18" s="10" t="s">
        <v>7</v>
      </c>
      <c r="E18" s="9">
        <v>0</v>
      </c>
      <c r="F18" s="9">
        <v>0</v>
      </c>
      <c r="G18" s="10">
        <v>1</v>
      </c>
      <c r="H18" s="10">
        <v>0</v>
      </c>
      <c r="I18" s="10">
        <v>0</v>
      </c>
    </row>
    <row r="19" spans="1:32" x14ac:dyDescent="0.3">
      <c r="D19" s="10" t="s">
        <v>8</v>
      </c>
      <c r="E19" s="9">
        <v>0</v>
      </c>
      <c r="F19" s="9">
        <v>0</v>
      </c>
      <c r="G19" s="10">
        <v>0</v>
      </c>
      <c r="H19" s="10">
        <v>1</v>
      </c>
      <c r="I19" s="10">
        <v>1</v>
      </c>
    </row>
    <row r="20" spans="1:32" x14ac:dyDescent="0.3">
      <c r="D20" s="76"/>
      <c r="Q20" s="10" t="s">
        <v>227</v>
      </c>
      <c r="X20" s="10" t="s">
        <v>228</v>
      </c>
      <c r="AC20" s="10" t="s">
        <v>224</v>
      </c>
      <c r="AE20" s="10" t="s">
        <v>229</v>
      </c>
    </row>
    <row r="21" spans="1:32" x14ac:dyDescent="0.3">
      <c r="D21" s="76"/>
      <c r="O21" s="10" t="s">
        <v>230</v>
      </c>
      <c r="Q21" s="11" t="s">
        <v>36</v>
      </c>
      <c r="R21" s="11" t="s">
        <v>5</v>
      </c>
      <c r="S21" s="11" t="s">
        <v>36</v>
      </c>
      <c r="T21" s="11" t="s">
        <v>5</v>
      </c>
      <c r="U21" s="11" t="s">
        <v>36</v>
      </c>
      <c r="V21" s="11" t="s">
        <v>5</v>
      </c>
      <c r="W21" s="11"/>
      <c r="X21" s="11" t="s">
        <v>7</v>
      </c>
      <c r="Y21" s="11" t="s">
        <v>7</v>
      </c>
      <c r="Z21" s="11" t="s">
        <v>8</v>
      </c>
      <c r="AA21" s="11" t="s">
        <v>8</v>
      </c>
      <c r="AC21" s="10" t="s">
        <v>213</v>
      </c>
      <c r="AE21" s="11" t="s">
        <v>231</v>
      </c>
      <c r="AF21" s="11" t="s">
        <v>232</v>
      </c>
    </row>
    <row r="22" spans="1:32" x14ac:dyDescent="0.3">
      <c r="E22" s="11" t="s">
        <v>36</v>
      </c>
      <c r="F22" s="11" t="s">
        <v>5</v>
      </c>
      <c r="G22" s="11" t="s">
        <v>7</v>
      </c>
      <c r="H22" s="11" t="s">
        <v>212</v>
      </c>
      <c r="I22" s="11" t="s">
        <v>213</v>
      </c>
      <c r="K22" s="11" t="s">
        <v>45</v>
      </c>
      <c r="O22" s="10" t="s">
        <v>233</v>
      </c>
      <c r="Q22" s="11" t="s">
        <v>10</v>
      </c>
      <c r="R22" s="11" t="s">
        <v>10</v>
      </c>
      <c r="S22" s="11" t="s">
        <v>7</v>
      </c>
      <c r="T22" s="11" t="s">
        <v>7</v>
      </c>
      <c r="U22" s="11" t="s">
        <v>8</v>
      </c>
      <c r="V22" s="11" t="s">
        <v>8</v>
      </c>
      <c r="W22" s="11"/>
      <c r="X22" s="11" t="s">
        <v>36</v>
      </c>
      <c r="Y22" s="11" t="s">
        <v>5</v>
      </c>
      <c r="Z22" s="11" t="s">
        <v>36</v>
      </c>
      <c r="AA22" s="11" t="s">
        <v>5</v>
      </c>
    </row>
    <row r="23" spans="1:32" x14ac:dyDescent="0.3">
      <c r="A23" s="10" t="s">
        <v>25</v>
      </c>
      <c r="B23" s="10" t="s">
        <v>26</v>
      </c>
      <c r="D23" s="76" t="s">
        <v>139</v>
      </c>
      <c r="E23" s="79">
        <v>0</v>
      </c>
      <c r="F23" s="12">
        <v>0.5</v>
      </c>
      <c r="G23" s="79">
        <v>0</v>
      </c>
      <c r="H23" s="12">
        <v>0.55000000000000004</v>
      </c>
      <c r="I23" s="12">
        <v>0</v>
      </c>
      <c r="O23" s="76" t="s">
        <v>139</v>
      </c>
      <c r="R23" s="15">
        <v>0.05</v>
      </c>
      <c r="T23" s="15">
        <f>1/5</f>
        <v>0.2</v>
      </c>
      <c r="Z23" s="15">
        <f>1/5</f>
        <v>0.2</v>
      </c>
      <c r="AC23" s="9">
        <v>0</v>
      </c>
      <c r="AE23" s="10">
        <f>$H$12*$H$11</f>
        <v>1.6</v>
      </c>
      <c r="AF23" s="10">
        <f t="array" ref="AF23:AF27">AC23:AC27*I11</f>
        <v>0</v>
      </c>
    </row>
    <row r="24" spans="1:32" x14ac:dyDescent="0.3">
      <c r="D24" s="76" t="s">
        <v>140</v>
      </c>
      <c r="E24" s="79">
        <v>0</v>
      </c>
      <c r="F24" s="12">
        <v>3.5</v>
      </c>
      <c r="G24" s="79">
        <v>0</v>
      </c>
      <c r="H24" s="12">
        <v>0</v>
      </c>
      <c r="I24" s="12">
        <v>3.85</v>
      </c>
      <c r="O24" s="76" t="s">
        <v>140</v>
      </c>
      <c r="R24" s="15">
        <v>0.35</v>
      </c>
      <c r="T24" s="15">
        <f>1/5</f>
        <v>0.2</v>
      </c>
      <c r="Z24" s="15">
        <f>1/5</f>
        <v>0.2</v>
      </c>
      <c r="AC24" s="9">
        <v>0.3</v>
      </c>
      <c r="AE24" s="10">
        <f t="shared" ref="AE24:AE27" si="0">$H$12*$H$11</f>
        <v>1.6</v>
      </c>
      <c r="AF24" s="10">
        <v>5.3999999999999995</v>
      </c>
    </row>
    <row r="25" spans="1:32" x14ac:dyDescent="0.3">
      <c r="D25" s="76" t="s">
        <v>141</v>
      </c>
      <c r="E25" s="79">
        <v>0</v>
      </c>
      <c r="F25" s="12">
        <v>1</v>
      </c>
      <c r="G25" s="79">
        <v>0</v>
      </c>
      <c r="H25" s="12">
        <v>0</v>
      </c>
      <c r="I25" s="12">
        <v>1.1000000000000001</v>
      </c>
      <c r="O25" s="76" t="s">
        <v>141</v>
      </c>
      <c r="R25" s="15">
        <v>0.1</v>
      </c>
      <c r="T25" s="15">
        <f>1/5</f>
        <v>0.2</v>
      </c>
      <c r="Z25" s="15">
        <f>1/5</f>
        <v>0.2</v>
      </c>
      <c r="AC25" s="9">
        <v>0.5</v>
      </c>
      <c r="AE25" s="10">
        <f t="shared" si="0"/>
        <v>1.6</v>
      </c>
      <c r="AF25" s="10">
        <v>9</v>
      </c>
    </row>
    <row r="26" spans="1:32" x14ac:dyDescent="0.3">
      <c r="D26" s="76" t="s">
        <v>142</v>
      </c>
      <c r="E26" s="79">
        <v>0</v>
      </c>
      <c r="F26" s="12">
        <v>4</v>
      </c>
      <c r="G26" s="79">
        <v>0</v>
      </c>
      <c r="H26" s="12">
        <v>0.8</v>
      </c>
      <c r="I26" s="12">
        <v>3.6</v>
      </c>
      <c r="O26" s="76" t="s">
        <v>142</v>
      </c>
      <c r="R26" s="15">
        <v>0.4</v>
      </c>
      <c r="T26" s="15">
        <f>1/5</f>
        <v>0.2</v>
      </c>
      <c r="U26" s="11"/>
      <c r="V26" s="11"/>
      <c r="W26" s="11"/>
      <c r="X26" s="11"/>
      <c r="Z26" s="15">
        <f>1/5</f>
        <v>0.2</v>
      </c>
      <c r="AC26" s="9">
        <v>0.2</v>
      </c>
      <c r="AE26" s="10">
        <f t="shared" si="0"/>
        <v>1.6</v>
      </c>
      <c r="AF26" s="10">
        <v>3.6</v>
      </c>
    </row>
    <row r="27" spans="1:32" x14ac:dyDescent="0.3">
      <c r="D27" s="76" t="s">
        <v>143</v>
      </c>
      <c r="E27" s="79">
        <v>0</v>
      </c>
      <c r="F27" s="12">
        <v>1</v>
      </c>
      <c r="G27" s="79">
        <v>0</v>
      </c>
      <c r="H27" s="12">
        <v>1.1000000000000001</v>
      </c>
      <c r="I27" s="12">
        <v>0</v>
      </c>
      <c r="O27" s="76" t="s">
        <v>143</v>
      </c>
      <c r="R27" s="15">
        <v>0.1</v>
      </c>
      <c r="T27" s="15">
        <f>1/5</f>
        <v>0.2</v>
      </c>
      <c r="Z27" s="15">
        <f>1/5</f>
        <v>0.2</v>
      </c>
      <c r="AC27" s="9">
        <v>0</v>
      </c>
      <c r="AE27" s="10">
        <f t="shared" si="0"/>
        <v>1.6</v>
      </c>
      <c r="AF27" s="10">
        <v>0</v>
      </c>
    </row>
    <row r="29" spans="1:32" x14ac:dyDescent="0.3">
      <c r="D29" s="10" t="s">
        <v>80</v>
      </c>
      <c r="E29" s="12">
        <v>10</v>
      </c>
      <c r="F29" s="10">
        <f t="shared" ref="F29:I29" si="1">SUM(F23:F27)</f>
        <v>10</v>
      </c>
      <c r="G29" s="12">
        <v>9</v>
      </c>
      <c r="H29" s="10">
        <f t="shared" si="1"/>
        <v>2.4500000000000002</v>
      </c>
      <c r="I29" s="10">
        <f t="shared" si="1"/>
        <v>8.5500000000000007</v>
      </c>
      <c r="K29" s="188">
        <f t="array" ref="K29">MMULT(E9:I9,TRANSPOSE(E29:I29))</f>
        <v>4.58</v>
      </c>
    </row>
    <row r="30" spans="1:32" x14ac:dyDescent="0.3">
      <c r="E30" s="12"/>
      <c r="G30" s="12"/>
    </row>
    <row r="63" spans="4:11" x14ac:dyDescent="0.3">
      <c r="K63" s="12"/>
    </row>
    <row r="64" spans="4:11" x14ac:dyDescent="0.3">
      <c r="D64" s="76"/>
    </row>
    <row r="65" spans="4:4" x14ac:dyDescent="0.3">
      <c r="D65" s="76"/>
    </row>
  </sheetData>
  <dataConsolidate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93D-579B-4ABF-844D-83A6A729F6FE}">
  <sheetPr>
    <tabColor theme="9" tint="0.59999389629810485"/>
  </sheetPr>
  <dimension ref="A1:AG65"/>
  <sheetViews>
    <sheetView showGridLines="0" zoomScale="115" zoomScaleNormal="115" workbookViewId="0">
      <selection activeCell="P10" sqref="P10"/>
    </sheetView>
  </sheetViews>
  <sheetFormatPr defaultColWidth="9.21875" defaultRowHeight="14.4" x14ac:dyDescent="0.3"/>
  <cols>
    <col min="1" max="1" width="14.21875" style="10" customWidth="1"/>
    <col min="2" max="2" width="16.77734375" style="10" customWidth="1"/>
    <col min="3" max="3" width="9" style="10" bestFit="1" customWidth="1"/>
    <col min="4" max="40" width="7" style="10" customWidth="1"/>
    <col min="41" max="16384" width="9.21875" style="10"/>
  </cols>
  <sheetData>
    <row r="1" spans="1:33" x14ac:dyDescent="0.3">
      <c r="H1" s="11" t="s">
        <v>209</v>
      </c>
      <c r="I1" s="11" t="s">
        <v>51</v>
      </c>
      <c r="P1" s="10" t="s">
        <v>210</v>
      </c>
    </row>
    <row r="2" spans="1:33" x14ac:dyDescent="0.3">
      <c r="C2" s="10" t="s">
        <v>211</v>
      </c>
      <c r="E2" s="11" t="s">
        <v>137</v>
      </c>
      <c r="F2" s="11" t="s">
        <v>138</v>
      </c>
      <c r="G2" s="11" t="s">
        <v>137</v>
      </c>
      <c r="H2" s="11" t="s">
        <v>138</v>
      </c>
      <c r="I2" s="11" t="s">
        <v>138</v>
      </c>
      <c r="P2" s="11" t="s">
        <v>139</v>
      </c>
      <c r="Q2" s="11" t="s">
        <v>140</v>
      </c>
      <c r="R2" s="11" t="s">
        <v>141</v>
      </c>
      <c r="S2" s="11" t="s">
        <v>142</v>
      </c>
      <c r="T2" s="11" t="s">
        <v>143</v>
      </c>
      <c r="V2" s="11" t="s">
        <v>80</v>
      </c>
      <c r="AG2" s="11"/>
    </row>
    <row r="3" spans="1:33" x14ac:dyDescent="0.3">
      <c r="D3" s="10" t="s">
        <v>2</v>
      </c>
      <c r="E3" s="11" t="s">
        <v>36</v>
      </c>
      <c r="F3" s="11" t="s">
        <v>5</v>
      </c>
      <c r="G3" s="11" t="s">
        <v>7</v>
      </c>
      <c r="H3" s="11" t="s">
        <v>212</v>
      </c>
      <c r="I3" s="11" t="s">
        <v>213</v>
      </c>
      <c r="K3" s="11" t="s">
        <v>10</v>
      </c>
    </row>
    <row r="4" spans="1:33" x14ac:dyDescent="0.3">
      <c r="A4" s="10" t="s">
        <v>14</v>
      </c>
      <c r="B4" s="10" t="s">
        <v>214</v>
      </c>
      <c r="C4" s="10" t="s">
        <v>137</v>
      </c>
      <c r="D4" s="10" t="s">
        <v>36</v>
      </c>
      <c r="E4" s="10">
        <v>0</v>
      </c>
      <c r="F4" s="10">
        <v>0</v>
      </c>
      <c r="G4" s="186">
        <v>0.1</v>
      </c>
      <c r="H4" s="74">
        <v>2.2000000000000002</v>
      </c>
      <c r="I4" s="74">
        <v>0</v>
      </c>
      <c r="K4" s="186">
        <v>0</v>
      </c>
      <c r="O4" s="10" t="s">
        <v>36</v>
      </c>
      <c r="V4" s="10" cm="1">
        <f t="array" ref="V4">E29-MMULT(G4,G29)-MMULT(H4:I4,TRANSPOSE(H29:I29))-K4</f>
        <v>-3.9999999756901161E-7</v>
      </c>
      <c r="Y4" s="10" t="s">
        <v>192</v>
      </c>
      <c r="Z4" s="10" t="s">
        <v>215</v>
      </c>
      <c r="AC4" s="193" t="s">
        <v>234</v>
      </c>
    </row>
    <row r="5" spans="1:33" x14ac:dyDescent="0.3">
      <c r="B5" s="10" t="s">
        <v>17</v>
      </c>
      <c r="C5" s="10" t="s">
        <v>138</v>
      </c>
      <c r="D5" s="10" t="s">
        <v>5</v>
      </c>
      <c r="E5" s="10">
        <v>0</v>
      </c>
      <c r="F5" s="10">
        <v>0</v>
      </c>
      <c r="G5" s="56">
        <v>0</v>
      </c>
      <c r="H5" s="187">
        <v>0</v>
      </c>
      <c r="I5" s="187">
        <v>0</v>
      </c>
      <c r="K5" s="187">
        <v>10</v>
      </c>
      <c r="O5" s="10" t="s">
        <v>5</v>
      </c>
      <c r="P5" s="10">
        <f t="array" ref="P5:T5">TRANSPOSE(F23:F27)-MMULT($G$5*$G$29,TRANSPOSE(T23:T27))-MMULT(H5:I5,TRANSPOSE(H23:I27))-MMULT(K5:K5,TRANSPOSE(R23:R27))</f>
        <v>0</v>
      </c>
      <c r="Q5" s="10">
        <v>0</v>
      </c>
      <c r="R5" s="10">
        <v>0</v>
      </c>
      <c r="S5" s="10">
        <v>0</v>
      </c>
      <c r="T5" s="10">
        <v>0</v>
      </c>
      <c r="Y5" s="10" t="s">
        <v>216</v>
      </c>
      <c r="Z5" s="10" t="s">
        <v>217</v>
      </c>
      <c r="AC5" s="193" t="s">
        <v>235</v>
      </c>
    </row>
    <row r="6" spans="1:33" x14ac:dyDescent="0.3">
      <c r="A6" s="10" t="s">
        <v>19</v>
      </c>
      <c r="B6" s="10" t="s">
        <v>218</v>
      </c>
      <c r="C6" s="10" t="s">
        <v>137</v>
      </c>
      <c r="D6" s="10" t="s">
        <v>7</v>
      </c>
      <c r="E6" s="186">
        <v>1</v>
      </c>
      <c r="F6" s="74">
        <v>0</v>
      </c>
      <c r="G6" s="10">
        <v>0</v>
      </c>
      <c r="H6" s="10">
        <v>0</v>
      </c>
      <c r="I6" s="10">
        <v>0</v>
      </c>
      <c r="K6" s="12">
        <v>0</v>
      </c>
      <c r="O6" s="10" t="s">
        <v>7</v>
      </c>
      <c r="V6" s="10" cm="1">
        <f t="array" ref="V6">MMULT(E6,TRANSPOSE(E29))-MMULT(G18,TRANSPOSE(G29))</f>
        <v>0</v>
      </c>
    </row>
    <row r="7" spans="1:33" x14ac:dyDescent="0.3">
      <c r="B7" s="10" t="s">
        <v>219</v>
      </c>
      <c r="C7" s="10" t="s">
        <v>138</v>
      </c>
      <c r="D7" s="10" t="s">
        <v>8</v>
      </c>
      <c r="E7" s="56">
        <v>0</v>
      </c>
      <c r="F7" s="187">
        <v>1</v>
      </c>
      <c r="G7" s="10">
        <v>0</v>
      </c>
      <c r="H7" s="10">
        <v>0</v>
      </c>
      <c r="I7" s="10">
        <v>0</v>
      </c>
      <c r="K7" s="12">
        <v>0</v>
      </c>
      <c r="O7" s="10" t="s">
        <v>8</v>
      </c>
      <c r="P7" s="10">
        <f t="array" ref="P7:T7">F7*TRANSPOSE(F23:F27)-MMULT(H19:I19,TRANSPOSE(H23:I27))</f>
        <v>0</v>
      </c>
      <c r="Q7" s="10">
        <v>0</v>
      </c>
      <c r="R7" s="10">
        <v>0</v>
      </c>
      <c r="S7" s="10">
        <v>0</v>
      </c>
      <c r="T7" s="10">
        <v>0</v>
      </c>
    </row>
    <row r="9" spans="1:33" x14ac:dyDescent="0.3">
      <c r="A9" s="10" t="s">
        <v>14</v>
      </c>
      <c r="B9" s="10" t="s">
        <v>24</v>
      </c>
      <c r="D9" s="10" t="s">
        <v>45</v>
      </c>
      <c r="E9" s="10">
        <v>0</v>
      </c>
      <c r="F9" s="10">
        <v>0</v>
      </c>
      <c r="G9" s="9">
        <v>0.4</v>
      </c>
      <c r="H9" s="9">
        <v>0</v>
      </c>
      <c r="I9" s="9">
        <v>100</v>
      </c>
      <c r="P9" s="10">
        <f t="array" ref="P9:T9">MMULT(H5:I5,TRANSPOSE(H23:I27))</f>
        <v>0</v>
      </c>
      <c r="Q9" s="10">
        <v>0</v>
      </c>
      <c r="R9" s="10">
        <v>0</v>
      </c>
      <c r="S9" s="10">
        <v>0</v>
      </c>
      <c r="T9" s="10">
        <v>0</v>
      </c>
    </row>
    <row r="11" spans="1:33" x14ac:dyDescent="0.3">
      <c r="A11" s="10" t="s">
        <v>221</v>
      </c>
      <c r="B11" s="10" t="s">
        <v>222</v>
      </c>
      <c r="D11" s="10" t="s">
        <v>223</v>
      </c>
      <c r="E11" s="10">
        <v>0</v>
      </c>
      <c r="F11" s="10">
        <v>0</v>
      </c>
      <c r="G11" s="9">
        <v>0</v>
      </c>
      <c r="H11" s="9">
        <v>30</v>
      </c>
      <c r="I11" s="9">
        <v>18</v>
      </c>
    </row>
    <row r="12" spans="1:33" x14ac:dyDescent="0.3">
      <c r="B12" s="10" t="s">
        <v>224</v>
      </c>
      <c r="D12" s="10" t="s">
        <v>225</v>
      </c>
      <c r="E12" s="10">
        <v>0</v>
      </c>
      <c r="F12" s="10">
        <v>0</v>
      </c>
      <c r="G12" s="9">
        <v>0</v>
      </c>
      <c r="H12" s="9">
        <v>0.8</v>
      </c>
      <c r="I12" s="117" t="s">
        <v>226</v>
      </c>
      <c r="P12" s="10">
        <f t="array" ref="P12:T12">MMULT(H5:I5,TRANSPOSE(H23:I27))</f>
        <v>0</v>
      </c>
      <c r="Q12" s="10">
        <v>0</v>
      </c>
      <c r="R12" s="10">
        <v>0</v>
      </c>
      <c r="S12" s="10">
        <v>0</v>
      </c>
      <c r="T12" s="10">
        <v>0</v>
      </c>
    </row>
    <row r="13" spans="1:33" x14ac:dyDescent="0.3">
      <c r="D13" s="76"/>
    </row>
    <row r="14" spans="1:33" x14ac:dyDescent="0.3">
      <c r="D14" s="76"/>
    </row>
    <row r="15" spans="1:33" x14ac:dyDescent="0.3">
      <c r="D15" s="10" t="s">
        <v>49</v>
      </c>
      <c r="E15" s="11" t="s">
        <v>36</v>
      </c>
      <c r="F15" s="11" t="s">
        <v>5</v>
      </c>
      <c r="G15" s="11" t="s">
        <v>7</v>
      </c>
      <c r="H15" s="11" t="s">
        <v>212</v>
      </c>
      <c r="I15" s="11" t="s">
        <v>213</v>
      </c>
      <c r="AB15" s="11"/>
    </row>
    <row r="16" spans="1:33" x14ac:dyDescent="0.3">
      <c r="D16" s="10" t="s">
        <v>36</v>
      </c>
      <c r="E16" s="10">
        <v>1</v>
      </c>
      <c r="F16" s="10">
        <v>0</v>
      </c>
      <c r="G16" s="9">
        <v>0</v>
      </c>
      <c r="H16" s="9">
        <v>0</v>
      </c>
      <c r="I16" s="9">
        <v>0</v>
      </c>
      <c r="AB16" s="11"/>
    </row>
    <row r="17" spans="1:27" x14ac:dyDescent="0.3">
      <c r="D17" s="10" t="s">
        <v>5</v>
      </c>
      <c r="E17" s="10">
        <v>0</v>
      </c>
      <c r="F17" s="10">
        <v>1</v>
      </c>
      <c r="G17" s="9">
        <v>0</v>
      </c>
      <c r="H17" s="9">
        <v>0</v>
      </c>
      <c r="I17" s="9">
        <v>0</v>
      </c>
    </row>
    <row r="18" spans="1:27" x14ac:dyDescent="0.3">
      <c r="D18" s="10" t="s">
        <v>7</v>
      </c>
      <c r="E18" s="9">
        <v>0</v>
      </c>
      <c r="F18" s="9">
        <v>0</v>
      </c>
      <c r="G18" s="10">
        <v>1</v>
      </c>
      <c r="H18" s="10">
        <v>0</v>
      </c>
      <c r="I18" s="10">
        <v>0</v>
      </c>
    </row>
    <row r="19" spans="1:27" x14ac:dyDescent="0.3">
      <c r="D19" s="10" t="s">
        <v>8</v>
      </c>
      <c r="E19" s="9">
        <v>0</v>
      </c>
      <c r="F19" s="9">
        <v>0</v>
      </c>
      <c r="G19" s="10">
        <v>0</v>
      </c>
      <c r="H19" s="10">
        <v>1</v>
      </c>
      <c r="I19" s="10">
        <v>1</v>
      </c>
    </row>
    <row r="20" spans="1:27" x14ac:dyDescent="0.3">
      <c r="D20" s="76"/>
      <c r="Q20" s="10" t="s">
        <v>227</v>
      </c>
      <c r="X20" s="10" t="s">
        <v>224</v>
      </c>
      <c r="Z20" s="10" t="s">
        <v>229</v>
      </c>
    </row>
    <row r="21" spans="1:27" x14ac:dyDescent="0.3">
      <c r="D21" s="76"/>
      <c r="O21" s="10" t="s">
        <v>230</v>
      </c>
      <c r="Q21" s="11" t="s">
        <v>36</v>
      </c>
      <c r="R21" s="11" t="s">
        <v>5</v>
      </c>
      <c r="S21" s="11" t="s">
        <v>36</v>
      </c>
      <c r="T21" s="11" t="s">
        <v>5</v>
      </c>
      <c r="U21" s="11" t="s">
        <v>36</v>
      </c>
      <c r="V21" s="11" t="s">
        <v>5</v>
      </c>
      <c r="W21" s="11"/>
      <c r="X21" s="10" t="s">
        <v>213</v>
      </c>
      <c r="Z21" s="11" t="s">
        <v>231</v>
      </c>
      <c r="AA21" s="11" t="s">
        <v>232</v>
      </c>
    </row>
    <row r="22" spans="1:27" x14ac:dyDescent="0.3">
      <c r="E22" s="11" t="s">
        <v>36</v>
      </c>
      <c r="F22" s="11" t="s">
        <v>5</v>
      </c>
      <c r="G22" s="11" t="s">
        <v>7</v>
      </c>
      <c r="H22" s="11" t="s">
        <v>212</v>
      </c>
      <c r="I22" s="11" t="s">
        <v>213</v>
      </c>
      <c r="K22" s="11" t="s">
        <v>45</v>
      </c>
      <c r="O22" s="10" t="s">
        <v>233</v>
      </c>
      <c r="Q22" s="11" t="s">
        <v>10</v>
      </c>
      <c r="R22" s="11" t="s">
        <v>10</v>
      </c>
      <c r="S22" s="11" t="s">
        <v>7</v>
      </c>
      <c r="T22" s="11" t="s">
        <v>7</v>
      </c>
      <c r="U22" s="11" t="s">
        <v>8</v>
      </c>
      <c r="V22" s="11" t="s">
        <v>8</v>
      </c>
      <c r="W22" s="11"/>
    </row>
    <row r="23" spans="1:27" x14ac:dyDescent="0.3">
      <c r="A23" s="10" t="s">
        <v>25</v>
      </c>
      <c r="B23" s="10" t="s">
        <v>26</v>
      </c>
      <c r="D23" s="76" t="s">
        <v>139</v>
      </c>
      <c r="E23" s="79">
        <v>0</v>
      </c>
      <c r="F23" s="12">
        <v>0.5</v>
      </c>
      <c r="G23" s="79">
        <v>0</v>
      </c>
      <c r="H23" s="12">
        <v>0.5</v>
      </c>
      <c r="I23" s="12">
        <v>0</v>
      </c>
      <c r="J23" s="10">
        <f>I23/$I$11</f>
        <v>0</v>
      </c>
      <c r="O23" s="76" t="s">
        <v>139</v>
      </c>
      <c r="R23" s="15">
        <v>0.05</v>
      </c>
      <c r="T23" s="15">
        <f>1/5</f>
        <v>0.2</v>
      </c>
      <c r="X23" s="9">
        <v>0</v>
      </c>
      <c r="Z23" s="10">
        <f>$H$12*$H$11</f>
        <v>24</v>
      </c>
      <c r="AA23" s="10">
        <f t="array" ref="AA23:AA27">X23:X27*I11</f>
        <v>0</v>
      </c>
    </row>
    <row r="24" spans="1:27" x14ac:dyDescent="0.3">
      <c r="D24" s="76" t="s">
        <v>140</v>
      </c>
      <c r="E24" s="79">
        <v>0</v>
      </c>
      <c r="F24" s="12">
        <v>3.5</v>
      </c>
      <c r="G24" s="79">
        <v>0</v>
      </c>
      <c r="H24" s="12">
        <v>3.5</v>
      </c>
      <c r="I24" s="12">
        <v>0</v>
      </c>
      <c r="J24" s="10">
        <f t="shared" ref="J24:J27" si="0">I24/$I$11</f>
        <v>0</v>
      </c>
      <c r="O24" s="76" t="s">
        <v>140</v>
      </c>
      <c r="R24" s="15">
        <v>0.35</v>
      </c>
      <c r="T24" s="15">
        <f>1/5</f>
        <v>0.2</v>
      </c>
      <c r="X24" s="9">
        <v>0.3</v>
      </c>
      <c r="Z24" s="10">
        <f t="shared" ref="Z24:Z27" si="1">$H$12*$H$11</f>
        <v>24</v>
      </c>
      <c r="AA24" s="10">
        <v>5.3999999999999995</v>
      </c>
    </row>
    <row r="25" spans="1:27" x14ac:dyDescent="0.3">
      <c r="D25" s="76" t="s">
        <v>141</v>
      </c>
      <c r="E25" s="79">
        <v>0</v>
      </c>
      <c r="F25" s="12">
        <v>1</v>
      </c>
      <c r="G25" s="79">
        <v>0</v>
      </c>
      <c r="H25" s="12">
        <v>1</v>
      </c>
      <c r="I25" s="12">
        <v>0</v>
      </c>
      <c r="J25" s="10">
        <f t="shared" si="0"/>
        <v>0</v>
      </c>
      <c r="O25" s="76" t="s">
        <v>141</v>
      </c>
      <c r="R25" s="15">
        <v>0.1</v>
      </c>
      <c r="T25" s="15">
        <f>1/5</f>
        <v>0.2</v>
      </c>
      <c r="X25" s="9">
        <v>0.3</v>
      </c>
      <c r="Z25" s="10">
        <f t="shared" si="1"/>
        <v>24</v>
      </c>
      <c r="AA25" s="10">
        <v>5.3999999999999995</v>
      </c>
    </row>
    <row r="26" spans="1:27" x14ac:dyDescent="0.3">
      <c r="D26" s="76" t="s">
        <v>142</v>
      </c>
      <c r="E26" s="79">
        <v>0</v>
      </c>
      <c r="F26" s="12">
        <v>4</v>
      </c>
      <c r="G26" s="79">
        <v>0</v>
      </c>
      <c r="H26" s="12">
        <v>4</v>
      </c>
      <c r="I26" s="12">
        <v>0</v>
      </c>
      <c r="J26" s="10">
        <f t="shared" si="0"/>
        <v>0</v>
      </c>
      <c r="O26" s="76" t="s">
        <v>142</v>
      </c>
      <c r="R26" s="15">
        <v>0.4</v>
      </c>
      <c r="T26" s="15">
        <f>1/5</f>
        <v>0.2</v>
      </c>
      <c r="U26" s="11"/>
      <c r="V26" s="11"/>
      <c r="W26" s="11"/>
      <c r="X26" s="9">
        <v>0.2</v>
      </c>
      <c r="Z26" s="10">
        <f t="shared" si="1"/>
        <v>24</v>
      </c>
      <c r="AA26" s="10">
        <v>3.6</v>
      </c>
    </row>
    <row r="27" spans="1:27" x14ac:dyDescent="0.3">
      <c r="D27" s="76" t="s">
        <v>143</v>
      </c>
      <c r="E27" s="79">
        <v>0</v>
      </c>
      <c r="F27" s="12">
        <v>1</v>
      </c>
      <c r="G27" s="79">
        <v>0</v>
      </c>
      <c r="H27" s="12">
        <v>1</v>
      </c>
      <c r="I27" s="12">
        <v>0</v>
      </c>
      <c r="J27" s="10">
        <f t="shared" si="0"/>
        <v>0</v>
      </c>
      <c r="O27" s="76" t="s">
        <v>143</v>
      </c>
      <c r="R27" s="15">
        <v>0.1</v>
      </c>
      <c r="T27" s="15">
        <f>1/5</f>
        <v>0.2</v>
      </c>
      <c r="X27" s="9">
        <v>0</v>
      </c>
      <c r="Z27" s="10">
        <f t="shared" si="1"/>
        <v>24</v>
      </c>
      <c r="AA27" s="10">
        <v>0</v>
      </c>
    </row>
    <row r="29" spans="1:27" x14ac:dyDescent="0.3">
      <c r="D29" s="10" t="s">
        <v>80</v>
      </c>
      <c r="E29" s="12">
        <v>24.444444000000001</v>
      </c>
      <c r="F29" s="10">
        <f t="shared" ref="F29:I29" si="2">SUM(F23:F27)</f>
        <v>10</v>
      </c>
      <c r="G29" s="12">
        <v>24.444444000000001</v>
      </c>
      <c r="H29" s="10">
        <f t="shared" si="2"/>
        <v>10</v>
      </c>
      <c r="I29" s="10">
        <f t="shared" si="2"/>
        <v>0</v>
      </c>
      <c r="K29" s="188">
        <f t="array" ref="K29">MMULT(E9:I9,TRANSPOSE(E29:I29))</f>
        <v>9.7777776000000003</v>
      </c>
      <c r="W29" s="10" t="s">
        <v>236</v>
      </c>
      <c r="X29" s="181">
        <f>AVERAGE(X23:X27)</f>
        <v>0.16</v>
      </c>
    </row>
    <row r="30" spans="1:27" x14ac:dyDescent="0.3">
      <c r="E30" s="12"/>
      <c r="G30" s="12"/>
    </row>
    <row r="31" spans="1:27" x14ac:dyDescent="0.3">
      <c r="H31" s="181"/>
      <c r="I31" s="181">
        <f>AVERAGE(I23:I27)/I11</f>
        <v>0</v>
      </c>
    </row>
    <row r="32" spans="1:27" x14ac:dyDescent="0.3">
      <c r="I32" s="181">
        <f>I29/I11/5</f>
        <v>0</v>
      </c>
    </row>
    <row r="63" spans="4:11" x14ac:dyDescent="0.3">
      <c r="K63" s="12"/>
    </row>
    <row r="64" spans="4:11" x14ac:dyDescent="0.3">
      <c r="D64" s="76"/>
    </row>
    <row r="65" spans="4:4" x14ac:dyDescent="0.3">
      <c r="D65" s="76"/>
    </row>
  </sheetData>
  <dataConsolidate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4F88-D0AE-4964-884A-B14566FE1187}">
  <sheetPr>
    <tabColor theme="9" tint="0.59999389629810485"/>
  </sheetPr>
  <dimension ref="A1:Y47"/>
  <sheetViews>
    <sheetView showGridLines="0" topLeftCell="B1" workbookViewId="0">
      <selection activeCell="W4" sqref="W4"/>
    </sheetView>
  </sheetViews>
  <sheetFormatPr defaultColWidth="9.21875" defaultRowHeight="14.4" x14ac:dyDescent="0.3"/>
  <cols>
    <col min="1" max="1" width="14.21875" style="10" customWidth="1"/>
    <col min="2" max="2" width="16.77734375" style="10" customWidth="1"/>
    <col min="3" max="3" width="5.77734375" style="10" customWidth="1"/>
    <col min="4" max="43" width="7" style="10" customWidth="1"/>
    <col min="44" max="16384" width="9.21875" style="10"/>
  </cols>
  <sheetData>
    <row r="1" spans="1:25" x14ac:dyDescent="0.3">
      <c r="J1" s="11" t="s">
        <v>148</v>
      </c>
      <c r="K1" s="11" t="s">
        <v>149</v>
      </c>
      <c r="Q1" s="10" t="s">
        <v>210</v>
      </c>
    </row>
    <row r="2" spans="1:25" x14ac:dyDescent="0.3">
      <c r="E2" s="11" t="s">
        <v>137</v>
      </c>
      <c r="F2" s="11" t="s">
        <v>138</v>
      </c>
      <c r="G2" s="11" t="s">
        <v>138</v>
      </c>
      <c r="H2" s="11" t="s">
        <v>137</v>
      </c>
      <c r="I2" s="11" t="s">
        <v>138</v>
      </c>
      <c r="J2" s="11" t="s">
        <v>138</v>
      </c>
      <c r="K2" s="11" t="s">
        <v>138</v>
      </c>
      <c r="Q2" s="11" t="s">
        <v>139</v>
      </c>
      <c r="R2" s="11" t="s">
        <v>140</v>
      </c>
      <c r="S2" s="11" t="s">
        <v>141</v>
      </c>
      <c r="T2" s="11" t="s">
        <v>142</v>
      </c>
      <c r="U2" s="11" t="s">
        <v>143</v>
      </c>
      <c r="W2" s="11" t="s">
        <v>80</v>
      </c>
      <c r="Y2" s="11"/>
    </row>
    <row r="3" spans="1:25" x14ac:dyDescent="0.3">
      <c r="D3" s="10" t="s">
        <v>2</v>
      </c>
      <c r="E3" s="11" t="s">
        <v>36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37</v>
      </c>
      <c r="K3" s="11" t="s">
        <v>38</v>
      </c>
      <c r="M3" s="11" t="s">
        <v>10</v>
      </c>
    </row>
    <row r="4" spans="1:25" x14ac:dyDescent="0.3">
      <c r="A4" s="10" t="s">
        <v>14</v>
      </c>
      <c r="B4" s="10" t="s">
        <v>82</v>
      </c>
      <c r="C4" s="10" t="s">
        <v>137</v>
      </c>
      <c r="D4" s="10" t="s">
        <v>36</v>
      </c>
      <c r="E4" s="10">
        <v>0</v>
      </c>
      <c r="F4" s="10">
        <v>0</v>
      </c>
      <c r="G4" s="10">
        <v>0</v>
      </c>
      <c r="H4" s="186">
        <v>0</v>
      </c>
      <c r="I4" s="74">
        <f>1/0.45</f>
        <v>2.2222222222222223</v>
      </c>
      <c r="J4" s="74">
        <v>0</v>
      </c>
      <c r="K4" s="74">
        <v>12</v>
      </c>
      <c r="M4" s="75">
        <v>0</v>
      </c>
      <c r="W4" s="10" cm="1">
        <f t="array" ref="W4">MMULT(E31,E16)-MMULT(H4:K4,TRANSPOSE(H31:K31))-M4</f>
        <v>0</v>
      </c>
      <c r="Y4" s="10" t="s">
        <v>215</v>
      </c>
    </row>
    <row r="5" spans="1:25" x14ac:dyDescent="0.3">
      <c r="B5" s="10" t="s">
        <v>17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56">
        <v>0.05</v>
      </c>
      <c r="I5" s="187">
        <v>0</v>
      </c>
      <c r="J5" s="187">
        <v>4</v>
      </c>
      <c r="K5" s="187">
        <v>0</v>
      </c>
      <c r="M5" s="55">
        <v>0</v>
      </c>
      <c r="Q5" s="10">
        <f t="array" ref="Q5:U6">MMULT(F17:G18,TRANSPOSE(F25:G29))-H5:H6*TRANSPOSE(R25:S29)*H31-MMULT(I5:K6,TRANSPOSE(I25:K29))-M5:M6*TRANSPOSE(T25:U29)</f>
        <v>-2.2204460492503131E-16</v>
      </c>
      <c r="R5" s="10">
        <v>0</v>
      </c>
      <c r="S5" s="10">
        <v>0</v>
      </c>
      <c r="T5" s="10">
        <v>0</v>
      </c>
      <c r="U5" s="10">
        <v>0</v>
      </c>
    </row>
    <row r="6" spans="1:25" x14ac:dyDescent="0.3">
      <c r="B6" s="10" t="s">
        <v>146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56">
        <v>0</v>
      </c>
      <c r="I6" s="187">
        <v>0</v>
      </c>
      <c r="J6" s="187">
        <v>0</v>
      </c>
      <c r="K6" s="187">
        <v>0</v>
      </c>
      <c r="M6" s="55">
        <v>10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5" x14ac:dyDescent="0.3">
      <c r="A7" s="10" t="s">
        <v>19</v>
      </c>
      <c r="B7" s="10" t="s">
        <v>147</v>
      </c>
      <c r="C7" s="10" t="s">
        <v>137</v>
      </c>
      <c r="D7" s="10" t="s">
        <v>7</v>
      </c>
      <c r="E7" s="186">
        <v>1</v>
      </c>
      <c r="F7" s="74">
        <v>0</v>
      </c>
      <c r="G7" s="74">
        <v>0</v>
      </c>
      <c r="H7" s="10">
        <v>0</v>
      </c>
      <c r="I7" s="10">
        <v>0</v>
      </c>
      <c r="J7" s="10">
        <v>0</v>
      </c>
      <c r="K7" s="10">
        <v>0</v>
      </c>
      <c r="M7" s="12">
        <v>0</v>
      </c>
      <c r="W7" s="10" cm="1">
        <f t="array" ref="W7">MMULT(E7:G7,TRANSPOSE(E31:G31))-MMULT(H19:K19,TRANSPOSE(H31:K31))</f>
        <v>0</v>
      </c>
      <c r="Y7" s="10" t="s">
        <v>217</v>
      </c>
    </row>
    <row r="8" spans="1:25" x14ac:dyDescent="0.3">
      <c r="B8" s="10" t="s">
        <v>21</v>
      </c>
      <c r="C8" s="10" t="s">
        <v>138</v>
      </c>
      <c r="D8" s="10" t="s">
        <v>8</v>
      </c>
      <c r="E8" s="56">
        <v>0</v>
      </c>
      <c r="F8" s="187">
        <v>1</v>
      </c>
      <c r="G8" s="187">
        <v>0</v>
      </c>
      <c r="H8" s="10">
        <v>0</v>
      </c>
      <c r="I8" s="10">
        <v>0</v>
      </c>
      <c r="J8" s="10">
        <v>0</v>
      </c>
      <c r="K8" s="10">
        <v>0</v>
      </c>
      <c r="M8" s="12">
        <v>0</v>
      </c>
      <c r="Q8" s="10">
        <f t="array" ref="Q8:U9">MMULT($F$8:$G$9,TRANSPOSE($F$25:$G$29))-MMULT($I$20:$K$21,TRANSPOSE($I$25:$K$29))</f>
        <v>0</v>
      </c>
      <c r="R8" s="10">
        <v>0</v>
      </c>
      <c r="S8" s="10">
        <v>0</v>
      </c>
      <c r="T8" s="10">
        <v>0</v>
      </c>
      <c r="U8" s="10">
        <v>0</v>
      </c>
    </row>
    <row r="9" spans="1:25" x14ac:dyDescent="0.3">
      <c r="B9" s="10" t="s">
        <v>146</v>
      </c>
      <c r="C9" s="10" t="s">
        <v>138</v>
      </c>
      <c r="D9" s="10" t="s">
        <v>9</v>
      </c>
      <c r="E9" s="56">
        <v>0</v>
      </c>
      <c r="F9" s="187">
        <v>0</v>
      </c>
      <c r="G9" s="187">
        <v>1</v>
      </c>
      <c r="H9" s="10">
        <v>0</v>
      </c>
      <c r="I9" s="10">
        <v>0</v>
      </c>
      <c r="J9" s="10">
        <v>0</v>
      </c>
      <c r="K9" s="10">
        <v>0</v>
      </c>
      <c r="M9" s="12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Y9" s="1"/>
    </row>
    <row r="11" spans="1:25" x14ac:dyDescent="0.3">
      <c r="A11" s="10" t="s">
        <v>14</v>
      </c>
      <c r="B11" s="10" t="s">
        <v>44</v>
      </c>
      <c r="D11" s="10" t="s">
        <v>45</v>
      </c>
      <c r="E11" s="10">
        <v>0</v>
      </c>
      <c r="F11" s="10">
        <v>0</v>
      </c>
      <c r="G11" s="10">
        <v>0</v>
      </c>
      <c r="H11" s="9">
        <v>0</v>
      </c>
      <c r="I11" s="9">
        <f>1.2*I4</f>
        <v>2.6666666666666665</v>
      </c>
      <c r="J11" s="9">
        <v>0</v>
      </c>
      <c r="K11" s="9">
        <f>1.2*K4</f>
        <v>14.399999999999999</v>
      </c>
    </row>
    <row r="12" spans="1:25" x14ac:dyDescent="0.3">
      <c r="B12" s="10" t="s">
        <v>24</v>
      </c>
      <c r="D12" s="10" t="s">
        <v>46</v>
      </c>
      <c r="E12" s="10">
        <v>0</v>
      </c>
      <c r="F12" s="10">
        <v>0</v>
      </c>
      <c r="G12" s="10">
        <v>0</v>
      </c>
      <c r="H12" s="9">
        <v>0.4</v>
      </c>
      <c r="I12" s="9">
        <v>0.7</v>
      </c>
      <c r="J12" s="9">
        <v>0.4</v>
      </c>
      <c r="K12" s="9">
        <v>9</v>
      </c>
    </row>
    <row r="15" spans="1:25" x14ac:dyDescent="0.3">
      <c r="D15" s="10" t="s">
        <v>49</v>
      </c>
      <c r="E15" s="11" t="s">
        <v>36</v>
      </c>
      <c r="F15" s="11" t="s">
        <v>5</v>
      </c>
      <c r="G15" s="11" t="s">
        <v>6</v>
      </c>
      <c r="H15" s="11" t="s">
        <v>7</v>
      </c>
      <c r="I15" s="11" t="s">
        <v>8</v>
      </c>
      <c r="J15" s="11" t="s">
        <v>37</v>
      </c>
      <c r="K15" s="11" t="s">
        <v>38</v>
      </c>
    </row>
    <row r="16" spans="1:25" x14ac:dyDescent="0.3">
      <c r="D16" s="10" t="s">
        <v>36</v>
      </c>
      <c r="E16" s="10">
        <v>1</v>
      </c>
      <c r="F16" s="10">
        <v>0</v>
      </c>
      <c r="G16" s="10">
        <v>0</v>
      </c>
      <c r="H16" s="9">
        <v>0</v>
      </c>
      <c r="I16" s="9">
        <v>0</v>
      </c>
      <c r="J16" s="9">
        <v>0</v>
      </c>
      <c r="K16" s="9">
        <v>0</v>
      </c>
    </row>
    <row r="17" spans="1:21" x14ac:dyDescent="0.3">
      <c r="D17" s="10" t="s">
        <v>5</v>
      </c>
      <c r="E17" s="10">
        <v>0</v>
      </c>
      <c r="F17" s="10">
        <v>1</v>
      </c>
      <c r="G17" s="10">
        <v>0</v>
      </c>
      <c r="H17" s="9">
        <v>0</v>
      </c>
      <c r="I17" s="9">
        <v>0</v>
      </c>
      <c r="J17" s="9">
        <v>0</v>
      </c>
      <c r="K17" s="9">
        <v>0</v>
      </c>
    </row>
    <row r="18" spans="1:21" x14ac:dyDescent="0.3">
      <c r="D18" s="10" t="s">
        <v>6</v>
      </c>
      <c r="E18" s="10">
        <v>0</v>
      </c>
      <c r="F18" s="10">
        <v>0</v>
      </c>
      <c r="G18" s="10">
        <v>1</v>
      </c>
      <c r="H18" s="9">
        <v>0</v>
      </c>
      <c r="I18" s="9">
        <v>0</v>
      </c>
      <c r="J18" s="9">
        <v>0</v>
      </c>
      <c r="K18" s="9">
        <v>0</v>
      </c>
    </row>
    <row r="19" spans="1:21" x14ac:dyDescent="0.3">
      <c r="D19" s="10" t="s">
        <v>7</v>
      </c>
      <c r="E19" s="9">
        <v>0</v>
      </c>
      <c r="F19" s="9">
        <v>0</v>
      </c>
      <c r="G19" s="9">
        <v>0</v>
      </c>
      <c r="H19" s="10">
        <v>1</v>
      </c>
      <c r="I19" s="10">
        <v>0</v>
      </c>
      <c r="J19" s="10">
        <v>0</v>
      </c>
      <c r="K19" s="10">
        <v>0</v>
      </c>
    </row>
    <row r="20" spans="1:21" x14ac:dyDescent="0.3">
      <c r="D20" s="10" t="s">
        <v>8</v>
      </c>
      <c r="E20" s="9">
        <v>0</v>
      </c>
      <c r="F20" s="9">
        <v>0</v>
      </c>
      <c r="G20" s="9">
        <v>0</v>
      </c>
      <c r="H20" s="10">
        <v>0</v>
      </c>
      <c r="I20" s="10">
        <v>1</v>
      </c>
      <c r="J20" s="10">
        <v>0</v>
      </c>
      <c r="K20" s="10">
        <v>0</v>
      </c>
    </row>
    <row r="21" spans="1:21" x14ac:dyDescent="0.3">
      <c r="D21" s="10" t="s">
        <v>9</v>
      </c>
      <c r="E21" s="9">
        <v>0</v>
      </c>
      <c r="F21" s="9">
        <v>0</v>
      </c>
      <c r="G21" s="9">
        <v>0</v>
      </c>
      <c r="H21" s="10">
        <v>0</v>
      </c>
      <c r="I21" s="10">
        <v>0</v>
      </c>
      <c r="J21" s="10">
        <v>1</v>
      </c>
      <c r="K21" s="10">
        <v>1</v>
      </c>
      <c r="R21" s="10" t="s">
        <v>227</v>
      </c>
    </row>
    <row r="22" spans="1:21" x14ac:dyDescent="0.3">
      <c r="R22" s="11"/>
      <c r="S22" s="11"/>
      <c r="T22" s="11"/>
      <c r="U22" s="11"/>
    </row>
    <row r="23" spans="1:21" x14ac:dyDescent="0.3">
      <c r="Q23" s="10" t="s">
        <v>230</v>
      </c>
      <c r="R23" s="11" t="s">
        <v>5</v>
      </c>
      <c r="S23" s="11" t="s">
        <v>6</v>
      </c>
      <c r="T23" s="11" t="s">
        <v>5</v>
      </c>
      <c r="U23" s="11" t="s">
        <v>6</v>
      </c>
    </row>
    <row r="24" spans="1:21" x14ac:dyDescent="0.3">
      <c r="E24" s="11" t="s">
        <v>36</v>
      </c>
      <c r="F24" s="11" t="s">
        <v>5</v>
      </c>
      <c r="G24" s="11" t="s">
        <v>6</v>
      </c>
      <c r="H24" s="11" t="s">
        <v>7</v>
      </c>
      <c r="I24" s="11" t="s">
        <v>8</v>
      </c>
      <c r="J24" s="11" t="s">
        <v>37</v>
      </c>
      <c r="K24" s="11" t="s">
        <v>38</v>
      </c>
      <c r="M24" s="11" t="s">
        <v>45</v>
      </c>
      <c r="N24" s="11" t="s">
        <v>46</v>
      </c>
      <c r="Q24" s="76" t="s">
        <v>233</v>
      </c>
      <c r="R24" s="11" t="s">
        <v>7</v>
      </c>
      <c r="S24" s="11" t="s">
        <v>7</v>
      </c>
      <c r="T24" s="11" t="s">
        <v>10</v>
      </c>
      <c r="U24" s="11" t="s">
        <v>10</v>
      </c>
    </row>
    <row r="25" spans="1:21" x14ac:dyDescent="0.3">
      <c r="A25" s="10" t="s">
        <v>25</v>
      </c>
      <c r="B25" s="10" t="s">
        <v>26</v>
      </c>
      <c r="D25" s="76" t="s">
        <v>139</v>
      </c>
      <c r="E25" s="12"/>
      <c r="F25" s="12">
        <v>1</v>
      </c>
      <c r="G25" s="12">
        <v>0</v>
      </c>
      <c r="H25" s="12"/>
      <c r="I25" s="12">
        <v>1</v>
      </c>
      <c r="J25" s="12">
        <v>0</v>
      </c>
      <c r="K25" s="12">
        <v>0</v>
      </c>
      <c r="Q25" s="76" t="s">
        <v>139</v>
      </c>
      <c r="R25" s="55">
        <f t="shared" ref="R25:S29" si="0">1/5</f>
        <v>0.2</v>
      </c>
      <c r="S25" s="55">
        <f t="shared" si="0"/>
        <v>0.2</v>
      </c>
      <c r="T25" s="55">
        <v>0.05</v>
      </c>
      <c r="U25" s="55">
        <v>0</v>
      </c>
    </row>
    <row r="26" spans="1:21" x14ac:dyDescent="0.3">
      <c r="D26" s="76" t="s">
        <v>140</v>
      </c>
      <c r="E26" s="12"/>
      <c r="F26" s="12">
        <v>5</v>
      </c>
      <c r="G26" s="12">
        <v>1</v>
      </c>
      <c r="H26" s="12"/>
      <c r="I26" s="12">
        <v>5</v>
      </c>
      <c r="J26" s="12">
        <v>1</v>
      </c>
      <c r="K26" s="12">
        <v>0</v>
      </c>
      <c r="Q26" s="76" t="s">
        <v>140</v>
      </c>
      <c r="R26" s="55">
        <f t="shared" si="0"/>
        <v>0.2</v>
      </c>
      <c r="S26" s="55">
        <f t="shared" si="0"/>
        <v>0.2</v>
      </c>
      <c r="T26" s="55">
        <v>0.35</v>
      </c>
      <c r="U26" s="55">
        <v>0.1</v>
      </c>
    </row>
    <row r="27" spans="1:21" x14ac:dyDescent="0.3">
      <c r="D27" s="76" t="s">
        <v>141</v>
      </c>
      <c r="E27" s="12"/>
      <c r="F27" s="12">
        <v>9</v>
      </c>
      <c r="G27" s="12">
        <v>2</v>
      </c>
      <c r="H27" s="12"/>
      <c r="I27" s="12">
        <v>9</v>
      </c>
      <c r="J27" s="12">
        <v>2</v>
      </c>
      <c r="K27" s="12">
        <v>0</v>
      </c>
      <c r="Q27" s="76" t="s">
        <v>141</v>
      </c>
      <c r="R27" s="55">
        <f t="shared" si="0"/>
        <v>0.2</v>
      </c>
      <c r="S27" s="55">
        <f t="shared" si="0"/>
        <v>0.2</v>
      </c>
      <c r="T27" s="55">
        <v>0.1</v>
      </c>
      <c r="U27" s="55">
        <v>0.2</v>
      </c>
    </row>
    <row r="28" spans="1:21" x14ac:dyDescent="0.3">
      <c r="D28" s="76" t="s">
        <v>142</v>
      </c>
      <c r="E28" s="12"/>
      <c r="F28" s="12">
        <v>17</v>
      </c>
      <c r="G28" s="12">
        <v>4</v>
      </c>
      <c r="H28" s="12"/>
      <c r="I28" s="12">
        <v>17</v>
      </c>
      <c r="J28" s="12">
        <v>4</v>
      </c>
      <c r="K28" s="12">
        <v>0</v>
      </c>
      <c r="Q28" s="76" t="s">
        <v>142</v>
      </c>
      <c r="R28" s="55">
        <f t="shared" si="0"/>
        <v>0.2</v>
      </c>
      <c r="S28" s="55">
        <f t="shared" si="0"/>
        <v>0.2</v>
      </c>
      <c r="T28" s="55">
        <v>0.4</v>
      </c>
      <c r="U28" s="55">
        <v>0.4</v>
      </c>
    </row>
    <row r="29" spans="1:21" x14ac:dyDescent="0.3">
      <c r="D29" s="76" t="s">
        <v>143</v>
      </c>
      <c r="E29" s="12"/>
      <c r="F29" s="12">
        <v>13</v>
      </c>
      <c r="G29" s="12">
        <v>3</v>
      </c>
      <c r="H29" s="12"/>
      <c r="I29" s="12">
        <v>13</v>
      </c>
      <c r="J29" s="12">
        <v>3</v>
      </c>
      <c r="K29" s="12">
        <v>0</v>
      </c>
      <c r="Q29" s="76" t="s">
        <v>143</v>
      </c>
      <c r="R29" s="55">
        <f t="shared" si="0"/>
        <v>0.2</v>
      </c>
      <c r="S29" s="55">
        <f t="shared" si="0"/>
        <v>0.2</v>
      </c>
      <c r="T29" s="55">
        <v>0.1</v>
      </c>
      <c r="U29" s="55">
        <v>0.3</v>
      </c>
    </row>
    <row r="31" spans="1:21" x14ac:dyDescent="0.3">
      <c r="D31" s="10" t="s">
        <v>80</v>
      </c>
      <c r="E31" s="12">
        <v>100</v>
      </c>
      <c r="F31" s="10">
        <f t="shared" ref="F31:K31" si="1">SUM(F25:F29)</f>
        <v>45</v>
      </c>
      <c r="G31" s="10">
        <f t="shared" si="1"/>
        <v>10</v>
      </c>
      <c r="H31" s="12">
        <v>100</v>
      </c>
      <c r="I31" s="10">
        <f t="shared" si="1"/>
        <v>45</v>
      </c>
      <c r="J31" s="10">
        <f t="shared" si="1"/>
        <v>10</v>
      </c>
      <c r="K31" s="10">
        <f t="shared" si="1"/>
        <v>0</v>
      </c>
      <c r="M31" s="10" cm="1">
        <f t="array" ref="M31">MMULT($E$11:$K$11,TRANSPOSE(E31:K31))</f>
        <v>120</v>
      </c>
      <c r="N31" s="10" cm="1">
        <f t="array" ref="N31">MMULT($E$12:$K$12,TRANSPOSE(E31:K31))</f>
        <v>75.5</v>
      </c>
    </row>
    <row r="32" spans="1:21" x14ac:dyDescent="0.3">
      <c r="M32" s="12">
        <v>500</v>
      </c>
    </row>
    <row r="33" spans="1:17" x14ac:dyDescent="0.3">
      <c r="D33" s="76"/>
    </row>
    <row r="34" spans="1:17" x14ac:dyDescent="0.3">
      <c r="D34" s="76"/>
    </row>
    <row r="35" spans="1:17" x14ac:dyDescent="0.3">
      <c r="E35" s="1"/>
    </row>
    <row r="36" spans="1:17" x14ac:dyDescent="0.3">
      <c r="A36" s="10" t="s">
        <v>150</v>
      </c>
      <c r="D36" s="77" t="s">
        <v>80</v>
      </c>
    </row>
    <row r="37" spans="1:17" x14ac:dyDescent="0.3">
      <c r="E37" s="11" t="s">
        <v>137</v>
      </c>
      <c r="F37" s="11" t="s">
        <v>138</v>
      </c>
      <c r="G37" s="11" t="s">
        <v>138</v>
      </c>
      <c r="H37" s="11" t="s">
        <v>137</v>
      </c>
      <c r="I37" s="11" t="s">
        <v>138</v>
      </c>
      <c r="J37" s="11" t="s">
        <v>138</v>
      </c>
      <c r="K37" s="11" t="s">
        <v>138</v>
      </c>
    </row>
    <row r="38" spans="1:17" x14ac:dyDescent="0.3">
      <c r="D38" s="10" t="s">
        <v>12</v>
      </c>
      <c r="E38" s="11" t="s">
        <v>36</v>
      </c>
      <c r="F38" s="11" t="s">
        <v>5</v>
      </c>
      <c r="G38" s="11" t="s">
        <v>6</v>
      </c>
      <c r="H38" s="11" t="s">
        <v>7</v>
      </c>
      <c r="I38" s="11" t="s">
        <v>8</v>
      </c>
      <c r="J38" s="11" t="s">
        <v>37</v>
      </c>
      <c r="K38" s="11" t="s">
        <v>38</v>
      </c>
      <c r="M38" s="11" t="s">
        <v>10</v>
      </c>
      <c r="O38" s="10" t="s">
        <v>11</v>
      </c>
      <c r="Q38" s="10" t="s">
        <v>13</v>
      </c>
    </row>
    <row r="39" spans="1:17" x14ac:dyDescent="0.3">
      <c r="A39" s="10" t="s">
        <v>14</v>
      </c>
      <c r="B39" s="10" t="s">
        <v>82</v>
      </c>
      <c r="C39" s="10" t="s">
        <v>137</v>
      </c>
      <c r="D39" s="10" t="s">
        <v>36</v>
      </c>
      <c r="E39" s="1">
        <f t="array" ref="E39:K44">MMULT(E4:K9,E31:K31*_xlfn.MUNIT(7))</f>
        <v>0</v>
      </c>
      <c r="F39" s="1">
        <v>0</v>
      </c>
      <c r="G39" s="1">
        <v>0</v>
      </c>
      <c r="H39" s="82">
        <v>0</v>
      </c>
      <c r="I39" s="82">
        <v>100</v>
      </c>
      <c r="J39" s="82">
        <v>0</v>
      </c>
      <c r="K39" s="82">
        <v>0</v>
      </c>
      <c r="M39" s="78">
        <f t="array" ref="M39:M44">M4:M9</f>
        <v>0</v>
      </c>
      <c r="O39" s="78">
        <f t="array" ref="O39:O44">MMULT(E16:K21-E4:K9,TRANSPOSE(E31:K31))</f>
        <v>0</v>
      </c>
      <c r="Q39" s="78">
        <f t="array" ref="Q39:Q44">MMULT(E16:K21,TRANSPOSE(E31:K31))</f>
        <v>100</v>
      </c>
    </row>
    <row r="40" spans="1:17" x14ac:dyDescent="0.3">
      <c r="B40" s="10" t="s">
        <v>17</v>
      </c>
      <c r="C40" s="10" t="s">
        <v>138</v>
      </c>
      <c r="D40" s="10" t="s">
        <v>5</v>
      </c>
      <c r="E40" s="1">
        <v>0</v>
      </c>
      <c r="F40" s="1">
        <v>0</v>
      </c>
      <c r="G40" s="1">
        <v>0</v>
      </c>
      <c r="H40" s="83">
        <v>5</v>
      </c>
      <c r="I40" s="83">
        <v>0</v>
      </c>
      <c r="J40" s="83">
        <v>40</v>
      </c>
      <c r="K40" s="83">
        <v>0</v>
      </c>
      <c r="M40" s="73">
        <v>0</v>
      </c>
      <c r="O40" s="73">
        <v>0</v>
      </c>
      <c r="Q40" s="73">
        <v>45</v>
      </c>
    </row>
    <row r="41" spans="1:17" x14ac:dyDescent="0.3">
      <c r="B41" s="10" t="s">
        <v>146</v>
      </c>
      <c r="C41" s="10" t="s">
        <v>138</v>
      </c>
      <c r="D41" s="10" t="s">
        <v>6</v>
      </c>
      <c r="E41" s="1">
        <v>0</v>
      </c>
      <c r="F41" s="1">
        <v>0</v>
      </c>
      <c r="G41" s="1">
        <v>0</v>
      </c>
      <c r="H41" s="83">
        <v>0</v>
      </c>
      <c r="I41" s="83">
        <v>0</v>
      </c>
      <c r="J41" s="83">
        <v>0</v>
      </c>
      <c r="K41" s="83">
        <v>0</v>
      </c>
      <c r="M41" s="73">
        <v>10</v>
      </c>
      <c r="O41" s="73">
        <v>10</v>
      </c>
      <c r="Q41" s="73">
        <v>10</v>
      </c>
    </row>
    <row r="42" spans="1:17" x14ac:dyDescent="0.3">
      <c r="A42" s="10" t="s">
        <v>19</v>
      </c>
      <c r="B42" s="10" t="s">
        <v>147</v>
      </c>
      <c r="C42" s="10" t="s">
        <v>137</v>
      </c>
      <c r="D42" s="10" t="s">
        <v>7</v>
      </c>
      <c r="E42" s="82">
        <v>100</v>
      </c>
      <c r="F42" s="82">
        <v>0</v>
      </c>
      <c r="G42" s="82">
        <v>0</v>
      </c>
      <c r="H42" s="1">
        <v>0</v>
      </c>
      <c r="I42" s="1">
        <v>0</v>
      </c>
      <c r="J42" s="1">
        <v>0</v>
      </c>
      <c r="K42" s="1">
        <v>0</v>
      </c>
      <c r="M42" s="27">
        <v>0</v>
      </c>
      <c r="O42" s="27">
        <v>0</v>
      </c>
      <c r="Q42" s="27">
        <v>100</v>
      </c>
    </row>
    <row r="43" spans="1:17" x14ac:dyDescent="0.3">
      <c r="B43" s="10" t="s">
        <v>21</v>
      </c>
      <c r="C43" s="10" t="s">
        <v>138</v>
      </c>
      <c r="D43" s="10" t="s">
        <v>8</v>
      </c>
      <c r="E43" s="83">
        <v>0</v>
      </c>
      <c r="F43" s="83">
        <v>45</v>
      </c>
      <c r="G43" s="83">
        <v>0</v>
      </c>
      <c r="H43" s="1">
        <v>0</v>
      </c>
      <c r="I43" s="1">
        <v>0</v>
      </c>
      <c r="J43" s="1">
        <v>0</v>
      </c>
      <c r="K43" s="1">
        <v>0</v>
      </c>
      <c r="M43" s="27">
        <v>0</v>
      </c>
      <c r="O43" s="27">
        <v>0</v>
      </c>
      <c r="Q43" s="27">
        <v>45</v>
      </c>
    </row>
    <row r="44" spans="1:17" x14ac:dyDescent="0.3">
      <c r="B44" s="10" t="s">
        <v>146</v>
      </c>
      <c r="C44" s="10" t="s">
        <v>138</v>
      </c>
      <c r="D44" s="10" t="s">
        <v>9</v>
      </c>
      <c r="E44" s="83">
        <v>0</v>
      </c>
      <c r="F44" s="83">
        <v>0</v>
      </c>
      <c r="G44" s="83">
        <v>10</v>
      </c>
      <c r="H44" s="1">
        <v>0</v>
      </c>
      <c r="I44" s="1">
        <v>0</v>
      </c>
      <c r="J44" s="1">
        <v>0</v>
      </c>
      <c r="K44" s="1">
        <v>0</v>
      </c>
      <c r="M44" s="27">
        <v>0</v>
      </c>
      <c r="O44" s="27">
        <v>0</v>
      </c>
      <c r="Q44" s="27">
        <v>10</v>
      </c>
    </row>
    <row r="46" spans="1:17" x14ac:dyDescent="0.3">
      <c r="A46" s="10" t="s">
        <v>14</v>
      </c>
      <c r="B46" s="10" t="s">
        <v>44</v>
      </c>
      <c r="D46" s="10" t="s">
        <v>45</v>
      </c>
      <c r="E46" s="1">
        <f t="array" ref="E46:K47">MMULT(E11:K12,E31:K31*_xlfn.MUNIT(7))</f>
        <v>0</v>
      </c>
      <c r="F46" s="1">
        <v>0</v>
      </c>
      <c r="G46" s="1">
        <v>0</v>
      </c>
      <c r="H46" s="3">
        <v>0</v>
      </c>
      <c r="I46" s="3">
        <v>120</v>
      </c>
      <c r="J46" s="3">
        <v>0</v>
      </c>
      <c r="K46" s="3">
        <v>0</v>
      </c>
    </row>
    <row r="47" spans="1:17" x14ac:dyDescent="0.3">
      <c r="B47" s="10" t="s">
        <v>24</v>
      </c>
      <c r="D47" s="10" t="s">
        <v>46</v>
      </c>
      <c r="E47" s="1">
        <v>0</v>
      </c>
      <c r="F47" s="1">
        <v>0</v>
      </c>
      <c r="G47" s="1">
        <v>0</v>
      </c>
      <c r="H47" s="3">
        <v>40</v>
      </c>
      <c r="I47" s="3">
        <v>31.499999999999996</v>
      </c>
      <c r="J47" s="3">
        <v>4</v>
      </c>
      <c r="K47" s="3">
        <v>0</v>
      </c>
    </row>
  </sheetData>
  <dataConsolidate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F38E-F1FD-4F2E-8A0F-AC5E183A2722}">
  <sheetPr>
    <tabColor theme="9" tint="0.59999389629810485"/>
  </sheetPr>
  <dimension ref="A1:AC59"/>
  <sheetViews>
    <sheetView showGridLines="0" zoomScale="115" zoomScaleNormal="115" workbookViewId="0">
      <selection activeCell="X20" sqref="X20"/>
    </sheetView>
  </sheetViews>
  <sheetFormatPr defaultColWidth="9.21875" defaultRowHeight="14.4" x14ac:dyDescent="0.3"/>
  <cols>
    <col min="1" max="1" width="12.77734375" style="10" customWidth="1"/>
    <col min="2" max="2" width="14.21875" style="10" customWidth="1"/>
    <col min="3" max="3" width="16.77734375" style="10" customWidth="1"/>
    <col min="4" max="4" width="7.77734375" style="10" customWidth="1"/>
    <col min="5" max="47" width="7" style="10" customWidth="1"/>
    <col min="48" max="16384" width="9.21875" style="10"/>
  </cols>
  <sheetData>
    <row r="1" spans="1:29" x14ac:dyDescent="0.3">
      <c r="F1" s="10" t="s">
        <v>237</v>
      </c>
      <c r="H1" s="10" t="s">
        <v>238</v>
      </c>
      <c r="J1" s="10" t="s">
        <v>237</v>
      </c>
      <c r="M1" s="10" t="s">
        <v>238</v>
      </c>
      <c r="T1" s="10" t="s">
        <v>210</v>
      </c>
    </row>
    <row r="2" spans="1:29" x14ac:dyDescent="0.3">
      <c r="F2" s="11" t="s">
        <v>137</v>
      </c>
      <c r="G2" s="11" t="s">
        <v>138</v>
      </c>
      <c r="H2" s="11" t="s">
        <v>137</v>
      </c>
      <c r="I2" s="11" t="s">
        <v>138</v>
      </c>
      <c r="J2" s="11" t="s">
        <v>137</v>
      </c>
      <c r="K2" s="11" t="s">
        <v>138</v>
      </c>
      <c r="L2" s="11" t="s">
        <v>138</v>
      </c>
      <c r="M2" s="11" t="s">
        <v>137</v>
      </c>
      <c r="N2" s="11" t="s">
        <v>138</v>
      </c>
      <c r="O2" s="11" t="s">
        <v>138</v>
      </c>
      <c r="T2" s="11" t="s">
        <v>139</v>
      </c>
      <c r="U2" s="11" t="s">
        <v>140</v>
      </c>
      <c r="V2" s="11" t="s">
        <v>141</v>
      </c>
      <c r="W2" s="11" t="s">
        <v>142</v>
      </c>
      <c r="X2" s="11" t="s">
        <v>143</v>
      </c>
      <c r="Z2" s="11" t="s">
        <v>80</v>
      </c>
    </row>
    <row r="3" spans="1:29" x14ac:dyDescent="0.3">
      <c r="E3" s="10" t="s">
        <v>2</v>
      </c>
      <c r="F3" s="11" t="s">
        <v>36</v>
      </c>
      <c r="G3" s="11" t="s">
        <v>5</v>
      </c>
      <c r="H3" s="11" t="s">
        <v>36</v>
      </c>
      <c r="I3" s="11" t="s">
        <v>5</v>
      </c>
      <c r="J3" s="11" t="s">
        <v>7</v>
      </c>
      <c r="K3" s="11" t="s">
        <v>212</v>
      </c>
      <c r="L3" s="11" t="s">
        <v>213</v>
      </c>
      <c r="M3" s="11" t="s">
        <v>7</v>
      </c>
      <c r="N3" s="11" t="s">
        <v>212</v>
      </c>
      <c r="O3" s="11" t="s">
        <v>213</v>
      </c>
      <c r="Q3" s="11" t="s">
        <v>10</v>
      </c>
      <c r="AB3" s="10" t="s">
        <v>192</v>
      </c>
      <c r="AC3" s="10" t="s">
        <v>215</v>
      </c>
    </row>
    <row r="4" spans="1:29" x14ac:dyDescent="0.3">
      <c r="A4" s="10" t="s">
        <v>237</v>
      </c>
      <c r="B4" s="10" t="s">
        <v>14</v>
      </c>
      <c r="C4" s="10" t="s">
        <v>82</v>
      </c>
      <c r="D4" s="10" t="s">
        <v>137</v>
      </c>
      <c r="E4" s="10" t="s">
        <v>36</v>
      </c>
      <c r="F4" s="10">
        <v>0</v>
      </c>
      <c r="G4" s="10">
        <v>0</v>
      </c>
      <c r="H4" s="10">
        <v>0</v>
      </c>
      <c r="I4" s="10">
        <v>0</v>
      </c>
      <c r="J4" s="74">
        <v>0</v>
      </c>
      <c r="K4" s="74">
        <v>2.2200000000000002</v>
      </c>
      <c r="L4" s="74">
        <v>0</v>
      </c>
      <c r="M4" s="10">
        <v>0</v>
      </c>
      <c r="N4" s="10">
        <v>0</v>
      </c>
      <c r="O4" s="10">
        <v>0</v>
      </c>
      <c r="Q4" s="75">
        <v>0</v>
      </c>
      <c r="Z4" s="10">
        <f t="array" ref="Z4">MMULT($F$22,TRANSPOSE($F$41))-MMULT($J$4:$O$4,TRANSPOSE($J$41:$O$41))-Q4</f>
        <v>-1.4210854715202004E-14</v>
      </c>
      <c r="AB4" s="10" t="s">
        <v>216</v>
      </c>
      <c r="AC4" s="10" t="s">
        <v>217</v>
      </c>
    </row>
    <row r="5" spans="1:29" x14ac:dyDescent="0.3">
      <c r="C5" s="10" t="s">
        <v>17</v>
      </c>
      <c r="D5" s="10" t="s">
        <v>138</v>
      </c>
      <c r="E5" s="10" t="s">
        <v>5</v>
      </c>
      <c r="F5" s="10">
        <v>0</v>
      </c>
      <c r="G5" s="10">
        <v>0</v>
      </c>
      <c r="H5" s="10">
        <v>0</v>
      </c>
      <c r="I5" s="10">
        <v>0</v>
      </c>
      <c r="J5" s="56">
        <v>0</v>
      </c>
      <c r="K5" s="56">
        <v>0</v>
      </c>
      <c r="L5" s="56">
        <v>0</v>
      </c>
      <c r="M5" s="10">
        <v>0</v>
      </c>
      <c r="N5" s="10">
        <v>0</v>
      </c>
      <c r="O5" s="10">
        <v>0</v>
      </c>
      <c r="Q5" s="55">
        <v>100</v>
      </c>
      <c r="T5" s="10">
        <f t="array" ref="T5:X5">MMULT(G23:G23,TRANSPOSE(G35:G39))-J5*TRANSPOSE(V35:V39)*J41-MMULT(K5:L5,TRANSPOSE(K35:L39))-Q5*TRANSPOSE(T35:T39)</f>
        <v>0</v>
      </c>
      <c r="U5" s="10">
        <v>0</v>
      </c>
      <c r="V5" s="10">
        <v>0</v>
      </c>
      <c r="W5" s="10">
        <v>0</v>
      </c>
      <c r="X5" s="10">
        <v>0</v>
      </c>
    </row>
    <row r="6" spans="1:29" x14ac:dyDescent="0.3">
      <c r="A6" s="10" t="s">
        <v>238</v>
      </c>
      <c r="B6" s="10" t="s">
        <v>14</v>
      </c>
      <c r="C6" s="10" t="s">
        <v>82</v>
      </c>
      <c r="D6" s="10" t="s">
        <v>137</v>
      </c>
      <c r="E6" s="10" t="s">
        <v>36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74">
        <v>0</v>
      </c>
      <c r="N6" s="74">
        <v>2.2200000000000002</v>
      </c>
      <c r="O6" s="74">
        <v>0</v>
      </c>
      <c r="Q6" s="75">
        <v>0</v>
      </c>
      <c r="Z6" s="10">
        <f t="array" ref="Z6">MMULT($H$24,TRANSPOSE($H$41))-MMULT($J$6:$O$6,TRANSPOSE($J$41:$O$41))-Q6</f>
        <v>-7.1054273576010019E-15</v>
      </c>
    </row>
    <row r="7" spans="1:29" x14ac:dyDescent="0.3">
      <c r="C7" s="10" t="s">
        <v>17</v>
      </c>
      <c r="D7" s="10" t="s">
        <v>138</v>
      </c>
      <c r="E7" s="10" t="s">
        <v>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56">
        <v>0</v>
      </c>
      <c r="N7" s="56">
        <v>0</v>
      </c>
      <c r="O7" s="56">
        <v>0</v>
      </c>
      <c r="Q7" s="55">
        <v>0</v>
      </c>
      <c r="T7" s="10">
        <f t="array" ref="T7:X7">MMULT(I25:I25,TRANSPOSE(I35:I39))-M7*TRANSPOSE(W35:W39)*M41-MMULT(N7:O7,TRANSPOSE(N35:O39))-Q7*TRANSPOSE(U35:U39)</f>
        <v>0</v>
      </c>
      <c r="U7" s="10">
        <v>0</v>
      </c>
      <c r="V7" s="10">
        <v>0</v>
      </c>
      <c r="W7" s="10">
        <v>0</v>
      </c>
      <c r="X7" s="10">
        <v>0</v>
      </c>
    </row>
    <row r="8" spans="1:29" x14ac:dyDescent="0.3">
      <c r="A8" s="10" t="s">
        <v>237</v>
      </c>
      <c r="B8" s="10" t="s">
        <v>19</v>
      </c>
      <c r="C8" s="10" t="s">
        <v>147</v>
      </c>
      <c r="D8" s="10" t="s">
        <v>137</v>
      </c>
      <c r="E8" s="10" t="s">
        <v>7</v>
      </c>
      <c r="F8" s="74">
        <v>0.9</v>
      </c>
      <c r="G8" s="74">
        <v>0</v>
      </c>
      <c r="H8" s="74">
        <v>0</v>
      </c>
      <c r="I8" s="74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Q8" s="12">
        <v>0</v>
      </c>
      <c r="Z8" s="10">
        <f t="array" ref="Z8">MMULT(F8:I8,TRANSPOSE(F41:I41))-MMULT(J26:O26,TRANSPOSE(J41:O41))</f>
        <v>0</v>
      </c>
    </row>
    <row r="9" spans="1:29" x14ac:dyDescent="0.3">
      <c r="C9" s="10" t="s">
        <v>17</v>
      </c>
      <c r="D9" s="10" t="s">
        <v>138</v>
      </c>
      <c r="E9" s="10" t="s">
        <v>8</v>
      </c>
      <c r="F9" s="56">
        <v>0</v>
      </c>
      <c r="G9" s="56">
        <v>0.8</v>
      </c>
      <c r="H9" s="56">
        <v>0</v>
      </c>
      <c r="I9" s="56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Q9" s="12">
        <v>0</v>
      </c>
      <c r="T9" s="10">
        <f t="array" ref="T9:X9">MMULT(F9:I9,TRANSPOSE(F35:I39))-MMULT(J27:O27,TRANSPOSE(J35:O39))</f>
        <v>0</v>
      </c>
      <c r="U9" s="10">
        <v>0</v>
      </c>
      <c r="V9" s="10">
        <v>0</v>
      </c>
      <c r="W9" s="10">
        <v>0</v>
      </c>
      <c r="X9" s="10">
        <v>0</v>
      </c>
    </row>
    <row r="10" spans="1:29" x14ac:dyDescent="0.3">
      <c r="A10" s="10" t="s">
        <v>238</v>
      </c>
      <c r="B10" s="10" t="s">
        <v>19</v>
      </c>
      <c r="C10" s="10" t="s">
        <v>147</v>
      </c>
      <c r="D10" s="10" t="s">
        <v>137</v>
      </c>
      <c r="E10" s="10" t="s">
        <v>7</v>
      </c>
      <c r="F10" s="74">
        <v>0.1</v>
      </c>
      <c r="G10" s="74">
        <v>0</v>
      </c>
      <c r="H10" s="74">
        <v>1</v>
      </c>
      <c r="I10" s="74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Q10" s="12">
        <v>0</v>
      </c>
      <c r="Z10" s="10">
        <f t="array" ref="Z10">MMULT($F$10:$I$10,TRANSPOSE($F$41:$I$41))-MMULT($J$28:$O$28,TRANSPOSE($J$41:$O$41))</f>
        <v>0</v>
      </c>
    </row>
    <row r="11" spans="1:29" x14ac:dyDescent="0.3">
      <c r="C11" s="10" t="s">
        <v>17</v>
      </c>
      <c r="D11" s="10" t="s">
        <v>138</v>
      </c>
      <c r="E11" s="10" t="s">
        <v>8</v>
      </c>
      <c r="F11" s="56">
        <v>0</v>
      </c>
      <c r="G11" s="56">
        <v>0.2</v>
      </c>
      <c r="H11" s="56">
        <v>0</v>
      </c>
      <c r="I11" s="56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Q11" s="12">
        <v>0</v>
      </c>
      <c r="T11" s="10">
        <f t="array" ref="T11:X11">MMULT(F11:I11,TRANSPOSE(F35:I39))-MMULT(J29:O29,TRANSPOSE(J35:O39))</f>
        <v>0</v>
      </c>
      <c r="U11" s="10">
        <v>0</v>
      </c>
      <c r="V11" s="10">
        <v>0</v>
      </c>
      <c r="W11" s="10">
        <v>0</v>
      </c>
      <c r="X11" s="10">
        <v>0</v>
      </c>
    </row>
    <row r="13" spans="1:29" x14ac:dyDescent="0.3">
      <c r="B13" s="10" t="s">
        <v>14</v>
      </c>
      <c r="C13" s="10" t="s">
        <v>44</v>
      </c>
      <c r="E13" s="10" t="s">
        <v>45</v>
      </c>
      <c r="F13" s="10">
        <v>0</v>
      </c>
      <c r="G13" s="10">
        <v>0</v>
      </c>
      <c r="H13" s="10">
        <v>0</v>
      </c>
      <c r="I13" s="10">
        <v>0</v>
      </c>
      <c r="J13" s="9">
        <v>1.7</v>
      </c>
      <c r="K13" s="9">
        <v>0</v>
      </c>
      <c r="L13" s="9">
        <f>1.2*L4</f>
        <v>0</v>
      </c>
      <c r="M13" s="9">
        <v>1.7</v>
      </c>
      <c r="N13" s="9">
        <f t="shared" ref="N13:O13" si="0">1.2*N4</f>
        <v>0</v>
      </c>
      <c r="O13" s="9">
        <f t="shared" si="0"/>
        <v>0</v>
      </c>
    </row>
    <row r="14" spans="1:29" x14ac:dyDescent="0.3">
      <c r="C14" s="10" t="s">
        <v>24</v>
      </c>
      <c r="E14" s="10" t="s">
        <v>46</v>
      </c>
      <c r="F14" s="10">
        <v>0</v>
      </c>
      <c r="G14" s="10">
        <v>0</v>
      </c>
      <c r="H14" s="10">
        <v>0</v>
      </c>
      <c r="I14" s="10">
        <v>0</v>
      </c>
      <c r="J14" s="9">
        <v>0.4</v>
      </c>
      <c r="K14" s="9">
        <v>0</v>
      </c>
      <c r="L14" s="9">
        <v>0</v>
      </c>
      <c r="M14" s="9">
        <v>0.4</v>
      </c>
      <c r="N14" s="9">
        <v>0</v>
      </c>
      <c r="O14" s="9">
        <v>0</v>
      </c>
    </row>
    <row r="16" spans="1:29" x14ac:dyDescent="0.3">
      <c r="B16" s="10" t="s">
        <v>222</v>
      </c>
      <c r="E16" s="10" t="s">
        <v>239</v>
      </c>
      <c r="F16" s="10">
        <v>0</v>
      </c>
      <c r="G16" s="10">
        <v>0</v>
      </c>
      <c r="H16" s="10">
        <v>0</v>
      </c>
      <c r="I16" s="10">
        <v>0</v>
      </c>
      <c r="J16" s="3">
        <v>0</v>
      </c>
      <c r="K16" s="3">
        <v>100</v>
      </c>
      <c r="L16" s="3">
        <v>5</v>
      </c>
      <c r="M16" s="3">
        <v>0</v>
      </c>
      <c r="N16" s="3">
        <v>100</v>
      </c>
      <c r="O16" s="3">
        <v>0</v>
      </c>
    </row>
    <row r="19" spans="5:23" x14ac:dyDescent="0.3">
      <c r="F19" s="10" t="s">
        <v>237</v>
      </c>
      <c r="H19" s="10" t="s">
        <v>238</v>
      </c>
      <c r="J19" s="10" t="s">
        <v>237</v>
      </c>
      <c r="M19" s="10" t="s">
        <v>238</v>
      </c>
    </row>
    <row r="20" spans="5:23" x14ac:dyDescent="0.3">
      <c r="F20" s="11" t="s">
        <v>137</v>
      </c>
      <c r="G20" s="11" t="s">
        <v>138</v>
      </c>
      <c r="H20" s="11" t="s">
        <v>137</v>
      </c>
      <c r="I20" s="11" t="s">
        <v>138</v>
      </c>
      <c r="J20" s="11" t="s">
        <v>137</v>
      </c>
      <c r="K20" s="11" t="s">
        <v>138</v>
      </c>
      <c r="L20" s="11" t="s">
        <v>138</v>
      </c>
      <c r="M20" s="11" t="s">
        <v>137</v>
      </c>
      <c r="N20" s="11" t="s">
        <v>138</v>
      </c>
      <c r="O20" s="11" t="s">
        <v>138</v>
      </c>
    </row>
    <row r="21" spans="5:23" x14ac:dyDescent="0.3">
      <c r="E21" s="10" t="s">
        <v>49</v>
      </c>
      <c r="F21" s="11" t="s">
        <v>36</v>
      </c>
      <c r="G21" s="11" t="s">
        <v>5</v>
      </c>
      <c r="H21" s="11" t="s">
        <v>36</v>
      </c>
      <c r="I21" s="11" t="s">
        <v>5</v>
      </c>
      <c r="J21" s="11" t="s">
        <v>7</v>
      </c>
      <c r="K21" s="11" t="s">
        <v>212</v>
      </c>
      <c r="L21" s="11" t="s">
        <v>213</v>
      </c>
      <c r="M21" s="11" t="s">
        <v>7</v>
      </c>
      <c r="N21" s="11" t="s">
        <v>212</v>
      </c>
      <c r="O21" s="11" t="s">
        <v>213</v>
      </c>
    </row>
    <row r="22" spans="5:23" x14ac:dyDescent="0.3">
      <c r="E22" s="10" t="s">
        <v>36</v>
      </c>
      <c r="F22" s="10">
        <v>1</v>
      </c>
      <c r="G22" s="10">
        <v>0</v>
      </c>
      <c r="H22" s="10">
        <v>0</v>
      </c>
      <c r="I22" s="10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5:23" x14ac:dyDescent="0.3">
      <c r="E23" s="10" t="s">
        <v>5</v>
      </c>
      <c r="F23" s="10">
        <v>0</v>
      </c>
      <c r="G23" s="10">
        <v>1</v>
      </c>
      <c r="H23" s="10">
        <v>0</v>
      </c>
      <c r="I23" s="10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5:23" x14ac:dyDescent="0.3">
      <c r="E24" s="10" t="s">
        <v>36</v>
      </c>
      <c r="F24" s="10">
        <v>0</v>
      </c>
      <c r="G24" s="10">
        <v>0</v>
      </c>
      <c r="H24" s="10">
        <v>1</v>
      </c>
      <c r="I24" s="10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</row>
    <row r="25" spans="5:23" x14ac:dyDescent="0.3">
      <c r="E25" s="10" t="s">
        <v>5</v>
      </c>
      <c r="F25" s="10">
        <v>0</v>
      </c>
      <c r="G25" s="10">
        <v>0</v>
      </c>
      <c r="H25" s="10">
        <v>0</v>
      </c>
      <c r="I25" s="10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5:23" x14ac:dyDescent="0.3">
      <c r="E26" s="10" t="s">
        <v>7</v>
      </c>
      <c r="F26" s="9">
        <v>0</v>
      </c>
      <c r="G26" s="9">
        <v>0</v>
      </c>
      <c r="H26" s="9">
        <v>0</v>
      </c>
      <c r="I26" s="9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5:23" x14ac:dyDescent="0.3">
      <c r="E27" s="10" t="s">
        <v>8</v>
      </c>
      <c r="F27" s="9">
        <v>0</v>
      </c>
      <c r="G27" s="9">
        <v>0</v>
      </c>
      <c r="H27" s="9">
        <v>0</v>
      </c>
      <c r="I27" s="9">
        <v>0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</row>
    <row r="28" spans="5:23" x14ac:dyDescent="0.3">
      <c r="E28" s="10" t="s">
        <v>7</v>
      </c>
      <c r="F28" s="9">
        <v>0</v>
      </c>
      <c r="G28" s="9">
        <v>0</v>
      </c>
      <c r="H28" s="9">
        <v>0</v>
      </c>
      <c r="I28" s="9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</row>
    <row r="29" spans="5:23" x14ac:dyDescent="0.3">
      <c r="E29" s="10" t="s">
        <v>8</v>
      </c>
      <c r="F29" s="9">
        <v>0</v>
      </c>
      <c r="G29" s="9">
        <v>0</v>
      </c>
      <c r="H29" s="9">
        <v>0</v>
      </c>
      <c r="I29" s="9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1</v>
      </c>
    </row>
    <row r="31" spans="5:23" x14ac:dyDescent="0.3">
      <c r="T31" s="10" t="s">
        <v>227</v>
      </c>
    </row>
    <row r="32" spans="5:23" x14ac:dyDescent="0.3">
      <c r="F32" s="10" t="s">
        <v>237</v>
      </c>
      <c r="H32" s="10" t="s">
        <v>238</v>
      </c>
      <c r="J32" s="10" t="s">
        <v>237</v>
      </c>
      <c r="M32" s="10" t="s">
        <v>238</v>
      </c>
      <c r="T32" s="11" t="s">
        <v>240</v>
      </c>
      <c r="U32" s="11" t="s">
        <v>241</v>
      </c>
      <c r="V32" s="11" t="s">
        <v>240</v>
      </c>
      <c r="W32" s="11" t="s">
        <v>241</v>
      </c>
    </row>
    <row r="33" spans="2:25" x14ac:dyDescent="0.3">
      <c r="F33" s="11" t="s">
        <v>137</v>
      </c>
      <c r="G33" s="11" t="s">
        <v>138</v>
      </c>
      <c r="H33" s="11" t="s">
        <v>137</v>
      </c>
      <c r="I33" s="11" t="s">
        <v>138</v>
      </c>
      <c r="J33" s="11" t="s">
        <v>137</v>
      </c>
      <c r="K33" s="11" t="s">
        <v>138</v>
      </c>
      <c r="L33" s="11" t="s">
        <v>138</v>
      </c>
      <c r="M33" s="11" t="s">
        <v>137</v>
      </c>
      <c r="N33" s="11" t="s">
        <v>138</v>
      </c>
      <c r="O33" s="11" t="s">
        <v>138</v>
      </c>
      <c r="S33" s="10" t="s">
        <v>230</v>
      </c>
      <c r="T33" s="11" t="s">
        <v>5</v>
      </c>
      <c r="U33" s="11" t="s">
        <v>5</v>
      </c>
      <c r="V33" s="11" t="s">
        <v>5</v>
      </c>
      <c r="W33" s="11" t="s">
        <v>5</v>
      </c>
      <c r="X33" s="11"/>
      <c r="Y33" s="11"/>
    </row>
    <row r="34" spans="2:25" x14ac:dyDescent="0.3">
      <c r="F34" s="11" t="s">
        <v>36</v>
      </c>
      <c r="G34" s="11" t="s">
        <v>5</v>
      </c>
      <c r="H34" s="11" t="s">
        <v>36</v>
      </c>
      <c r="I34" s="11" t="s">
        <v>5</v>
      </c>
      <c r="J34" s="11" t="s">
        <v>7</v>
      </c>
      <c r="K34" s="11" t="s">
        <v>212</v>
      </c>
      <c r="L34" s="11" t="s">
        <v>213</v>
      </c>
      <c r="M34" s="11" t="s">
        <v>7</v>
      </c>
      <c r="N34" s="11" t="s">
        <v>212</v>
      </c>
      <c r="O34" s="11" t="s">
        <v>213</v>
      </c>
      <c r="S34" s="76" t="s">
        <v>233</v>
      </c>
      <c r="T34" s="11" t="s">
        <v>10</v>
      </c>
      <c r="U34" s="11" t="s">
        <v>10</v>
      </c>
      <c r="V34" s="11" t="s">
        <v>7</v>
      </c>
      <c r="W34" s="11" t="s">
        <v>7</v>
      </c>
      <c r="X34" s="11"/>
      <c r="Y34" s="11"/>
    </row>
    <row r="35" spans="2:25" x14ac:dyDescent="0.3">
      <c r="B35" s="10" t="s">
        <v>25</v>
      </c>
      <c r="C35" s="10" t="s">
        <v>26</v>
      </c>
      <c r="E35" s="76" t="s">
        <v>139</v>
      </c>
      <c r="F35" s="79">
        <v>0</v>
      </c>
      <c r="G35" s="12">
        <v>5</v>
      </c>
      <c r="H35" s="79">
        <v>0</v>
      </c>
      <c r="I35" s="12">
        <v>0</v>
      </c>
      <c r="J35" s="79">
        <v>0</v>
      </c>
      <c r="K35" s="12">
        <v>0</v>
      </c>
      <c r="L35" s="12">
        <v>4</v>
      </c>
      <c r="M35" s="79">
        <v>0</v>
      </c>
      <c r="N35" s="12">
        <v>1</v>
      </c>
      <c r="O35" s="12">
        <v>0</v>
      </c>
      <c r="S35" s="76" t="s">
        <v>139</v>
      </c>
      <c r="T35" s="55">
        <v>0.05</v>
      </c>
      <c r="U35" s="55">
        <v>0.05</v>
      </c>
      <c r="V35" s="55">
        <f t="shared" ref="V35:W39" si="1">1/5</f>
        <v>0.2</v>
      </c>
      <c r="W35" s="55">
        <f t="shared" si="1"/>
        <v>0.2</v>
      </c>
    </row>
    <row r="36" spans="2:25" x14ac:dyDescent="0.3">
      <c r="E36" s="76" t="s">
        <v>140</v>
      </c>
      <c r="F36" s="79">
        <v>0</v>
      </c>
      <c r="G36" s="12">
        <v>35</v>
      </c>
      <c r="H36" s="79">
        <v>0</v>
      </c>
      <c r="I36" s="12">
        <v>0</v>
      </c>
      <c r="J36" s="79">
        <v>0</v>
      </c>
      <c r="K36" s="12">
        <v>23</v>
      </c>
      <c r="L36" s="12">
        <v>5</v>
      </c>
      <c r="M36" s="79">
        <v>0</v>
      </c>
      <c r="N36" s="12">
        <v>7</v>
      </c>
      <c r="O36" s="12">
        <v>0</v>
      </c>
      <c r="S36" s="76" t="s">
        <v>140</v>
      </c>
      <c r="T36" s="55">
        <v>0.35</v>
      </c>
      <c r="U36" s="55">
        <v>0.35</v>
      </c>
      <c r="V36" s="55">
        <f t="shared" si="1"/>
        <v>0.2</v>
      </c>
      <c r="W36" s="55">
        <f t="shared" si="1"/>
        <v>0.2</v>
      </c>
    </row>
    <row r="37" spans="2:25" x14ac:dyDescent="0.3">
      <c r="E37" s="76" t="s">
        <v>141</v>
      </c>
      <c r="F37" s="79">
        <v>0</v>
      </c>
      <c r="G37" s="12">
        <v>10</v>
      </c>
      <c r="H37" s="79">
        <v>0</v>
      </c>
      <c r="I37" s="12">
        <v>0</v>
      </c>
      <c r="J37" s="79">
        <v>0</v>
      </c>
      <c r="K37" s="12">
        <v>3</v>
      </c>
      <c r="L37" s="12">
        <v>5</v>
      </c>
      <c r="M37" s="79">
        <v>0</v>
      </c>
      <c r="N37" s="12">
        <v>2</v>
      </c>
      <c r="O37" s="12">
        <v>0</v>
      </c>
      <c r="S37" s="76" t="s">
        <v>141</v>
      </c>
      <c r="T37" s="55">
        <v>0.1</v>
      </c>
      <c r="U37" s="55">
        <v>0.1</v>
      </c>
      <c r="V37" s="55">
        <f t="shared" si="1"/>
        <v>0.2</v>
      </c>
      <c r="W37" s="55">
        <f t="shared" si="1"/>
        <v>0.2</v>
      </c>
    </row>
    <row r="38" spans="2:25" x14ac:dyDescent="0.3">
      <c r="E38" s="76" t="s">
        <v>142</v>
      </c>
      <c r="F38" s="79">
        <v>0</v>
      </c>
      <c r="G38" s="12">
        <v>40</v>
      </c>
      <c r="H38" s="79">
        <v>0</v>
      </c>
      <c r="I38" s="12">
        <v>0</v>
      </c>
      <c r="J38" s="79">
        <v>0</v>
      </c>
      <c r="K38" s="12">
        <v>27</v>
      </c>
      <c r="L38" s="12">
        <v>5</v>
      </c>
      <c r="M38" s="79">
        <v>0</v>
      </c>
      <c r="N38" s="12">
        <v>8</v>
      </c>
      <c r="O38" s="12">
        <v>0</v>
      </c>
      <c r="S38" s="76" t="s">
        <v>142</v>
      </c>
      <c r="T38" s="55">
        <v>0.4</v>
      </c>
      <c r="U38" s="55">
        <v>0.4</v>
      </c>
      <c r="V38" s="55">
        <f t="shared" si="1"/>
        <v>0.2</v>
      </c>
      <c r="W38" s="55">
        <f t="shared" si="1"/>
        <v>0.2</v>
      </c>
    </row>
    <row r="39" spans="2:25" x14ac:dyDescent="0.3">
      <c r="E39" s="76" t="s">
        <v>143</v>
      </c>
      <c r="F39" s="79">
        <v>0</v>
      </c>
      <c r="G39" s="12">
        <v>10</v>
      </c>
      <c r="H39" s="79">
        <v>0</v>
      </c>
      <c r="I39" s="12">
        <v>0</v>
      </c>
      <c r="J39" s="79">
        <v>0</v>
      </c>
      <c r="K39" s="12">
        <v>3</v>
      </c>
      <c r="L39" s="12">
        <v>5</v>
      </c>
      <c r="M39" s="79">
        <v>0</v>
      </c>
      <c r="N39" s="12">
        <v>2</v>
      </c>
      <c r="O39" s="12">
        <v>0</v>
      </c>
      <c r="S39" s="76" t="s">
        <v>143</v>
      </c>
      <c r="T39" s="55">
        <v>0.1</v>
      </c>
      <c r="U39" s="55">
        <v>0.1</v>
      </c>
      <c r="V39" s="55">
        <f t="shared" si="1"/>
        <v>0.2</v>
      </c>
      <c r="W39" s="55">
        <f t="shared" si="1"/>
        <v>0.2</v>
      </c>
    </row>
    <row r="41" spans="2:25" x14ac:dyDescent="0.3">
      <c r="E41" s="10" t="s">
        <v>80</v>
      </c>
      <c r="F41" s="12">
        <v>124.32</v>
      </c>
      <c r="G41" s="10">
        <f>SUM(G35:G39)</f>
        <v>100</v>
      </c>
      <c r="H41" s="12">
        <v>44.4</v>
      </c>
      <c r="I41" s="10">
        <f>SUM(I35:I39)</f>
        <v>0</v>
      </c>
      <c r="J41" s="12">
        <v>111.88800000000001</v>
      </c>
      <c r="K41" s="10">
        <f>SUM(K35:K39)</f>
        <v>56</v>
      </c>
      <c r="L41" s="10">
        <f>SUM(L35:L39)</f>
        <v>24</v>
      </c>
      <c r="M41" s="12">
        <v>56.832000000000001</v>
      </c>
      <c r="N41" s="10">
        <f>SUM(N35:N39)</f>
        <v>20</v>
      </c>
      <c r="O41" s="10">
        <f>SUM(O35:O39)</f>
        <v>0</v>
      </c>
    </row>
    <row r="43" spans="2:25" x14ac:dyDescent="0.3">
      <c r="E43" s="76"/>
    </row>
    <row r="44" spans="2:25" x14ac:dyDescent="0.3">
      <c r="E44" s="76"/>
    </row>
    <row r="45" spans="2:25" x14ac:dyDescent="0.3">
      <c r="F45" s="1"/>
      <c r="K45" s="11" t="s">
        <v>50</v>
      </c>
      <c r="L45" s="11" t="s">
        <v>51</v>
      </c>
      <c r="N45" s="11" t="s">
        <v>50</v>
      </c>
      <c r="O45" s="11" t="s">
        <v>51</v>
      </c>
    </row>
    <row r="46" spans="2:25" x14ac:dyDescent="0.3">
      <c r="B46" s="10" t="s">
        <v>150</v>
      </c>
      <c r="E46" s="77" t="s">
        <v>80</v>
      </c>
      <c r="F46" s="10" t="s">
        <v>237</v>
      </c>
      <c r="H46" s="10" t="s">
        <v>238</v>
      </c>
      <c r="J46" s="10" t="s">
        <v>237</v>
      </c>
      <c r="M46" s="10" t="s">
        <v>238</v>
      </c>
    </row>
    <row r="47" spans="2:25" x14ac:dyDescent="0.3">
      <c r="F47" s="11" t="s">
        <v>137</v>
      </c>
      <c r="G47" s="11" t="s">
        <v>138</v>
      </c>
      <c r="H47" s="11" t="s">
        <v>137</v>
      </c>
      <c r="I47" s="11" t="s">
        <v>138</v>
      </c>
      <c r="J47" s="11" t="s">
        <v>137</v>
      </c>
      <c r="K47" s="11" t="s">
        <v>138</v>
      </c>
      <c r="L47" s="11" t="s">
        <v>138</v>
      </c>
      <c r="M47" s="11" t="s">
        <v>137</v>
      </c>
      <c r="N47" s="11" t="s">
        <v>138</v>
      </c>
      <c r="O47" s="11" t="s">
        <v>138</v>
      </c>
    </row>
    <row r="48" spans="2:25" x14ac:dyDescent="0.3">
      <c r="E48" s="10" t="s">
        <v>12</v>
      </c>
      <c r="F48" s="11" t="s">
        <v>36</v>
      </c>
      <c r="G48" s="11" t="s">
        <v>5</v>
      </c>
      <c r="H48" s="11" t="s">
        <v>36</v>
      </c>
      <c r="I48" s="11" t="s">
        <v>5</v>
      </c>
      <c r="J48" s="11" t="s">
        <v>7</v>
      </c>
      <c r="K48" s="11" t="s">
        <v>212</v>
      </c>
      <c r="L48" s="11" t="s">
        <v>213</v>
      </c>
      <c r="M48" s="11" t="s">
        <v>7</v>
      </c>
      <c r="N48" s="11" t="s">
        <v>212</v>
      </c>
      <c r="O48" s="11" t="s">
        <v>213</v>
      </c>
      <c r="Q48" s="11" t="s">
        <v>10</v>
      </c>
      <c r="S48" s="10" t="s">
        <v>11</v>
      </c>
      <c r="U48" s="10" t="s">
        <v>13</v>
      </c>
    </row>
    <row r="49" spans="1:24" x14ac:dyDescent="0.3">
      <c r="A49" s="10" t="s">
        <v>237</v>
      </c>
      <c r="B49" s="10" t="s">
        <v>14</v>
      </c>
      <c r="C49" s="10" t="s">
        <v>82</v>
      </c>
      <c r="D49" s="10" t="s">
        <v>137</v>
      </c>
      <c r="E49" s="10" t="s">
        <v>36</v>
      </c>
      <c r="F49" s="1">
        <f t="array" ref="F49:O56">MMULT(F4:O11,F41:O41*_xlfn.MUNIT(10))</f>
        <v>0</v>
      </c>
      <c r="G49" s="1">
        <v>0</v>
      </c>
      <c r="H49" s="1">
        <v>0</v>
      </c>
      <c r="I49" s="1">
        <v>0</v>
      </c>
      <c r="J49" s="82">
        <v>0</v>
      </c>
      <c r="K49" s="82">
        <v>124.32000000000001</v>
      </c>
      <c r="L49" s="82">
        <v>0</v>
      </c>
      <c r="M49" s="1">
        <v>0</v>
      </c>
      <c r="N49" s="1">
        <v>0</v>
      </c>
      <c r="O49" s="1">
        <v>0</v>
      </c>
      <c r="Q49" s="80">
        <f t="array" ref="Q49:Q56">Q4:Q11</f>
        <v>0</v>
      </c>
      <c r="R49" s="27"/>
      <c r="S49" s="84">
        <f t="array" ref="S49:S56">MMULT(F22:O29-F4:O11,TRANSPOSE(F41:O41))</f>
        <v>-1.4210854715202004E-14</v>
      </c>
      <c r="U49" s="84">
        <f t="array" ref="U49:U56">MMULT(F22:O29,TRANSPOSE(F41:O41))</f>
        <v>124.32</v>
      </c>
    </row>
    <row r="50" spans="1:24" x14ac:dyDescent="0.3">
      <c r="C50" s="10" t="s">
        <v>17</v>
      </c>
      <c r="D50" s="10" t="s">
        <v>138</v>
      </c>
      <c r="E50" s="10" t="s">
        <v>5</v>
      </c>
      <c r="F50" s="1">
        <v>0</v>
      </c>
      <c r="G50" s="1">
        <v>0</v>
      </c>
      <c r="H50" s="1">
        <v>0</v>
      </c>
      <c r="I50" s="1">
        <v>0</v>
      </c>
      <c r="J50" s="83">
        <v>0</v>
      </c>
      <c r="K50" s="83">
        <v>0</v>
      </c>
      <c r="L50" s="83">
        <v>0</v>
      </c>
      <c r="M50" s="1">
        <v>0</v>
      </c>
      <c r="N50" s="1">
        <v>0</v>
      </c>
      <c r="O50" s="1">
        <v>0</v>
      </c>
      <c r="Q50" s="81">
        <v>100</v>
      </c>
      <c r="R50" s="27"/>
      <c r="S50" s="85">
        <v>100</v>
      </c>
      <c r="U50" s="85">
        <v>100</v>
      </c>
    </row>
    <row r="51" spans="1:24" x14ac:dyDescent="0.3">
      <c r="A51" s="10" t="s">
        <v>238</v>
      </c>
      <c r="B51" s="10" t="s">
        <v>14</v>
      </c>
      <c r="C51" s="10" t="s">
        <v>82</v>
      </c>
      <c r="D51" s="10" t="s">
        <v>137</v>
      </c>
      <c r="E51" s="10" t="s">
        <v>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82">
        <v>0</v>
      </c>
      <c r="N51" s="82">
        <v>44.400000000000006</v>
      </c>
      <c r="O51" s="82">
        <v>0</v>
      </c>
      <c r="Q51" s="80">
        <v>0</v>
      </c>
      <c r="R51" s="27"/>
      <c r="S51" s="84">
        <v>-7.1054273576010019E-15</v>
      </c>
      <c r="U51" s="84">
        <v>44.4</v>
      </c>
    </row>
    <row r="52" spans="1:24" x14ac:dyDescent="0.3">
      <c r="C52" s="10" t="s">
        <v>17</v>
      </c>
      <c r="D52" s="10" t="s">
        <v>138</v>
      </c>
      <c r="E52" s="10" t="s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83">
        <v>0</v>
      </c>
      <c r="N52" s="83">
        <v>0</v>
      </c>
      <c r="O52" s="83">
        <v>0</v>
      </c>
      <c r="Q52" s="81">
        <v>0</v>
      </c>
      <c r="R52" s="27"/>
      <c r="S52" s="85">
        <v>0</v>
      </c>
      <c r="U52" s="85">
        <v>0</v>
      </c>
    </row>
    <row r="53" spans="1:24" x14ac:dyDescent="0.3">
      <c r="A53" s="10" t="s">
        <v>237</v>
      </c>
      <c r="B53" s="10" t="s">
        <v>19</v>
      </c>
      <c r="C53" s="10" t="s">
        <v>147</v>
      </c>
      <c r="D53" s="10" t="s">
        <v>137</v>
      </c>
      <c r="E53" s="10" t="s">
        <v>7</v>
      </c>
      <c r="F53" s="82">
        <v>111.88799999999999</v>
      </c>
      <c r="G53" s="82">
        <v>0</v>
      </c>
      <c r="H53" s="82">
        <v>0</v>
      </c>
      <c r="I53" s="82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Q53" s="58">
        <v>0</v>
      </c>
      <c r="R53" s="27"/>
      <c r="S53" s="1">
        <v>1.4210854715202004E-14</v>
      </c>
      <c r="U53" s="1">
        <v>111.88800000000001</v>
      </c>
    </row>
    <row r="54" spans="1:24" x14ac:dyDescent="0.3">
      <c r="C54" s="10" t="s">
        <v>17</v>
      </c>
      <c r="D54" s="10" t="s">
        <v>138</v>
      </c>
      <c r="E54" s="10" t="s">
        <v>8</v>
      </c>
      <c r="F54" s="83">
        <v>0</v>
      </c>
      <c r="G54" s="83">
        <v>80</v>
      </c>
      <c r="H54" s="83">
        <v>0</v>
      </c>
      <c r="I54" s="83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Q54" s="58">
        <v>0</v>
      </c>
      <c r="R54" s="27"/>
      <c r="S54" s="1">
        <v>0</v>
      </c>
      <c r="U54" s="1">
        <v>80</v>
      </c>
    </row>
    <row r="55" spans="1:24" x14ac:dyDescent="0.3">
      <c r="A55" s="10" t="s">
        <v>238</v>
      </c>
      <c r="B55" s="10" t="s">
        <v>19</v>
      </c>
      <c r="C55" s="10" t="s">
        <v>147</v>
      </c>
      <c r="D55" s="10" t="s">
        <v>137</v>
      </c>
      <c r="E55" s="10" t="s">
        <v>7</v>
      </c>
      <c r="F55" s="82">
        <v>12.432</v>
      </c>
      <c r="G55" s="82">
        <v>0</v>
      </c>
      <c r="H55" s="82">
        <v>44.4</v>
      </c>
      <c r="I55" s="82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Q55" s="58">
        <v>0</v>
      </c>
      <c r="R55" s="27"/>
      <c r="S55" s="1">
        <v>0</v>
      </c>
      <c r="U55" s="1">
        <v>56.832000000000001</v>
      </c>
    </row>
    <row r="56" spans="1:24" x14ac:dyDescent="0.3">
      <c r="C56" s="10" t="s">
        <v>17</v>
      </c>
      <c r="D56" s="10" t="s">
        <v>138</v>
      </c>
      <c r="E56" s="10" t="s">
        <v>8</v>
      </c>
      <c r="F56" s="83">
        <v>0</v>
      </c>
      <c r="G56" s="83">
        <v>20</v>
      </c>
      <c r="H56" s="83">
        <v>0</v>
      </c>
      <c r="I56" s="83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Q56" s="58">
        <v>0</v>
      </c>
      <c r="R56" s="27"/>
      <c r="S56" s="1">
        <v>0</v>
      </c>
      <c r="U56" s="1">
        <v>20</v>
      </c>
    </row>
    <row r="58" spans="1:24" x14ac:dyDescent="0.3">
      <c r="B58" s="10" t="s">
        <v>14</v>
      </c>
      <c r="C58" s="10" t="s">
        <v>44</v>
      </c>
      <c r="E58" s="10" t="s">
        <v>45</v>
      </c>
      <c r="F58" s="1">
        <f t="array" ref="F58:O59">MMULT(F13:O14,F41:O41*_xlfn.MUNIT(10))</f>
        <v>0</v>
      </c>
      <c r="G58" s="1">
        <v>0</v>
      </c>
      <c r="H58" s="1">
        <v>0</v>
      </c>
      <c r="I58" s="1">
        <v>0</v>
      </c>
      <c r="J58" s="3">
        <v>190.20959999999999</v>
      </c>
      <c r="K58" s="3">
        <v>0</v>
      </c>
      <c r="L58" s="3">
        <v>0</v>
      </c>
      <c r="M58" s="3">
        <v>96.614400000000003</v>
      </c>
      <c r="N58" s="3">
        <v>0</v>
      </c>
      <c r="O58" s="3">
        <v>0</v>
      </c>
      <c r="U58" s="10">
        <f>SUM(F58:O58)</f>
        <v>286.82400000000001</v>
      </c>
      <c r="W58" s="12">
        <v>500</v>
      </c>
      <c r="X58" s="10" t="s">
        <v>179</v>
      </c>
    </row>
    <row r="59" spans="1:24" x14ac:dyDescent="0.3">
      <c r="C59" s="10" t="s">
        <v>24</v>
      </c>
      <c r="E59" s="10" t="s">
        <v>46</v>
      </c>
      <c r="F59" s="1">
        <v>0</v>
      </c>
      <c r="G59" s="1">
        <v>0</v>
      </c>
      <c r="H59" s="1">
        <v>0</v>
      </c>
      <c r="I59" s="1">
        <v>0</v>
      </c>
      <c r="J59" s="3">
        <v>44.755200000000002</v>
      </c>
      <c r="K59" s="3">
        <v>0</v>
      </c>
      <c r="L59" s="3">
        <v>0</v>
      </c>
      <c r="M59" s="3">
        <v>22.732800000000001</v>
      </c>
      <c r="N59" s="3">
        <v>0</v>
      </c>
      <c r="O59" s="3">
        <v>0</v>
      </c>
      <c r="U59" s="10">
        <f>SUM(F59:O59)</f>
        <v>67.488</v>
      </c>
    </row>
  </sheetData>
  <pageMargins left="0.7" right="0.7" top="0.75" bottom="0.75" header="0.3" footer="0.3"/>
  <pageSetup paperSize="9" orientation="portrait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CB6-FCEE-4984-B2B8-5821A00E75C2}">
  <sheetPr codeName="Foglio15">
    <tabColor theme="9" tint="0.59999389629810485"/>
  </sheetPr>
  <dimension ref="A1:AY200"/>
  <sheetViews>
    <sheetView showGridLines="0" topLeftCell="A34" zoomScale="70" zoomScaleNormal="70" workbookViewId="0">
      <selection activeCell="I53" sqref="I53"/>
    </sheetView>
  </sheetViews>
  <sheetFormatPr defaultColWidth="9.21875" defaultRowHeight="14.4" x14ac:dyDescent="0.3"/>
  <cols>
    <col min="1" max="1" width="9.77734375" style="10" customWidth="1"/>
    <col min="2" max="2" width="16.77734375" style="10" customWidth="1"/>
    <col min="3" max="4" width="5.77734375" style="10" customWidth="1"/>
    <col min="5" max="62" width="8.21875" style="10" customWidth="1"/>
    <col min="63" max="16384" width="9.21875" style="10"/>
  </cols>
  <sheetData>
    <row r="1" spans="1:34" x14ac:dyDescent="0.3">
      <c r="A1" s="10" t="s">
        <v>242</v>
      </c>
    </row>
    <row r="3" spans="1:34" x14ac:dyDescent="0.3">
      <c r="P3" s="10" t="s">
        <v>243</v>
      </c>
      <c r="R3" s="11" t="s">
        <v>244</v>
      </c>
      <c r="S3" s="11" t="s">
        <v>245</v>
      </c>
      <c r="U3" s="11" t="s">
        <v>246</v>
      </c>
      <c r="V3" s="11" t="s">
        <v>246</v>
      </c>
      <c r="W3" s="11" t="s">
        <v>247</v>
      </c>
      <c r="Y3" s="11" t="s">
        <v>248</v>
      </c>
      <c r="Z3" s="11" t="s">
        <v>248</v>
      </c>
      <c r="AB3" s="11" t="s">
        <v>249</v>
      </c>
      <c r="AD3" s="11" t="s">
        <v>24</v>
      </c>
      <c r="AE3" s="11" t="s">
        <v>24</v>
      </c>
      <c r="AF3" s="11" t="s">
        <v>24</v>
      </c>
      <c r="AH3" s="11" t="s">
        <v>250</v>
      </c>
    </row>
    <row r="4" spans="1:34" x14ac:dyDescent="0.3">
      <c r="R4" s="11" t="s">
        <v>251</v>
      </c>
      <c r="S4" s="11" t="s">
        <v>252</v>
      </c>
      <c r="U4" s="11" t="s">
        <v>253</v>
      </c>
      <c r="V4" s="11" t="s">
        <v>254</v>
      </c>
      <c r="W4" s="11" t="s">
        <v>70</v>
      </c>
      <c r="Y4" s="11" t="s">
        <v>70</v>
      </c>
      <c r="Z4" s="11" t="s">
        <v>255</v>
      </c>
      <c r="AB4" s="11" t="s">
        <v>256</v>
      </c>
      <c r="AD4" s="11" t="s">
        <v>257</v>
      </c>
      <c r="AE4" s="11" t="s">
        <v>258</v>
      </c>
      <c r="AF4" s="11" t="s">
        <v>259</v>
      </c>
      <c r="AH4" s="11" t="s">
        <v>252</v>
      </c>
    </row>
    <row r="5" spans="1:34" x14ac:dyDescent="0.3">
      <c r="P5" s="74" t="s">
        <v>82</v>
      </c>
      <c r="Q5" s="74"/>
      <c r="R5" s="157">
        <v>45</v>
      </c>
      <c r="S5" s="157">
        <v>0.7</v>
      </c>
      <c r="T5" s="74"/>
      <c r="U5" s="74"/>
      <c r="V5" s="157"/>
      <c r="W5" s="157"/>
      <c r="X5" s="74"/>
      <c r="Y5" s="158"/>
      <c r="Z5" s="74"/>
      <c r="AA5" s="74"/>
      <c r="AB5" s="74"/>
      <c r="AC5" s="74"/>
      <c r="AD5" s="74">
        <v>1.5</v>
      </c>
      <c r="AE5" s="74"/>
      <c r="AF5" s="74"/>
      <c r="AG5" s="74"/>
      <c r="AH5" s="74">
        <v>2.34</v>
      </c>
    </row>
    <row r="6" spans="1:34" x14ac:dyDescent="0.3">
      <c r="P6" s="10" t="s">
        <v>112</v>
      </c>
      <c r="W6" s="10">
        <v>0.4</v>
      </c>
      <c r="Y6" s="10">
        <v>0.9</v>
      </c>
      <c r="AB6" s="1">
        <v>15</v>
      </c>
      <c r="AE6" s="1">
        <v>600</v>
      </c>
      <c r="AF6" s="1"/>
      <c r="AG6" s="1"/>
      <c r="AH6" s="1"/>
    </row>
    <row r="7" spans="1:34" x14ac:dyDescent="0.3">
      <c r="P7" s="74" t="s">
        <v>260</v>
      </c>
      <c r="Q7" s="74"/>
      <c r="R7" s="74"/>
      <c r="S7" s="74"/>
      <c r="T7" s="74"/>
      <c r="U7" s="74"/>
      <c r="V7" s="74"/>
      <c r="W7" s="74">
        <v>1</v>
      </c>
      <c r="X7" s="74"/>
      <c r="Y7" s="74">
        <v>0.4</v>
      </c>
      <c r="Z7" s="74"/>
      <c r="AA7" s="74"/>
      <c r="AB7" s="82">
        <v>20</v>
      </c>
      <c r="AC7" s="74"/>
      <c r="AD7" s="74"/>
      <c r="AE7" s="82">
        <v>1500</v>
      </c>
      <c r="AF7" s="82"/>
      <c r="AG7" s="82"/>
      <c r="AH7" s="82"/>
    </row>
    <row r="8" spans="1:34" x14ac:dyDescent="0.3">
      <c r="P8" s="10" t="s">
        <v>149</v>
      </c>
      <c r="U8" s="11">
        <v>15</v>
      </c>
      <c r="Y8" s="76"/>
      <c r="Z8" s="1">
        <v>12</v>
      </c>
      <c r="AB8" s="1">
        <v>10</v>
      </c>
      <c r="AF8" s="1">
        <v>10000</v>
      </c>
    </row>
    <row r="9" spans="1:34" x14ac:dyDescent="0.3">
      <c r="P9" s="74" t="s">
        <v>148</v>
      </c>
      <c r="Q9" s="74"/>
      <c r="R9" s="74"/>
      <c r="S9" s="74"/>
      <c r="T9" s="74"/>
      <c r="U9" s="74"/>
      <c r="V9" s="74">
        <f>15/100</f>
        <v>0.15</v>
      </c>
      <c r="W9" s="74"/>
      <c r="X9" s="74"/>
      <c r="Y9" s="158"/>
      <c r="Z9" s="82">
        <v>12</v>
      </c>
      <c r="AA9" s="74"/>
      <c r="AB9" s="82">
        <v>12</v>
      </c>
      <c r="AC9" s="74"/>
      <c r="AD9" s="74"/>
      <c r="AE9" s="74"/>
      <c r="AF9" s="82">
        <v>15000</v>
      </c>
      <c r="AG9" s="74"/>
      <c r="AH9" s="74"/>
    </row>
    <row r="12" spans="1:34" x14ac:dyDescent="0.3">
      <c r="P12" s="10" t="s">
        <v>261</v>
      </c>
      <c r="S12" s="10" t="s">
        <v>70</v>
      </c>
      <c r="T12" s="159">
        <v>0.05</v>
      </c>
    </row>
    <row r="13" spans="1:34" x14ac:dyDescent="0.3">
      <c r="P13" s="10" t="s">
        <v>262</v>
      </c>
      <c r="S13" s="10" t="s">
        <v>70</v>
      </c>
      <c r="T13" s="159">
        <v>0.05</v>
      </c>
    </row>
    <row r="14" spans="1:34" x14ac:dyDescent="0.3">
      <c r="P14" s="10" t="s">
        <v>263</v>
      </c>
      <c r="S14" s="10" t="s">
        <v>70</v>
      </c>
      <c r="T14" s="157">
        <v>10</v>
      </c>
    </row>
    <row r="15" spans="1:34" x14ac:dyDescent="0.3">
      <c r="P15" s="10" t="s">
        <v>264</v>
      </c>
      <c r="S15" s="10" t="s">
        <v>171</v>
      </c>
      <c r="T15" s="160">
        <v>0</v>
      </c>
    </row>
    <row r="20" spans="1:35" x14ac:dyDescent="0.3">
      <c r="I20" s="11" t="s">
        <v>112</v>
      </c>
      <c r="J20" s="11" t="s">
        <v>260</v>
      </c>
      <c r="K20" s="11" t="s">
        <v>149</v>
      </c>
      <c r="L20" s="11" t="s">
        <v>148</v>
      </c>
      <c r="N20" s="10" t="s">
        <v>44</v>
      </c>
    </row>
    <row r="21" spans="1:35" x14ac:dyDescent="0.3">
      <c r="E21" s="11" t="s">
        <v>36</v>
      </c>
      <c r="F21" s="11" t="s">
        <v>5</v>
      </c>
      <c r="G21" s="11" t="s">
        <v>6</v>
      </c>
      <c r="H21" s="11" t="s">
        <v>7</v>
      </c>
      <c r="I21" s="11" t="s">
        <v>265</v>
      </c>
      <c r="J21" s="11" t="s">
        <v>266</v>
      </c>
      <c r="K21" s="11" t="s">
        <v>37</v>
      </c>
      <c r="L21" s="11" t="s">
        <v>38</v>
      </c>
      <c r="N21" s="11" t="s">
        <v>267</v>
      </c>
      <c r="P21" s="11" t="s">
        <v>139</v>
      </c>
      <c r="Q21" s="11" t="s">
        <v>140</v>
      </c>
      <c r="R21" s="11" t="s">
        <v>141</v>
      </c>
      <c r="S21" s="11" t="s">
        <v>142</v>
      </c>
      <c r="T21" s="11" t="s">
        <v>143</v>
      </c>
      <c r="U21" s="11" t="s">
        <v>268</v>
      </c>
      <c r="V21" s="11" t="s">
        <v>269</v>
      </c>
      <c r="W21" s="11" t="s">
        <v>270</v>
      </c>
      <c r="X21" s="11" t="s">
        <v>271</v>
      </c>
      <c r="Y21" s="11" t="s">
        <v>272</v>
      </c>
      <c r="Z21" s="11" t="s">
        <v>273</v>
      </c>
      <c r="AA21" s="11" t="s">
        <v>274</v>
      </c>
      <c r="AB21" s="11" t="s">
        <v>275</v>
      </c>
      <c r="AC21" s="11" t="s">
        <v>276</v>
      </c>
      <c r="AD21" s="11" t="s">
        <v>277</v>
      </c>
      <c r="AE21" s="11" t="s">
        <v>278</v>
      </c>
      <c r="AF21" s="11" t="s">
        <v>279</v>
      </c>
      <c r="AG21" s="11" t="s">
        <v>280</v>
      </c>
      <c r="AH21" s="11" t="s">
        <v>281</v>
      </c>
      <c r="AI21" s="11" t="s">
        <v>282</v>
      </c>
    </row>
    <row r="22" spans="1:35" x14ac:dyDescent="0.3">
      <c r="E22" s="11" t="s">
        <v>60</v>
      </c>
      <c r="F22" s="11" t="s">
        <v>60</v>
      </c>
      <c r="G22" s="11" t="s">
        <v>283</v>
      </c>
      <c r="H22" s="11" t="s">
        <v>60</v>
      </c>
      <c r="I22" s="11" t="s">
        <v>60</v>
      </c>
      <c r="J22" s="11" t="s">
        <v>60</v>
      </c>
      <c r="K22" s="11" t="s">
        <v>283</v>
      </c>
      <c r="L22" s="11" t="s">
        <v>283</v>
      </c>
      <c r="N22" s="11" t="s">
        <v>67</v>
      </c>
      <c r="P22" s="11"/>
    </row>
    <row r="23" spans="1:35" x14ac:dyDescent="0.3">
      <c r="E23" s="10" t="s">
        <v>2</v>
      </c>
      <c r="F23" s="11"/>
      <c r="G23" s="11"/>
      <c r="H23" s="11"/>
      <c r="I23" s="11"/>
      <c r="J23" s="11"/>
      <c r="K23" s="11"/>
      <c r="L23" s="11"/>
      <c r="P23" s="76" t="s">
        <v>284</v>
      </c>
      <c r="Q23" s="11"/>
    </row>
    <row r="24" spans="1:35" x14ac:dyDescent="0.3">
      <c r="A24" s="10" t="s">
        <v>14</v>
      </c>
      <c r="B24" s="10" t="s">
        <v>82</v>
      </c>
      <c r="C24" s="10" t="s">
        <v>36</v>
      </c>
      <c r="D24" s="10" t="s">
        <v>60</v>
      </c>
      <c r="E24" s="59">
        <v>0</v>
      </c>
      <c r="F24" s="22">
        <v>0</v>
      </c>
      <c r="G24" s="22">
        <v>0</v>
      </c>
      <c r="H24" s="54">
        <v>0</v>
      </c>
      <c r="I24" s="54">
        <f>1/W6</f>
        <v>2.5</v>
      </c>
      <c r="J24" s="54">
        <v>0</v>
      </c>
      <c r="K24" s="54">
        <f>R5*S5/U8/3600*1000</f>
        <v>0.58333333333333326</v>
      </c>
      <c r="L24" s="60">
        <v>0</v>
      </c>
      <c r="N24" s="146">
        <f>AH5/S5/R5*3600/1000</f>
        <v>0.26742857142857146</v>
      </c>
      <c r="P24" s="148">
        <v>0</v>
      </c>
      <c r="Q24" s="144">
        <f>P24*(1+$T$13)</f>
        <v>0</v>
      </c>
      <c r="R24" s="144">
        <f t="shared" ref="R24:AI26" si="0">Q24*(1+$T$13)</f>
        <v>0</v>
      </c>
      <c r="S24" s="144">
        <f t="shared" si="0"/>
        <v>0</v>
      </c>
      <c r="T24" s="144">
        <f t="shared" si="0"/>
        <v>0</v>
      </c>
      <c r="U24" s="144">
        <f t="shared" si="0"/>
        <v>0</v>
      </c>
      <c r="V24" s="144">
        <f t="shared" si="0"/>
        <v>0</v>
      </c>
      <c r="W24" s="144">
        <f t="shared" si="0"/>
        <v>0</v>
      </c>
      <c r="X24" s="144">
        <f t="shared" si="0"/>
        <v>0</v>
      </c>
      <c r="Y24" s="144">
        <f t="shared" si="0"/>
        <v>0</v>
      </c>
      <c r="Z24" s="144">
        <f t="shared" si="0"/>
        <v>0</v>
      </c>
      <c r="AA24" s="144">
        <f t="shared" si="0"/>
        <v>0</v>
      </c>
      <c r="AB24" s="144">
        <f t="shared" si="0"/>
        <v>0</v>
      </c>
      <c r="AC24" s="144">
        <f t="shared" si="0"/>
        <v>0</v>
      </c>
      <c r="AD24" s="144">
        <f t="shared" si="0"/>
        <v>0</v>
      </c>
      <c r="AE24" s="144">
        <f t="shared" si="0"/>
        <v>0</v>
      </c>
      <c r="AF24" s="144">
        <f t="shared" si="0"/>
        <v>0</v>
      </c>
      <c r="AG24" s="144">
        <f t="shared" si="0"/>
        <v>0</v>
      </c>
      <c r="AH24" s="144">
        <f t="shared" si="0"/>
        <v>0</v>
      </c>
      <c r="AI24" s="145">
        <f t="shared" si="0"/>
        <v>0</v>
      </c>
    </row>
    <row r="25" spans="1:35" x14ac:dyDescent="0.3">
      <c r="B25" s="10" t="s">
        <v>17</v>
      </c>
      <c r="C25" s="10" t="s">
        <v>5</v>
      </c>
      <c r="D25" s="10" t="s">
        <v>60</v>
      </c>
      <c r="E25" s="68">
        <v>0</v>
      </c>
      <c r="F25" s="10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62">
        <f>V9</f>
        <v>0.15</v>
      </c>
      <c r="N25" s="147">
        <v>0</v>
      </c>
      <c r="P25" s="149">
        <v>25</v>
      </c>
      <c r="Q25" s="3">
        <f t="shared" ref="Q25:Q26" si="1">P25*(1+$T$13)</f>
        <v>26.25</v>
      </c>
      <c r="R25" s="3">
        <f t="shared" si="0"/>
        <v>27.5625</v>
      </c>
      <c r="S25" s="3">
        <f t="shared" si="0"/>
        <v>28.940625000000001</v>
      </c>
      <c r="T25" s="3">
        <f t="shared" si="0"/>
        <v>30.387656250000003</v>
      </c>
      <c r="U25" s="3">
        <f t="shared" si="0"/>
        <v>31.907039062500004</v>
      </c>
      <c r="V25" s="3">
        <f t="shared" si="0"/>
        <v>33.502391015625008</v>
      </c>
      <c r="W25" s="3">
        <f t="shared" si="0"/>
        <v>35.177510566406262</v>
      </c>
      <c r="X25" s="3">
        <f t="shared" si="0"/>
        <v>36.936386094726579</v>
      </c>
      <c r="Y25" s="3">
        <f t="shared" si="0"/>
        <v>38.783205399462908</v>
      </c>
      <c r="Z25" s="3">
        <f t="shared" si="0"/>
        <v>40.722365669436051</v>
      </c>
      <c r="AA25" s="3">
        <f t="shared" si="0"/>
        <v>42.758483952907859</v>
      </c>
      <c r="AB25" s="3">
        <f t="shared" si="0"/>
        <v>44.896408150553256</v>
      </c>
      <c r="AC25" s="3">
        <f t="shared" si="0"/>
        <v>47.141228558080918</v>
      </c>
      <c r="AD25" s="3">
        <f t="shared" si="0"/>
        <v>49.498289985984968</v>
      </c>
      <c r="AE25" s="3">
        <f t="shared" si="0"/>
        <v>51.973204485284221</v>
      </c>
      <c r="AF25" s="3">
        <f t="shared" si="0"/>
        <v>54.571864709548436</v>
      </c>
      <c r="AG25" s="3">
        <f t="shared" si="0"/>
        <v>57.300457945025862</v>
      </c>
      <c r="AH25" s="3">
        <f t="shared" si="0"/>
        <v>60.165480842277155</v>
      </c>
      <c r="AI25" s="150">
        <f t="shared" si="0"/>
        <v>63.173754884391016</v>
      </c>
    </row>
    <row r="26" spans="1:35" x14ac:dyDescent="0.3">
      <c r="B26" s="10" t="s">
        <v>146</v>
      </c>
      <c r="C26" s="10" t="s">
        <v>6</v>
      </c>
      <c r="D26" s="10" t="s">
        <v>283</v>
      </c>
      <c r="E26" s="68">
        <v>0</v>
      </c>
      <c r="F26" s="10">
        <v>0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62">
        <v>0</v>
      </c>
      <c r="N26" s="147">
        <v>0</v>
      </c>
      <c r="P26" s="149">
        <v>150</v>
      </c>
      <c r="Q26" s="3">
        <f t="shared" si="1"/>
        <v>157.5</v>
      </c>
      <c r="R26" s="3">
        <f t="shared" si="0"/>
        <v>165.375</v>
      </c>
      <c r="S26" s="3">
        <f t="shared" si="0"/>
        <v>173.64375000000001</v>
      </c>
      <c r="T26" s="3">
        <f t="shared" si="0"/>
        <v>182.32593750000001</v>
      </c>
      <c r="U26" s="3">
        <f t="shared" si="0"/>
        <v>191.44223437500003</v>
      </c>
      <c r="V26" s="3">
        <f t="shared" si="0"/>
        <v>201.01434609375005</v>
      </c>
      <c r="W26" s="3">
        <f t="shared" si="0"/>
        <v>211.06506339843756</v>
      </c>
      <c r="X26" s="3">
        <f t="shared" si="0"/>
        <v>221.61831656835943</v>
      </c>
      <c r="Y26" s="3">
        <f t="shared" si="0"/>
        <v>232.6992323967774</v>
      </c>
      <c r="Z26" s="3">
        <f t="shared" si="0"/>
        <v>244.33419401661629</v>
      </c>
      <c r="AA26" s="3">
        <f t="shared" si="0"/>
        <v>256.55090371744711</v>
      </c>
      <c r="AB26" s="3">
        <f t="shared" si="0"/>
        <v>269.37844890331951</v>
      </c>
      <c r="AC26" s="3">
        <f t="shared" si="0"/>
        <v>282.84737134848552</v>
      </c>
      <c r="AD26" s="3">
        <f t="shared" si="0"/>
        <v>296.98973991590981</v>
      </c>
      <c r="AE26" s="3">
        <f t="shared" si="0"/>
        <v>311.83922691170534</v>
      </c>
      <c r="AF26" s="3">
        <f t="shared" si="0"/>
        <v>327.43118825729061</v>
      </c>
      <c r="AG26" s="3">
        <f t="shared" si="0"/>
        <v>343.80274767015516</v>
      </c>
      <c r="AH26" s="3">
        <f t="shared" si="0"/>
        <v>360.99288505366292</v>
      </c>
      <c r="AI26" s="150">
        <f t="shared" si="0"/>
        <v>379.04252930634607</v>
      </c>
    </row>
    <row r="27" spans="1:35" x14ac:dyDescent="0.3">
      <c r="A27" s="10" t="s">
        <v>285</v>
      </c>
      <c r="B27" s="10" t="s">
        <v>147</v>
      </c>
      <c r="C27" s="10" t="s">
        <v>7</v>
      </c>
      <c r="D27" s="10" t="s">
        <v>60</v>
      </c>
      <c r="E27" s="61">
        <v>1</v>
      </c>
      <c r="F27" s="9">
        <v>0</v>
      </c>
      <c r="G27" s="9">
        <v>0</v>
      </c>
      <c r="H27" s="10">
        <v>0</v>
      </c>
      <c r="I27" s="10">
        <v>0</v>
      </c>
      <c r="J27" s="10">
        <v>0</v>
      </c>
      <c r="K27" s="10">
        <v>0</v>
      </c>
      <c r="L27" s="69">
        <v>0</v>
      </c>
      <c r="N27" s="161">
        <v>0</v>
      </c>
      <c r="P27" s="162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63">
        <v>0</v>
      </c>
    </row>
    <row r="28" spans="1:35" x14ac:dyDescent="0.3">
      <c r="B28" s="10" t="s">
        <v>286</v>
      </c>
      <c r="C28" s="10" t="s">
        <v>8</v>
      </c>
      <c r="D28" s="10" t="s">
        <v>60</v>
      </c>
      <c r="E28" s="61">
        <v>0</v>
      </c>
      <c r="F28" s="9">
        <v>1</v>
      </c>
      <c r="G28" s="9">
        <v>0</v>
      </c>
      <c r="H28" s="10">
        <v>0</v>
      </c>
      <c r="I28" s="10">
        <v>0</v>
      </c>
      <c r="J28" s="10">
        <v>0</v>
      </c>
      <c r="K28" s="10">
        <v>0</v>
      </c>
      <c r="L28" s="69">
        <v>0</v>
      </c>
      <c r="N28" s="161">
        <v>0</v>
      </c>
      <c r="P28" s="162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63">
        <v>0</v>
      </c>
    </row>
    <row r="29" spans="1:35" x14ac:dyDescent="0.3">
      <c r="B29" s="10" t="s">
        <v>146</v>
      </c>
      <c r="C29" s="10" t="s">
        <v>9</v>
      </c>
      <c r="D29" s="10" t="s">
        <v>283</v>
      </c>
      <c r="E29" s="63">
        <v>0</v>
      </c>
      <c r="F29" s="64">
        <v>0</v>
      </c>
      <c r="G29" s="64">
        <v>1</v>
      </c>
      <c r="H29" s="71">
        <v>0</v>
      </c>
      <c r="I29" s="71">
        <v>0</v>
      </c>
      <c r="J29" s="71">
        <v>0</v>
      </c>
      <c r="K29" s="71">
        <v>0</v>
      </c>
      <c r="L29" s="65">
        <v>0</v>
      </c>
      <c r="N29" s="164">
        <v>0</v>
      </c>
      <c r="P29" s="165">
        <v>0</v>
      </c>
      <c r="Q29" s="166">
        <v>0</v>
      </c>
      <c r="R29" s="166">
        <v>0</v>
      </c>
      <c r="S29" s="166">
        <v>0</v>
      </c>
      <c r="T29" s="166">
        <v>0</v>
      </c>
      <c r="U29" s="166">
        <v>0</v>
      </c>
      <c r="V29" s="166">
        <v>0</v>
      </c>
      <c r="W29" s="166">
        <v>0</v>
      </c>
      <c r="X29" s="166">
        <v>0</v>
      </c>
      <c r="Y29" s="166">
        <v>0</v>
      </c>
      <c r="Z29" s="166">
        <v>0</v>
      </c>
      <c r="AA29" s="166">
        <v>0</v>
      </c>
      <c r="AB29" s="166">
        <v>0</v>
      </c>
      <c r="AC29" s="166">
        <v>0</v>
      </c>
      <c r="AD29" s="166">
        <v>0</v>
      </c>
      <c r="AE29" s="166">
        <v>0</v>
      </c>
      <c r="AF29" s="166">
        <v>0</v>
      </c>
      <c r="AG29" s="166">
        <v>0</v>
      </c>
      <c r="AH29" s="166">
        <v>0</v>
      </c>
      <c r="AI29" s="167">
        <v>0</v>
      </c>
    </row>
    <row r="31" spans="1:35" x14ac:dyDescent="0.3">
      <c r="E31" s="10" t="s">
        <v>91</v>
      </c>
      <c r="N31" s="11"/>
      <c r="P31" s="10" t="s">
        <v>11</v>
      </c>
    </row>
    <row r="32" spans="1:35" x14ac:dyDescent="0.3">
      <c r="A32" s="10" t="s">
        <v>14</v>
      </c>
      <c r="B32" s="10" t="s">
        <v>287</v>
      </c>
      <c r="C32" s="10" t="s">
        <v>45</v>
      </c>
      <c r="D32" s="10" t="s">
        <v>121</v>
      </c>
      <c r="E32" s="59">
        <v>0</v>
      </c>
      <c r="F32" s="22">
        <v>0</v>
      </c>
      <c r="G32" s="22">
        <v>0</v>
      </c>
      <c r="H32" s="54">
        <f>AD5/S5/R5*3600/1000</f>
        <v>0.17142857142857143</v>
      </c>
      <c r="I32" s="54">
        <v>0</v>
      </c>
      <c r="J32" s="54">
        <v>0</v>
      </c>
      <c r="K32" s="54">
        <v>0</v>
      </c>
      <c r="L32" s="60">
        <v>0</v>
      </c>
      <c r="N32" s="12"/>
      <c r="P32" s="108">
        <f t="array" ref="P32:AI37">MMULT(E42:L47-E24:L29,TRANSPOSE(E53:L72))</f>
        <v>1.4210854715202004E-14</v>
      </c>
      <c r="Q32" s="3">
        <v>-1.8474111129762605E-13</v>
      </c>
      <c r="R32" s="3">
        <v>-2.1316282072803006E-13</v>
      </c>
      <c r="S32" s="3">
        <v>-2.1316282072803006E-13</v>
      </c>
      <c r="T32" s="3">
        <v>-1.9895196601282805E-13</v>
      </c>
      <c r="U32" s="3">
        <v>-2.1316282072803006E-13</v>
      </c>
      <c r="V32" s="3">
        <v>-2.4158453015843406E-13</v>
      </c>
      <c r="W32" s="3">
        <v>-2.5579538487363607E-13</v>
      </c>
      <c r="X32" s="3">
        <v>-2.5579538487363607E-13</v>
      </c>
      <c r="Y32" s="3">
        <v>-2.5579538487363607E-13</v>
      </c>
      <c r="Z32" s="3">
        <v>-2.8421709430404007E-13</v>
      </c>
      <c r="AA32" s="3">
        <v>-3.4106051316484809E-13</v>
      </c>
      <c r="AB32" s="3">
        <v>-3.1263880373444408E-13</v>
      </c>
      <c r="AC32" s="3">
        <v>-3.694822225952521E-13</v>
      </c>
      <c r="AD32" s="3">
        <v>-3.979039320256561E-13</v>
      </c>
      <c r="AE32" s="3">
        <v>-3.4106051316484809E-13</v>
      </c>
      <c r="AF32" s="3">
        <v>-3.979039320256561E-13</v>
      </c>
      <c r="AG32" s="3">
        <v>-3.979039320256561E-13</v>
      </c>
      <c r="AH32" s="3">
        <v>-4.8316906031686813E-13</v>
      </c>
      <c r="AI32" s="3">
        <v>-4.8316906031686813E-13</v>
      </c>
    </row>
    <row r="33" spans="1:35" x14ac:dyDescent="0.3">
      <c r="B33" s="10" t="s">
        <v>288</v>
      </c>
      <c r="C33" s="10" t="s">
        <v>46</v>
      </c>
      <c r="D33" s="10" t="s">
        <v>121</v>
      </c>
      <c r="E33" s="70">
        <v>0</v>
      </c>
      <c r="F33" s="71">
        <v>0</v>
      </c>
      <c r="G33" s="71">
        <v>0</v>
      </c>
      <c r="H33" s="64">
        <v>0</v>
      </c>
      <c r="I33" s="142">
        <f>AE6</f>
        <v>600</v>
      </c>
      <c r="J33" s="142">
        <f>AE7</f>
        <v>1500</v>
      </c>
      <c r="K33" s="142">
        <f>AF8</f>
        <v>10000</v>
      </c>
      <c r="L33" s="143">
        <f>AF9</f>
        <v>15000</v>
      </c>
      <c r="P33" s="108">
        <v>25</v>
      </c>
      <c r="Q33" s="3">
        <v>26.25</v>
      </c>
      <c r="R33" s="3">
        <v>27.5625</v>
      </c>
      <c r="S33" s="3">
        <v>28.940625000000001</v>
      </c>
      <c r="T33" s="3">
        <v>30.387656249999999</v>
      </c>
      <c r="U33" s="3">
        <v>31.907039062500001</v>
      </c>
      <c r="V33" s="3">
        <v>33.502391015625001</v>
      </c>
      <c r="W33" s="3">
        <v>35.177510566406298</v>
      </c>
      <c r="X33" s="3">
        <v>36.936386094726601</v>
      </c>
      <c r="Y33" s="3">
        <v>38.783205399462901</v>
      </c>
      <c r="Z33" s="3">
        <v>40.722365669436101</v>
      </c>
      <c r="AA33" s="3">
        <v>42.758483952907902</v>
      </c>
      <c r="AB33" s="3">
        <v>44.896408150553299</v>
      </c>
      <c r="AC33" s="3">
        <v>47.141228558080897</v>
      </c>
      <c r="AD33" s="3">
        <v>49.498289985984997</v>
      </c>
      <c r="AE33" s="3">
        <v>51.973204485284199</v>
      </c>
      <c r="AF33" s="3">
        <v>54.5718647095484</v>
      </c>
      <c r="AG33" s="3">
        <v>57.300457945025897</v>
      </c>
      <c r="AH33" s="3">
        <v>60.165480842277198</v>
      </c>
      <c r="AI33" s="3">
        <v>63.173754884391002</v>
      </c>
    </row>
    <row r="34" spans="1:35" x14ac:dyDescent="0.3">
      <c r="P34" s="108">
        <v>150</v>
      </c>
      <c r="Q34" s="3">
        <v>157.5</v>
      </c>
      <c r="R34" s="3">
        <v>165.375</v>
      </c>
      <c r="S34" s="3">
        <v>173.64375000000001</v>
      </c>
      <c r="T34" s="3">
        <v>182.32593750000001</v>
      </c>
      <c r="U34" s="3">
        <v>191.442234375</v>
      </c>
      <c r="V34" s="3">
        <v>201.01434609374999</v>
      </c>
      <c r="W34" s="3">
        <v>211.06506339843801</v>
      </c>
      <c r="X34" s="3">
        <v>221.61831656835901</v>
      </c>
      <c r="Y34" s="3">
        <v>232.69923239677701</v>
      </c>
      <c r="Z34" s="3">
        <v>244.33419401661601</v>
      </c>
      <c r="AA34" s="3">
        <v>256.550903717447</v>
      </c>
      <c r="AB34" s="3">
        <v>269.37844890332002</v>
      </c>
      <c r="AC34" s="3">
        <v>282.84737134848598</v>
      </c>
      <c r="AD34" s="3">
        <v>296.98973991590998</v>
      </c>
      <c r="AE34" s="3">
        <v>311.839226911705</v>
      </c>
      <c r="AF34" s="3">
        <v>327.43118825729101</v>
      </c>
      <c r="AG34" s="3">
        <v>343.80274767015499</v>
      </c>
      <c r="AH34" s="3">
        <v>360.99288505366297</v>
      </c>
      <c r="AI34" s="3">
        <v>379.04252930634601</v>
      </c>
    </row>
    <row r="35" spans="1:35" x14ac:dyDescent="0.3">
      <c r="E35" s="10" t="s">
        <v>289</v>
      </c>
      <c r="I35" s="11"/>
      <c r="J35" s="11"/>
      <c r="K35" s="11"/>
      <c r="L35" s="11"/>
      <c r="P35" s="1">
        <v>-1.9895196601282805E-13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">
      <c r="A36" s="10" t="s">
        <v>290</v>
      </c>
      <c r="B36" s="10" t="s">
        <v>224</v>
      </c>
      <c r="C36" s="10" t="s">
        <v>223</v>
      </c>
      <c r="E36" s="59">
        <v>0</v>
      </c>
      <c r="F36" s="22">
        <v>0</v>
      </c>
      <c r="G36" s="22">
        <v>0</v>
      </c>
      <c r="H36" s="54">
        <v>0</v>
      </c>
      <c r="I36" s="54">
        <f>Y6</f>
        <v>0.9</v>
      </c>
      <c r="J36" s="54">
        <f>Y7</f>
        <v>0.4</v>
      </c>
      <c r="K36" s="144">
        <f>Z8</f>
        <v>12</v>
      </c>
      <c r="L36" s="145">
        <f>Z9</f>
        <v>12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">
      <c r="B37" s="10" t="s">
        <v>249</v>
      </c>
      <c r="C37" s="10" t="s">
        <v>223</v>
      </c>
      <c r="D37" s="10" t="s">
        <v>256</v>
      </c>
      <c r="E37" s="70">
        <v>0</v>
      </c>
      <c r="F37" s="71">
        <v>0</v>
      </c>
      <c r="G37" s="71">
        <v>0</v>
      </c>
      <c r="H37" s="64">
        <v>0</v>
      </c>
      <c r="I37" s="142">
        <f>AB6</f>
        <v>15</v>
      </c>
      <c r="J37" s="142">
        <f>AB7</f>
        <v>20</v>
      </c>
      <c r="K37" s="142">
        <f>AB8</f>
        <v>10</v>
      </c>
      <c r="L37" s="143">
        <f>AB9</f>
        <v>12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41" spans="1:35" x14ac:dyDescent="0.3">
      <c r="E41" s="10" t="s">
        <v>291</v>
      </c>
    </row>
    <row r="42" spans="1:35" x14ac:dyDescent="0.3">
      <c r="C42" s="10" t="s">
        <v>36</v>
      </c>
      <c r="E42" s="59">
        <v>1</v>
      </c>
      <c r="F42" s="22">
        <v>0</v>
      </c>
      <c r="G42" s="22">
        <v>0</v>
      </c>
      <c r="H42" s="54">
        <v>0</v>
      </c>
      <c r="I42" s="54">
        <v>0</v>
      </c>
      <c r="J42" s="54">
        <v>0</v>
      </c>
      <c r="K42" s="54">
        <v>0</v>
      </c>
      <c r="L42" s="60">
        <v>0</v>
      </c>
    </row>
    <row r="43" spans="1:35" x14ac:dyDescent="0.3">
      <c r="C43" s="10" t="s">
        <v>5</v>
      </c>
      <c r="E43" s="68">
        <v>0</v>
      </c>
      <c r="F43" s="10">
        <v>1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62">
        <v>0</v>
      </c>
    </row>
    <row r="44" spans="1:35" x14ac:dyDescent="0.3">
      <c r="C44" s="10" t="s">
        <v>6</v>
      </c>
      <c r="E44" s="68">
        <v>0</v>
      </c>
      <c r="F44" s="10">
        <v>0</v>
      </c>
      <c r="G44" s="10">
        <v>1</v>
      </c>
      <c r="H44" s="9">
        <v>0</v>
      </c>
      <c r="I44" s="9">
        <v>0</v>
      </c>
      <c r="J44" s="9">
        <v>0</v>
      </c>
      <c r="K44" s="9">
        <v>0</v>
      </c>
      <c r="L44" s="62">
        <v>0</v>
      </c>
    </row>
    <row r="45" spans="1:35" x14ac:dyDescent="0.3">
      <c r="C45" s="10" t="s">
        <v>7</v>
      </c>
      <c r="E45" s="61">
        <v>0</v>
      </c>
      <c r="F45" s="9">
        <v>0</v>
      </c>
      <c r="G45" s="9">
        <v>0</v>
      </c>
      <c r="H45" s="10">
        <v>1</v>
      </c>
      <c r="I45" s="10">
        <v>0</v>
      </c>
      <c r="J45" s="10">
        <v>0</v>
      </c>
      <c r="K45" s="10">
        <v>0</v>
      </c>
      <c r="L45" s="69">
        <v>0</v>
      </c>
    </row>
    <row r="46" spans="1:35" x14ac:dyDescent="0.3">
      <c r="C46" s="10" t="s">
        <v>8</v>
      </c>
      <c r="E46" s="61">
        <v>0</v>
      </c>
      <c r="F46" s="9">
        <v>0</v>
      </c>
      <c r="G46" s="9">
        <v>0</v>
      </c>
      <c r="H46" s="10">
        <v>0</v>
      </c>
      <c r="I46" s="10">
        <v>1</v>
      </c>
      <c r="J46" s="10">
        <v>1</v>
      </c>
      <c r="K46" s="10">
        <v>0</v>
      </c>
      <c r="L46" s="69">
        <v>0</v>
      </c>
    </row>
    <row r="47" spans="1:35" x14ac:dyDescent="0.3">
      <c r="C47" s="10" t="s">
        <v>9</v>
      </c>
      <c r="E47" s="63">
        <v>0</v>
      </c>
      <c r="F47" s="64">
        <v>0</v>
      </c>
      <c r="G47" s="64">
        <v>0</v>
      </c>
      <c r="H47" s="71">
        <v>0</v>
      </c>
      <c r="I47" s="71">
        <v>0</v>
      </c>
      <c r="J47" s="71">
        <v>0</v>
      </c>
      <c r="K47" s="71">
        <v>1</v>
      </c>
      <c r="L47" s="65">
        <v>1</v>
      </c>
    </row>
    <row r="50" spans="2:48" x14ac:dyDescent="0.3">
      <c r="E50" s="10" t="s">
        <v>292</v>
      </c>
      <c r="AC50" s="10" t="s">
        <v>293</v>
      </c>
      <c r="AJ50" s="10" t="s">
        <v>294</v>
      </c>
      <c r="AS50" s="10" t="s">
        <v>151</v>
      </c>
      <c r="AU50" s="10" t="s">
        <v>102</v>
      </c>
      <c r="AV50" s="10" t="s">
        <v>295</v>
      </c>
    </row>
    <row r="51" spans="2:48" x14ac:dyDescent="0.3">
      <c r="I51" s="11" t="s">
        <v>112</v>
      </c>
      <c r="J51" s="11" t="s">
        <v>260</v>
      </c>
      <c r="K51" s="11" t="s">
        <v>149</v>
      </c>
      <c r="L51" s="11" t="s">
        <v>148</v>
      </c>
      <c r="N51" s="10" t="s">
        <v>296</v>
      </c>
      <c r="O51" s="10" t="s">
        <v>297</v>
      </c>
      <c r="AC51" s="11" t="s">
        <v>112</v>
      </c>
      <c r="AD51" s="11" t="s">
        <v>260</v>
      </c>
      <c r="AE51" s="11" t="s">
        <v>149</v>
      </c>
      <c r="AF51" s="11" t="s">
        <v>148</v>
      </c>
      <c r="AN51" s="11" t="s">
        <v>112</v>
      </c>
      <c r="AO51" s="11" t="s">
        <v>260</v>
      </c>
      <c r="AP51" s="11" t="s">
        <v>149</v>
      </c>
      <c r="AQ51" s="11" t="s">
        <v>148</v>
      </c>
    </row>
    <row r="52" spans="2:48" x14ac:dyDescent="0.3">
      <c r="E52" s="11" t="s">
        <v>36</v>
      </c>
      <c r="F52" s="11" t="s">
        <v>5</v>
      </c>
      <c r="G52" s="11" t="s">
        <v>6</v>
      </c>
      <c r="H52" s="11" t="s">
        <v>7</v>
      </c>
      <c r="I52" s="11" t="s">
        <v>265</v>
      </c>
      <c r="J52" s="11" t="s">
        <v>266</v>
      </c>
      <c r="K52" s="11" t="s">
        <v>37</v>
      </c>
      <c r="L52" s="11" t="s">
        <v>38</v>
      </c>
      <c r="AC52" s="11" t="s">
        <v>265</v>
      </c>
      <c r="AD52" s="11" t="s">
        <v>266</v>
      </c>
      <c r="AE52" s="11" t="s">
        <v>37</v>
      </c>
      <c r="AF52" s="11" t="s">
        <v>38</v>
      </c>
      <c r="AJ52" s="11" t="s">
        <v>36</v>
      </c>
      <c r="AK52" s="11" t="s">
        <v>5</v>
      </c>
      <c r="AL52" s="11" t="s">
        <v>6</v>
      </c>
      <c r="AM52" s="11" t="s">
        <v>7</v>
      </c>
      <c r="AN52" s="11" t="s">
        <v>265</v>
      </c>
      <c r="AO52" s="11" t="s">
        <v>266</v>
      </c>
      <c r="AP52" s="11" t="s">
        <v>37</v>
      </c>
      <c r="AQ52" s="11" t="s">
        <v>38</v>
      </c>
    </row>
    <row r="53" spans="2:48" x14ac:dyDescent="0.3">
      <c r="B53" s="10" t="s">
        <v>298</v>
      </c>
      <c r="C53" s="10" t="s">
        <v>139</v>
      </c>
      <c r="E53" s="168">
        <v>150</v>
      </c>
      <c r="F53" s="169">
        <v>25</v>
      </c>
      <c r="G53" s="169">
        <v>150</v>
      </c>
      <c r="H53" s="169">
        <v>149.9999999999998</v>
      </c>
      <c r="I53" s="169">
        <v>25</v>
      </c>
      <c r="J53" s="169">
        <v>0</v>
      </c>
      <c r="K53" s="169">
        <v>150</v>
      </c>
      <c r="L53" s="170">
        <v>0</v>
      </c>
      <c r="N53" s="171">
        <f t="array" ref="N53:N72">MMULT(E53:L72,MMULT(TRANSPOSE(E42:L47),N24:N29))</f>
        <v>40.114285714285721</v>
      </c>
      <c r="O53" s="172">
        <f>N53</f>
        <v>40.114285714285721</v>
      </c>
      <c r="AC53" s="171">
        <f t="array" ref="AC53:AD72">AC79:AD98*$I$36:$J$36</f>
        <v>25.000000000000028</v>
      </c>
      <c r="AD53" s="173">
        <v>0</v>
      </c>
      <c r="AE53" s="173">
        <f t="array" ref="AE53:AF72">AE79:AF98*$K$36:$L$36</f>
        <v>150</v>
      </c>
      <c r="AF53" s="172">
        <v>0</v>
      </c>
      <c r="AJ53" s="171">
        <f t="array" ref="AJ53:AQ53">MMULT($E$32:$L$32,E53:L53*_xlfn.MUNIT(8))</f>
        <v>0</v>
      </c>
      <c r="AK53" s="173">
        <v>0</v>
      </c>
      <c r="AL53" s="173">
        <v>0</v>
      </c>
      <c r="AM53" s="173">
        <v>25.71428571428568</v>
      </c>
      <c r="AN53" s="173">
        <v>0</v>
      </c>
      <c r="AO53" s="173">
        <v>0</v>
      </c>
      <c r="AP53" s="173">
        <v>0</v>
      </c>
      <c r="AQ53" s="172">
        <v>0</v>
      </c>
      <c r="AS53" s="35">
        <f t="array" ref="AS53:AS72">MMULT(E53:L72,MMULT(TRANSPOSE(E42:L47),N24:N29))*$T$15</f>
        <v>0</v>
      </c>
      <c r="AU53" s="171">
        <f>SUM(AJ53:AQ53,AS53)</f>
        <v>25.71428571428568</v>
      </c>
      <c r="AV53" s="172">
        <f>1/(1+$T$12)^(COUNTA($C$53:C53)-1)*AU53</f>
        <v>25.71428571428568</v>
      </c>
    </row>
    <row r="54" spans="2:48" x14ac:dyDescent="0.3">
      <c r="C54" s="10" t="s">
        <v>140</v>
      </c>
      <c r="E54" s="174">
        <v>157.4999999999998</v>
      </c>
      <c r="F54" s="5">
        <v>26.25</v>
      </c>
      <c r="G54" s="5">
        <v>157.5</v>
      </c>
      <c r="H54" s="5">
        <v>157.4999999999998</v>
      </c>
      <c r="I54" s="5">
        <v>26.25</v>
      </c>
      <c r="J54" s="5">
        <v>0</v>
      </c>
      <c r="K54" s="5">
        <v>157.5</v>
      </c>
      <c r="L54" s="175">
        <v>0</v>
      </c>
      <c r="N54" s="162">
        <v>42.119999999999955</v>
      </c>
      <c r="O54" s="163">
        <f t="shared" ref="O54:O71" si="2">O53-($O$53-$O$72)/COUNTA($C$53:$C$72)</f>
        <v>38.108571428571437</v>
      </c>
      <c r="AC54" s="162">
        <v>26.250000000000028</v>
      </c>
      <c r="AD54" s="1">
        <v>0</v>
      </c>
      <c r="AE54" s="1">
        <v>157.50000000000003</v>
      </c>
      <c r="AF54" s="163">
        <v>0</v>
      </c>
      <c r="AJ54" s="162">
        <f t="array" ref="AJ54:AQ54">MMULT($E$32:$L$32,E54:L54*_xlfn.MUNIT(8))</f>
        <v>0</v>
      </c>
      <c r="AK54" s="1">
        <v>0</v>
      </c>
      <c r="AL54" s="1">
        <v>0</v>
      </c>
      <c r="AM54" s="1">
        <v>26.999999999999964</v>
      </c>
      <c r="AN54" s="1">
        <v>0</v>
      </c>
      <c r="AO54" s="1">
        <v>0</v>
      </c>
      <c r="AP54" s="1">
        <v>0</v>
      </c>
      <c r="AQ54" s="163">
        <v>0</v>
      </c>
      <c r="AS54" s="36">
        <v>0</v>
      </c>
      <c r="AU54" s="162">
        <f t="shared" ref="AU54:AU72" si="3">SUM(AJ54:AQ54,AS54)</f>
        <v>26.999999999999964</v>
      </c>
      <c r="AV54" s="163">
        <f>1/(1+$T$12)^(COUNTA($C$53:C54)-1)*AU54</f>
        <v>25.71428571428568</v>
      </c>
    </row>
    <row r="55" spans="2:48" x14ac:dyDescent="0.3">
      <c r="C55" s="10" t="s">
        <v>141</v>
      </c>
      <c r="E55" s="174">
        <v>165.37499999999977</v>
      </c>
      <c r="F55" s="5">
        <v>27.5625</v>
      </c>
      <c r="G55" s="5">
        <v>165.375</v>
      </c>
      <c r="H55" s="5">
        <v>165.37499999999977</v>
      </c>
      <c r="I55" s="5">
        <v>27.5625</v>
      </c>
      <c r="J55" s="5">
        <v>0</v>
      </c>
      <c r="K55" s="5">
        <v>165.375</v>
      </c>
      <c r="L55" s="175">
        <v>0</v>
      </c>
      <c r="N55" s="162">
        <v>44.225999999999942</v>
      </c>
      <c r="O55" s="163">
        <f t="shared" si="2"/>
        <v>36.102857142857154</v>
      </c>
      <c r="AC55" s="162">
        <v>27.562499999999972</v>
      </c>
      <c r="AD55" s="1">
        <v>0</v>
      </c>
      <c r="AE55" s="1">
        <v>165.37500000000128</v>
      </c>
      <c r="AF55" s="163">
        <v>0</v>
      </c>
      <c r="AJ55" s="162">
        <f t="array" ref="AJ55:AQ55">MMULT($E$32:$L$32,E55:L55*_xlfn.MUNIT(8))</f>
        <v>0</v>
      </c>
      <c r="AK55" s="1">
        <v>0</v>
      </c>
      <c r="AL55" s="1">
        <v>0</v>
      </c>
      <c r="AM55" s="1">
        <v>28.349999999999962</v>
      </c>
      <c r="AN55" s="1">
        <v>0</v>
      </c>
      <c r="AO55" s="1">
        <v>0</v>
      </c>
      <c r="AP55" s="1">
        <v>0</v>
      </c>
      <c r="AQ55" s="163">
        <v>0</v>
      </c>
      <c r="AS55" s="36">
        <v>0</v>
      </c>
      <c r="AU55" s="162">
        <f t="shared" si="3"/>
        <v>28.349999999999962</v>
      </c>
      <c r="AV55" s="163">
        <f>1/(1+$T$12)^(COUNTA($C$53:C55)-1)*AU55</f>
        <v>25.71428571428568</v>
      </c>
    </row>
    <row r="56" spans="2:48" x14ac:dyDescent="0.3">
      <c r="C56" s="10" t="s">
        <v>142</v>
      </c>
      <c r="E56" s="174">
        <v>173.64374999999978</v>
      </c>
      <c r="F56" s="5">
        <v>28.940625000000001</v>
      </c>
      <c r="G56" s="5">
        <v>173.64375000000001</v>
      </c>
      <c r="H56" s="5">
        <v>173.64374999999978</v>
      </c>
      <c r="I56" s="5">
        <v>28.940625000000001</v>
      </c>
      <c r="J56" s="5">
        <v>0</v>
      </c>
      <c r="K56" s="5">
        <v>173.64375000000001</v>
      </c>
      <c r="L56" s="175">
        <v>0</v>
      </c>
      <c r="N56" s="162">
        <v>46.437299999999951</v>
      </c>
      <c r="O56" s="163">
        <f t="shared" si="2"/>
        <v>34.09714285714287</v>
      </c>
      <c r="AC56" s="162">
        <v>28.940624999999976</v>
      </c>
      <c r="AD56" s="1">
        <v>0</v>
      </c>
      <c r="AE56" s="1">
        <v>173.64375000000129</v>
      </c>
      <c r="AF56" s="163">
        <v>0</v>
      </c>
      <c r="AJ56" s="162">
        <f t="array" ref="AJ56:AQ56">MMULT($E$32:$L$32,E56:L56*_xlfn.MUNIT(8))</f>
        <v>0</v>
      </c>
      <c r="AK56" s="1">
        <v>0</v>
      </c>
      <c r="AL56" s="1">
        <v>0</v>
      </c>
      <c r="AM56" s="1">
        <v>29.767499999999963</v>
      </c>
      <c r="AN56" s="1">
        <v>0</v>
      </c>
      <c r="AO56" s="1">
        <v>0</v>
      </c>
      <c r="AP56" s="1">
        <v>0</v>
      </c>
      <c r="AQ56" s="163">
        <v>0</v>
      </c>
      <c r="AS56" s="36">
        <v>0</v>
      </c>
      <c r="AU56" s="162">
        <f t="shared" si="3"/>
        <v>29.767499999999963</v>
      </c>
      <c r="AV56" s="163">
        <f>1/(1+$T$12)^(COUNTA($C$53:C56)-1)*AU56</f>
        <v>25.71428571428568</v>
      </c>
    </row>
    <row r="57" spans="2:48" x14ac:dyDescent="0.3">
      <c r="C57" s="10" t="s">
        <v>143</v>
      </c>
      <c r="E57" s="174">
        <v>182.32593749999978</v>
      </c>
      <c r="F57" s="5">
        <v>30.387656249999999</v>
      </c>
      <c r="G57" s="5">
        <v>182.32593750000001</v>
      </c>
      <c r="H57" s="5">
        <v>182.32593749999978</v>
      </c>
      <c r="I57" s="5">
        <v>30.387656249999999</v>
      </c>
      <c r="J57" s="5">
        <v>0</v>
      </c>
      <c r="K57" s="5">
        <v>182.32593750000001</v>
      </c>
      <c r="L57" s="175">
        <v>0</v>
      </c>
      <c r="N57" s="162">
        <v>48.759164999999946</v>
      </c>
      <c r="O57" s="163">
        <f t="shared" si="2"/>
        <v>32.091428571428587</v>
      </c>
      <c r="AC57" s="162">
        <v>30.387656249999932</v>
      </c>
      <c r="AD57" s="1">
        <v>0</v>
      </c>
      <c r="AE57" s="1">
        <v>182.32593750000126</v>
      </c>
      <c r="AF57" s="163">
        <v>0</v>
      </c>
      <c r="AJ57" s="162">
        <f t="array" ref="AJ57:AQ57">MMULT($E$32:$L$32,E57:L57*_xlfn.MUNIT(8))</f>
        <v>0</v>
      </c>
      <c r="AK57" s="1">
        <v>0</v>
      </c>
      <c r="AL57" s="1">
        <v>0</v>
      </c>
      <c r="AM57" s="1">
        <v>31.255874999999964</v>
      </c>
      <c r="AN57" s="1">
        <v>0</v>
      </c>
      <c r="AO57" s="1">
        <v>0</v>
      </c>
      <c r="AP57" s="1">
        <v>0</v>
      </c>
      <c r="AQ57" s="163">
        <v>0</v>
      </c>
      <c r="AS57" s="36">
        <v>0</v>
      </c>
      <c r="AU57" s="162">
        <f t="shared" si="3"/>
        <v>31.255874999999964</v>
      </c>
      <c r="AV57" s="163">
        <f>1/(1+$T$12)^(COUNTA($C$53:C57)-1)*AU57</f>
        <v>25.714285714285683</v>
      </c>
    </row>
    <row r="58" spans="2:48" x14ac:dyDescent="0.3">
      <c r="C58" s="10" t="s">
        <v>268</v>
      </c>
      <c r="E58" s="174">
        <v>191.44223437499977</v>
      </c>
      <c r="F58" s="5">
        <v>31.907039062500001</v>
      </c>
      <c r="G58" s="5">
        <v>191.442234375</v>
      </c>
      <c r="H58" s="5">
        <v>191.44223437499977</v>
      </c>
      <c r="I58" s="5">
        <v>31.907039062500001</v>
      </c>
      <c r="J58" s="5">
        <v>0</v>
      </c>
      <c r="K58" s="5">
        <v>191.442234375</v>
      </c>
      <c r="L58" s="175">
        <v>0</v>
      </c>
      <c r="N58" s="162">
        <v>51.197123249999947</v>
      </c>
      <c r="O58" s="163">
        <f t="shared" si="2"/>
        <v>30.0857142857143</v>
      </c>
      <c r="AC58" s="162">
        <v>31.90703906250015</v>
      </c>
      <c r="AD58" s="1">
        <v>0</v>
      </c>
      <c r="AE58" s="1">
        <v>191.44223437500088</v>
      </c>
      <c r="AF58" s="163">
        <v>0</v>
      </c>
      <c r="AJ58" s="162">
        <f t="array" ref="AJ58:AQ58">MMULT($E$32:$L$32,E58:L58*_xlfn.MUNIT(8))</f>
        <v>0</v>
      </c>
      <c r="AK58" s="1">
        <v>0</v>
      </c>
      <c r="AL58" s="1">
        <v>0</v>
      </c>
      <c r="AM58" s="1">
        <v>32.818668749999958</v>
      </c>
      <c r="AN58" s="1">
        <v>0</v>
      </c>
      <c r="AO58" s="1">
        <v>0</v>
      </c>
      <c r="AP58" s="1">
        <v>0</v>
      </c>
      <c r="AQ58" s="163">
        <v>0</v>
      </c>
      <c r="AS58" s="36">
        <v>0</v>
      </c>
      <c r="AU58" s="162">
        <f t="shared" si="3"/>
        <v>32.818668749999958</v>
      </c>
      <c r="AV58" s="163">
        <f>1/(1+$T$12)^(COUNTA($C$53:C58)-1)*AU58</f>
        <v>25.71428571428568</v>
      </c>
    </row>
    <row r="59" spans="2:48" x14ac:dyDescent="0.3">
      <c r="C59" s="10" t="s">
        <v>269</v>
      </c>
      <c r="E59" s="174">
        <v>201.01434609374974</v>
      </c>
      <c r="F59" s="5">
        <v>33.502391015625001</v>
      </c>
      <c r="G59" s="5">
        <v>201.01434609374999</v>
      </c>
      <c r="H59" s="5">
        <v>201.01434609374974</v>
      </c>
      <c r="I59" s="5">
        <v>33.502391015625001</v>
      </c>
      <c r="J59" s="5">
        <v>0</v>
      </c>
      <c r="K59" s="5">
        <v>201.01434609374999</v>
      </c>
      <c r="L59" s="175">
        <v>0</v>
      </c>
      <c r="N59" s="162">
        <v>53.756979412499938</v>
      </c>
      <c r="O59" s="163">
        <f t="shared" si="2"/>
        <v>28.080000000000013</v>
      </c>
      <c r="AC59" s="162">
        <v>33.502391015625385</v>
      </c>
      <c r="AD59" s="1">
        <v>0</v>
      </c>
      <c r="AE59" s="1">
        <v>201.01434609375019</v>
      </c>
      <c r="AF59" s="163">
        <v>0</v>
      </c>
      <c r="AJ59" s="162">
        <f t="array" ref="AJ59:AQ59">MMULT($E$32:$L$32,E59:L59*_xlfn.MUNIT(8))</f>
        <v>0</v>
      </c>
      <c r="AK59" s="1">
        <v>0</v>
      </c>
      <c r="AL59" s="1">
        <v>0</v>
      </c>
      <c r="AM59" s="1">
        <v>34.459602187499954</v>
      </c>
      <c r="AN59" s="1">
        <v>0</v>
      </c>
      <c r="AO59" s="1">
        <v>0</v>
      </c>
      <c r="AP59" s="1">
        <v>0</v>
      </c>
      <c r="AQ59" s="163">
        <v>0</v>
      </c>
      <c r="AS59" s="36">
        <v>0</v>
      </c>
      <c r="AU59" s="162">
        <f t="shared" si="3"/>
        <v>34.459602187499954</v>
      </c>
      <c r="AV59" s="163">
        <f>1/(1+$T$12)^(COUNTA($C$53:C59)-1)*AU59</f>
        <v>25.71428571428568</v>
      </c>
    </row>
    <row r="60" spans="2:48" x14ac:dyDescent="0.3">
      <c r="C60" s="10" t="s">
        <v>270</v>
      </c>
      <c r="E60" s="174">
        <v>211.06506339843764</v>
      </c>
      <c r="F60" s="5">
        <v>35.177510566406298</v>
      </c>
      <c r="G60" s="5">
        <v>211.06506339843801</v>
      </c>
      <c r="H60" s="5">
        <v>211.06506339843764</v>
      </c>
      <c r="I60" s="5">
        <v>35.177510566406298</v>
      </c>
      <c r="J60" s="5">
        <v>0</v>
      </c>
      <c r="K60" s="5">
        <v>211.06506339843801</v>
      </c>
      <c r="L60" s="175">
        <v>0</v>
      </c>
      <c r="N60" s="162">
        <v>56.444828383125042</v>
      </c>
      <c r="O60" s="163">
        <f t="shared" si="2"/>
        <v>26.074285714285725</v>
      </c>
      <c r="AC60" s="162">
        <v>35.177510566406632</v>
      </c>
      <c r="AD60" s="1">
        <v>0</v>
      </c>
      <c r="AE60" s="1">
        <v>211.06506339844017</v>
      </c>
      <c r="AF60" s="163">
        <v>0</v>
      </c>
      <c r="AJ60" s="162">
        <f t="array" ref="AJ60:AQ60">MMULT($E$32:$L$32,E60:L60*_xlfn.MUNIT(8))</f>
        <v>0</v>
      </c>
      <c r="AK60" s="1">
        <v>0</v>
      </c>
      <c r="AL60" s="1">
        <v>0</v>
      </c>
      <c r="AM60" s="1">
        <v>36.182582296875026</v>
      </c>
      <c r="AN60" s="1">
        <v>0</v>
      </c>
      <c r="AO60" s="1">
        <v>0</v>
      </c>
      <c r="AP60" s="1">
        <v>0</v>
      </c>
      <c r="AQ60" s="163">
        <v>0</v>
      </c>
      <c r="AS60" s="36">
        <v>0</v>
      </c>
      <c r="AU60" s="162">
        <f t="shared" si="3"/>
        <v>36.182582296875026</v>
      </c>
      <c r="AV60" s="163">
        <f>1/(1+$T$12)^(COUNTA($C$53:C60)-1)*AU60</f>
        <v>25.71428571428573</v>
      </c>
    </row>
    <row r="61" spans="2:48" x14ac:dyDescent="0.3">
      <c r="C61" s="10" t="s">
        <v>271</v>
      </c>
      <c r="E61" s="174">
        <v>221.61831656835898</v>
      </c>
      <c r="F61" s="5">
        <v>36.936386094726601</v>
      </c>
      <c r="G61" s="5">
        <v>221.61831656835901</v>
      </c>
      <c r="H61" s="5">
        <v>221.61831656835898</v>
      </c>
      <c r="I61" s="5">
        <v>36.936386094726601</v>
      </c>
      <c r="J61" s="5">
        <v>0</v>
      </c>
      <c r="K61" s="5">
        <v>221.61831656835901</v>
      </c>
      <c r="L61" s="175">
        <v>0</v>
      </c>
      <c r="N61" s="162">
        <v>59.267069802281149</v>
      </c>
      <c r="O61" s="163">
        <f t="shared" si="2"/>
        <v>24.068571428571438</v>
      </c>
      <c r="AC61" s="162">
        <v>36.936386094726494</v>
      </c>
      <c r="AD61" s="1">
        <v>0</v>
      </c>
      <c r="AE61" s="1">
        <v>221.61831656836165</v>
      </c>
      <c r="AF61" s="163">
        <v>0</v>
      </c>
      <c r="AJ61" s="162">
        <f t="array" ref="AJ61:AQ61">MMULT($E$32:$L$32,E61:L61*_xlfn.MUNIT(8))</f>
        <v>0</v>
      </c>
      <c r="AK61" s="1">
        <v>0</v>
      </c>
      <c r="AL61" s="1">
        <v>0</v>
      </c>
      <c r="AM61" s="1">
        <v>37.991711411718683</v>
      </c>
      <c r="AN61" s="1">
        <v>0</v>
      </c>
      <c r="AO61" s="1">
        <v>0</v>
      </c>
      <c r="AP61" s="1">
        <v>0</v>
      </c>
      <c r="AQ61" s="163">
        <v>0</v>
      </c>
      <c r="AS61" s="36">
        <v>0</v>
      </c>
      <c r="AU61" s="162">
        <f t="shared" si="3"/>
        <v>37.991711411718683</v>
      </c>
      <c r="AV61" s="163">
        <f>1/(1+$T$12)^(COUNTA($C$53:C61)-1)*AU61</f>
        <v>25.714285714285669</v>
      </c>
    </row>
    <row r="62" spans="2:48" x14ac:dyDescent="0.3">
      <c r="C62" s="10" t="s">
        <v>272</v>
      </c>
      <c r="E62" s="174">
        <v>232.69923239677689</v>
      </c>
      <c r="F62" s="5">
        <v>38.783205399462901</v>
      </c>
      <c r="G62" s="5">
        <v>232.69923239677701</v>
      </c>
      <c r="H62" s="5">
        <v>232.69923239677689</v>
      </c>
      <c r="I62" s="5">
        <v>38.783205399462901</v>
      </c>
      <c r="J62" s="5">
        <v>0</v>
      </c>
      <c r="K62" s="5">
        <v>232.69923239677701</v>
      </c>
      <c r="L62" s="175">
        <v>0</v>
      </c>
      <c r="N62" s="162">
        <v>62.230423292395201</v>
      </c>
      <c r="O62" s="163">
        <f t="shared" si="2"/>
        <v>22.062857142857151</v>
      </c>
      <c r="AC62" s="162">
        <v>38.783205399463355</v>
      </c>
      <c r="AD62" s="1">
        <v>0</v>
      </c>
      <c r="AE62" s="1">
        <v>232.69923239677763</v>
      </c>
      <c r="AF62" s="163">
        <v>0</v>
      </c>
      <c r="AJ62" s="162">
        <f t="array" ref="AJ62:AQ62">MMULT($E$32:$L$32,E62:L62*_xlfn.MUNIT(8))</f>
        <v>0</v>
      </c>
      <c r="AK62" s="1">
        <v>0</v>
      </c>
      <c r="AL62" s="1">
        <v>0</v>
      </c>
      <c r="AM62" s="1">
        <v>39.89129698230461</v>
      </c>
      <c r="AN62" s="1">
        <v>0</v>
      </c>
      <c r="AO62" s="1">
        <v>0</v>
      </c>
      <c r="AP62" s="1">
        <v>0</v>
      </c>
      <c r="AQ62" s="163">
        <v>0</v>
      </c>
      <c r="AS62" s="36">
        <v>0</v>
      </c>
      <c r="AU62" s="162">
        <f t="shared" si="3"/>
        <v>39.89129698230461</v>
      </c>
      <c r="AV62" s="163">
        <f>1/(1+$T$12)^(COUNTA($C$53:C62)-1)*AU62</f>
        <v>25.714285714285662</v>
      </c>
    </row>
    <row r="63" spans="2:48" x14ac:dyDescent="0.3">
      <c r="C63" s="10" t="s">
        <v>273</v>
      </c>
      <c r="E63" s="174">
        <v>244.33419401661595</v>
      </c>
      <c r="F63" s="5">
        <v>40.722365669436101</v>
      </c>
      <c r="G63" s="5">
        <v>244.33419401661601</v>
      </c>
      <c r="H63" s="5">
        <v>244.33419401661595</v>
      </c>
      <c r="I63" s="5">
        <v>40.722365669436101</v>
      </c>
      <c r="J63" s="5">
        <v>0</v>
      </c>
      <c r="K63" s="5">
        <v>244.33419401661601</v>
      </c>
      <c r="L63" s="175">
        <v>0</v>
      </c>
      <c r="N63" s="162">
        <v>65.341944457015018</v>
      </c>
      <c r="O63" s="163">
        <f t="shared" si="2"/>
        <v>20.057142857142864</v>
      </c>
      <c r="AC63" s="162">
        <v>40.722365669436677</v>
      </c>
      <c r="AD63" s="1">
        <v>0</v>
      </c>
      <c r="AE63" s="1">
        <v>244.33419401661638</v>
      </c>
      <c r="AF63" s="163">
        <v>0</v>
      </c>
      <c r="AJ63" s="162">
        <f t="array" ref="AJ63:AQ63">MMULT($E$32:$L$32,E63:L63*_xlfn.MUNIT(8))</f>
        <v>0</v>
      </c>
      <c r="AK63" s="1">
        <v>0</v>
      </c>
      <c r="AL63" s="1">
        <v>0</v>
      </c>
      <c r="AM63" s="1">
        <v>41.885861831419881</v>
      </c>
      <c r="AN63" s="1">
        <v>0</v>
      </c>
      <c r="AO63" s="1">
        <v>0</v>
      </c>
      <c r="AP63" s="1">
        <v>0</v>
      </c>
      <c r="AQ63" s="163">
        <v>0</v>
      </c>
      <c r="AS63" s="36">
        <v>0</v>
      </c>
      <c r="AU63" s="162">
        <f t="shared" si="3"/>
        <v>41.885861831419881</v>
      </c>
      <c r="AV63" s="163">
        <f>1/(1+$T$12)^(COUNTA($C$53:C63)-1)*AU63</f>
        <v>25.714285714285687</v>
      </c>
    </row>
    <row r="64" spans="2:48" x14ac:dyDescent="0.3">
      <c r="C64" s="10" t="s">
        <v>274</v>
      </c>
      <c r="E64" s="174">
        <v>256.55090371744683</v>
      </c>
      <c r="F64" s="5">
        <v>42.758483952907902</v>
      </c>
      <c r="G64" s="5">
        <v>256.550903717447</v>
      </c>
      <c r="H64" s="5">
        <v>256.55090371744683</v>
      </c>
      <c r="I64" s="5">
        <v>42.758483952907902</v>
      </c>
      <c r="J64" s="5">
        <v>0</v>
      </c>
      <c r="K64" s="5">
        <v>256.550903717447</v>
      </c>
      <c r="L64" s="175">
        <v>0</v>
      </c>
      <c r="N64" s="162">
        <v>68.609041679865783</v>
      </c>
      <c r="O64" s="163">
        <f t="shared" si="2"/>
        <v>18.051428571428577</v>
      </c>
      <c r="AC64" s="162">
        <v>42.758483952908918</v>
      </c>
      <c r="AD64" s="1">
        <v>0</v>
      </c>
      <c r="AE64" s="1">
        <v>256.55090371744564</v>
      </c>
      <c r="AF64" s="163">
        <v>0</v>
      </c>
      <c r="AJ64" s="162">
        <f t="array" ref="AJ64:AQ64">MMULT($E$32:$L$32,E64:L64*_xlfn.MUNIT(8))</f>
        <v>0</v>
      </c>
      <c r="AK64" s="1">
        <v>0</v>
      </c>
      <c r="AL64" s="1">
        <v>0</v>
      </c>
      <c r="AM64" s="1">
        <v>43.980154922990884</v>
      </c>
      <c r="AN64" s="1">
        <v>0</v>
      </c>
      <c r="AO64" s="1">
        <v>0</v>
      </c>
      <c r="AP64" s="1">
        <v>0</v>
      </c>
      <c r="AQ64" s="163">
        <v>0</v>
      </c>
      <c r="AS64" s="36">
        <v>0</v>
      </c>
      <c r="AU64" s="162">
        <f t="shared" si="3"/>
        <v>43.980154922990884</v>
      </c>
      <c r="AV64" s="163">
        <f>1/(1+$T$12)^(COUNTA($C$53:C64)-1)*AU64</f>
        <v>25.71428571428569</v>
      </c>
    </row>
    <row r="65" spans="2:48" x14ac:dyDescent="0.3">
      <c r="C65" s="10" t="s">
        <v>275</v>
      </c>
      <c r="E65" s="174">
        <v>269.37844890331957</v>
      </c>
      <c r="F65" s="5">
        <v>44.896408150553299</v>
      </c>
      <c r="G65" s="5">
        <v>269.37844890332002</v>
      </c>
      <c r="H65" s="5">
        <v>269.37844890331957</v>
      </c>
      <c r="I65" s="5">
        <v>44.896408150553299</v>
      </c>
      <c r="J65" s="5">
        <v>0</v>
      </c>
      <c r="K65" s="5">
        <v>269.37844890332002</v>
      </c>
      <c r="L65" s="175">
        <v>0</v>
      </c>
      <c r="N65" s="162">
        <v>72.039493763859184</v>
      </c>
      <c r="O65" s="163">
        <f t="shared" si="2"/>
        <v>16.04571428571429</v>
      </c>
      <c r="AC65" s="162">
        <v>44.89640815055369</v>
      </c>
      <c r="AD65" s="1">
        <v>0</v>
      </c>
      <c r="AE65" s="1">
        <v>269.3784489033182</v>
      </c>
      <c r="AF65" s="163">
        <v>0</v>
      </c>
      <c r="AJ65" s="162">
        <f t="array" ref="AJ65:AQ65">MMULT($E$32:$L$32,E65:L65*_xlfn.MUNIT(8))</f>
        <v>0</v>
      </c>
      <c r="AK65" s="1">
        <v>0</v>
      </c>
      <c r="AL65" s="1">
        <v>0</v>
      </c>
      <c r="AM65" s="1">
        <v>46.179162669140496</v>
      </c>
      <c r="AN65" s="1">
        <v>0</v>
      </c>
      <c r="AO65" s="1">
        <v>0</v>
      </c>
      <c r="AP65" s="1">
        <v>0</v>
      </c>
      <c r="AQ65" s="163">
        <v>0</v>
      </c>
      <c r="AS65" s="36">
        <v>0</v>
      </c>
      <c r="AU65" s="162">
        <f t="shared" si="3"/>
        <v>46.179162669140496</v>
      </c>
      <c r="AV65" s="163">
        <f>1/(1+$T$12)^(COUNTA($C$53:C65)-1)*AU65</f>
        <v>25.71428571428573</v>
      </c>
    </row>
    <row r="66" spans="2:48" x14ac:dyDescent="0.3">
      <c r="C66" s="10" t="s">
        <v>276</v>
      </c>
      <c r="E66" s="174">
        <v>282.84737134848535</v>
      </c>
      <c r="F66" s="5">
        <v>47.141228558080897</v>
      </c>
      <c r="G66" s="5">
        <v>282.84737134848598</v>
      </c>
      <c r="H66" s="5">
        <v>282.84737134848535</v>
      </c>
      <c r="I66" s="5">
        <v>47.141228558080897</v>
      </c>
      <c r="J66" s="5">
        <v>0</v>
      </c>
      <c r="K66" s="5">
        <v>282.84737134848598</v>
      </c>
      <c r="L66" s="175">
        <v>0</v>
      </c>
      <c r="N66" s="162">
        <v>75.641468452052095</v>
      </c>
      <c r="O66" s="163">
        <f t="shared" si="2"/>
        <v>14.040000000000003</v>
      </c>
      <c r="AC66" s="162">
        <v>47.141228558081551</v>
      </c>
      <c r="AD66" s="1">
        <v>0</v>
      </c>
      <c r="AE66" s="1">
        <v>282.84737134848319</v>
      </c>
      <c r="AF66" s="163">
        <v>0</v>
      </c>
      <c r="AJ66" s="162">
        <f t="array" ref="AJ66:AQ66">MMULT($E$32:$L$32,E66:L66*_xlfn.MUNIT(8))</f>
        <v>0</v>
      </c>
      <c r="AK66" s="1">
        <v>0</v>
      </c>
      <c r="AL66" s="1">
        <v>0</v>
      </c>
      <c r="AM66" s="1">
        <v>48.488120802597493</v>
      </c>
      <c r="AN66" s="1">
        <v>0</v>
      </c>
      <c r="AO66" s="1">
        <v>0</v>
      </c>
      <c r="AP66" s="1">
        <v>0</v>
      </c>
      <c r="AQ66" s="163">
        <v>0</v>
      </c>
      <c r="AS66" s="36">
        <v>0</v>
      </c>
      <c r="AU66" s="162">
        <f t="shared" si="3"/>
        <v>48.488120802597493</v>
      </c>
      <c r="AV66" s="163">
        <f>1/(1+$T$12)^(COUNTA($C$53:C66)-1)*AU66</f>
        <v>25.714285714285708</v>
      </c>
    </row>
    <row r="67" spans="2:48" x14ac:dyDescent="0.3">
      <c r="C67" s="10" t="s">
        <v>277</v>
      </c>
      <c r="E67" s="174">
        <v>296.98973991590958</v>
      </c>
      <c r="F67" s="5">
        <v>49.498289985984997</v>
      </c>
      <c r="G67" s="5">
        <v>296.98973991590998</v>
      </c>
      <c r="H67" s="5">
        <v>296.98973991590958</v>
      </c>
      <c r="I67" s="5">
        <v>49.498289985984997</v>
      </c>
      <c r="J67" s="5">
        <v>0</v>
      </c>
      <c r="K67" s="5">
        <v>296.98973991590998</v>
      </c>
      <c r="L67" s="175">
        <v>0</v>
      </c>
      <c r="N67" s="162">
        <v>79.423541874654688</v>
      </c>
      <c r="O67" s="163">
        <f t="shared" si="2"/>
        <v>12.034285714285716</v>
      </c>
      <c r="AC67" s="162">
        <v>49.498289985985046</v>
      </c>
      <c r="AD67" s="1">
        <v>0</v>
      </c>
      <c r="AE67" s="1">
        <v>296.98973991590697</v>
      </c>
      <c r="AF67" s="163">
        <v>0</v>
      </c>
      <c r="AJ67" s="162">
        <f t="array" ref="AJ67:AQ67">MMULT($E$32:$L$32,E67:L67*_xlfn.MUNIT(8))</f>
        <v>0</v>
      </c>
      <c r="AK67" s="1">
        <v>0</v>
      </c>
      <c r="AL67" s="1">
        <v>0</v>
      </c>
      <c r="AM67" s="1">
        <v>50.91252684272736</v>
      </c>
      <c r="AN67" s="1">
        <v>0</v>
      </c>
      <c r="AO67" s="1">
        <v>0</v>
      </c>
      <c r="AP67" s="1">
        <v>0</v>
      </c>
      <c r="AQ67" s="163">
        <v>0</v>
      </c>
      <c r="AS67" s="36">
        <v>0</v>
      </c>
      <c r="AU67" s="162">
        <f t="shared" si="3"/>
        <v>50.91252684272736</v>
      </c>
      <c r="AV67" s="163">
        <f>1/(1+$T$12)^(COUNTA($C$53:C67)-1)*AU67</f>
        <v>25.714285714285715</v>
      </c>
    </row>
    <row r="68" spans="2:48" x14ac:dyDescent="0.3">
      <c r="C68" s="10" t="s">
        <v>278</v>
      </c>
      <c r="E68" s="174">
        <v>311.83922691170471</v>
      </c>
      <c r="F68" s="5">
        <v>51.973204485284199</v>
      </c>
      <c r="G68" s="5">
        <v>311.839226911705</v>
      </c>
      <c r="H68" s="5">
        <v>311.83922691170471</v>
      </c>
      <c r="I68" s="5">
        <v>51.973204485284199</v>
      </c>
      <c r="J68" s="5">
        <v>0</v>
      </c>
      <c r="K68" s="5">
        <v>311.839226911705</v>
      </c>
      <c r="L68" s="175">
        <v>0</v>
      </c>
      <c r="N68" s="162">
        <v>83.394718968387323</v>
      </c>
      <c r="O68" s="163">
        <f t="shared" si="2"/>
        <v>10.028571428571428</v>
      </c>
      <c r="AC68" s="162">
        <v>51.973204485284562</v>
      </c>
      <c r="AD68" s="1">
        <v>0</v>
      </c>
      <c r="AE68" s="1">
        <v>311.83922691170108</v>
      </c>
      <c r="AF68" s="163">
        <v>0</v>
      </c>
      <c r="AJ68" s="162">
        <f t="array" ref="AJ68:AQ68">MMULT($E$32:$L$32,E68:L68*_xlfn.MUNIT(8))</f>
        <v>0</v>
      </c>
      <c r="AK68" s="1">
        <v>0</v>
      </c>
      <c r="AL68" s="1">
        <v>0</v>
      </c>
      <c r="AM68" s="1">
        <v>53.458153184863669</v>
      </c>
      <c r="AN68" s="1">
        <v>0</v>
      </c>
      <c r="AO68" s="1">
        <v>0</v>
      </c>
      <c r="AP68" s="1">
        <v>0</v>
      </c>
      <c r="AQ68" s="163">
        <v>0</v>
      </c>
      <c r="AS68" s="36">
        <v>0</v>
      </c>
      <c r="AU68" s="162">
        <f t="shared" si="3"/>
        <v>53.458153184863669</v>
      </c>
      <c r="AV68" s="163">
        <f>1/(1+$T$12)^(COUNTA($C$53:C68)-1)*AU68</f>
        <v>25.71428571428568</v>
      </c>
    </row>
    <row r="69" spans="2:48" x14ac:dyDescent="0.3">
      <c r="C69" s="10" t="s">
        <v>279</v>
      </c>
      <c r="E69" s="174">
        <v>327.43118825729033</v>
      </c>
      <c r="F69" s="5">
        <v>54.5718647095484</v>
      </c>
      <c r="G69" s="5">
        <v>327.43118825729101</v>
      </c>
      <c r="H69" s="5">
        <v>327.43118825729033</v>
      </c>
      <c r="I69" s="5">
        <v>54.5718647095484</v>
      </c>
      <c r="J69" s="5">
        <v>0</v>
      </c>
      <c r="K69" s="5">
        <v>327.43118825729101</v>
      </c>
      <c r="L69" s="175">
        <v>0</v>
      </c>
      <c r="N69" s="162">
        <v>87.564454916806795</v>
      </c>
      <c r="O69" s="163">
        <f t="shared" si="2"/>
        <v>8.0228571428571414</v>
      </c>
      <c r="AC69" s="162">
        <v>54.571864709548422</v>
      </c>
      <c r="AD69" s="1">
        <v>0</v>
      </c>
      <c r="AE69" s="1">
        <v>327.43118825728737</v>
      </c>
      <c r="AF69" s="163">
        <v>0</v>
      </c>
      <c r="AJ69" s="162">
        <f t="array" ref="AJ69:AQ69">MMULT($E$32:$L$32,E69:L69*_xlfn.MUNIT(8))</f>
        <v>0</v>
      </c>
      <c r="AK69" s="1">
        <v>0</v>
      </c>
      <c r="AL69" s="1">
        <v>0</v>
      </c>
      <c r="AM69" s="1">
        <v>56.131060844106912</v>
      </c>
      <c r="AN69" s="1">
        <v>0</v>
      </c>
      <c r="AO69" s="1">
        <v>0</v>
      </c>
      <c r="AP69" s="1">
        <v>0</v>
      </c>
      <c r="AQ69" s="163">
        <v>0</v>
      </c>
      <c r="AS69" s="36">
        <v>0</v>
      </c>
      <c r="AU69" s="162">
        <f t="shared" si="3"/>
        <v>56.131060844106912</v>
      </c>
      <c r="AV69" s="163">
        <f>1/(1+$T$12)^(COUNTA($C$53:C69)-1)*AU69</f>
        <v>25.714285714285708</v>
      </c>
    </row>
    <row r="70" spans="2:48" x14ac:dyDescent="0.3">
      <c r="C70" s="10" t="s">
        <v>280</v>
      </c>
      <c r="E70" s="174">
        <v>343.8027476701547</v>
      </c>
      <c r="F70" s="5">
        <v>57.300457945025897</v>
      </c>
      <c r="G70" s="5">
        <v>343.80274767015499</v>
      </c>
      <c r="H70" s="5">
        <v>343.8027476701547</v>
      </c>
      <c r="I70" s="5">
        <v>57.300457945025897</v>
      </c>
      <c r="J70" s="5">
        <v>0</v>
      </c>
      <c r="K70" s="5">
        <v>343.80274767015499</v>
      </c>
      <c r="L70" s="175">
        <v>0</v>
      </c>
      <c r="N70" s="162">
        <v>91.9426776626471</v>
      </c>
      <c r="O70" s="163">
        <f t="shared" si="2"/>
        <v>6.0171428571428551</v>
      </c>
      <c r="AC70" s="162">
        <v>57.300457945025613</v>
      </c>
      <c r="AD70" s="1">
        <v>0</v>
      </c>
      <c r="AE70" s="1">
        <v>343.8027476701518</v>
      </c>
      <c r="AF70" s="163">
        <v>0</v>
      </c>
      <c r="AJ70" s="162">
        <f t="array" ref="AJ70:AQ70">MMULT($E$32:$L$32,E70:L70*_xlfn.MUNIT(8))</f>
        <v>0</v>
      </c>
      <c r="AK70" s="1">
        <v>0</v>
      </c>
      <c r="AL70" s="1">
        <v>0</v>
      </c>
      <c r="AM70" s="1">
        <v>58.937613886312235</v>
      </c>
      <c r="AN70" s="1">
        <v>0</v>
      </c>
      <c r="AO70" s="1">
        <v>0</v>
      </c>
      <c r="AP70" s="1">
        <v>0</v>
      </c>
      <c r="AQ70" s="163">
        <v>0</v>
      </c>
      <c r="AS70" s="36">
        <v>0</v>
      </c>
      <c r="AU70" s="162">
        <f t="shared" si="3"/>
        <v>58.937613886312235</v>
      </c>
      <c r="AV70" s="163">
        <f>1/(1+$T$12)^(COUNTA($C$53:C70)-1)*AU70</f>
        <v>25.714285714285694</v>
      </c>
    </row>
    <row r="71" spans="2:48" x14ac:dyDescent="0.3">
      <c r="C71" s="10" t="s">
        <v>281</v>
      </c>
      <c r="E71" s="174">
        <v>360.99288505366258</v>
      </c>
      <c r="F71" s="5">
        <v>60.165480842277198</v>
      </c>
      <c r="G71" s="5">
        <v>360.99288505366297</v>
      </c>
      <c r="H71" s="5">
        <v>360.99288505366258</v>
      </c>
      <c r="I71" s="5">
        <v>60.165480842277198</v>
      </c>
      <c r="J71" s="5">
        <v>0</v>
      </c>
      <c r="K71" s="5">
        <v>360.99288505366297</v>
      </c>
      <c r="L71" s="175">
        <v>0</v>
      </c>
      <c r="N71" s="162">
        <v>96.539811545779486</v>
      </c>
      <c r="O71" s="163">
        <f t="shared" si="2"/>
        <v>4.0114285714285689</v>
      </c>
      <c r="AC71" s="162">
        <v>60.16548084227761</v>
      </c>
      <c r="AD71" s="1">
        <v>0</v>
      </c>
      <c r="AE71" s="1">
        <v>360.99288505366007</v>
      </c>
      <c r="AF71" s="163">
        <v>0</v>
      </c>
      <c r="AJ71" s="162">
        <f t="array" ref="AJ71:AQ71">MMULT($E$32:$L$32,E71:L71*_xlfn.MUNIT(8))</f>
        <v>0</v>
      </c>
      <c r="AK71" s="1">
        <v>0</v>
      </c>
      <c r="AL71" s="1">
        <v>0</v>
      </c>
      <c r="AM71" s="1">
        <v>61.884494580627873</v>
      </c>
      <c r="AN71" s="1">
        <v>0</v>
      </c>
      <c r="AO71" s="1">
        <v>0</v>
      </c>
      <c r="AP71" s="1">
        <v>0</v>
      </c>
      <c r="AQ71" s="163">
        <v>0</v>
      </c>
      <c r="AS71" s="36">
        <v>0</v>
      </c>
      <c r="AU71" s="162">
        <f t="shared" si="3"/>
        <v>61.884494580627873</v>
      </c>
      <c r="AV71" s="163">
        <f>1/(1+$T$12)^(COUNTA($C$53:C71)-1)*AU71</f>
        <v>25.714285714285705</v>
      </c>
    </row>
    <row r="72" spans="2:48" x14ac:dyDescent="0.3">
      <c r="C72" s="10" t="s">
        <v>282</v>
      </c>
      <c r="E72" s="176">
        <v>379.0425293063455</v>
      </c>
      <c r="F72" s="177">
        <v>63.173754884391002</v>
      </c>
      <c r="G72" s="177">
        <v>379.04252930634601</v>
      </c>
      <c r="H72" s="177">
        <v>379.0425293063455</v>
      </c>
      <c r="I72" s="177">
        <v>63.173754884391002</v>
      </c>
      <c r="J72" s="177">
        <v>0</v>
      </c>
      <c r="K72" s="177">
        <v>379.04252930634601</v>
      </c>
      <c r="L72" s="178">
        <v>0</v>
      </c>
      <c r="N72" s="165">
        <v>101.36680212306841</v>
      </c>
      <c r="O72" s="179">
        <v>0</v>
      </c>
      <c r="AC72" s="165">
        <v>63.173754884390782</v>
      </c>
      <c r="AD72" s="166">
        <v>0</v>
      </c>
      <c r="AE72" s="166">
        <v>379.04252930634266</v>
      </c>
      <c r="AF72" s="167">
        <v>0</v>
      </c>
      <c r="AJ72" s="165">
        <f t="array" ref="AJ72:AQ72">MMULT($E$32:$L$32,E72:L72*_xlfn.MUNIT(8))</f>
        <v>0</v>
      </c>
      <c r="AK72" s="166">
        <v>0</v>
      </c>
      <c r="AL72" s="166">
        <v>0</v>
      </c>
      <c r="AM72" s="166">
        <v>64.978719309659226</v>
      </c>
      <c r="AN72" s="166">
        <v>0</v>
      </c>
      <c r="AO72" s="166">
        <v>0</v>
      </c>
      <c r="AP72" s="166">
        <v>0</v>
      </c>
      <c r="AQ72" s="167">
        <v>0</v>
      </c>
      <c r="AS72" s="37">
        <v>0</v>
      </c>
      <c r="AU72" s="165">
        <f t="shared" si="3"/>
        <v>64.978719309659226</v>
      </c>
      <c r="AV72" s="167">
        <f>1/(1+$T$12)^(COUNTA($C$53:C72)-1)*AU72</f>
        <v>25.714285714285687</v>
      </c>
    </row>
    <row r="73" spans="2:48" x14ac:dyDescent="0.3">
      <c r="E73" s="5"/>
      <c r="F73" s="5"/>
      <c r="G73" s="5"/>
      <c r="H73" s="5"/>
      <c r="I73" s="5"/>
      <c r="J73" s="5"/>
      <c r="K73" s="5"/>
      <c r="L73" s="5"/>
      <c r="AV73" s="1"/>
    </row>
    <row r="74" spans="2:48" x14ac:dyDescent="0.3">
      <c r="AV74" s="1"/>
    </row>
    <row r="75" spans="2:48" x14ac:dyDescent="0.3">
      <c r="I75" s="10" t="s">
        <v>299</v>
      </c>
      <c r="N75" s="10" t="s">
        <v>300</v>
      </c>
      <c r="S75" s="10" t="s">
        <v>301</v>
      </c>
      <c r="X75" s="10" t="s">
        <v>302</v>
      </c>
      <c r="AC75" s="10" t="s">
        <v>303</v>
      </c>
      <c r="AJ75" s="10" t="s">
        <v>304</v>
      </c>
      <c r="AU75" s="10" t="s">
        <v>103</v>
      </c>
      <c r="AV75" s="10" t="s">
        <v>305</v>
      </c>
    </row>
    <row r="76" spans="2:48" x14ac:dyDescent="0.3">
      <c r="I76" s="11" t="s">
        <v>112</v>
      </c>
      <c r="J76" s="11" t="s">
        <v>260</v>
      </c>
      <c r="K76" s="11" t="s">
        <v>149</v>
      </c>
      <c r="L76" s="11" t="s">
        <v>148</v>
      </c>
      <c r="N76" s="11" t="s">
        <v>112</v>
      </c>
      <c r="O76" s="11" t="s">
        <v>260</v>
      </c>
      <c r="P76" s="11" t="s">
        <v>149</v>
      </c>
      <c r="Q76" s="11" t="s">
        <v>148</v>
      </c>
      <c r="S76" s="11" t="s">
        <v>112</v>
      </c>
      <c r="T76" s="11" t="s">
        <v>260</v>
      </c>
      <c r="U76" s="11" t="s">
        <v>149</v>
      </c>
      <c r="V76" s="11" t="s">
        <v>148</v>
      </c>
      <c r="X76" s="11" t="s">
        <v>112</v>
      </c>
      <c r="Y76" s="11" t="s">
        <v>260</v>
      </c>
      <c r="Z76" s="11" t="s">
        <v>149</v>
      </c>
      <c r="AA76" s="11" t="s">
        <v>148</v>
      </c>
      <c r="AC76" s="11" t="s">
        <v>112</v>
      </c>
      <c r="AD76" s="11" t="s">
        <v>260</v>
      </c>
      <c r="AE76" s="11" t="s">
        <v>149</v>
      </c>
      <c r="AF76" s="11" t="s">
        <v>148</v>
      </c>
      <c r="AN76" s="11" t="s">
        <v>112</v>
      </c>
      <c r="AO76" s="11" t="s">
        <v>260</v>
      </c>
      <c r="AP76" s="11" t="s">
        <v>149</v>
      </c>
      <c r="AQ76" s="11" t="s">
        <v>148</v>
      </c>
    </row>
    <row r="77" spans="2:48" x14ac:dyDescent="0.3">
      <c r="I77" s="11" t="s">
        <v>306</v>
      </c>
      <c r="J77" s="11" t="s">
        <v>306</v>
      </c>
      <c r="K77" s="11" t="s">
        <v>307</v>
      </c>
      <c r="L77" s="11" t="s">
        <v>307</v>
      </c>
      <c r="N77" s="11" t="s">
        <v>306</v>
      </c>
      <c r="O77" s="11" t="s">
        <v>306</v>
      </c>
      <c r="P77" s="11" t="s">
        <v>307</v>
      </c>
      <c r="Q77" s="11" t="s">
        <v>307</v>
      </c>
      <c r="S77" s="11" t="s">
        <v>306</v>
      </c>
      <c r="T77" s="11" t="s">
        <v>306</v>
      </c>
      <c r="U77" s="11" t="s">
        <v>307</v>
      </c>
      <c r="V77" s="11" t="s">
        <v>307</v>
      </c>
      <c r="X77" s="11" t="s">
        <v>306</v>
      </c>
      <c r="Y77" s="11" t="s">
        <v>306</v>
      </c>
      <c r="Z77" s="11" t="s">
        <v>307</v>
      </c>
      <c r="AA77" s="11" t="s">
        <v>307</v>
      </c>
      <c r="AC77" s="11" t="s">
        <v>306</v>
      </c>
      <c r="AD77" s="11" t="s">
        <v>306</v>
      </c>
      <c r="AE77" s="11" t="s">
        <v>307</v>
      </c>
      <c r="AF77" s="11" t="s">
        <v>307</v>
      </c>
      <c r="AN77" s="11"/>
      <c r="AO77" s="11"/>
      <c r="AP77" s="11"/>
      <c r="AQ77" s="11"/>
    </row>
    <row r="78" spans="2:48" x14ac:dyDescent="0.3">
      <c r="I78" s="11" t="s">
        <v>265</v>
      </c>
      <c r="J78" s="11" t="s">
        <v>266</v>
      </c>
      <c r="K78" s="11" t="s">
        <v>37</v>
      </c>
      <c r="L78" s="11" t="s">
        <v>38</v>
      </c>
      <c r="N78" s="11" t="s">
        <v>265</v>
      </c>
      <c r="O78" s="11" t="s">
        <v>266</v>
      </c>
      <c r="P78" s="11" t="s">
        <v>37</v>
      </c>
      <c r="Q78" s="11" t="s">
        <v>38</v>
      </c>
      <c r="S78" s="11" t="s">
        <v>265</v>
      </c>
      <c r="T78" s="11" t="s">
        <v>266</v>
      </c>
      <c r="U78" s="11" t="s">
        <v>37</v>
      </c>
      <c r="V78" s="11" t="s">
        <v>38</v>
      </c>
      <c r="X78" s="11" t="s">
        <v>265</v>
      </c>
      <c r="Y78" s="11" t="s">
        <v>266</v>
      </c>
      <c r="Z78" s="11" t="s">
        <v>37</v>
      </c>
      <c r="AA78" s="11" t="s">
        <v>38</v>
      </c>
      <c r="AC78" s="11" t="s">
        <v>265</v>
      </c>
      <c r="AD78" s="11" t="s">
        <v>266</v>
      </c>
      <c r="AE78" s="11" t="s">
        <v>37</v>
      </c>
      <c r="AF78" s="11" t="s">
        <v>38</v>
      </c>
      <c r="AJ78" s="11" t="s">
        <v>36</v>
      </c>
      <c r="AK78" s="11" t="s">
        <v>5</v>
      </c>
      <c r="AL78" s="11" t="s">
        <v>6</v>
      </c>
      <c r="AM78" s="11" t="s">
        <v>7</v>
      </c>
      <c r="AN78" s="11" t="s">
        <v>265</v>
      </c>
      <c r="AO78" s="11" t="s">
        <v>266</v>
      </c>
      <c r="AP78" s="11" t="s">
        <v>37</v>
      </c>
      <c r="AQ78" s="11" t="s">
        <v>38</v>
      </c>
    </row>
    <row r="79" spans="2:48" x14ac:dyDescent="0.3">
      <c r="B79" s="10" t="s">
        <v>298</v>
      </c>
      <c r="C79" s="10" t="s">
        <v>139</v>
      </c>
      <c r="I79" s="182">
        <v>0</v>
      </c>
      <c r="J79" s="183">
        <v>0</v>
      </c>
      <c r="K79" s="183">
        <v>0</v>
      </c>
      <c r="L79" s="184">
        <v>0</v>
      </c>
      <c r="N79" s="171">
        <v>0</v>
      </c>
      <c r="O79" s="173">
        <v>0</v>
      </c>
      <c r="P79" s="173">
        <v>0</v>
      </c>
      <c r="Q79" s="172">
        <v>0</v>
      </c>
      <c r="S79" s="171">
        <f>-ROUND(_xlfn.WEIBULL.DIST(COUNTA($C$79:$C79)+I$37/4,$T$14,I$37,FALSE),3)*AC$79</f>
        <v>0</v>
      </c>
      <c r="T79" s="173">
        <f>-ROUND(_xlfn.WEIBULL.DIST(COUNTA($C$79:$C79)+J$37/4,$T$14,J$37,FALSE),3)*AD$79</f>
        <v>0</v>
      </c>
      <c r="U79" s="173">
        <f>-ROUND(_xlfn.WEIBULL.DIST(COUNTA($C$79:$C79)+K$37/4,$T$14,K$37,FALSE),3)*AE$79</f>
        <v>0</v>
      </c>
      <c r="V79" s="172">
        <f>-ROUND(_xlfn.WEIBULL.DIST(COUNTA($C$79:$C79)+L$37/4,$T$14,L$37,FALSE),3)*AF$79</f>
        <v>0</v>
      </c>
      <c r="X79" s="171">
        <f t="array" ref="X79:AA98">N79:Q98+S79:V98</f>
        <v>0</v>
      </c>
      <c r="Y79" s="173">
        <v>0</v>
      </c>
      <c r="Z79" s="173">
        <v>0</v>
      </c>
      <c r="AA79" s="172">
        <v>0</v>
      </c>
      <c r="AC79" s="168">
        <v>27.777777777777807</v>
      </c>
      <c r="AD79" s="169">
        <v>0</v>
      </c>
      <c r="AE79" s="169">
        <v>12.5</v>
      </c>
      <c r="AF79" s="170">
        <v>0</v>
      </c>
      <c r="AJ79" s="171"/>
      <c r="AK79" s="173"/>
      <c r="AL79" s="173"/>
      <c r="AM79" s="173"/>
      <c r="AN79" s="173">
        <v>0</v>
      </c>
      <c r="AO79" s="173">
        <v>0</v>
      </c>
      <c r="AP79" s="173">
        <v>0</v>
      </c>
      <c r="AQ79" s="172">
        <v>0</v>
      </c>
      <c r="AU79" s="171">
        <f t="shared" ref="AU79:AU98" si="4">SUM(AJ79:AQ79)</f>
        <v>0</v>
      </c>
      <c r="AV79" s="172">
        <f>1/(1+$T$12)^(COUNTA($C$79:C79)-1)*AU79</f>
        <v>0</v>
      </c>
    </row>
    <row r="80" spans="2:48" x14ac:dyDescent="0.3">
      <c r="C80" s="10" t="s">
        <v>140</v>
      </c>
      <c r="I80" s="174">
        <v>1.3888888888888904</v>
      </c>
      <c r="J80" s="5">
        <v>0</v>
      </c>
      <c r="K80" s="5">
        <v>0.63750000000000051</v>
      </c>
      <c r="L80" s="175">
        <v>0</v>
      </c>
      <c r="N80" s="162">
        <f t="array" ref="N80:N98">-MMULT(E116:W134,I80:I98)</f>
        <v>0</v>
      </c>
      <c r="O80" s="1">
        <f t="array" ref="O80:O98">-MMULT(E138:W156,J80:J98)</f>
        <v>0</v>
      </c>
      <c r="P80" s="1">
        <f t="array" ref="P80:P98">-MMULT(E160:W178,K80:K98)</f>
        <v>0</v>
      </c>
      <c r="Q80" s="163">
        <f t="array" ref="Q80:Q98">-MMULT(E182:W200,L80:L98)</f>
        <v>0</v>
      </c>
      <c r="S80" s="162">
        <f>-ROUND(_xlfn.WEIBULL.DIST(COUNTA($C$79:$C80)+I$37/4,$T$14,I$37,FALSE),3)*AC$79</f>
        <v>0</v>
      </c>
      <c r="T80" s="1">
        <f>-ROUND(_xlfn.WEIBULL.DIST(COUNTA($C$79:$C80)+J$37/4,$T$14,J$37,FALSE),3)*AD$79</f>
        <v>0</v>
      </c>
      <c r="U80" s="1">
        <f>-ROUND(_xlfn.WEIBULL.DIST(COUNTA($C$79:$C80)+K$37/4,$T$14,K$37,FALSE),3)*AE$79</f>
        <v>-1.2500000000000001E-2</v>
      </c>
      <c r="V80" s="163">
        <f>-ROUND(_xlfn.WEIBULL.DIST(COUNTA($C$79:$C80)+L$37/4,$T$14,L$37,FALSE),3)*AF$79</f>
        <v>0</v>
      </c>
      <c r="X80" s="162">
        <v>0</v>
      </c>
      <c r="Y80" s="1">
        <v>0</v>
      </c>
      <c r="Z80" s="1">
        <v>-1.2500000000000001E-2</v>
      </c>
      <c r="AA80" s="163">
        <v>0</v>
      </c>
      <c r="AC80" s="162">
        <f t="array" ref="AC80:AF80">AC79:AF79+I80:L80+X80:AA80</f>
        <v>29.166666666666696</v>
      </c>
      <c r="AD80" s="1">
        <v>0</v>
      </c>
      <c r="AE80" s="1">
        <v>13.125000000000002</v>
      </c>
      <c r="AF80" s="163">
        <v>0</v>
      </c>
      <c r="AJ80" s="162"/>
      <c r="AK80" s="1"/>
      <c r="AL80" s="1"/>
      <c r="AM80" s="1"/>
      <c r="AN80" s="1">
        <f t="array" ref="AN80:AQ98">I80:L98*$I$33:$L$33</f>
        <v>833.33333333333428</v>
      </c>
      <c r="AO80" s="1">
        <v>0</v>
      </c>
      <c r="AP80" s="1">
        <v>6375.0000000000055</v>
      </c>
      <c r="AQ80" s="163">
        <v>0</v>
      </c>
      <c r="AU80" s="162">
        <f t="shared" si="4"/>
        <v>7208.3333333333394</v>
      </c>
      <c r="AV80" s="163">
        <f>1/(1+$T$12)^(COUNTA($C$79:C80)-1)*AU80</f>
        <v>6865.0793650793703</v>
      </c>
    </row>
    <row r="81" spans="3:48" x14ac:dyDescent="0.3">
      <c r="C81" s="10" t="s">
        <v>141</v>
      </c>
      <c r="I81" s="174">
        <v>1.4861111111110519</v>
      </c>
      <c r="J81" s="5">
        <v>0</v>
      </c>
      <c r="K81" s="5">
        <v>0.71875000000010425</v>
      </c>
      <c r="L81" s="175">
        <v>0</v>
      </c>
      <c r="N81" s="162">
        <v>0</v>
      </c>
      <c r="O81" s="1">
        <v>0</v>
      </c>
      <c r="P81" s="1">
        <v>0</v>
      </c>
      <c r="Q81" s="163">
        <v>0</v>
      </c>
      <c r="S81" s="162">
        <f>-ROUND(_xlfn.WEIBULL.DIST(COUNTA($C$79:$C81)+I$37/4,$T$14,I$37,FALSE),3)*AC$79</f>
        <v>-2.7777777777777807E-2</v>
      </c>
      <c r="T81" s="1">
        <f>-ROUND(_xlfn.WEIBULL.DIST(COUNTA($C$79:$C81)+J$37/4,$T$14,J$37,FALSE),3)*AD$79</f>
        <v>0</v>
      </c>
      <c r="U81" s="1">
        <f>-ROUND(_xlfn.WEIBULL.DIST(COUNTA($C$79:$C81)+K$37/4,$T$14,K$37,FALSE),3)*AE$79</f>
        <v>-6.25E-2</v>
      </c>
      <c r="V81" s="163">
        <f>-ROUND(_xlfn.WEIBULL.DIST(COUNTA($C$79:$C81)+L$37/4,$T$14,L$37,FALSE),3)*AF$79</f>
        <v>0</v>
      </c>
      <c r="X81" s="162">
        <v>-2.7777777777777807E-2</v>
      </c>
      <c r="Y81" s="1">
        <v>0</v>
      </c>
      <c r="Z81" s="1">
        <v>-6.25E-2</v>
      </c>
      <c r="AA81" s="163">
        <v>0</v>
      </c>
      <c r="AC81" s="162">
        <f t="array" ref="AC81:AF81">AC80:AF80+I81:L81+X81:AA81</f>
        <v>30.624999999999968</v>
      </c>
      <c r="AD81" s="1">
        <v>0</v>
      </c>
      <c r="AE81" s="1">
        <v>13.781250000000107</v>
      </c>
      <c r="AF81" s="163">
        <v>0</v>
      </c>
      <c r="AJ81" s="162"/>
      <c r="AK81" s="1"/>
      <c r="AL81" s="1"/>
      <c r="AM81" s="1"/>
      <c r="AN81" s="1">
        <v>891.66666666663116</v>
      </c>
      <c r="AO81" s="1">
        <v>0</v>
      </c>
      <c r="AP81" s="1">
        <v>7187.5000000010423</v>
      </c>
      <c r="AQ81" s="163">
        <v>0</v>
      </c>
      <c r="AU81" s="162">
        <f t="shared" si="4"/>
        <v>8079.1666666676738</v>
      </c>
      <c r="AV81" s="163">
        <f>1/(1+$T$12)^(COUNTA($C$79:C81)-1)*AU81</f>
        <v>7328.0423280432406</v>
      </c>
    </row>
    <row r="82" spans="3:48" x14ac:dyDescent="0.3">
      <c r="C82" s="10" t="s">
        <v>142</v>
      </c>
      <c r="I82" s="174">
        <v>1.5868055555555589</v>
      </c>
      <c r="J82" s="5">
        <v>0</v>
      </c>
      <c r="K82" s="5">
        <v>0.93906250000000091</v>
      </c>
      <c r="L82" s="175">
        <v>0</v>
      </c>
      <c r="N82" s="162">
        <v>0</v>
      </c>
      <c r="O82" s="1">
        <v>0</v>
      </c>
      <c r="P82" s="1">
        <v>0</v>
      </c>
      <c r="Q82" s="163">
        <v>0</v>
      </c>
      <c r="S82" s="162">
        <f>-ROUND(_xlfn.WEIBULL.DIST(COUNTA($C$79:$C82)+I$37/4,$T$14,I$37,FALSE),3)*AC$79</f>
        <v>-5.5555555555555615E-2</v>
      </c>
      <c r="T82" s="1">
        <f>-ROUND(_xlfn.WEIBULL.DIST(COUNTA($C$79:$C82)+J$37/4,$T$14,J$37,FALSE),3)*AD$79</f>
        <v>0</v>
      </c>
      <c r="U82" s="1">
        <f>-ROUND(_xlfn.WEIBULL.DIST(COUNTA($C$79:$C82)+K$37/4,$T$14,K$37,FALSE),3)*AE$79</f>
        <v>-0.25</v>
      </c>
      <c r="V82" s="163">
        <f>-ROUND(_xlfn.WEIBULL.DIST(COUNTA($C$79:$C82)+L$37/4,$T$14,L$37,FALSE),3)*AF$79</f>
        <v>0</v>
      </c>
      <c r="X82" s="162">
        <v>-5.5555555555555615E-2</v>
      </c>
      <c r="Y82" s="1">
        <v>0</v>
      </c>
      <c r="Z82" s="1">
        <v>-0.25</v>
      </c>
      <c r="AA82" s="163">
        <v>0</v>
      </c>
      <c r="AC82" s="162">
        <f t="array" ref="AC82:AF82">AC81:AF81+I82:L82+X82:AA82</f>
        <v>32.156249999999972</v>
      </c>
      <c r="AD82" s="1">
        <v>0</v>
      </c>
      <c r="AE82" s="1">
        <v>14.470312500000107</v>
      </c>
      <c r="AF82" s="163">
        <v>0</v>
      </c>
      <c r="AJ82" s="162"/>
      <c r="AK82" s="1"/>
      <c r="AL82" s="1"/>
      <c r="AM82" s="1"/>
      <c r="AN82" s="1">
        <v>952.0833333333353</v>
      </c>
      <c r="AO82" s="1">
        <v>0</v>
      </c>
      <c r="AP82" s="1">
        <v>9390.6250000000091</v>
      </c>
      <c r="AQ82" s="163">
        <v>0</v>
      </c>
      <c r="AU82" s="162">
        <f t="shared" si="4"/>
        <v>10342.708333333345</v>
      </c>
      <c r="AV82" s="163">
        <f>1/(1+$T$12)^(COUNTA($C$79:C82)-1)*AU82</f>
        <v>8934.4203289781617</v>
      </c>
    </row>
    <row r="83" spans="3:48" x14ac:dyDescent="0.3">
      <c r="C83" s="10" t="s">
        <v>143</v>
      </c>
      <c r="I83" s="174">
        <v>1.7467013888888405</v>
      </c>
      <c r="J83" s="5">
        <v>0</v>
      </c>
      <c r="K83" s="5">
        <v>1.6110156249999978</v>
      </c>
      <c r="L83" s="175">
        <v>0</v>
      </c>
      <c r="N83" s="162">
        <v>0</v>
      </c>
      <c r="O83" s="1">
        <v>0</v>
      </c>
      <c r="P83" s="1">
        <v>0</v>
      </c>
      <c r="Q83" s="163">
        <v>0</v>
      </c>
      <c r="S83" s="162">
        <f>-ROUND(_xlfn.WEIBULL.DIST(COUNTA($C$79:$C83)+I$37/4,$T$14,I$37,FALSE),3)*AC$79</f>
        <v>-0.13888888888888903</v>
      </c>
      <c r="T83" s="1">
        <f>-ROUND(_xlfn.WEIBULL.DIST(COUNTA($C$79:$C83)+J$37/4,$T$14,J$37,FALSE),3)*AD$79</f>
        <v>0</v>
      </c>
      <c r="U83" s="1">
        <f>-ROUND(_xlfn.WEIBULL.DIST(COUNTA($C$79:$C83)+K$37/4,$T$14,K$37,FALSE),3)*AE$79</f>
        <v>-0.88749999999999996</v>
      </c>
      <c r="V83" s="163">
        <f>-ROUND(_xlfn.WEIBULL.DIST(COUNTA($C$79:$C83)+L$37/4,$T$14,L$37,FALSE),3)*AF$79</f>
        <v>0</v>
      </c>
      <c r="X83" s="162">
        <v>-0.13888888888888903</v>
      </c>
      <c r="Y83" s="1">
        <v>0</v>
      </c>
      <c r="Z83" s="1">
        <v>-0.88749999999999996</v>
      </c>
      <c r="AA83" s="163">
        <v>0</v>
      </c>
      <c r="AC83" s="162">
        <f t="array" ref="AC83:AF83">AC82:AF82+I83:L83+X83:AA83</f>
        <v>33.764062499999923</v>
      </c>
      <c r="AD83" s="1">
        <v>0</v>
      </c>
      <c r="AE83" s="1">
        <v>15.193828125000106</v>
      </c>
      <c r="AF83" s="163">
        <v>0</v>
      </c>
      <c r="AJ83" s="162"/>
      <c r="AK83" s="1"/>
      <c r="AL83" s="1"/>
      <c r="AM83" s="1"/>
      <c r="AN83" s="1">
        <v>1048.0208333333044</v>
      </c>
      <c r="AO83" s="1">
        <v>0</v>
      </c>
      <c r="AP83" s="1">
        <v>16110.156249999978</v>
      </c>
      <c r="AQ83" s="163">
        <v>0</v>
      </c>
      <c r="AU83" s="162">
        <f t="shared" si="4"/>
        <v>17158.177083333281</v>
      </c>
      <c r="AV83" s="163">
        <f>1/(1+$T$12)^(COUNTA($C$79:C83)-1)*AU83</f>
        <v>14116.074749375646</v>
      </c>
    </row>
    <row r="84" spans="3:48" x14ac:dyDescent="0.3">
      <c r="C84" s="10" t="s">
        <v>268</v>
      </c>
      <c r="I84" s="174">
        <v>2.0770920138891249</v>
      </c>
      <c r="J84" s="5">
        <v>0</v>
      </c>
      <c r="K84" s="5">
        <v>3.1359664062499681</v>
      </c>
      <c r="L84" s="175">
        <v>0</v>
      </c>
      <c r="N84" s="162">
        <v>0</v>
      </c>
      <c r="O84" s="1">
        <v>0</v>
      </c>
      <c r="P84" s="1">
        <v>-1.275000000000001E-3</v>
      </c>
      <c r="Q84" s="163">
        <v>0</v>
      </c>
      <c r="S84" s="162">
        <f>-ROUND(_xlfn.WEIBULL.DIST(COUNTA($C$79:$C84)+I$37/4,$T$14,I$37,FALSE),3)*AC$79</f>
        <v>-0.38888888888888928</v>
      </c>
      <c r="T84" s="1">
        <f>-ROUND(_xlfn.WEIBULL.DIST(COUNTA($C$79:$C84)+J$37/4,$T$14,J$37,FALSE),3)*AD$79</f>
        <v>0</v>
      </c>
      <c r="U84" s="1">
        <f>-ROUND(_xlfn.WEIBULL.DIST(COUNTA($C$79:$C84)+K$37/4,$T$14,K$37,FALSE),3)*AE$79</f>
        <v>-2.375</v>
      </c>
      <c r="V84" s="163">
        <f>-ROUND(_xlfn.WEIBULL.DIST(COUNTA($C$79:$C84)+L$37/4,$T$14,L$37,FALSE),3)*AF$79</f>
        <v>0</v>
      </c>
      <c r="X84" s="162">
        <v>-0.38888888888888928</v>
      </c>
      <c r="Y84" s="1">
        <v>0</v>
      </c>
      <c r="Z84" s="1">
        <v>-2.3762750000000001</v>
      </c>
      <c r="AA84" s="163">
        <v>0</v>
      </c>
      <c r="AC84" s="162">
        <f t="array" ref="AC84:AF84">AC83:AF83+I84:L84+X84:AA84</f>
        <v>35.452265625000166</v>
      </c>
      <c r="AD84" s="1">
        <v>0</v>
      </c>
      <c r="AE84" s="1">
        <v>15.953519531250073</v>
      </c>
      <c r="AF84" s="163">
        <v>0</v>
      </c>
      <c r="AJ84" s="162"/>
      <c r="AK84" s="1"/>
      <c r="AL84" s="1"/>
      <c r="AM84" s="1"/>
      <c r="AN84" s="1">
        <v>1246.2552083334749</v>
      </c>
      <c r="AO84" s="1">
        <v>0</v>
      </c>
      <c r="AP84" s="1">
        <v>31359.66406249968</v>
      </c>
      <c r="AQ84" s="163">
        <v>0</v>
      </c>
      <c r="AU84" s="162">
        <f t="shared" si="4"/>
        <v>32605.919270833154</v>
      </c>
      <c r="AV84" s="163">
        <f>1/(1+$T$12)^(COUNTA($C$79:C84)-1)*AU84</f>
        <v>25547.59093045595</v>
      </c>
    </row>
    <row r="85" spans="3:48" x14ac:dyDescent="0.3">
      <c r="C85" s="10" t="s">
        <v>269</v>
      </c>
      <c r="I85" s="174">
        <v>2.6615021701391508</v>
      </c>
      <c r="J85" s="5">
        <v>0</v>
      </c>
      <c r="K85" s="5">
        <v>5.1304884765624408</v>
      </c>
      <c r="L85" s="175">
        <v>0</v>
      </c>
      <c r="N85" s="162">
        <v>0</v>
      </c>
      <c r="O85" s="1">
        <v>0</v>
      </c>
      <c r="P85" s="1">
        <v>-7.8125000000002151E-3</v>
      </c>
      <c r="Q85" s="163">
        <v>0</v>
      </c>
      <c r="S85" s="162">
        <f>-ROUND(_xlfn.WEIBULL.DIST(COUNTA($C$79:$C85)+I$37/4,$T$14,I$37,FALSE),3)*AC$79</f>
        <v>-0.88888888888888984</v>
      </c>
      <c r="T85" s="1">
        <f>-ROUND(_xlfn.WEIBULL.DIST(COUNTA($C$79:$C85)+J$37/4,$T$14,J$37,FALSE),3)*AD$79</f>
        <v>0</v>
      </c>
      <c r="U85" s="1">
        <f>-ROUND(_xlfn.WEIBULL.DIST(COUNTA($C$79:$C85)+K$37/4,$T$14,K$37,FALSE),3)*AE$79</f>
        <v>-4.3249999999999993</v>
      </c>
      <c r="V85" s="163">
        <f>-ROUND(_xlfn.WEIBULL.DIST(COUNTA($C$79:$C85)+L$37/4,$T$14,L$37,FALSE),3)*AF$79</f>
        <v>0</v>
      </c>
      <c r="X85" s="162">
        <v>-0.88888888888888984</v>
      </c>
      <c r="Y85" s="1">
        <v>0</v>
      </c>
      <c r="Z85" s="1">
        <v>-4.3328124999999993</v>
      </c>
      <c r="AA85" s="163">
        <v>0</v>
      </c>
      <c r="AC85" s="162">
        <f t="array" ref="AC85:AF85">AC84:AF84+I85:L85+X85:AA85</f>
        <v>37.224878906250424</v>
      </c>
      <c r="AD85" s="1">
        <v>0</v>
      </c>
      <c r="AE85" s="1">
        <v>16.751195507812515</v>
      </c>
      <c r="AF85" s="163">
        <v>0</v>
      </c>
      <c r="AJ85" s="162"/>
      <c r="AK85" s="1"/>
      <c r="AL85" s="1"/>
      <c r="AM85" s="1"/>
      <c r="AN85" s="1">
        <v>1596.9013020834905</v>
      </c>
      <c r="AO85" s="1">
        <v>0</v>
      </c>
      <c r="AP85" s="1">
        <v>51304.884765624411</v>
      </c>
      <c r="AQ85" s="163">
        <v>0</v>
      </c>
      <c r="AU85" s="162">
        <f t="shared" si="4"/>
        <v>52901.786067707901</v>
      </c>
      <c r="AV85" s="163">
        <f>1/(1+$T$12)^(COUNTA($C$79:C85)-1)*AU85</f>
        <v>39476.12727330067</v>
      </c>
    </row>
    <row r="86" spans="3:48" x14ac:dyDescent="0.3">
      <c r="C86" s="10" t="s">
        <v>270</v>
      </c>
      <c r="I86" s="174">
        <v>3.7515217230902862</v>
      </c>
      <c r="J86" s="5">
        <v>0</v>
      </c>
      <c r="K86" s="5">
        <v>4.6714879003908338</v>
      </c>
      <c r="L86" s="175">
        <v>0</v>
      </c>
      <c r="N86" s="162">
        <v>-1.3888888888888905E-3</v>
      </c>
      <c r="O86" s="1">
        <v>0</v>
      </c>
      <c r="P86" s="1">
        <v>-3.3928125000001065E-2</v>
      </c>
      <c r="Q86" s="163">
        <v>0</v>
      </c>
      <c r="S86" s="162">
        <f>-ROUND(_xlfn.WEIBULL.DIST(COUNTA($C$79:$C86)+I$37/4,$T$14,I$37,FALSE),3)*AC$79</f>
        <v>-1.8888888888888911</v>
      </c>
      <c r="T86" s="1">
        <f>-ROUND(_xlfn.WEIBULL.DIST(COUNTA($C$79:$C86)+J$37/4,$T$14,J$37,FALSE),3)*AD$79</f>
        <v>0</v>
      </c>
      <c r="U86" s="1">
        <f>-ROUND(_xlfn.WEIBULL.DIST(COUNTA($C$79:$C86)+K$37/4,$T$14,K$37,FALSE),3)*AE$79</f>
        <v>-3.8</v>
      </c>
      <c r="V86" s="163">
        <f>-ROUND(_xlfn.WEIBULL.DIST(COUNTA($C$79:$C86)+L$37/4,$T$14,L$37,FALSE),3)*AF$79</f>
        <v>0</v>
      </c>
      <c r="X86" s="162">
        <v>-1.8902777777777799</v>
      </c>
      <c r="Y86" s="1">
        <v>0</v>
      </c>
      <c r="Z86" s="1">
        <v>-3.8339281250000008</v>
      </c>
      <c r="AA86" s="163">
        <v>0</v>
      </c>
      <c r="AC86" s="162">
        <f t="array" ref="AC86:AF86">AC85:AF85+I86:L86+X86:AA86</f>
        <v>39.086122851562926</v>
      </c>
      <c r="AD86" s="1">
        <v>0</v>
      </c>
      <c r="AE86" s="1">
        <v>17.588755283203348</v>
      </c>
      <c r="AF86" s="163">
        <v>0</v>
      </c>
      <c r="AJ86" s="162"/>
      <c r="AK86" s="1"/>
      <c r="AL86" s="1"/>
      <c r="AM86" s="1"/>
      <c r="AN86" s="1">
        <v>2250.9130338541718</v>
      </c>
      <c r="AO86" s="1">
        <v>0</v>
      </c>
      <c r="AP86" s="1">
        <v>46714.87900390834</v>
      </c>
      <c r="AQ86" s="163">
        <v>0</v>
      </c>
      <c r="AU86" s="162">
        <f t="shared" si="4"/>
        <v>48965.792037762512</v>
      </c>
      <c r="AV86" s="163">
        <f>1/(1+$T$12)^(COUNTA($C$79:C86)-1)*AU86</f>
        <v>34799.074216271976</v>
      </c>
    </row>
    <row r="87" spans="3:48" x14ac:dyDescent="0.3">
      <c r="C87" s="10" t="s">
        <v>271</v>
      </c>
      <c r="I87" s="174">
        <v>5.4863478092442923</v>
      </c>
      <c r="J87" s="5">
        <v>0</v>
      </c>
      <c r="K87" s="5">
        <v>1.7722191704101273</v>
      </c>
      <c r="L87" s="175">
        <v>0</v>
      </c>
      <c r="N87" s="162">
        <v>-4.2638888888888327E-3</v>
      </c>
      <c r="O87" s="1">
        <v>0</v>
      </c>
      <c r="P87" s="1">
        <v>-0.11778140625000412</v>
      </c>
      <c r="Q87" s="163">
        <v>0</v>
      </c>
      <c r="S87" s="162">
        <f>-ROUND(_xlfn.WEIBULL.DIST(COUNTA($C$79:$C87)+I$37/4,$T$14,I$37,FALSE),3)*AC$79</f>
        <v>-3.5277777777777817</v>
      </c>
      <c r="T87" s="1">
        <f>-ROUND(_xlfn.WEIBULL.DIST(COUNTA($C$79:$C87)+J$37/4,$T$14,J$37,FALSE),3)*AD$79</f>
        <v>0</v>
      </c>
      <c r="U87" s="1">
        <f>-ROUND(_xlfn.WEIBULL.DIST(COUNTA($C$79:$C87)+K$37/4,$T$14,K$37,FALSE),3)*AE$79</f>
        <v>-0.77500000000000002</v>
      </c>
      <c r="V87" s="163">
        <f>-ROUND(_xlfn.WEIBULL.DIST(COUNTA($C$79:$C87)+L$37/4,$T$14,L$37,FALSE),3)*AF$79</f>
        <v>0</v>
      </c>
      <c r="X87" s="162">
        <v>-3.5320416666666703</v>
      </c>
      <c r="Y87" s="1">
        <v>0</v>
      </c>
      <c r="Z87" s="1">
        <v>-0.89278140625000413</v>
      </c>
      <c r="AA87" s="163">
        <v>0</v>
      </c>
      <c r="AC87" s="162">
        <f t="array" ref="AC87:AF87">AC86:AF86+I87:L87+X87:AA87</f>
        <v>41.040428994140548</v>
      </c>
      <c r="AD87" s="1">
        <v>0</v>
      </c>
      <c r="AE87" s="1">
        <v>18.468193047363471</v>
      </c>
      <c r="AF87" s="163">
        <v>0</v>
      </c>
      <c r="AJ87" s="162"/>
      <c r="AK87" s="1"/>
      <c r="AL87" s="1"/>
      <c r="AM87" s="1"/>
      <c r="AN87" s="1">
        <v>3291.8086855465754</v>
      </c>
      <c r="AO87" s="1">
        <v>0</v>
      </c>
      <c r="AP87" s="1">
        <v>17722.191704101275</v>
      </c>
      <c r="AQ87" s="163">
        <v>0</v>
      </c>
      <c r="AU87" s="162">
        <f t="shared" si="4"/>
        <v>21014.000389647852</v>
      </c>
      <c r="AV87" s="163">
        <f>1/(1+$T$12)^(COUNTA($C$79:C87)-1)*AU87</f>
        <v>14223.102617399836</v>
      </c>
    </row>
    <row r="88" spans="3:48" x14ac:dyDescent="0.3">
      <c r="C88" s="10" t="s">
        <v>272</v>
      </c>
      <c r="I88" s="174">
        <v>7.6218582552631844</v>
      </c>
      <c r="J88" s="5">
        <v>0</v>
      </c>
      <c r="K88" s="5">
        <v>1.2559214289305085</v>
      </c>
      <c r="L88" s="175">
        <v>0</v>
      </c>
      <c r="N88" s="162">
        <v>-1.4281249999999895E-2</v>
      </c>
      <c r="O88" s="1">
        <v>0</v>
      </c>
      <c r="P88" s="1">
        <v>-0.32001177656251267</v>
      </c>
      <c r="Q88" s="163">
        <v>0</v>
      </c>
      <c r="S88" s="162">
        <f>-ROUND(_xlfn.WEIBULL.DIST(COUNTA($C$79:$C88)+I$37/4,$T$14,I$37,FALSE),3)*AC$79</f>
        <v>-5.5555555555555616</v>
      </c>
      <c r="T88" s="1">
        <f>-ROUND(_xlfn.WEIBULL.DIST(COUNTA($C$79:$C88)+J$37/4,$T$14,J$37,FALSE),3)*AD$79</f>
        <v>0</v>
      </c>
      <c r="U88" s="1">
        <f>-ROUND(_xlfn.WEIBULL.DIST(COUNTA($C$79:$C88)+K$37/4,$T$14,K$37,FALSE),3)*AE$79</f>
        <v>-1.2500000000000001E-2</v>
      </c>
      <c r="V88" s="163">
        <f>-ROUND(_xlfn.WEIBULL.DIST(COUNTA($C$79:$C88)+L$37/4,$T$14,L$37,FALSE),3)*AF$79</f>
        <v>0</v>
      </c>
      <c r="X88" s="162">
        <v>-5.5698368055555614</v>
      </c>
      <c r="Y88" s="1">
        <v>0</v>
      </c>
      <c r="Z88" s="1">
        <v>-0.33251177656251268</v>
      </c>
      <c r="AA88" s="163">
        <v>0</v>
      </c>
      <c r="AC88" s="162">
        <f t="array" ref="AC88:AF88">AC87:AF87+I88:L88+X88:AA88</f>
        <v>43.092450443848172</v>
      </c>
      <c r="AD88" s="1">
        <v>0</v>
      </c>
      <c r="AE88" s="1">
        <v>19.391602699731468</v>
      </c>
      <c r="AF88" s="163">
        <v>0</v>
      </c>
      <c r="AJ88" s="162"/>
      <c r="AK88" s="1"/>
      <c r="AL88" s="1"/>
      <c r="AM88" s="1"/>
      <c r="AN88" s="1">
        <v>4573.1149531579103</v>
      </c>
      <c r="AO88" s="1">
        <v>0</v>
      </c>
      <c r="AP88" s="1">
        <v>12559.214289305086</v>
      </c>
      <c r="AQ88" s="163">
        <v>0</v>
      </c>
      <c r="AU88" s="162">
        <f t="shared" si="4"/>
        <v>17132.329242462998</v>
      </c>
      <c r="AV88" s="163">
        <f>1/(1+$T$12)^(COUNTA($C$79:C88)-1)*AU88</f>
        <v>11043.652185270548</v>
      </c>
    </row>
    <row r="89" spans="3:48" x14ac:dyDescent="0.3">
      <c r="C89" s="10" t="s">
        <v>273</v>
      </c>
      <c r="I89" s="174">
        <v>9.0268900569148034</v>
      </c>
      <c r="J89" s="5">
        <v>0</v>
      </c>
      <c r="K89" s="5">
        <v>1.6184756978772181</v>
      </c>
      <c r="L89" s="175">
        <v>0</v>
      </c>
      <c r="N89" s="162">
        <v>-3.8934201388888465E-2</v>
      </c>
      <c r="O89" s="1">
        <v>0</v>
      </c>
      <c r="P89" s="1">
        <v>-0.64889556289065331</v>
      </c>
      <c r="Q89" s="163">
        <v>0</v>
      </c>
      <c r="S89" s="162">
        <f>-ROUND(_xlfn.WEIBULL.DIST(COUNTA($C$79:$C89)+I$37/4,$T$14,I$37,FALSE),3)*AC$79</f>
        <v>-6.8333333333333401</v>
      </c>
      <c r="T89" s="1">
        <f>-ROUND(_xlfn.WEIBULL.DIST(COUNTA($C$79:$C89)+J$37/4,$T$14,J$37,FALSE),3)*AD$79</f>
        <v>0</v>
      </c>
      <c r="U89" s="1">
        <f>-ROUND(_xlfn.WEIBULL.DIST(COUNTA($C$79:$C89)+K$37/4,$T$14,K$37,FALSE),3)*AE$79</f>
        <v>0</v>
      </c>
      <c r="V89" s="163">
        <f>-ROUND(_xlfn.WEIBULL.DIST(COUNTA($C$79:$C89)+L$37/4,$T$14,L$37,FALSE),3)*AF$79</f>
        <v>0</v>
      </c>
      <c r="X89" s="162">
        <v>-6.8722675347222282</v>
      </c>
      <c r="Y89" s="1">
        <v>0</v>
      </c>
      <c r="Z89" s="1">
        <v>-0.64889556289065331</v>
      </c>
      <c r="AA89" s="163">
        <v>0</v>
      </c>
      <c r="AC89" s="162">
        <f t="array" ref="AC89:AF89">AC88:AF88+I89:L89+X89:AA89</f>
        <v>45.247072966040747</v>
      </c>
      <c r="AD89" s="1">
        <v>0</v>
      </c>
      <c r="AE89" s="1">
        <v>20.361182834718033</v>
      </c>
      <c r="AF89" s="163">
        <v>0</v>
      </c>
      <c r="AJ89" s="68"/>
      <c r="AN89" s="1">
        <v>5416.1340341488822</v>
      </c>
      <c r="AO89" s="1">
        <v>0</v>
      </c>
      <c r="AP89" s="1">
        <v>16184.75697877218</v>
      </c>
      <c r="AQ89" s="163">
        <v>0</v>
      </c>
      <c r="AU89" s="162">
        <f t="shared" si="4"/>
        <v>21600.891012921064</v>
      </c>
      <c r="AV89" s="163">
        <f>1/(1+$T$12)^(COUNTA($C$79:C89)-1)*AU89</f>
        <v>13261.073281121719</v>
      </c>
    </row>
    <row r="90" spans="3:48" x14ac:dyDescent="0.3">
      <c r="C90" s="10" t="s">
        <v>274</v>
      </c>
      <c r="I90" s="174">
        <v>7.9973512264275008</v>
      </c>
      <c r="J90" s="5">
        <v>0</v>
      </c>
      <c r="K90" s="5">
        <v>2.0290066452709596</v>
      </c>
      <c r="L90" s="175">
        <v>0</v>
      </c>
      <c r="N90" s="162">
        <v>-9.6108689236110337E-2</v>
      </c>
      <c r="O90" s="1">
        <v>0</v>
      </c>
      <c r="P90" s="1">
        <v>-1.0109475035351934</v>
      </c>
      <c r="Q90" s="163">
        <v>0</v>
      </c>
      <c r="S90" s="162">
        <f>-ROUND(_xlfn.WEIBULL.DIST(COUNTA($C$79:$C90)+I$37/4,$T$14,I$37,FALSE),3)*AC$79</f>
        <v>-5.6388888888888955</v>
      </c>
      <c r="T90" s="1">
        <f>-ROUND(_xlfn.WEIBULL.DIST(COUNTA($C$79:$C90)+J$37/4,$T$14,J$37,FALSE),3)*AD$79</f>
        <v>0</v>
      </c>
      <c r="U90" s="1">
        <f>-ROUND(_xlfn.WEIBULL.DIST(COUNTA($C$79:$C90)+K$37/4,$T$14,K$37,FALSE),3)*AE$79</f>
        <v>0</v>
      </c>
      <c r="V90" s="163">
        <f>-ROUND(_xlfn.WEIBULL.DIST(COUNTA($C$79:$C90)+L$37/4,$T$14,L$37,FALSE),3)*AF$79</f>
        <v>0</v>
      </c>
      <c r="X90" s="162">
        <v>-5.7349975781250055</v>
      </c>
      <c r="Y90" s="1">
        <v>0</v>
      </c>
      <c r="Z90" s="1">
        <v>-1.0109475035351934</v>
      </c>
      <c r="AA90" s="163">
        <v>0</v>
      </c>
      <c r="AC90" s="162">
        <f t="array" ref="AC90:AF90">AC89:AF89+I90:L90+X90:AA90</f>
        <v>47.509426614343241</v>
      </c>
      <c r="AD90" s="1">
        <v>0</v>
      </c>
      <c r="AE90" s="1">
        <v>21.379241976453802</v>
      </c>
      <c r="AF90" s="163">
        <v>0</v>
      </c>
      <c r="AJ90" s="68"/>
      <c r="AN90" s="1">
        <v>4798.4107358565007</v>
      </c>
      <c r="AO90" s="1">
        <v>0</v>
      </c>
      <c r="AP90" s="1">
        <v>20290.066452709598</v>
      </c>
      <c r="AQ90" s="163">
        <v>0</v>
      </c>
      <c r="AU90" s="162">
        <f t="shared" si="4"/>
        <v>25088.477188566099</v>
      </c>
      <c r="AV90" s="163">
        <f>1/(1+$T$12)^(COUNTA($C$79:C90)-1)*AU90</f>
        <v>14668.713006872129</v>
      </c>
    </row>
    <row r="91" spans="3:48" x14ac:dyDescent="0.3">
      <c r="C91" s="10" t="s">
        <v>275</v>
      </c>
      <c r="I91" s="174">
        <v>5.0350035099698909</v>
      </c>
      <c r="J91" s="5">
        <v>0</v>
      </c>
      <c r="K91" s="5">
        <v>2.6176571675346438</v>
      </c>
      <c r="L91" s="175">
        <v>0</v>
      </c>
      <c r="N91" s="162">
        <v>-0.21508773480902604</v>
      </c>
      <c r="O91" s="1">
        <v>0</v>
      </c>
      <c r="P91" s="1">
        <v>-1.5486950687119281</v>
      </c>
      <c r="Q91" s="163">
        <v>0</v>
      </c>
      <c r="S91" s="162">
        <f>-ROUND(_xlfn.WEIBULL.DIST(COUNTA($C$79:$C91)+I$37/4,$T$14,I$37,FALSE),3)*AC$79</f>
        <v>-2.4444444444444469</v>
      </c>
      <c r="T91" s="1">
        <f>-ROUND(_xlfn.WEIBULL.DIST(COUNTA($C$79:$C91)+J$37/4,$T$14,J$37,FALSE),3)*AD$79</f>
        <v>0</v>
      </c>
      <c r="U91" s="1">
        <f>-ROUND(_xlfn.WEIBULL.DIST(COUNTA($C$79:$C91)+K$37/4,$T$14,K$37,FALSE),3)*AE$79</f>
        <v>0</v>
      </c>
      <c r="V91" s="163">
        <f>-ROUND(_xlfn.WEIBULL.DIST(COUNTA($C$79:$C91)+L$37/4,$T$14,L$37,FALSE),3)*AF$79</f>
        <v>0</v>
      </c>
      <c r="X91" s="162">
        <v>-2.659532179253473</v>
      </c>
      <c r="Y91" s="1">
        <v>0</v>
      </c>
      <c r="Z91" s="1">
        <v>-1.5486950687119281</v>
      </c>
      <c r="AA91" s="163">
        <v>0</v>
      </c>
      <c r="AC91" s="162">
        <f t="array" ref="AC91:AF91">AC90:AF90+I91:L91+X91:AA91</f>
        <v>49.884897945059656</v>
      </c>
      <c r="AD91" s="1">
        <v>0</v>
      </c>
      <c r="AE91" s="1">
        <v>22.448204075276518</v>
      </c>
      <c r="AF91" s="163">
        <v>0</v>
      </c>
      <c r="AJ91" s="68"/>
      <c r="AN91" s="1">
        <v>3021.0021059819346</v>
      </c>
      <c r="AO91" s="1">
        <v>0</v>
      </c>
      <c r="AP91" s="1">
        <v>26176.571675346437</v>
      </c>
      <c r="AQ91" s="163">
        <v>0</v>
      </c>
      <c r="AU91" s="162">
        <f t="shared" si="4"/>
        <v>29197.57378132837</v>
      </c>
      <c r="AV91" s="163">
        <f>1/(1+$T$12)^(COUNTA($C$79:C91)-1)*AU91</f>
        <v>16258.301601443693</v>
      </c>
    </row>
    <row r="92" spans="3:48" x14ac:dyDescent="0.3">
      <c r="C92" s="10" t="s">
        <v>276</v>
      </c>
      <c r="I92" s="174">
        <v>3.3186050743582083</v>
      </c>
      <c r="J92" s="5">
        <v>0</v>
      </c>
      <c r="K92" s="5">
        <v>3.5677752010112527</v>
      </c>
      <c r="L92" s="175">
        <v>0</v>
      </c>
      <c r="N92" s="162">
        <v>-0.43547128821614278</v>
      </c>
      <c r="O92" s="1">
        <v>0</v>
      </c>
      <c r="P92" s="1">
        <v>-2.4453649972475016</v>
      </c>
      <c r="Q92" s="163">
        <v>0</v>
      </c>
      <c r="S92" s="162">
        <f>-ROUND(_xlfn.WEIBULL.DIST(COUNTA($C$79:$C92)+I$37/4,$T$14,I$37,FALSE),3)*AC$79</f>
        <v>-0.38888888888888928</v>
      </c>
      <c r="T92" s="1">
        <f>-ROUND(_xlfn.WEIBULL.DIST(COUNTA($C$79:$C92)+J$37/4,$T$14,J$37,FALSE),3)*AD$79</f>
        <v>0</v>
      </c>
      <c r="U92" s="1">
        <f>-ROUND(_xlfn.WEIBULL.DIST(COUNTA($C$79:$C92)+K$37/4,$T$14,K$37,FALSE),3)*AE$79</f>
        <v>0</v>
      </c>
      <c r="V92" s="163">
        <f>-ROUND(_xlfn.WEIBULL.DIST(COUNTA($C$79:$C92)+L$37/4,$T$14,L$37,FALSE),3)*AF$79</f>
        <v>0</v>
      </c>
      <c r="X92" s="162">
        <v>-0.82436017710503207</v>
      </c>
      <c r="Y92" s="1">
        <v>0</v>
      </c>
      <c r="Z92" s="1">
        <v>-2.4453649972475016</v>
      </c>
      <c r="AA92" s="163">
        <v>0</v>
      </c>
      <c r="AC92" s="162">
        <f t="array" ref="AC92:AF92">AC91:AF91+I92:L92+X92:AA92</f>
        <v>52.379142842312831</v>
      </c>
      <c r="AD92" s="1">
        <v>0</v>
      </c>
      <c r="AE92" s="1">
        <v>23.570614279040267</v>
      </c>
      <c r="AF92" s="163">
        <v>0</v>
      </c>
      <c r="AJ92" s="68"/>
      <c r="AN92" s="1">
        <v>1991.163044614925</v>
      </c>
      <c r="AO92" s="1">
        <v>0</v>
      </c>
      <c r="AP92" s="1">
        <v>35677.752010112526</v>
      </c>
      <c r="AQ92" s="163">
        <v>0</v>
      </c>
      <c r="AU92" s="162">
        <f t="shared" si="4"/>
        <v>37668.915054727455</v>
      </c>
      <c r="AV92" s="163">
        <f>1/(1+$T$12)^(COUNTA($C$79:C92)-1)*AU92</f>
        <v>19976.629909165935</v>
      </c>
    </row>
    <row r="93" spans="3:48" x14ac:dyDescent="0.3">
      <c r="C93" s="10" t="s">
        <v>277</v>
      </c>
      <c r="I93" s="174">
        <v>3.3978284114086161</v>
      </c>
      <c r="J93" s="5">
        <v>0</v>
      </c>
      <c r="K93" s="5">
        <v>4.6772208923318628</v>
      </c>
      <c r="L93" s="175">
        <v>0</v>
      </c>
      <c r="N93" s="162">
        <v>-0.77887126929361528</v>
      </c>
      <c r="O93" s="1">
        <v>0</v>
      </c>
      <c r="P93" s="1">
        <v>-3.4986901783798796</v>
      </c>
      <c r="Q93" s="163">
        <v>0</v>
      </c>
      <c r="S93" s="162">
        <f>-ROUND(_xlfn.WEIBULL.DIST(COUNTA($C$79:$C93)+I$37/4,$T$14,I$37,FALSE),3)*AC$79</f>
        <v>0</v>
      </c>
      <c r="T93" s="1">
        <f>-ROUND(_xlfn.WEIBULL.DIST(COUNTA($C$79:$C93)+J$37/4,$T$14,J$37,FALSE),3)*AD$79</f>
        <v>0</v>
      </c>
      <c r="U93" s="1">
        <f>-ROUND(_xlfn.WEIBULL.DIST(COUNTA($C$79:$C93)+K$37/4,$T$14,K$37,FALSE),3)*AE$79</f>
        <v>0</v>
      </c>
      <c r="V93" s="163">
        <f>-ROUND(_xlfn.WEIBULL.DIST(COUNTA($C$79:$C93)+L$37/4,$T$14,L$37,FALSE),3)*AF$79</f>
        <v>0</v>
      </c>
      <c r="X93" s="162">
        <v>-0.77887126929361528</v>
      </c>
      <c r="Y93" s="1">
        <v>0</v>
      </c>
      <c r="Z93" s="1">
        <v>-3.4986901783798796</v>
      </c>
      <c r="AA93" s="163">
        <v>0</v>
      </c>
      <c r="AC93" s="162">
        <f t="array" ref="AC93:AF93">AC92:AF92+I93:L93+X93:AA93</f>
        <v>54.998099984427832</v>
      </c>
      <c r="AD93" s="1">
        <v>0</v>
      </c>
      <c r="AE93" s="1">
        <v>24.74914499299225</v>
      </c>
      <c r="AF93" s="163">
        <v>0</v>
      </c>
      <c r="AJ93" s="68"/>
      <c r="AN93" s="1">
        <v>2038.6970468451698</v>
      </c>
      <c r="AO93" s="1">
        <v>0</v>
      </c>
      <c r="AP93" s="1">
        <v>46772.208923318627</v>
      </c>
      <c r="AQ93" s="163">
        <v>0</v>
      </c>
      <c r="AU93" s="162">
        <f t="shared" si="4"/>
        <v>48810.905970163796</v>
      </c>
      <c r="AV93" s="163">
        <f>1/(1+$T$12)^(COUNTA($C$79:C93)-1)*AU93</f>
        <v>24652.824362207379</v>
      </c>
    </row>
    <row r="94" spans="3:48" x14ac:dyDescent="0.3">
      <c r="C94" s="10" t="s">
        <v>278</v>
      </c>
      <c r="I94" s="174">
        <v>3.9535991361466398</v>
      </c>
      <c r="J94" s="5">
        <v>0</v>
      </c>
      <c r="K94" s="5">
        <v>5.2541066908234049</v>
      </c>
      <c r="L94" s="175">
        <v>0</v>
      </c>
      <c r="N94" s="162">
        <v>-1.203694136924965</v>
      </c>
      <c r="O94" s="1">
        <v>0</v>
      </c>
      <c r="P94" s="1">
        <v>-4.0166494411738993</v>
      </c>
      <c r="Q94" s="163">
        <v>0</v>
      </c>
      <c r="S94" s="162">
        <f>-ROUND(_xlfn.WEIBULL.DIST(COUNTA($C$79:$C94)+I$37/4,$T$14,I$37,FALSE),3)*AC$79</f>
        <v>0</v>
      </c>
      <c r="T94" s="1">
        <f>-ROUND(_xlfn.WEIBULL.DIST(COUNTA($C$79:$C94)+J$37/4,$T$14,J$37,FALSE),3)*AD$79</f>
        <v>0</v>
      </c>
      <c r="U94" s="1">
        <f>-ROUND(_xlfn.WEIBULL.DIST(COUNTA($C$79:$C94)+K$37/4,$T$14,K$37,FALSE),3)*AE$79</f>
        <v>0</v>
      </c>
      <c r="V94" s="163">
        <f>-ROUND(_xlfn.WEIBULL.DIST(COUNTA($C$79:$C94)+L$37/4,$T$14,L$37,FALSE),3)*AF$79</f>
        <v>0</v>
      </c>
      <c r="X94" s="162">
        <v>-1.203694136924965</v>
      </c>
      <c r="Y94" s="1">
        <v>0</v>
      </c>
      <c r="Z94" s="1">
        <v>-4.0166494411738993</v>
      </c>
      <c r="AA94" s="163">
        <v>0</v>
      </c>
      <c r="AC94" s="162">
        <f t="array" ref="AC94:AF94">AC93:AF93+I94:L94+X94:AA94</f>
        <v>57.748004983649508</v>
      </c>
      <c r="AD94" s="1">
        <v>0</v>
      </c>
      <c r="AE94" s="1">
        <v>25.986602242641755</v>
      </c>
      <c r="AF94" s="163">
        <v>0</v>
      </c>
      <c r="AJ94" s="68"/>
      <c r="AN94" s="1">
        <v>2372.1594816879838</v>
      </c>
      <c r="AO94" s="1">
        <v>0</v>
      </c>
      <c r="AP94" s="1">
        <v>52541.066908234046</v>
      </c>
      <c r="AQ94" s="163">
        <v>0</v>
      </c>
      <c r="AU94" s="162">
        <f t="shared" si="4"/>
        <v>54913.226389922027</v>
      </c>
      <c r="AV94" s="163">
        <f>1/(1+$T$12)^(COUNTA($C$79:C94)-1)*AU94</f>
        <v>26414.200804892778</v>
      </c>
    </row>
    <row r="95" spans="3:48" x14ac:dyDescent="0.3">
      <c r="C95" s="10" t="s">
        <v>279</v>
      </c>
      <c r="I95" s="174">
        <v>4.491356167953291</v>
      </c>
      <c r="J95" s="5">
        <v>0</v>
      </c>
      <c r="K95" s="5">
        <v>4.6803275212473059</v>
      </c>
      <c r="L95" s="175">
        <v>0</v>
      </c>
      <c r="N95" s="162">
        <v>-1.6039559187712225</v>
      </c>
      <c r="O95" s="1">
        <v>0</v>
      </c>
      <c r="P95" s="1">
        <v>-3.3809974091151132</v>
      </c>
      <c r="Q95" s="163">
        <v>0</v>
      </c>
      <c r="S95" s="162">
        <f>-ROUND(_xlfn.WEIBULL.DIST(COUNTA($C$79:$C95)+I$37/4,$T$14,I$37,FALSE),3)*AC$79</f>
        <v>0</v>
      </c>
      <c r="T95" s="1">
        <f>-ROUND(_xlfn.WEIBULL.DIST(COUNTA($C$79:$C95)+J$37/4,$T$14,J$37,FALSE),3)*AD$79</f>
        <v>0</v>
      </c>
      <c r="U95" s="1">
        <f>-ROUND(_xlfn.WEIBULL.DIST(COUNTA($C$79:$C95)+K$37/4,$T$14,K$37,FALSE),3)*AE$79</f>
        <v>0</v>
      </c>
      <c r="V95" s="163">
        <f>-ROUND(_xlfn.WEIBULL.DIST(COUNTA($C$79:$C95)+L$37/4,$T$14,L$37,FALSE),3)*AF$79</f>
        <v>0</v>
      </c>
      <c r="X95" s="162">
        <v>-1.6039559187712225</v>
      </c>
      <c r="Y95" s="1">
        <v>0</v>
      </c>
      <c r="Z95" s="1">
        <v>-3.3809974091151132</v>
      </c>
      <c r="AA95" s="163">
        <v>0</v>
      </c>
      <c r="AC95" s="162">
        <f t="array" ref="AC95:AF95">AC94:AF94+I95:L95+X95:AA95</f>
        <v>60.63540523283158</v>
      </c>
      <c r="AD95" s="1">
        <v>0</v>
      </c>
      <c r="AE95" s="1">
        <v>27.285932354773948</v>
      </c>
      <c r="AF95" s="163">
        <v>0</v>
      </c>
      <c r="AJ95" s="68"/>
      <c r="AN95" s="1">
        <v>2694.8137007719747</v>
      </c>
      <c r="AO95" s="1">
        <v>0</v>
      </c>
      <c r="AP95" s="1">
        <v>46803.275212473061</v>
      </c>
      <c r="AQ95" s="163">
        <v>0</v>
      </c>
      <c r="AU95" s="162">
        <f t="shared" si="4"/>
        <v>49498.088913245039</v>
      </c>
      <c r="AV95" s="163">
        <f>1/(1+$T$12)^(COUNTA($C$79:C95)-1)*AU95</f>
        <v>22675.644847712338</v>
      </c>
    </row>
    <row r="96" spans="3:48" x14ac:dyDescent="0.3">
      <c r="C96" s="10" t="s">
        <v>280</v>
      </c>
      <c r="I96" s="174">
        <v>4.9818045166289044</v>
      </c>
      <c r="J96" s="5">
        <v>0</v>
      </c>
      <c r="K96" s="5">
        <v>3.5462360069447101</v>
      </c>
      <c r="L96" s="175">
        <v>0</v>
      </c>
      <c r="N96" s="162">
        <v>-1.9500342549875866</v>
      </c>
      <c r="O96" s="1">
        <v>0</v>
      </c>
      <c r="P96" s="1">
        <v>-2.1819393892060095</v>
      </c>
      <c r="Q96" s="163">
        <v>0</v>
      </c>
      <c r="S96" s="162">
        <f>-ROUND(_xlfn.WEIBULL.DIST(COUNTA($C$79:$C96)+I$37/4,$T$14,I$37,FALSE),3)*AC$79</f>
        <v>0</v>
      </c>
      <c r="T96" s="1">
        <f>-ROUND(_xlfn.WEIBULL.DIST(COUNTA($C$79:$C96)+J$37/4,$T$14,J$37,FALSE),3)*AD$79</f>
        <v>0</v>
      </c>
      <c r="U96" s="1">
        <f>-ROUND(_xlfn.WEIBULL.DIST(COUNTA($C$79:$C96)+K$37/4,$T$14,K$37,FALSE),3)*AE$79</f>
        <v>0</v>
      </c>
      <c r="V96" s="163">
        <f>-ROUND(_xlfn.WEIBULL.DIST(COUNTA($C$79:$C96)+L$37/4,$T$14,L$37,FALSE),3)*AF$79</f>
        <v>0</v>
      </c>
      <c r="X96" s="162">
        <v>-1.9500342549875866</v>
      </c>
      <c r="Y96" s="1">
        <v>0</v>
      </c>
      <c r="Z96" s="1">
        <v>-2.1819393892060095</v>
      </c>
      <c r="AA96" s="163">
        <v>0</v>
      </c>
      <c r="AC96" s="162">
        <f t="array" ref="AC96:AF96">AC95:AF95+I96:L96+X96:AA96</f>
        <v>63.6671754944729</v>
      </c>
      <c r="AD96" s="1">
        <v>0</v>
      </c>
      <c r="AE96" s="1">
        <v>28.65022897251265</v>
      </c>
      <c r="AF96" s="163">
        <v>0</v>
      </c>
      <c r="AJ96" s="68"/>
      <c r="AN96" s="1">
        <v>2989.0827099773428</v>
      </c>
      <c r="AO96" s="1">
        <v>0</v>
      </c>
      <c r="AP96" s="1">
        <v>35462.360069447102</v>
      </c>
      <c r="AQ96" s="163">
        <v>0</v>
      </c>
      <c r="AU96" s="162">
        <f t="shared" si="4"/>
        <v>38451.442779424448</v>
      </c>
      <c r="AV96" s="163">
        <f>1/(1+$T$12)^(COUNTA($C$79:C96)-1)*AU96</f>
        <v>16776.237118521301</v>
      </c>
    </row>
    <row r="97" spans="3:51" x14ac:dyDescent="0.3">
      <c r="C97" s="10" t="s">
        <v>281</v>
      </c>
      <c r="I97" s="174">
        <v>5.5585519202392142</v>
      </c>
      <c r="J97" s="5">
        <v>0</v>
      </c>
      <c r="K97" s="5">
        <v>3.0924619682954919</v>
      </c>
      <c r="L97" s="175">
        <v>0</v>
      </c>
      <c r="N97" s="162">
        <v>-2.3751931455147774</v>
      </c>
      <c r="O97" s="1">
        <v>0</v>
      </c>
      <c r="P97" s="1">
        <v>-1.6599505196698028</v>
      </c>
      <c r="Q97" s="163">
        <v>0</v>
      </c>
      <c r="S97" s="162">
        <f>-ROUND(_xlfn.WEIBULL.DIST(COUNTA($C$79:$C97)+I$37/4,$T$14,I$37,FALSE),3)*AC$79</f>
        <v>0</v>
      </c>
      <c r="T97" s="1">
        <f>-ROUND(_xlfn.WEIBULL.DIST(COUNTA($C$79:$C97)+J$37/4,$T$14,J$37,FALSE),3)*AD$79</f>
        <v>0</v>
      </c>
      <c r="U97" s="1">
        <f>-ROUND(_xlfn.WEIBULL.DIST(COUNTA($C$79:$C97)+K$37/4,$T$14,K$37,FALSE),3)*AE$79</f>
        <v>0</v>
      </c>
      <c r="V97" s="163">
        <f>-ROUND(_xlfn.WEIBULL.DIST(COUNTA($C$79:$C97)+L$37/4,$T$14,L$37,FALSE),3)*AF$79</f>
        <v>0</v>
      </c>
      <c r="X97" s="162">
        <v>-2.3751931455147774</v>
      </c>
      <c r="Y97" s="1">
        <v>0</v>
      </c>
      <c r="Z97" s="1">
        <v>-1.6599505196698028</v>
      </c>
      <c r="AA97" s="163">
        <v>0</v>
      </c>
      <c r="AC97" s="162">
        <f t="array" ref="AC97:AF97">AC96:AF96+I97:L97+X97:AA97</f>
        <v>66.85053426919734</v>
      </c>
      <c r="AD97" s="1">
        <v>0</v>
      </c>
      <c r="AE97" s="1">
        <v>30.08274042113834</v>
      </c>
      <c r="AF97" s="163">
        <v>0</v>
      </c>
      <c r="AJ97" s="68"/>
      <c r="AN97" s="1">
        <v>3335.1311521435287</v>
      </c>
      <c r="AO97" s="1">
        <v>0</v>
      </c>
      <c r="AP97" s="1">
        <v>30924.619682954919</v>
      </c>
      <c r="AQ97" s="163">
        <v>0</v>
      </c>
      <c r="AU97" s="162">
        <f t="shared" si="4"/>
        <v>34259.75083509845</v>
      </c>
      <c r="AV97" s="163">
        <f>1/(1+$T$12)^(COUNTA($C$79:C97)-1)*AU97</f>
        <v>14235.63410259691</v>
      </c>
    </row>
    <row r="98" spans="3:51" x14ac:dyDescent="0.3">
      <c r="C98" s="10" t="s">
        <v>282</v>
      </c>
      <c r="I98" s="176">
        <v>6.3498692440274054</v>
      </c>
      <c r="J98" s="177">
        <v>0</v>
      </c>
      <c r="K98" s="177">
        <v>3.4073516468170482</v>
      </c>
      <c r="L98" s="178">
        <v>0</v>
      </c>
      <c r="N98" s="165">
        <v>-3.0073425305683199</v>
      </c>
      <c r="O98" s="166">
        <v>0</v>
      </c>
      <c r="P98" s="166">
        <v>-1.9032146257601652</v>
      </c>
      <c r="Q98" s="167">
        <v>0</v>
      </c>
      <c r="S98" s="165">
        <f>-ROUND(_xlfn.WEIBULL.DIST(COUNTA($C$79:$C98)+I$37/4,$T$14,I$37,FALSE),3)*AC$79</f>
        <v>0</v>
      </c>
      <c r="T98" s="166">
        <f>-ROUND(_xlfn.WEIBULL.DIST(COUNTA($C$79:$C98)+J$37/4,$T$14,J$37,FALSE),3)*AD$79</f>
        <v>0</v>
      </c>
      <c r="U98" s="166">
        <f>-ROUND(_xlfn.WEIBULL.DIST(COUNTA($C$79:$C98)+K$37/4,$T$14,K$37,FALSE),3)*AE$79</f>
        <v>0</v>
      </c>
      <c r="V98" s="167">
        <f>-ROUND(_xlfn.WEIBULL.DIST(COUNTA($C$79:$C98)+L$37/4,$T$14,L$37,FALSE),3)*AF$79</f>
        <v>0</v>
      </c>
      <c r="X98" s="165">
        <v>-3.0073425305683199</v>
      </c>
      <c r="Y98" s="166">
        <v>0</v>
      </c>
      <c r="Z98" s="166">
        <v>-1.9032146257601652</v>
      </c>
      <c r="AA98" s="167">
        <v>0</v>
      </c>
      <c r="AC98" s="165">
        <f t="array" ref="AC98:AF98">AC97:AF97+I98:L98+X98:AA98</f>
        <v>70.193060982656419</v>
      </c>
      <c r="AD98" s="166">
        <v>0</v>
      </c>
      <c r="AE98" s="166">
        <v>31.586877442195224</v>
      </c>
      <c r="AF98" s="167">
        <v>0</v>
      </c>
      <c r="AJ98" s="70"/>
      <c r="AK98" s="71"/>
      <c r="AL98" s="71"/>
      <c r="AM98" s="71"/>
      <c r="AN98" s="166">
        <v>3809.9215464164431</v>
      </c>
      <c r="AO98" s="166">
        <v>0</v>
      </c>
      <c r="AP98" s="166">
        <v>34073.516468170485</v>
      </c>
      <c r="AQ98" s="167">
        <v>0</v>
      </c>
      <c r="AU98" s="165">
        <f t="shared" si="4"/>
        <v>37883.438014586929</v>
      </c>
      <c r="AV98" s="167">
        <f>1/(1+$T$12)^(COUNTA($C$79:C98)-1)*AU98</f>
        <v>14991.762830907492</v>
      </c>
    </row>
    <row r="99" spans="3:51" x14ac:dyDescent="0.3">
      <c r="S99" s="1"/>
      <c r="AV99" s="1"/>
    </row>
    <row r="100" spans="3:51" x14ac:dyDescent="0.3">
      <c r="AW100" s="27">
        <f>SUM(AV53:AV72,AV79:AV98)*0.000001</f>
        <v>0.34675847157390283</v>
      </c>
      <c r="AX100" s="10" t="s">
        <v>308</v>
      </c>
      <c r="AY100" s="10" t="s">
        <v>92</v>
      </c>
    </row>
    <row r="112" spans="3:51" x14ac:dyDescent="0.3">
      <c r="AD112" s="10" t="s">
        <v>309</v>
      </c>
    </row>
    <row r="114" spans="2:40" x14ac:dyDescent="0.3">
      <c r="B114" s="10">
        <f>I37</f>
        <v>15</v>
      </c>
      <c r="D114" s="11" t="s">
        <v>139</v>
      </c>
      <c r="E114" s="11" t="s">
        <v>140</v>
      </c>
      <c r="F114" s="11" t="s">
        <v>141</v>
      </c>
      <c r="G114" s="11" t="s">
        <v>142</v>
      </c>
      <c r="H114" s="11" t="s">
        <v>143</v>
      </c>
      <c r="I114" s="11" t="s">
        <v>268</v>
      </c>
      <c r="J114" s="11" t="s">
        <v>269</v>
      </c>
      <c r="K114" s="11" t="s">
        <v>270</v>
      </c>
      <c r="L114" s="11" t="s">
        <v>271</v>
      </c>
      <c r="M114" s="11" t="s">
        <v>272</v>
      </c>
      <c r="N114" s="11" t="s">
        <v>273</v>
      </c>
      <c r="O114" s="11" t="s">
        <v>274</v>
      </c>
      <c r="P114" s="11" t="s">
        <v>275</v>
      </c>
      <c r="Q114" s="11" t="s">
        <v>276</v>
      </c>
      <c r="R114" s="11" t="s">
        <v>277</v>
      </c>
      <c r="S114" s="11" t="s">
        <v>278</v>
      </c>
      <c r="T114" s="11" t="s">
        <v>279</v>
      </c>
      <c r="U114" s="11" t="s">
        <v>280</v>
      </c>
      <c r="V114" s="11" t="s">
        <v>281</v>
      </c>
      <c r="W114" s="11" t="s">
        <v>282</v>
      </c>
      <c r="AD114" s="10" t="s">
        <v>310</v>
      </c>
      <c r="AF114" s="10">
        <v>27.777777777777807</v>
      </c>
      <c r="AG114" s="10">
        <v>0</v>
      </c>
      <c r="AH114" s="10">
        <v>12.5</v>
      </c>
      <c r="AI114" s="10">
        <v>0</v>
      </c>
    </row>
    <row r="115" spans="2:40" x14ac:dyDescent="0.3">
      <c r="C115" s="10" t="s">
        <v>139</v>
      </c>
      <c r="D115" s="10">
        <f>ROUND(_xlfn.WEIBULL.DIST(COUNTA($C$115:C115),$T$14,$B$114,FALSE),3)</f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AD115" s="10" t="s">
        <v>311</v>
      </c>
      <c r="AF115" s="10">
        <v>10</v>
      </c>
      <c r="AG115" s="10">
        <v>20</v>
      </c>
      <c r="AH115" s="10">
        <v>12</v>
      </c>
      <c r="AI115" s="10">
        <v>20</v>
      </c>
    </row>
    <row r="116" spans="2:40" x14ac:dyDescent="0.3">
      <c r="C116" s="10" t="s">
        <v>140</v>
      </c>
      <c r="D116" s="10">
        <f>ROUND(_xlfn.WEIBULL.DIST(COUNTA($C$115:C116),$T$14,$B$114,FALSE),3)</f>
        <v>0</v>
      </c>
      <c r="E116" s="10">
        <f>ROUND(_xlfn.WEIBULL.DIST(COUNTA($C$116:C116),$T$14,$B$114,FALSE),3)</f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AD116" s="10" t="s">
        <v>312</v>
      </c>
      <c r="AF116" s="10">
        <v>1</v>
      </c>
      <c r="AG116" s="10">
        <v>1</v>
      </c>
      <c r="AH116" s="10">
        <v>1</v>
      </c>
      <c r="AI116" s="10">
        <v>1</v>
      </c>
    </row>
    <row r="117" spans="2:40" x14ac:dyDescent="0.3">
      <c r="C117" s="10" t="s">
        <v>141</v>
      </c>
      <c r="D117" s="10">
        <f>ROUND(_xlfn.WEIBULL.DIST(COUNTA($C$115:C117),$T$14,$B$114,FALSE),3)</f>
        <v>0</v>
      </c>
      <c r="E117" s="10">
        <f>ROUND(_xlfn.WEIBULL.DIST(COUNTA($C$116:C117),$T$14,$B$114,FALSE),3)</f>
        <v>0</v>
      </c>
      <c r="F117" s="10">
        <f>ROUND(_xlfn.WEIBULL.DIST(COUNTA($C$117:C117),$T$14,$B$114,FALSE),3)</f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AD117" s="10" t="s">
        <v>313</v>
      </c>
      <c r="AF117" s="10">
        <v>4</v>
      </c>
      <c r="AG117" s="10">
        <v>7</v>
      </c>
      <c r="AH117" s="10">
        <v>7</v>
      </c>
      <c r="AI117" s="10">
        <v>6</v>
      </c>
    </row>
    <row r="118" spans="2:40" x14ac:dyDescent="0.3">
      <c r="C118" s="10" t="s">
        <v>142</v>
      </c>
      <c r="D118" s="10">
        <f>ROUND(_xlfn.WEIBULL.DIST(COUNTA($C$115:C118),$T$14,$B$114,FALSE),3)</f>
        <v>0</v>
      </c>
      <c r="E118" s="10">
        <f>ROUND(_xlfn.WEIBULL.DIST(COUNTA($C$116:C118),$T$14,$B$114,FALSE),3)</f>
        <v>0</v>
      </c>
      <c r="F118" s="10">
        <f>ROUND(_xlfn.WEIBULL.DIST(COUNTA($C$117:C118),$T$14,$B$114,FALSE),3)</f>
        <v>0</v>
      </c>
      <c r="G118" s="10">
        <f>ROUND(_xlfn.WEIBULL.DIST(COUNTA($C$118:C118),$T$14,$B$114,FALSE),3)</f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</row>
    <row r="119" spans="2:40" x14ac:dyDescent="0.3">
      <c r="C119" s="10" t="s">
        <v>143</v>
      </c>
      <c r="D119" s="10">
        <f>ROUND(_xlfn.WEIBULL.DIST(COUNTA($C$115:C119),$T$14,$B$114,FALSE),3)</f>
        <v>0</v>
      </c>
      <c r="E119" s="10">
        <f>ROUND(_xlfn.WEIBULL.DIST(COUNTA($C$116:C119),$T$14,$B$114,FALSE),3)</f>
        <v>0</v>
      </c>
      <c r="F119" s="10">
        <f>ROUND(_xlfn.WEIBULL.DIST(COUNTA($C$117:C119),$T$14,$B$114,FALSE),3)</f>
        <v>0</v>
      </c>
      <c r="G119" s="10">
        <f>ROUND(_xlfn.WEIBULL.DIST(COUNTA($C$118:C119),$T$14,$B$114,FALSE),3)</f>
        <v>0</v>
      </c>
      <c r="H119" s="10">
        <f>ROUND(_xlfn.WEIBULL.DIST(COUNTA($C$119:C119),$T$14,$B$114,FALSE),3)</f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AD119" s="10">
        <v>1</v>
      </c>
      <c r="AF119" s="197">
        <f t="array" ref="AF119:AI145">_xlfn.WEIBULL.DIST(AD119:AD145,AF117:AI117,AF115:AI115/AF116:AI116,FALSE)</f>
        <v>3.9996000199993297E-4</v>
      </c>
      <c r="AG119" s="197">
        <v>5.4687499957275424E-9</v>
      </c>
      <c r="AH119" s="197">
        <v>1.9535714761149804E-7</v>
      </c>
      <c r="AI119" s="197">
        <v>9.3749998535156271E-8</v>
      </c>
      <c r="AK119" s="10">
        <f t="array" ref="AK119:AN145">AF119:AI145*AF114:AI114</f>
        <v>1.1110000055553706E-2</v>
      </c>
      <c r="AL119" s="10">
        <v>0</v>
      </c>
      <c r="AM119" s="10">
        <v>2.4419643451437256E-6</v>
      </c>
      <c r="AN119" s="10">
        <v>0</v>
      </c>
    </row>
    <row r="120" spans="2:40" x14ac:dyDescent="0.3">
      <c r="C120" s="10" t="s">
        <v>268</v>
      </c>
      <c r="D120" s="10">
        <f>ROUND(_xlfn.WEIBULL.DIST(COUNTA($C$115:C120),$T$14,$B$114,FALSE),3)</f>
        <v>0</v>
      </c>
      <c r="E120" s="10">
        <f>ROUND(_xlfn.WEIBULL.DIST(COUNTA($C$116:C120),$T$14,$B$114,FALSE),3)</f>
        <v>0</v>
      </c>
      <c r="F120" s="10">
        <f>ROUND(_xlfn.WEIBULL.DIST(COUNTA($C$117:C120),$T$14,$B$114,FALSE),3)</f>
        <v>0</v>
      </c>
      <c r="G120" s="10">
        <f>ROUND(_xlfn.WEIBULL.DIST(COUNTA($C$118:C120),$T$14,$B$114,FALSE),3)</f>
        <v>0</v>
      </c>
      <c r="H120" s="10">
        <f>ROUND(_xlfn.WEIBULL.DIST(COUNTA($C$119:C120),$T$14,$B$114,FALSE),3)</f>
        <v>0</v>
      </c>
      <c r="I120" s="10">
        <f>ROUND(_xlfn.WEIBULL.DIST(COUNTA($C$120:C120),$T$14,$B$114,FALSE),3)</f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AD120" s="10">
        <v>2</v>
      </c>
      <c r="AF120" s="197">
        <v>3.1948840938163365E-3</v>
      </c>
      <c r="AG120" s="197">
        <v>3.4999996500000187E-7</v>
      </c>
      <c r="AH120" s="197">
        <v>1.250281313287515E-5</v>
      </c>
      <c r="AI120" s="197">
        <v>2.9999970000015003E-6</v>
      </c>
      <c r="AK120" s="10">
        <v>8.8746780383787222E-2</v>
      </c>
      <c r="AL120" s="10">
        <v>0</v>
      </c>
      <c r="AM120" s="10">
        <v>1.5628516416093938E-4</v>
      </c>
      <c r="AN120" s="10">
        <v>0</v>
      </c>
    </row>
    <row r="121" spans="2:40" x14ac:dyDescent="0.3">
      <c r="C121" s="10" t="s">
        <v>269</v>
      </c>
      <c r="D121" s="10">
        <f>ROUND(_xlfn.WEIBULL.DIST(COUNTA($C$115:C121),$T$14,$B$114,FALSE),3)</f>
        <v>1E-3</v>
      </c>
      <c r="E121" s="10">
        <f>ROUND(_xlfn.WEIBULL.DIST(COUNTA($C$116:C121),$T$14,$B$114,FALSE),3)</f>
        <v>0</v>
      </c>
      <c r="F121" s="10">
        <f>ROUND(_xlfn.WEIBULL.DIST(COUNTA($C$117:C121),$T$14,$B$114,FALSE),3)</f>
        <v>0</v>
      </c>
      <c r="G121" s="10">
        <f>ROUND(_xlfn.WEIBULL.DIST(COUNTA($C$118:C121),$T$14,$B$114,FALSE),3)</f>
        <v>0</v>
      </c>
      <c r="H121" s="10">
        <f>ROUND(_xlfn.WEIBULL.DIST(COUNTA($C$119:C121),$T$14,$B$114,FALSE),3)</f>
        <v>0</v>
      </c>
      <c r="I121" s="10">
        <f>ROUND(_xlfn.WEIBULL.DIST(COUNTA($C$120:C121),$T$14,$B$114,FALSE),3)</f>
        <v>0</v>
      </c>
      <c r="J121" s="10">
        <f>ROUND(_xlfn.WEIBULL.DIST(COUNTA($C$121:C121),$T$14,$B$114,FALSE),3)</f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AD121" s="10">
        <v>3</v>
      </c>
      <c r="AF121" s="197">
        <v>1.0712873339340158E-2</v>
      </c>
      <c r="AG121" s="197">
        <v>3.9867119383230823E-6</v>
      </c>
      <c r="AH121" s="197">
        <v>1.4240667250456766E-4</v>
      </c>
      <c r="AI121" s="197">
        <v>2.2780990508802121E-5</v>
      </c>
      <c r="AK121" s="10">
        <v>0.29757981498167135</v>
      </c>
      <c r="AL121" s="10">
        <v>0</v>
      </c>
      <c r="AM121" s="10">
        <v>1.7800834063070958E-3</v>
      </c>
      <c r="AN121" s="10">
        <v>0</v>
      </c>
    </row>
    <row r="122" spans="2:40" x14ac:dyDescent="0.3">
      <c r="C122" s="10" t="s">
        <v>270</v>
      </c>
      <c r="D122" s="10">
        <f>ROUND(_xlfn.WEIBULL.DIST(COUNTA($C$115:C122),$T$14,$B$114,FALSE),3)</f>
        <v>2E-3</v>
      </c>
      <c r="E122" s="10">
        <f>ROUND(_xlfn.WEIBULL.DIST(COUNTA($C$116:C122),$T$14,$B$114,FALSE),3)</f>
        <v>1E-3</v>
      </c>
      <c r="F122" s="10">
        <f>ROUND(_xlfn.WEIBULL.DIST(COUNTA($C$117:C122),$T$14,$B$114,FALSE),3)</f>
        <v>0</v>
      </c>
      <c r="G122" s="10">
        <f>ROUND(_xlfn.WEIBULL.DIST(COUNTA($C$118:C122),$T$14,$B$114,FALSE),3)</f>
        <v>0</v>
      </c>
      <c r="H122" s="10">
        <f>ROUND(_xlfn.WEIBULL.DIST(COUNTA($C$119:C122),$T$14,$B$114,FALSE),3)</f>
        <v>0</v>
      </c>
      <c r="I122" s="10">
        <f>ROUND(_xlfn.WEIBULL.DIST(COUNTA($C$120:C122),$T$14,$B$114,FALSE),3)</f>
        <v>0</v>
      </c>
      <c r="J122" s="10">
        <f>ROUND(_xlfn.WEIBULL.DIST(COUNTA($C$121:C122),$T$14,$B$114,FALSE),3)</f>
        <v>0</v>
      </c>
      <c r="K122" s="10">
        <f>ROUND(_xlfn.WEIBULL.DIST(COUNTA($C$122:C122),$T$14,$B$114,FALSE),3)</f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AD122" s="10">
        <v>4</v>
      </c>
      <c r="AF122" s="197">
        <v>2.4952957481005896E-2</v>
      </c>
      <c r="AG122" s="197">
        <v>2.2399713281834994E-5</v>
      </c>
      <c r="AH122" s="197">
        <v>7.9981710105804103E-4</v>
      </c>
      <c r="AI122" s="197">
        <v>9.599385619660381E-5</v>
      </c>
      <c r="AK122" s="10">
        <v>0.69313770780572004</v>
      </c>
      <c r="AL122" s="10">
        <v>0</v>
      </c>
      <c r="AM122" s="10">
        <v>9.9977137632255124E-3</v>
      </c>
      <c r="AN122" s="10">
        <v>0</v>
      </c>
    </row>
    <row r="123" spans="2:40" x14ac:dyDescent="0.3">
      <c r="C123" s="10" t="s">
        <v>271</v>
      </c>
      <c r="D123" s="10">
        <f>ROUND(_xlfn.WEIBULL.DIST(COUNTA($C$115:C123),$T$14,$B$114,FALSE),3)</f>
        <v>7.0000000000000001E-3</v>
      </c>
      <c r="E123" s="10">
        <f>ROUND(_xlfn.WEIBULL.DIST(COUNTA($C$116:C123),$T$14,$B$114,FALSE),3)</f>
        <v>2E-3</v>
      </c>
      <c r="F123" s="10">
        <f>ROUND(_xlfn.WEIBULL.DIST(COUNTA($C$117:C123),$T$14,$B$114,FALSE),3)</f>
        <v>1E-3</v>
      </c>
      <c r="G123" s="10">
        <f>ROUND(_xlfn.WEIBULL.DIST(COUNTA($C$118:C123),$T$14,$B$114,FALSE),3)</f>
        <v>0</v>
      </c>
      <c r="H123" s="10">
        <f>ROUND(_xlfn.WEIBULL.DIST(COUNTA($C$119:C123),$T$14,$B$114,FALSE),3)</f>
        <v>0</v>
      </c>
      <c r="I123" s="10">
        <f>ROUND(_xlfn.WEIBULL.DIST(COUNTA($C$120:C123),$T$14,$B$114,FALSE),3)</f>
        <v>0</v>
      </c>
      <c r="J123" s="10">
        <f>ROUND(_xlfn.WEIBULL.DIST(COUNTA($C$121:C123),$T$14,$B$114,FALSE),3)</f>
        <v>0</v>
      </c>
      <c r="K123" s="10">
        <f>ROUND(_xlfn.WEIBULL.DIST(COUNTA($C$122:C123),$T$14,$B$114,FALSE),3)</f>
        <v>0</v>
      </c>
      <c r="L123" s="10">
        <f>ROUND(_xlfn.WEIBULL.DIST(COUNTA($C$123:C123),$T$14,$B$114,FALSE),3)</f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AD123" s="10">
        <v>5</v>
      </c>
      <c r="AF123" s="197">
        <v>4.6970653140673731E-2</v>
      </c>
      <c r="AG123" s="197">
        <v>8.5444003502740446E-5</v>
      </c>
      <c r="AH123" s="197">
        <v>3.0458074205573201E-3</v>
      </c>
      <c r="AI123" s="197">
        <v>2.928972331567081E-4</v>
      </c>
      <c r="AK123" s="10">
        <v>1.3047403650187162</v>
      </c>
      <c r="AL123" s="10">
        <v>0</v>
      </c>
      <c r="AM123" s="10">
        <v>3.8072592756966499E-2</v>
      </c>
      <c r="AN123" s="10">
        <v>0</v>
      </c>
    </row>
    <row r="124" spans="2:40" x14ac:dyDescent="0.3">
      <c r="C124" s="10" t="s">
        <v>272</v>
      </c>
      <c r="D124" s="10">
        <f>ROUND(_xlfn.WEIBULL.DIST(COUNTA($C$115:C124),$T$14,$B$114,FALSE),3)</f>
        <v>1.7000000000000001E-2</v>
      </c>
      <c r="E124" s="10">
        <f>ROUND(_xlfn.WEIBULL.DIST(COUNTA($C$116:C124),$T$14,$B$114,FALSE),3)</f>
        <v>7.0000000000000001E-3</v>
      </c>
      <c r="F124" s="10">
        <f>ROUND(_xlfn.WEIBULL.DIST(COUNTA($C$117:C124),$T$14,$B$114,FALSE),3)</f>
        <v>2E-3</v>
      </c>
      <c r="G124" s="10">
        <f>ROUND(_xlfn.WEIBULL.DIST(COUNTA($C$118:C124),$T$14,$B$114,FALSE),3)</f>
        <v>1E-3</v>
      </c>
      <c r="H124" s="10">
        <f>ROUND(_xlfn.WEIBULL.DIST(COUNTA($C$119:C124),$T$14,$B$114,FALSE),3)</f>
        <v>0</v>
      </c>
      <c r="I124" s="10">
        <f>ROUND(_xlfn.WEIBULL.DIST(COUNTA($C$120:C124),$T$14,$B$114,FALSE),3)</f>
        <v>0</v>
      </c>
      <c r="J124" s="10">
        <f>ROUND(_xlfn.WEIBULL.DIST(COUNTA($C$121:C124),$T$14,$B$114,FALSE),3)</f>
        <v>0</v>
      </c>
      <c r="K124" s="10">
        <f>ROUND(_xlfn.WEIBULL.DIST(COUNTA($C$122:C124),$T$14,$B$114,FALSE),3)</f>
        <v>0</v>
      </c>
      <c r="L124" s="10">
        <f>ROUND(_xlfn.WEIBULL.DIST(COUNTA($C$123:C124),$T$14,$B$114,FALSE),3)</f>
        <v>0</v>
      </c>
      <c r="M124" s="10">
        <f>ROUND(_xlfn.WEIBULL.DIST(COUNTA($C$124:C124),$T$14,$B$114,FALSE),3)</f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AD124" s="10">
        <v>6</v>
      </c>
      <c r="AF124" s="197">
        <v>7.5897798279834019E-2</v>
      </c>
      <c r="AG124" s="197">
        <v>2.5509420479642822E-4</v>
      </c>
      <c r="AH124" s="197">
        <v>9.043653083101193E-3</v>
      </c>
      <c r="AI124" s="197">
        <v>7.2846875266318104E-4</v>
      </c>
      <c r="AK124" s="10">
        <v>2.1082721744398363</v>
      </c>
      <c r="AL124" s="10">
        <v>0</v>
      </c>
      <c r="AM124" s="10">
        <v>0.11304566353876491</v>
      </c>
      <c r="AN124" s="10">
        <v>0</v>
      </c>
    </row>
    <row r="125" spans="2:40" x14ac:dyDescent="0.3">
      <c r="C125" s="10" t="s">
        <v>273</v>
      </c>
      <c r="D125" s="10">
        <f>ROUND(_xlfn.WEIBULL.DIST(COUNTA($C$115:C125),$T$14,$B$114,FALSE),3)</f>
        <v>3.9E-2</v>
      </c>
      <c r="E125" s="10">
        <f>ROUND(_xlfn.WEIBULL.DIST(COUNTA($C$116:C125),$T$14,$B$114,FALSE),3)</f>
        <v>1.7000000000000001E-2</v>
      </c>
      <c r="F125" s="10">
        <f>ROUND(_xlfn.WEIBULL.DIST(COUNTA($C$117:C125),$T$14,$B$114,FALSE),3)</f>
        <v>7.0000000000000001E-3</v>
      </c>
      <c r="G125" s="10">
        <f>ROUND(_xlfn.WEIBULL.DIST(COUNTA($C$118:C125),$T$14,$B$114,FALSE),3)</f>
        <v>2E-3</v>
      </c>
      <c r="H125" s="10">
        <f>ROUND(_xlfn.WEIBULL.DIST(COUNTA($C$119:C125),$T$14,$B$114,FALSE),3)</f>
        <v>1E-3</v>
      </c>
      <c r="I125" s="10">
        <f>ROUND(_xlfn.WEIBULL.DIST(COUNTA($C$120:C125),$T$14,$B$114,FALSE),3)</f>
        <v>0</v>
      </c>
      <c r="J125" s="10">
        <f>ROUND(_xlfn.WEIBULL.DIST(COUNTA($C$121:C125),$T$14,$B$114,FALSE),3)</f>
        <v>0</v>
      </c>
      <c r="K125" s="10">
        <f>ROUND(_xlfn.WEIBULL.DIST(COUNTA($C$122:C125),$T$14,$B$114,FALSE),3)</f>
        <v>0</v>
      </c>
      <c r="L125" s="10">
        <f>ROUND(_xlfn.WEIBULL.DIST(COUNTA($C$123:C125),$T$14,$B$114,FALSE),3)</f>
        <v>0</v>
      </c>
      <c r="M125" s="10">
        <f>ROUND(_xlfn.WEIBULL.DIST(COUNTA($C$124:C125),$T$14,$B$114,FALSE),3)</f>
        <v>0</v>
      </c>
      <c r="N125" s="10">
        <f>ROUND(_xlfn.WEIBULL.DIST(COUNTA($C$125:C125),$T$14,$B$114,FALSE),3)</f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AD125" s="10">
        <v>7</v>
      </c>
      <c r="AF125" s="197">
        <v>0.10791455054368587</v>
      </c>
      <c r="AG125" s="197">
        <v>6.4297914737691906E-4</v>
      </c>
      <c r="AH125" s="197">
        <v>2.2461353274684643E-2</v>
      </c>
      <c r="AI125" s="197">
        <v>1.5727624358932086E-3</v>
      </c>
      <c r="AK125" s="10">
        <v>2.9976264039912772</v>
      </c>
      <c r="AL125" s="10">
        <v>0</v>
      </c>
      <c r="AM125" s="10">
        <v>0.28076691593355801</v>
      </c>
      <c r="AN125" s="10">
        <v>0</v>
      </c>
    </row>
    <row r="126" spans="2:40" x14ac:dyDescent="0.3">
      <c r="C126" s="10" t="s">
        <v>274</v>
      </c>
      <c r="D126" s="10">
        <f>ROUND(_xlfn.WEIBULL.DIST(COUNTA($C$115:C126),$T$14,$B$114,FALSE),3)</f>
        <v>0.08</v>
      </c>
      <c r="E126" s="10">
        <f>ROUND(_xlfn.WEIBULL.DIST(COUNTA($C$116:C126),$T$14,$B$114,FALSE),3)</f>
        <v>3.9E-2</v>
      </c>
      <c r="F126" s="10">
        <f>ROUND(_xlfn.WEIBULL.DIST(COUNTA($C$117:C126),$T$14,$B$114,FALSE),3)</f>
        <v>1.7000000000000001E-2</v>
      </c>
      <c r="G126" s="10">
        <f>ROUND(_xlfn.WEIBULL.DIST(COUNTA($C$118:C126),$T$14,$B$114,FALSE),3)</f>
        <v>7.0000000000000001E-3</v>
      </c>
      <c r="H126" s="10">
        <f>ROUND(_xlfn.WEIBULL.DIST(COUNTA($C$119:C126),$T$14,$B$114,FALSE),3)</f>
        <v>2E-3</v>
      </c>
      <c r="I126" s="10">
        <f>ROUND(_xlfn.WEIBULL.DIST(COUNTA($C$120:C126),$T$14,$B$114,FALSE),3)</f>
        <v>1E-3</v>
      </c>
      <c r="J126" s="10">
        <f>ROUND(_xlfn.WEIBULL.DIST(COUNTA($C$121:C126),$T$14,$B$114,FALSE),3)</f>
        <v>0</v>
      </c>
      <c r="K126" s="10">
        <f>ROUND(_xlfn.WEIBULL.DIST(COUNTA($C$122:C126),$T$14,$B$114,FALSE),3)</f>
        <v>0</v>
      </c>
      <c r="L126" s="10">
        <f>ROUND(_xlfn.WEIBULL.DIST(COUNTA($C$123:C126),$T$14,$B$114,FALSE),3)</f>
        <v>0</v>
      </c>
      <c r="M126" s="10">
        <f>ROUND(_xlfn.WEIBULL.DIST(COUNTA($C$124:C126),$T$14,$B$114,FALSE),3)</f>
        <v>0</v>
      </c>
      <c r="N126" s="10">
        <f>ROUND(_xlfn.WEIBULL.DIST(COUNTA($C$125:C126),$T$14,$B$114,FALSE),3)</f>
        <v>0</v>
      </c>
      <c r="O126" s="10">
        <f>ROUND(_xlfn.WEIBULL.DIST(COUNTA($C$126:C126),$T$14,$B$114,FALSE),3)</f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AD126" s="10">
        <v>8</v>
      </c>
      <c r="AF126" s="197">
        <v>0.13596994833110473</v>
      </c>
      <c r="AG126" s="197">
        <v>1.4312531128549369E-3</v>
      </c>
      <c r="AH126" s="197">
        <v>4.8300430136406114E-2</v>
      </c>
      <c r="AI126" s="197">
        <v>3.059442822655402E-3</v>
      </c>
      <c r="AK126" s="10">
        <v>3.7769430091973577</v>
      </c>
      <c r="AL126" s="10">
        <v>0</v>
      </c>
      <c r="AM126" s="10">
        <v>0.6037553767050764</v>
      </c>
      <c r="AN126" s="10">
        <v>0</v>
      </c>
    </row>
    <row r="127" spans="2:40" x14ac:dyDescent="0.3">
      <c r="C127" s="10" t="s">
        <v>275</v>
      </c>
      <c r="D127" s="10">
        <f>ROUND(_xlfn.WEIBULL.DIST(COUNTA($C$115:C127),$T$14,$B$114,FALSE),3)</f>
        <v>0.14499999999999999</v>
      </c>
      <c r="E127" s="10">
        <f>ROUND(_xlfn.WEIBULL.DIST(COUNTA($C$116:C127),$T$14,$B$114,FALSE),3)</f>
        <v>0.08</v>
      </c>
      <c r="F127" s="10">
        <f>ROUND(_xlfn.WEIBULL.DIST(COUNTA($C$117:C127),$T$14,$B$114,FALSE),3)</f>
        <v>3.9E-2</v>
      </c>
      <c r="G127" s="10">
        <f>ROUND(_xlfn.WEIBULL.DIST(COUNTA($C$118:C127),$T$14,$B$114,FALSE),3)</f>
        <v>1.7000000000000001E-2</v>
      </c>
      <c r="H127" s="10">
        <f>ROUND(_xlfn.WEIBULL.DIST(COUNTA($C$119:C127),$T$14,$B$114,FALSE),3)</f>
        <v>7.0000000000000001E-3</v>
      </c>
      <c r="I127" s="10">
        <f>ROUND(_xlfn.WEIBULL.DIST(COUNTA($C$120:C127),$T$14,$B$114,FALSE),3)</f>
        <v>2E-3</v>
      </c>
      <c r="J127" s="10">
        <f>ROUND(_xlfn.WEIBULL.DIST(COUNTA($C$121:C127),$T$14,$B$114,FALSE),3)</f>
        <v>1E-3</v>
      </c>
      <c r="K127" s="10">
        <f>ROUND(_xlfn.WEIBULL.DIST(COUNTA($C$122:C127),$T$14,$B$114,FALSE),3)</f>
        <v>0</v>
      </c>
      <c r="L127" s="10">
        <f>ROUND(_xlfn.WEIBULL.DIST(COUNTA($C$123:C127),$T$14,$B$114,FALSE),3)</f>
        <v>0</v>
      </c>
      <c r="M127" s="10">
        <f>ROUND(_xlfn.WEIBULL.DIST(COUNTA($C$124:C127),$T$14,$B$114,FALSE),3)</f>
        <v>0</v>
      </c>
      <c r="N127" s="10">
        <f>ROUND(_xlfn.WEIBULL.DIST(COUNTA($C$125:C127),$T$14,$B$114,FALSE),3)</f>
        <v>0</v>
      </c>
      <c r="O127" s="10">
        <f>ROUND(_xlfn.WEIBULL.DIST(COUNTA($C$126:C127),$T$14,$B$114,FALSE),3)</f>
        <v>0</v>
      </c>
      <c r="P127" s="10">
        <f>ROUND(_xlfn.WEIBULL.DIST(COUNTA($C$127:C127),$T$14,$B$114,FALSE),3)</f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AD127" s="10">
        <v>9</v>
      </c>
      <c r="AF127" s="197">
        <v>0.15130278081972581</v>
      </c>
      <c r="AG127" s="197">
        <v>2.8954782113340839E-3</v>
      </c>
      <c r="AH127" s="197">
        <v>9.0847516374635215E-2</v>
      </c>
      <c r="AI127" s="197">
        <v>5.4900657289842355E-3</v>
      </c>
      <c r="AK127" s="10">
        <v>4.2028550227701658</v>
      </c>
      <c r="AL127" s="10">
        <v>0</v>
      </c>
      <c r="AM127" s="10">
        <v>1.1355939546829401</v>
      </c>
      <c r="AN127" s="10">
        <v>0</v>
      </c>
    </row>
    <row r="128" spans="2:40" x14ac:dyDescent="0.3">
      <c r="C128" s="10" t="s">
        <v>276</v>
      </c>
      <c r="D128" s="10">
        <f>ROUND(_xlfn.WEIBULL.DIST(COUNTA($C$115:C128),$T$14,$B$114,FALSE),3)</f>
        <v>0.217</v>
      </c>
      <c r="E128" s="10">
        <f>ROUND(_xlfn.WEIBULL.DIST(COUNTA($C$116:C128),$T$14,$B$114,FALSE),3)</f>
        <v>0.14499999999999999</v>
      </c>
      <c r="F128" s="10">
        <f>ROUND(_xlfn.WEIBULL.DIST(COUNTA($C$117:C128),$T$14,$B$114,FALSE),3)</f>
        <v>0.08</v>
      </c>
      <c r="G128" s="10">
        <f>ROUND(_xlfn.WEIBULL.DIST(COUNTA($C$118:C128),$T$14,$B$114,FALSE),3)</f>
        <v>3.9E-2</v>
      </c>
      <c r="H128" s="10">
        <f>ROUND(_xlfn.WEIBULL.DIST(COUNTA($C$119:C128),$T$14,$B$114,FALSE),3)</f>
        <v>1.7000000000000001E-2</v>
      </c>
      <c r="I128" s="10">
        <f>ROUND(_xlfn.WEIBULL.DIST(COUNTA($C$120:C128),$T$14,$B$114,FALSE),3)</f>
        <v>7.0000000000000001E-3</v>
      </c>
      <c r="J128" s="10">
        <f>ROUND(_xlfn.WEIBULL.DIST(COUNTA($C$121:C128),$T$14,$B$114,FALSE),3)</f>
        <v>2E-3</v>
      </c>
      <c r="K128" s="10">
        <f>ROUND(_xlfn.WEIBULL.DIST(COUNTA($C$122:C128),$T$14,$B$114,FALSE),3)</f>
        <v>1E-3</v>
      </c>
      <c r="L128" s="10">
        <f>ROUND(_xlfn.WEIBULL.DIST(COUNTA($C$123:C128),$T$14,$B$114,FALSE),3)</f>
        <v>0</v>
      </c>
      <c r="M128" s="10">
        <f>ROUND(_xlfn.WEIBULL.DIST(COUNTA($C$124:C128),$T$14,$B$114,FALSE),3)</f>
        <v>0</v>
      </c>
      <c r="N128" s="10">
        <f>ROUND(_xlfn.WEIBULL.DIST(COUNTA($C$125:C128),$T$14,$B$114,FALSE),3)</f>
        <v>0</v>
      </c>
      <c r="O128" s="10">
        <f>ROUND(_xlfn.WEIBULL.DIST(COUNTA($C$126:C128),$T$14,$B$114,FALSE),3)</f>
        <v>0</v>
      </c>
      <c r="P128" s="10">
        <f>ROUND(_xlfn.WEIBULL.DIST(COUNTA($C$127:C128),$T$14,$B$114,FALSE),3)</f>
        <v>0</v>
      </c>
      <c r="Q128" s="10">
        <f>ROUND(_xlfn.WEIBULL.DIST(COUNTA($C$128:C128),$T$14,$B$114,FALSE),3)</f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AD128" s="10">
        <v>10</v>
      </c>
      <c r="AF128" s="197">
        <v>0.14715177646857691</v>
      </c>
      <c r="AG128" s="197">
        <v>5.4261918498607169E-3</v>
      </c>
      <c r="AH128" s="197">
        <v>0.14778341507145526</v>
      </c>
      <c r="AI128" s="197">
        <v>9.229654096925723E-3</v>
      </c>
      <c r="AK128" s="10">
        <v>4.0875493463493626</v>
      </c>
      <c r="AL128" s="10">
        <v>0</v>
      </c>
      <c r="AM128" s="10">
        <v>1.8472926883931908</v>
      </c>
      <c r="AN128" s="10">
        <v>0</v>
      </c>
    </row>
    <row r="129" spans="2:40" x14ac:dyDescent="0.3">
      <c r="C129" s="10" t="s">
        <v>277</v>
      </c>
      <c r="D129" s="10">
        <f>ROUND(_xlfn.WEIBULL.DIST(COUNTA($C$115:C129),$T$14,$B$114,FALSE),3)</f>
        <v>0.245</v>
      </c>
      <c r="E129" s="10">
        <f>ROUND(_xlfn.WEIBULL.DIST(COUNTA($C$116:C129),$T$14,$B$114,FALSE),3)</f>
        <v>0.217</v>
      </c>
      <c r="F129" s="10">
        <f>ROUND(_xlfn.WEIBULL.DIST(COUNTA($C$117:C129),$T$14,$B$114,FALSE),3)</f>
        <v>0.14499999999999999</v>
      </c>
      <c r="G129" s="10">
        <f>ROUND(_xlfn.WEIBULL.DIST(COUNTA($C$118:C129),$T$14,$B$114,FALSE),3)</f>
        <v>0.08</v>
      </c>
      <c r="H129" s="10">
        <f>ROUND(_xlfn.WEIBULL.DIST(COUNTA($C$119:C129),$T$14,$B$114,FALSE),3)</f>
        <v>3.9E-2</v>
      </c>
      <c r="I129" s="10">
        <f>ROUND(_xlfn.WEIBULL.DIST(COUNTA($C$120:C129),$T$14,$B$114,FALSE),3)</f>
        <v>1.7000000000000001E-2</v>
      </c>
      <c r="J129" s="10">
        <f>ROUND(_xlfn.WEIBULL.DIST(COUNTA($C$121:C129),$T$14,$B$114,FALSE),3)</f>
        <v>7.0000000000000001E-3</v>
      </c>
      <c r="K129" s="10">
        <f>ROUND(_xlfn.WEIBULL.DIST(COUNTA($C$122:C129),$T$14,$B$114,FALSE),3)</f>
        <v>2E-3</v>
      </c>
      <c r="L129" s="10">
        <f>ROUND(_xlfn.WEIBULL.DIST(COUNTA($C$123:C129),$T$14,$B$114,FALSE),3)</f>
        <v>1E-3</v>
      </c>
      <c r="M129" s="10">
        <f>ROUND(_xlfn.WEIBULL.DIST(COUNTA($C$124:C129),$T$14,$B$114,FALSE),3)</f>
        <v>0</v>
      </c>
      <c r="N129" s="10">
        <f>ROUND(_xlfn.WEIBULL.DIST(COUNTA($C$125:C129),$T$14,$B$114,FALSE),3)</f>
        <v>0</v>
      </c>
      <c r="O129" s="10">
        <f>ROUND(_xlfn.WEIBULL.DIST(COUNTA($C$126:C129),$T$14,$B$114,FALSE),3)</f>
        <v>0</v>
      </c>
      <c r="P129" s="10">
        <f>ROUND(_xlfn.WEIBULL.DIST(COUNTA($C$127:C129),$T$14,$B$114,FALSE),3)</f>
        <v>0</v>
      </c>
      <c r="Q129" s="10">
        <f>ROUND(_xlfn.WEIBULL.DIST(COUNTA($C$128:C129),$T$14,$B$114,FALSE),3)</f>
        <v>0</v>
      </c>
      <c r="R129" s="10">
        <f>ROUND(_xlfn.WEIBULL.DIST(COUNTA($C$129:C129),$T$14,$B$114,FALSE),3)</f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AD129" s="10">
        <v>11</v>
      </c>
      <c r="AF129" s="197">
        <v>0.12313669583337644</v>
      </c>
      <c r="AG129" s="197">
        <v>9.5418443761352747E-3</v>
      </c>
      <c r="AH129" s="197">
        <v>0.2009064422089748</v>
      </c>
      <c r="AI129" s="197">
        <v>1.4686325610200548E-2</v>
      </c>
      <c r="AK129" s="10">
        <v>3.4204637731493492</v>
      </c>
      <c r="AL129" s="10">
        <v>0</v>
      </c>
      <c r="AM129" s="10">
        <v>2.5113305276121851</v>
      </c>
      <c r="AN129" s="10">
        <v>0</v>
      </c>
    </row>
    <row r="130" spans="2:40" x14ac:dyDescent="0.3">
      <c r="C130" s="10" t="s">
        <v>278</v>
      </c>
      <c r="D130" s="10">
        <f>ROUND(_xlfn.WEIBULL.DIST(COUNTA($C$115:C130),$T$14,$B$114,FALSE),3)</f>
        <v>0.17699999999999999</v>
      </c>
      <c r="E130" s="10">
        <f>ROUND(_xlfn.WEIBULL.DIST(COUNTA($C$116:C130),$T$14,$B$114,FALSE),3)</f>
        <v>0.245</v>
      </c>
      <c r="F130" s="10">
        <f>ROUND(_xlfn.WEIBULL.DIST(COUNTA($C$117:C130),$T$14,$B$114,FALSE),3)</f>
        <v>0.217</v>
      </c>
      <c r="G130" s="10">
        <f>ROUND(_xlfn.WEIBULL.DIST(COUNTA($C$118:C130),$T$14,$B$114,FALSE),3)</f>
        <v>0.14499999999999999</v>
      </c>
      <c r="H130" s="10">
        <f>ROUND(_xlfn.WEIBULL.DIST(COUNTA($C$119:C130),$T$14,$B$114,FALSE),3)</f>
        <v>0.08</v>
      </c>
      <c r="I130" s="10">
        <f>ROUND(_xlfn.WEIBULL.DIST(COUNTA($C$120:C130),$T$14,$B$114,FALSE),3)</f>
        <v>3.9E-2</v>
      </c>
      <c r="J130" s="10">
        <f>ROUND(_xlfn.WEIBULL.DIST(COUNTA($C$121:C130),$T$14,$B$114,FALSE),3)</f>
        <v>1.7000000000000001E-2</v>
      </c>
      <c r="K130" s="10">
        <f>ROUND(_xlfn.WEIBULL.DIST(COUNTA($C$122:C130),$T$14,$B$114,FALSE),3)</f>
        <v>7.0000000000000001E-3</v>
      </c>
      <c r="L130" s="10">
        <f>ROUND(_xlfn.WEIBULL.DIST(COUNTA($C$123:C130),$T$14,$B$114,FALSE),3)</f>
        <v>2E-3</v>
      </c>
      <c r="M130" s="10">
        <f>ROUND(_xlfn.WEIBULL.DIST(COUNTA($C$124:C130),$T$14,$B$114,FALSE),3)</f>
        <v>1E-3</v>
      </c>
      <c r="N130" s="10">
        <f>ROUND(_xlfn.WEIBULL.DIST(COUNTA($C$125:C130),$T$14,$B$114,FALSE),3)</f>
        <v>0</v>
      </c>
      <c r="O130" s="10">
        <f>ROUND(_xlfn.WEIBULL.DIST(COUNTA($C$126:C130),$T$14,$B$114,FALSE),3)</f>
        <v>0</v>
      </c>
      <c r="P130" s="10">
        <f>ROUND(_xlfn.WEIBULL.DIST(COUNTA($C$127:C130),$T$14,$B$114,FALSE),3)</f>
        <v>0</v>
      </c>
      <c r="Q130" s="10">
        <f>ROUND(_xlfn.WEIBULL.DIST(COUNTA($C$128:C130),$T$14,$B$114,FALSE),3)</f>
        <v>0</v>
      </c>
      <c r="R130" s="10">
        <f>ROUND(_xlfn.WEIBULL.DIST(COUNTA($C$129:C130),$T$14,$B$114,FALSE),3)</f>
        <v>0</v>
      </c>
      <c r="S130" s="10">
        <f>ROUND(_xlfn.WEIBULL.DIST(COUNTA($C$130:C130),$T$14,$B$114,FALSE),3)</f>
        <v>0</v>
      </c>
      <c r="T130" s="10">
        <v>0</v>
      </c>
      <c r="U130" s="10">
        <v>0</v>
      </c>
      <c r="V130" s="10">
        <v>0</v>
      </c>
      <c r="W130" s="10">
        <v>0</v>
      </c>
      <c r="AD130" s="10">
        <v>12</v>
      </c>
      <c r="AF130" s="197">
        <v>8.6906186215668521E-2</v>
      </c>
      <c r="AG130" s="197">
        <v>1.5878814698606542E-2</v>
      </c>
      <c r="AH130" s="197">
        <v>0.21459634068334182</v>
      </c>
      <c r="AI130" s="197">
        <v>2.2264608519117435E-2</v>
      </c>
      <c r="AK130" s="10">
        <v>2.4140607282130171</v>
      </c>
      <c r="AL130" s="10">
        <v>0</v>
      </c>
      <c r="AM130" s="10">
        <v>2.6824542585417728</v>
      </c>
      <c r="AN130" s="10">
        <v>0</v>
      </c>
    </row>
    <row r="131" spans="2:40" x14ac:dyDescent="0.3">
      <c r="C131" s="10" t="s">
        <v>279</v>
      </c>
      <c r="D131" s="10">
        <f>ROUND(_xlfn.WEIBULL.DIST(COUNTA($C$115:C131),$T$14,$B$114,FALSE),3)</f>
        <v>6.2E-2</v>
      </c>
      <c r="E131" s="10">
        <f>ROUND(_xlfn.WEIBULL.DIST(COUNTA($C$116:C131),$T$14,$B$114,FALSE),3)</f>
        <v>0.17699999999999999</v>
      </c>
      <c r="F131" s="10">
        <f>ROUND(_xlfn.WEIBULL.DIST(COUNTA($C$117:C131),$T$14,$B$114,FALSE),3)</f>
        <v>0.245</v>
      </c>
      <c r="G131" s="10">
        <f>ROUND(_xlfn.WEIBULL.DIST(COUNTA($C$118:C131),$T$14,$B$114,FALSE),3)</f>
        <v>0.217</v>
      </c>
      <c r="H131" s="10">
        <f>ROUND(_xlfn.WEIBULL.DIST(COUNTA($C$119:C131),$T$14,$B$114,FALSE),3)</f>
        <v>0.14499999999999999</v>
      </c>
      <c r="I131" s="10">
        <f>ROUND(_xlfn.WEIBULL.DIST(COUNTA($C$120:C131),$T$14,$B$114,FALSE),3)</f>
        <v>0.08</v>
      </c>
      <c r="J131" s="10">
        <f>ROUND(_xlfn.WEIBULL.DIST(COUNTA($C$121:C131),$T$14,$B$114,FALSE),3)</f>
        <v>3.9E-2</v>
      </c>
      <c r="K131" s="10">
        <f>ROUND(_xlfn.WEIBULL.DIST(COUNTA($C$122:C131),$T$14,$B$114,FALSE),3)</f>
        <v>1.7000000000000001E-2</v>
      </c>
      <c r="L131" s="10">
        <f>ROUND(_xlfn.WEIBULL.DIST(COUNTA($C$123:C131),$T$14,$B$114,FALSE),3)</f>
        <v>7.0000000000000001E-3</v>
      </c>
      <c r="M131" s="10">
        <f>ROUND(_xlfn.WEIBULL.DIST(COUNTA($C$124:C131),$T$14,$B$114,FALSE),3)</f>
        <v>2E-3</v>
      </c>
      <c r="N131" s="10">
        <f>ROUND(_xlfn.WEIBULL.DIST(COUNTA($C$125:C131),$T$14,$B$114,FALSE),3)</f>
        <v>1E-3</v>
      </c>
      <c r="O131" s="10">
        <f>ROUND(_xlfn.WEIBULL.DIST(COUNTA($C$126:C131),$T$14,$B$114,FALSE),3)</f>
        <v>0</v>
      </c>
      <c r="P131" s="10">
        <f>ROUND(_xlfn.WEIBULL.DIST(COUNTA($C$127:C131),$T$14,$B$114,FALSE),3)</f>
        <v>0</v>
      </c>
      <c r="Q131" s="10">
        <f>ROUND(_xlfn.WEIBULL.DIST(COUNTA($C$128:C131),$T$14,$B$114,FALSE),3)</f>
        <v>0</v>
      </c>
      <c r="R131" s="10">
        <f>ROUND(_xlfn.WEIBULL.DIST(COUNTA($C$129:C131),$T$14,$B$114,FALSE),3)</f>
        <v>0</v>
      </c>
      <c r="S131" s="10">
        <f>ROUND(_xlfn.WEIBULL.DIST(COUNTA($C$130:C131),$T$14,$B$114,FALSE),3)</f>
        <v>0</v>
      </c>
      <c r="T131" s="10">
        <f>ROUND(_xlfn.WEIBULL.DIST(COUNTA($C$131:C131),$T$14,$B$114,FALSE),3)</f>
        <v>0</v>
      </c>
      <c r="U131" s="10">
        <v>0</v>
      </c>
      <c r="V131" s="10">
        <v>0</v>
      </c>
      <c r="W131" s="10">
        <v>0</v>
      </c>
      <c r="AD131" s="10">
        <v>13</v>
      </c>
      <c r="AF131" s="197">
        <v>5.0524448129593384E-2</v>
      </c>
      <c r="AG131" s="197">
        <v>2.513379560685855E-2</v>
      </c>
      <c r="AH131" s="197">
        <v>0.16366457773381526</v>
      </c>
      <c r="AI131" s="197">
        <v>3.2280037450218332E-2</v>
      </c>
      <c r="AK131" s="10">
        <v>1.4034568924887065</v>
      </c>
      <c r="AL131" s="10">
        <v>0</v>
      </c>
      <c r="AM131" s="10">
        <v>2.0458072216726908</v>
      </c>
      <c r="AN131" s="10">
        <v>0</v>
      </c>
    </row>
    <row r="132" spans="2:40" x14ac:dyDescent="0.3">
      <c r="C132" s="10" t="s">
        <v>280</v>
      </c>
      <c r="D132" s="10">
        <f>ROUND(_xlfn.WEIBULL.DIST(COUNTA($C$115:C132),$T$14,$B$114,FALSE),3)</f>
        <v>7.0000000000000001E-3</v>
      </c>
      <c r="E132" s="10">
        <f>ROUND(_xlfn.WEIBULL.DIST(COUNTA($C$116:C132),$T$14,$B$114,FALSE),3)</f>
        <v>6.2E-2</v>
      </c>
      <c r="F132" s="10">
        <f>ROUND(_xlfn.WEIBULL.DIST(COUNTA($C$117:C132),$T$14,$B$114,FALSE),3)</f>
        <v>0.17699999999999999</v>
      </c>
      <c r="G132" s="10">
        <f>ROUND(_xlfn.WEIBULL.DIST(COUNTA($C$118:C132),$T$14,$B$114,FALSE),3)</f>
        <v>0.245</v>
      </c>
      <c r="H132" s="10">
        <f>ROUND(_xlfn.WEIBULL.DIST(COUNTA($C$119:C132),$T$14,$B$114,FALSE),3)</f>
        <v>0.217</v>
      </c>
      <c r="I132" s="10">
        <f>ROUND(_xlfn.WEIBULL.DIST(COUNTA($C$120:C132),$T$14,$B$114,FALSE),3)</f>
        <v>0.14499999999999999</v>
      </c>
      <c r="J132" s="10">
        <f>ROUND(_xlfn.WEIBULL.DIST(COUNTA($C$121:C132),$T$14,$B$114,FALSE),3)</f>
        <v>0.08</v>
      </c>
      <c r="K132" s="10">
        <f>ROUND(_xlfn.WEIBULL.DIST(COUNTA($C$122:C132),$T$14,$B$114,FALSE),3)</f>
        <v>3.9E-2</v>
      </c>
      <c r="L132" s="10">
        <f>ROUND(_xlfn.WEIBULL.DIST(COUNTA($C$123:C132),$T$14,$B$114,FALSE),3)</f>
        <v>1.7000000000000001E-2</v>
      </c>
      <c r="M132" s="10">
        <f>ROUND(_xlfn.WEIBULL.DIST(COUNTA($C$124:C132),$T$14,$B$114,FALSE),3)</f>
        <v>7.0000000000000001E-3</v>
      </c>
      <c r="N132" s="10">
        <f>ROUND(_xlfn.WEIBULL.DIST(COUNTA($C$125:C132),$T$14,$B$114,FALSE),3)</f>
        <v>2E-3</v>
      </c>
      <c r="O132" s="10">
        <f>ROUND(_xlfn.WEIBULL.DIST(COUNTA($C$126:C132),$T$14,$B$114,FALSE),3)</f>
        <v>1E-3</v>
      </c>
      <c r="P132" s="10">
        <f>ROUND(_xlfn.WEIBULL.DIST(COUNTA($C$127:C132),$T$14,$B$114,FALSE),3)</f>
        <v>0</v>
      </c>
      <c r="Q132" s="10">
        <f>ROUND(_xlfn.WEIBULL.DIST(COUNTA($C$128:C132),$T$14,$B$114,FALSE),3)</f>
        <v>0</v>
      </c>
      <c r="R132" s="10">
        <f>ROUND(_xlfn.WEIBULL.DIST(COUNTA($C$129:C132),$T$14,$B$114,FALSE),3)</f>
        <v>0</v>
      </c>
      <c r="S132" s="10">
        <f>ROUND(_xlfn.WEIBULL.DIST(COUNTA($C$130:C132),$T$14,$B$114,FALSE),3)</f>
        <v>0</v>
      </c>
      <c r="T132" s="10">
        <f>ROUND(_xlfn.WEIBULL.DIST(COUNTA($C$131:C132),$T$14,$B$114,FALSE),3)</f>
        <v>0</v>
      </c>
      <c r="U132" s="10">
        <f>ROUND(_xlfn.WEIBULL.DIST(COUNTA($C$132:C132),$T$14,$B$114,FALSE),3)</f>
        <v>0</v>
      </c>
      <c r="V132" s="10">
        <v>0</v>
      </c>
      <c r="W132" s="10">
        <v>0</v>
      </c>
      <c r="AD132" s="10">
        <v>14</v>
      </c>
      <c r="AF132" s="197">
        <v>2.3553660814296221E-2</v>
      </c>
      <c r="AG132" s="197">
        <v>3.7921915518943417E-2</v>
      </c>
      <c r="AH132" s="197">
        <v>7.7615366035955313E-2</v>
      </c>
      <c r="AI132" s="197">
        <v>4.4824674368685681E-2</v>
      </c>
      <c r="AK132" s="10">
        <v>0.65426835595267352</v>
      </c>
      <c r="AL132" s="10">
        <v>0</v>
      </c>
      <c r="AM132" s="10">
        <v>0.97019207544944142</v>
      </c>
      <c r="AN132" s="10">
        <v>0</v>
      </c>
    </row>
    <row r="133" spans="2:40" x14ac:dyDescent="0.3">
      <c r="C133" s="10" t="s">
        <v>281</v>
      </c>
      <c r="D133" s="10">
        <f>ROUND(_xlfn.WEIBULL.DIST(COUNTA($C$115:C133),$T$14,$B$114,FALSE),3)</f>
        <v>0</v>
      </c>
      <c r="E133" s="10">
        <f>ROUND(_xlfn.WEIBULL.DIST(COUNTA($C$116:C133),$T$14,$B$114,FALSE),3)</f>
        <v>7.0000000000000001E-3</v>
      </c>
      <c r="F133" s="10">
        <f>ROUND(_xlfn.WEIBULL.DIST(COUNTA($C$117:C133),$T$14,$B$114,FALSE),3)</f>
        <v>6.2E-2</v>
      </c>
      <c r="G133" s="10">
        <f>ROUND(_xlfn.WEIBULL.DIST(COUNTA($C$118:C133),$T$14,$B$114,FALSE),3)</f>
        <v>0.17699999999999999</v>
      </c>
      <c r="H133" s="10">
        <f>ROUND(_xlfn.WEIBULL.DIST(COUNTA($C$119:C133),$T$14,$B$114,FALSE),3)</f>
        <v>0.245</v>
      </c>
      <c r="I133" s="10">
        <f>ROUND(_xlfn.WEIBULL.DIST(COUNTA($C$120:C133),$T$14,$B$114,FALSE),3)</f>
        <v>0.217</v>
      </c>
      <c r="J133" s="10">
        <f>ROUND(_xlfn.WEIBULL.DIST(COUNTA($C$121:C133),$T$14,$B$114,FALSE),3)</f>
        <v>0.14499999999999999</v>
      </c>
      <c r="K133" s="10">
        <f>ROUND(_xlfn.WEIBULL.DIST(COUNTA($C$122:C133),$T$14,$B$114,FALSE),3)</f>
        <v>0.08</v>
      </c>
      <c r="L133" s="10">
        <f>ROUND(_xlfn.WEIBULL.DIST(COUNTA($C$123:C133),$T$14,$B$114,FALSE),3)</f>
        <v>3.9E-2</v>
      </c>
      <c r="M133" s="10">
        <f>ROUND(_xlfn.WEIBULL.DIST(COUNTA($C$124:C133),$T$14,$B$114,FALSE),3)</f>
        <v>1.7000000000000001E-2</v>
      </c>
      <c r="N133" s="10">
        <f>ROUND(_xlfn.WEIBULL.DIST(COUNTA($C$125:C133),$T$14,$B$114,FALSE),3)</f>
        <v>7.0000000000000001E-3</v>
      </c>
      <c r="O133" s="10">
        <f>ROUND(_xlfn.WEIBULL.DIST(COUNTA($C$126:C133),$T$14,$B$114,FALSE),3)</f>
        <v>2E-3</v>
      </c>
      <c r="P133" s="10">
        <f>ROUND(_xlfn.WEIBULL.DIST(COUNTA($C$127:C133),$T$14,$B$114,FALSE),3)</f>
        <v>1E-3</v>
      </c>
      <c r="Q133" s="10">
        <f>ROUND(_xlfn.WEIBULL.DIST(COUNTA($C$128:C133),$T$14,$B$114,FALSE),3)</f>
        <v>0</v>
      </c>
      <c r="R133" s="10">
        <f>ROUND(_xlfn.WEIBULL.DIST(COUNTA($C$129:C133),$T$14,$B$114,FALSE),3)</f>
        <v>0</v>
      </c>
      <c r="S133" s="10">
        <f>ROUND(_xlfn.WEIBULL.DIST(COUNTA($C$130:C133),$T$14,$B$114,FALSE),3)</f>
        <v>0</v>
      </c>
      <c r="T133" s="10">
        <f>ROUND(_xlfn.WEIBULL.DIST(COUNTA($C$131:C133),$T$14,$B$114,FALSE),3)</f>
        <v>0</v>
      </c>
      <c r="U133" s="10">
        <f>ROUND(_xlfn.WEIBULL.DIST(COUNTA($C$132:C133),$T$14,$B$114,FALSE),3)</f>
        <v>0</v>
      </c>
      <c r="V133" s="10">
        <f>ROUND(_xlfn.WEIBULL.DIST(COUNTA($C$133:C133),$T$14,$B$114,FALSE),3)</f>
        <v>0</v>
      </c>
      <c r="W133" s="10">
        <v>0</v>
      </c>
      <c r="AD133" s="10">
        <v>15</v>
      </c>
      <c r="AF133" s="197">
        <v>8.5451158271057474E-3</v>
      </c>
      <c r="AG133" s="197">
        <v>5.4508509824781039E-2</v>
      </c>
      <c r="AH133" s="197">
        <v>1.8901636471359066E-2</v>
      </c>
      <c r="AI133" s="197">
        <v>5.9584388198037318E-2</v>
      </c>
      <c r="AK133" s="10">
        <v>0.23736432853071546</v>
      </c>
      <c r="AL133" s="10">
        <v>0</v>
      </c>
      <c r="AM133" s="10">
        <v>0.23627045589198833</v>
      </c>
      <c r="AN133" s="10">
        <v>0</v>
      </c>
    </row>
    <row r="134" spans="2:40" x14ac:dyDescent="0.3">
      <c r="C134" s="10" t="s">
        <v>282</v>
      </c>
      <c r="D134" s="10">
        <f>ROUND(_xlfn.WEIBULL.DIST(COUNTA($C$115:C134),$T$14,$B$114,FALSE),3)</f>
        <v>0</v>
      </c>
      <c r="E134" s="10">
        <f>ROUND(_xlfn.WEIBULL.DIST(COUNTA($C$116:C134),$T$14,$B$114,FALSE),3)</f>
        <v>0</v>
      </c>
      <c r="F134" s="10">
        <f>ROUND(_xlfn.WEIBULL.DIST(COUNTA($C$117:C134),$T$14,$B$114,FALSE),3)</f>
        <v>7.0000000000000001E-3</v>
      </c>
      <c r="G134" s="10">
        <f>ROUND(_xlfn.WEIBULL.DIST(COUNTA($C$118:C134),$T$14,$B$114,FALSE),3)</f>
        <v>6.2E-2</v>
      </c>
      <c r="H134" s="10">
        <f>ROUND(_xlfn.WEIBULL.DIST(COUNTA($C$119:C134),$T$14,$B$114,FALSE),3)</f>
        <v>0.17699999999999999</v>
      </c>
      <c r="I134" s="10">
        <f>ROUND(_xlfn.WEIBULL.DIST(COUNTA($C$120:C134),$T$14,$B$114,FALSE),3)</f>
        <v>0.245</v>
      </c>
      <c r="J134" s="10">
        <f>ROUND(_xlfn.WEIBULL.DIST(COUNTA($C$121:C134),$T$14,$B$114,FALSE),3)</f>
        <v>0.217</v>
      </c>
      <c r="K134" s="10">
        <f>ROUND(_xlfn.WEIBULL.DIST(COUNTA($C$122:C134),$T$14,$B$114,FALSE),3)</f>
        <v>0.14499999999999999</v>
      </c>
      <c r="L134" s="10">
        <f>ROUND(_xlfn.WEIBULL.DIST(COUNTA($C$123:C134),$T$14,$B$114,FALSE),3)</f>
        <v>0.08</v>
      </c>
      <c r="M134" s="10">
        <f>ROUND(_xlfn.WEIBULL.DIST(COUNTA($C$124:C134),$T$14,$B$114,FALSE),3)</f>
        <v>3.9E-2</v>
      </c>
      <c r="N134" s="10">
        <f>ROUND(_xlfn.WEIBULL.DIST(COUNTA($C$125:C134),$T$14,$B$114,FALSE),3)</f>
        <v>1.7000000000000001E-2</v>
      </c>
      <c r="O134" s="10">
        <f>ROUND(_xlfn.WEIBULL.DIST(COUNTA($C$126:C134),$T$14,$B$114,FALSE),3)</f>
        <v>7.0000000000000001E-3</v>
      </c>
      <c r="P134" s="10">
        <f>ROUND(_xlfn.WEIBULL.DIST(COUNTA($C$127:C134),$T$14,$B$114,FALSE),3)</f>
        <v>2E-3</v>
      </c>
      <c r="Q134" s="10">
        <f>ROUND(_xlfn.WEIBULL.DIST(COUNTA($C$128:C134),$T$14,$B$114,FALSE),3)</f>
        <v>1E-3</v>
      </c>
      <c r="R134" s="10">
        <f>ROUND(_xlfn.WEIBULL.DIST(COUNTA($C$129:C134),$T$14,$B$114,FALSE),3)</f>
        <v>0</v>
      </c>
      <c r="S134" s="10">
        <f>ROUND(_xlfn.WEIBULL.DIST(COUNTA($C$130:C134),$T$14,$B$114,FALSE),3)</f>
        <v>0</v>
      </c>
      <c r="T134" s="10">
        <f>ROUND(_xlfn.WEIBULL.DIST(COUNTA($C$131:C134),$T$14,$B$114,FALSE),3)</f>
        <v>0</v>
      </c>
      <c r="U134" s="10">
        <f>ROUND(_xlfn.WEIBULL.DIST(COUNTA($C$132:C134),$T$14,$B$114,FALSE),3)</f>
        <v>0</v>
      </c>
      <c r="V134" s="10">
        <f>ROUND(_xlfn.WEIBULL.DIST(COUNTA($C$133:C134),$T$14,$B$114,FALSE),3)</f>
        <v>0</v>
      </c>
      <c r="W134" s="10">
        <f>ROUND(_xlfn.WEIBULL.DIST(COUNTA($C$134:C134),$T$14,$B$114,FALSE),3)</f>
        <v>0</v>
      </c>
      <c r="AD134" s="10">
        <v>16</v>
      </c>
      <c r="AF134" s="197">
        <v>2.3346813963345263E-3</v>
      </c>
      <c r="AG134" s="197">
        <v>7.4392612800843957E-2</v>
      </c>
      <c r="AH134" s="197">
        <v>1.8281605352240633E-3</v>
      </c>
      <c r="AI134" s="197">
        <v>7.5635119433128603E-2</v>
      </c>
      <c r="AK134" s="10">
        <v>6.4852261009292464E-2</v>
      </c>
      <c r="AL134" s="10">
        <v>0</v>
      </c>
      <c r="AM134" s="10">
        <v>2.285200669030079E-2</v>
      </c>
      <c r="AN134" s="10">
        <v>0</v>
      </c>
    </row>
    <row r="135" spans="2:40" x14ac:dyDescent="0.3">
      <c r="AD135" s="10">
        <v>17</v>
      </c>
      <c r="AF135" s="197">
        <v>4.63591872148445E-4</v>
      </c>
      <c r="AG135" s="197">
        <v>9.5798065265608842E-2</v>
      </c>
      <c r="AH135" s="197">
        <v>5.0126757351300584E-5</v>
      </c>
      <c r="AI135" s="197">
        <v>9.1289731513340397E-2</v>
      </c>
      <c r="AK135" s="10">
        <v>1.2877552004123487E-2</v>
      </c>
      <c r="AL135" s="10">
        <v>0</v>
      </c>
      <c r="AM135" s="10">
        <v>6.2658446689125733E-4</v>
      </c>
      <c r="AN135" s="10">
        <v>0</v>
      </c>
    </row>
    <row r="136" spans="2:40" x14ac:dyDescent="0.3">
      <c r="B136" s="10">
        <f>J37</f>
        <v>20</v>
      </c>
      <c r="D136" s="11" t="s">
        <v>139</v>
      </c>
      <c r="E136" s="11" t="s">
        <v>140</v>
      </c>
      <c r="F136" s="11" t="s">
        <v>141</v>
      </c>
      <c r="G136" s="11" t="s">
        <v>142</v>
      </c>
      <c r="H136" s="11" t="s">
        <v>143</v>
      </c>
      <c r="I136" s="11" t="s">
        <v>268</v>
      </c>
      <c r="J136" s="11" t="s">
        <v>269</v>
      </c>
      <c r="K136" s="11" t="s">
        <v>270</v>
      </c>
      <c r="L136" s="11" t="s">
        <v>271</v>
      </c>
      <c r="M136" s="11" t="s">
        <v>272</v>
      </c>
      <c r="N136" s="11" t="s">
        <v>273</v>
      </c>
      <c r="O136" s="11" t="s">
        <v>274</v>
      </c>
      <c r="P136" s="11" t="s">
        <v>275</v>
      </c>
      <c r="Q136" s="11" t="s">
        <v>276</v>
      </c>
      <c r="R136" s="11" t="s">
        <v>277</v>
      </c>
      <c r="S136" s="11" t="s">
        <v>278</v>
      </c>
      <c r="T136" s="11" t="s">
        <v>279</v>
      </c>
      <c r="U136" s="11" t="s">
        <v>280</v>
      </c>
      <c r="V136" s="11" t="s">
        <v>281</v>
      </c>
      <c r="W136" s="11" t="s">
        <v>282</v>
      </c>
      <c r="AD136" s="10">
        <v>18</v>
      </c>
      <c r="AF136" s="197">
        <v>6.4391383063527906E-5</v>
      </c>
      <c r="AG136" s="197">
        <v>0.11529259028315102</v>
      </c>
      <c r="AH136" s="197">
        <v>2.5242709765348046E-7</v>
      </c>
      <c r="AI136" s="197">
        <v>0.10411946026838112</v>
      </c>
      <c r="AK136" s="10">
        <v>1.7886495295424438E-3</v>
      </c>
      <c r="AL136" s="10">
        <v>0</v>
      </c>
      <c r="AM136" s="10">
        <v>3.1553387206685059E-6</v>
      </c>
      <c r="AN136" s="10">
        <v>0</v>
      </c>
    </row>
    <row r="137" spans="2:40" x14ac:dyDescent="0.3">
      <c r="C137" s="10" t="s">
        <v>139</v>
      </c>
      <c r="D137" s="10">
        <f>ROUND(_xlfn.WEIBULL.DIST(COUNTA($C$137:C137),$T$14,$B$136,FALSE),3)</f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AD137" s="10">
        <v>19</v>
      </c>
      <c r="AF137" s="197">
        <v>6.0055346433965807E-6</v>
      </c>
      <c r="AG137" s="197">
        <v>0.12797514841535015</v>
      </c>
      <c r="AH137" s="197">
        <v>1.3467963146223369E-10</v>
      </c>
      <c r="AI137" s="197">
        <v>0.11129942723074367</v>
      </c>
      <c r="AK137" s="10">
        <v>1.6682040676101631E-4</v>
      </c>
      <c r="AL137" s="10">
        <v>0</v>
      </c>
      <c r="AM137" s="10">
        <v>1.6834953932779211E-9</v>
      </c>
      <c r="AN137" s="10">
        <v>0</v>
      </c>
    </row>
    <row r="138" spans="2:40" x14ac:dyDescent="0.3">
      <c r="C138" s="10" t="s">
        <v>140</v>
      </c>
      <c r="D138" s="10">
        <f>ROUND(_xlfn.WEIBULL.DIST(COUNTA($C$137:C138),$T$14,$B$114,FALSE),3)</f>
        <v>0</v>
      </c>
      <c r="E138" s="10">
        <f>ROUND(_xlfn.WEIBULL.DIST(COUNTA($C$138:C138),$T$14,$B$136,FALSE),3)</f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AD138" s="10">
        <v>20</v>
      </c>
      <c r="AF138" s="197">
        <v>3.6011255910162948E-7</v>
      </c>
      <c r="AG138" s="197">
        <v>0.12875780441000489</v>
      </c>
      <c r="AH138" s="197">
        <v>3.8277715413485198E-15</v>
      </c>
      <c r="AI138" s="197">
        <v>0.11036383235143257</v>
      </c>
      <c r="AK138" s="10">
        <v>1.0003126641711941E-5</v>
      </c>
      <c r="AL138" s="10">
        <v>0</v>
      </c>
      <c r="AM138" s="10">
        <v>4.78471442668565E-14</v>
      </c>
      <c r="AN138" s="10">
        <v>0</v>
      </c>
    </row>
    <row r="139" spans="2:40" x14ac:dyDescent="0.3">
      <c r="C139" s="10" t="s">
        <v>141</v>
      </c>
      <c r="D139" s="10">
        <f>ROUND(_xlfn.WEIBULL.DIST(COUNTA($C$137:C139),$T$14,$B$114,FALSE),3)</f>
        <v>0</v>
      </c>
      <c r="E139" s="10">
        <f>ROUND(_xlfn.WEIBULL.DIST(COUNTA($C$138:C139),$T$14,$B$136,FALSE),3)</f>
        <v>0</v>
      </c>
      <c r="F139" s="10">
        <f>ROUND(_xlfn.WEIBULL.DIST(COUNTA($C$139:C139),$T$14,$B$136,FALSE),3)</f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AD139" s="10">
        <v>21</v>
      </c>
      <c r="AF139" s="197">
        <v>1.3259140176583559E-8</v>
      </c>
      <c r="AG139" s="197">
        <v>0.11484388873094241</v>
      </c>
      <c r="AH139" s="197">
        <v>2.4791344723118324E-21</v>
      </c>
      <c r="AI139" s="197">
        <v>0.10024705155970005</v>
      </c>
      <c r="AK139" s="10">
        <v>3.6830944934954372E-7</v>
      </c>
      <c r="AL139" s="10">
        <v>0</v>
      </c>
      <c r="AM139" s="10">
        <v>3.0989180903897905E-20</v>
      </c>
      <c r="AN139" s="10">
        <v>0</v>
      </c>
    </row>
    <row r="140" spans="2:40" x14ac:dyDescent="0.3">
      <c r="C140" s="10" t="s">
        <v>142</v>
      </c>
      <c r="D140" s="10">
        <f>ROUND(_xlfn.WEIBULL.DIST(COUNTA($C$137:C140),$T$14,$B$114,FALSE),3)</f>
        <v>0</v>
      </c>
      <c r="E140" s="10">
        <f>ROUND(_xlfn.WEIBULL.DIST(COUNTA($C$138:C140),$T$14,$B$136,FALSE),3)</f>
        <v>0</v>
      </c>
      <c r="F140" s="10">
        <f>ROUND(_xlfn.WEIBULL.DIST(COUNTA($C$139:C140),$T$14,$B$136,FALSE),3)</f>
        <v>0</v>
      </c>
      <c r="G140" s="10">
        <f>ROUND(_xlfn.WEIBULL.DIST(COUNTA($C$140:C140),$T$14,$B$136,FALSE),3)</f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AD140" s="10">
        <v>22</v>
      </c>
      <c r="AF140" s="197">
        <v>2.8557436417573301E-10</v>
      </c>
      <c r="AG140" s="197">
        <v>8.8329764384664972E-2</v>
      </c>
      <c r="AH140" s="197">
        <v>1.2967163704405297E-29</v>
      </c>
      <c r="AI140" s="197">
        <v>8.2168529312704103E-2</v>
      </c>
      <c r="AK140" s="10">
        <v>7.9326212271037033E-9</v>
      </c>
      <c r="AL140" s="10">
        <v>0</v>
      </c>
      <c r="AM140" s="10">
        <v>1.6208954630506621E-28</v>
      </c>
      <c r="AN140" s="10">
        <v>0</v>
      </c>
    </row>
    <row r="141" spans="2:40" x14ac:dyDescent="0.3">
      <c r="C141" s="10" t="s">
        <v>143</v>
      </c>
      <c r="D141" s="10">
        <f>ROUND(_xlfn.WEIBULL.DIST(COUNTA($C$137:C141),$T$14,$B$114,FALSE),3)</f>
        <v>0</v>
      </c>
      <c r="E141" s="10">
        <f>ROUND(_xlfn.WEIBULL.DIST(COUNTA($C$138:C141),$T$14,$B$136,FALSE),3)</f>
        <v>0</v>
      </c>
      <c r="F141" s="10">
        <f>ROUND(_xlfn.WEIBULL.DIST(COUNTA($C$139:C141),$T$14,$B$136,FALSE),3)</f>
        <v>0</v>
      </c>
      <c r="G141" s="10">
        <f>ROUND(_xlfn.WEIBULL.DIST(COUNTA($C$140:C141),$T$14,$B$136,FALSE),3)</f>
        <v>0</v>
      </c>
      <c r="H141" s="10">
        <f>ROUND(_xlfn.WEIBULL.DIST(COUNTA($C$141:C141),$T$14,$B$136,FALSE),3)</f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AD141" s="10">
        <v>23</v>
      </c>
      <c r="AF141" s="197">
        <v>3.4190329668494642E-12</v>
      </c>
      <c r="AG141" s="197">
        <v>5.6626944788583267E-2</v>
      </c>
      <c r="AH141" s="197">
        <v>1.5612756113240859E-40</v>
      </c>
      <c r="AI141" s="197">
        <v>5.9711905397285492E-2</v>
      </c>
      <c r="AK141" s="10">
        <v>9.4973137968040777E-11</v>
      </c>
      <c r="AL141" s="10">
        <v>0</v>
      </c>
      <c r="AM141" s="10">
        <v>1.9515945141551075E-39</v>
      </c>
      <c r="AN141" s="10">
        <v>0</v>
      </c>
    </row>
    <row r="142" spans="2:40" x14ac:dyDescent="0.3">
      <c r="C142" s="10" t="s">
        <v>268</v>
      </c>
      <c r="D142" s="10">
        <f>ROUND(_xlfn.WEIBULL.DIST(COUNTA($C$137:C142),$T$14,$B$114,FALSE),3)</f>
        <v>0</v>
      </c>
      <c r="E142" s="10">
        <f>ROUND(_xlfn.WEIBULL.DIST(COUNTA($C$138:C142),$T$14,$B$136,FALSE),3)</f>
        <v>0</v>
      </c>
      <c r="F142" s="10">
        <f>ROUND(_xlfn.WEIBULL.DIST(COUNTA($C$139:C142),$T$14,$B$136,FALSE),3)</f>
        <v>0</v>
      </c>
      <c r="G142" s="10">
        <f>ROUND(_xlfn.WEIBULL.DIST(COUNTA($C$140:C142),$T$14,$B$136,FALSE),3)</f>
        <v>0</v>
      </c>
      <c r="H142" s="10">
        <f>ROUND(_xlfn.WEIBULL.DIST(COUNTA($C$141:C142),$T$14,$B$136,FALSE),3)</f>
        <v>0</v>
      </c>
      <c r="I142" s="10">
        <f>ROUND(_xlfn.WEIBULL.DIST(COUNTA($C$142:C142),$T$14,$B$136,FALSE),3)</f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AD142" s="10">
        <v>24</v>
      </c>
      <c r="AF142" s="197">
        <v>2.156975010646559E-14</v>
      </c>
      <c r="AG142" s="197">
        <v>2.9040217954456791E-2</v>
      </c>
      <c r="AH142" s="197">
        <v>9.6029149911986469E-55</v>
      </c>
      <c r="AI142" s="197">
        <v>3.7690431603737036E-2</v>
      </c>
      <c r="AK142" s="10">
        <v>5.9915972517960037E-13</v>
      </c>
      <c r="AL142" s="10">
        <v>0</v>
      </c>
      <c r="AM142" s="10">
        <v>1.200364373899831E-53</v>
      </c>
      <c r="AN142" s="10">
        <v>0</v>
      </c>
    </row>
    <row r="143" spans="2:40" x14ac:dyDescent="0.3">
      <c r="C143" s="10" t="s">
        <v>269</v>
      </c>
      <c r="D143" s="10">
        <f>ROUND(_xlfn.WEIBULL.DIST(COUNTA($C$137:C143),$T$14,$B$114,FALSE),3)</f>
        <v>1E-3</v>
      </c>
      <c r="E143" s="10">
        <f>ROUND(_xlfn.WEIBULL.DIST(COUNTA($C$138:C143),$T$14,$B$136,FALSE),3)</f>
        <v>0</v>
      </c>
      <c r="F143" s="10">
        <f>ROUND(_xlfn.WEIBULL.DIST(COUNTA($C$139:C143),$T$14,$B$136,FALSE),3)</f>
        <v>0</v>
      </c>
      <c r="G143" s="10">
        <f>ROUND(_xlfn.WEIBULL.DIST(COUNTA($C$140:C143),$T$14,$B$136,FALSE),3)</f>
        <v>0</v>
      </c>
      <c r="H143" s="10">
        <f>ROUND(_xlfn.WEIBULL.DIST(COUNTA($C$141:C143),$T$14,$B$136,FALSE),3)</f>
        <v>0</v>
      </c>
      <c r="I143" s="10">
        <f>ROUND(_xlfn.WEIBULL.DIST(COUNTA($C$142:C143),$T$14,$B$136,FALSE),3)</f>
        <v>0</v>
      </c>
      <c r="J143" s="10">
        <f>ROUND(_xlfn.WEIBULL.DIST(COUNTA($C$143:C143),$T$14,$B$136,FALSE),3)</f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AD143" s="10">
        <v>25</v>
      </c>
      <c r="AF143" s="197">
        <v>6.7803454002682989E-17</v>
      </c>
      <c r="AG143" s="197">
        <v>1.1340981882815423E-2</v>
      </c>
      <c r="AH143" s="197">
        <v>5.030960319000855E-73</v>
      </c>
      <c r="AI143" s="197">
        <v>2.0182239108870563E-2</v>
      </c>
      <c r="AK143" s="10">
        <v>1.8834292778523073E-15</v>
      </c>
      <c r="AL143" s="10">
        <v>0</v>
      </c>
      <c r="AM143" s="10">
        <v>6.2887003987510692E-72</v>
      </c>
      <c r="AN143" s="10">
        <v>0</v>
      </c>
    </row>
    <row r="144" spans="2:40" x14ac:dyDescent="0.3">
      <c r="C144" s="10" t="s">
        <v>270</v>
      </c>
      <c r="D144" s="10">
        <f>ROUND(_xlfn.WEIBULL.DIST(COUNTA($C$137:C144),$T$14,$B$114,FALSE),3)</f>
        <v>2E-3</v>
      </c>
      <c r="E144" s="10">
        <f>ROUND(_xlfn.WEIBULL.DIST(COUNTA($C$138:C144),$T$14,$B$136,FALSE),3)</f>
        <v>0</v>
      </c>
      <c r="F144" s="10">
        <f>ROUND(_xlfn.WEIBULL.DIST(COUNTA($C$139:C144),$T$14,$B$136,FALSE),3)</f>
        <v>0</v>
      </c>
      <c r="G144" s="10">
        <f>ROUND(_xlfn.WEIBULL.DIST(COUNTA($C$140:C144),$T$14,$B$136,FALSE),3)</f>
        <v>0</v>
      </c>
      <c r="H144" s="10">
        <f>ROUND(_xlfn.WEIBULL.DIST(COUNTA($C$141:C144),$T$14,$B$136,FALSE),3)</f>
        <v>0</v>
      </c>
      <c r="I144" s="10">
        <f>ROUND(_xlfn.WEIBULL.DIST(COUNTA($C$142:C144),$T$14,$B$136,FALSE),3)</f>
        <v>0</v>
      </c>
      <c r="J144" s="10">
        <f>ROUND(_xlfn.WEIBULL.DIST(COUNTA($C$143:C144),$T$14,$B$136,FALSE),3)</f>
        <v>0</v>
      </c>
      <c r="K144" s="10">
        <f>ROUND(_xlfn.WEIBULL.DIST(COUNTA($C$144:C144),$T$14,$B$136,FALSE),3)</f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AD144" s="10">
        <v>26</v>
      </c>
      <c r="AF144" s="197">
        <v>1.0017619204560663E-19</v>
      </c>
      <c r="AG144" s="197">
        <v>3.181227222241552E-3</v>
      </c>
      <c r="AH144" s="197">
        <v>2.7053474124421354E-96</v>
      </c>
      <c r="AI144" s="197">
        <v>8.9244508556467709E-3</v>
      </c>
      <c r="AK144" s="10">
        <v>2.7826720012668536E-18</v>
      </c>
      <c r="AL144" s="10">
        <v>0</v>
      </c>
      <c r="AM144" s="10">
        <v>3.3816842655526696E-95</v>
      </c>
      <c r="AN144" s="10">
        <v>0</v>
      </c>
    </row>
    <row r="145" spans="2:40" x14ac:dyDescent="0.3">
      <c r="C145" s="10" t="s">
        <v>271</v>
      </c>
      <c r="D145" s="10">
        <f>ROUND(_xlfn.WEIBULL.DIST(COUNTA($C$137:C145),$T$14,$B$114,FALSE),3)</f>
        <v>7.0000000000000001E-3</v>
      </c>
      <c r="E145" s="10">
        <f>ROUND(_xlfn.WEIBULL.DIST(COUNTA($C$138:C145),$T$14,$B$136,FALSE),3)</f>
        <v>0</v>
      </c>
      <c r="F145" s="10">
        <f>ROUND(_xlfn.WEIBULL.DIST(COUNTA($C$139:C145),$T$14,$B$136,FALSE),3)</f>
        <v>0</v>
      </c>
      <c r="G145" s="10">
        <f>ROUND(_xlfn.WEIBULL.DIST(COUNTA($C$140:C145),$T$14,$B$136,FALSE),3)</f>
        <v>0</v>
      </c>
      <c r="H145" s="10">
        <f>ROUND(_xlfn.WEIBULL.DIST(COUNTA($C$141:C145),$T$14,$B$136,FALSE),3)</f>
        <v>0</v>
      </c>
      <c r="I145" s="10">
        <f>ROUND(_xlfn.WEIBULL.DIST(COUNTA($C$142:C145),$T$14,$B$136,FALSE),3)</f>
        <v>0</v>
      </c>
      <c r="J145" s="10">
        <f>ROUND(_xlfn.WEIBULL.DIST(COUNTA($C$143:C145),$T$14,$B$136,FALSE),3)</f>
        <v>0</v>
      </c>
      <c r="K145" s="10">
        <f>ROUND(_xlfn.WEIBULL.DIST(COUNTA($C$144:C145),$T$14,$B$136,FALSE),3)</f>
        <v>0</v>
      </c>
      <c r="L145" s="10">
        <f>ROUND(_xlfn.WEIBULL.DIST(COUNTA($C$145:C145),$T$14,$B$136,FALSE),3)</f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AD145" s="10">
        <v>27</v>
      </c>
      <c r="AF145" s="197">
        <v>6.5457875853585867E-23</v>
      </c>
      <c r="AG145" s="197">
        <v>5.9834352666847271E-4</v>
      </c>
      <c r="AH145" s="197">
        <v>1.2466515124739139E-125</v>
      </c>
      <c r="AI145" s="197">
        <v>3.1609110603504297E-3</v>
      </c>
      <c r="AK145" s="10">
        <v>1.8182743292662758E-21</v>
      </c>
      <c r="AL145" s="10">
        <v>0</v>
      </c>
      <c r="AM145" s="10">
        <v>1.5583143905923923E-124</v>
      </c>
      <c r="AN145" s="10">
        <v>0</v>
      </c>
    </row>
    <row r="146" spans="2:40" x14ac:dyDescent="0.3">
      <c r="C146" s="10" t="s">
        <v>272</v>
      </c>
      <c r="D146" s="10">
        <f>ROUND(_xlfn.WEIBULL.DIST(COUNTA($C$137:C146),$T$14,$B$114,FALSE),3)</f>
        <v>1.7000000000000001E-2</v>
      </c>
      <c r="E146" s="10">
        <f>ROUND(_xlfn.WEIBULL.DIST(COUNTA($C$138:C146),$T$14,$B$136,FALSE),3)</f>
        <v>0</v>
      </c>
      <c r="F146" s="10">
        <f>ROUND(_xlfn.WEIBULL.DIST(COUNTA($C$139:C146),$T$14,$B$136,FALSE),3)</f>
        <v>0</v>
      </c>
      <c r="G146" s="10">
        <f>ROUND(_xlfn.WEIBULL.DIST(COUNTA($C$140:C146),$T$14,$B$136,FALSE),3)</f>
        <v>0</v>
      </c>
      <c r="H146" s="10">
        <f>ROUND(_xlfn.WEIBULL.DIST(COUNTA($C$141:C146),$T$14,$B$136,FALSE),3)</f>
        <v>0</v>
      </c>
      <c r="I146" s="10">
        <f>ROUND(_xlfn.WEIBULL.DIST(COUNTA($C$142:C146),$T$14,$B$136,FALSE),3)</f>
        <v>0</v>
      </c>
      <c r="J146" s="10">
        <f>ROUND(_xlfn.WEIBULL.DIST(COUNTA($C$143:C146),$T$14,$B$136,FALSE),3)</f>
        <v>0</v>
      </c>
      <c r="K146" s="10">
        <f>ROUND(_xlfn.WEIBULL.DIST(COUNTA($C$144:C146),$T$14,$B$136,FALSE),3)</f>
        <v>0</v>
      </c>
      <c r="L146" s="10">
        <f>ROUND(_xlfn.WEIBULL.DIST(COUNTA($C$145:C146),$T$14,$B$136,FALSE),3)</f>
        <v>0</v>
      </c>
      <c r="M146" s="10">
        <f>ROUND(_xlfn.WEIBULL.DIST(COUNTA($C$146:C146),$T$14,$B$136,FALSE),3)</f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</row>
    <row r="147" spans="2:40" x14ac:dyDescent="0.3">
      <c r="C147" s="10" t="s">
        <v>273</v>
      </c>
      <c r="D147" s="10">
        <f>ROUND(_xlfn.WEIBULL.DIST(COUNTA($C$137:C147),$T$14,$B$114,FALSE),3)</f>
        <v>3.9E-2</v>
      </c>
      <c r="E147" s="10">
        <f>ROUND(_xlfn.WEIBULL.DIST(COUNTA($C$138:C147),$T$14,$B$136,FALSE),3)</f>
        <v>1E-3</v>
      </c>
      <c r="F147" s="10">
        <f>ROUND(_xlfn.WEIBULL.DIST(COUNTA($C$139:C147),$T$14,$B$136,FALSE),3)</f>
        <v>0</v>
      </c>
      <c r="G147" s="10">
        <f>ROUND(_xlfn.WEIBULL.DIST(COUNTA($C$140:C147),$T$14,$B$136,FALSE),3)</f>
        <v>0</v>
      </c>
      <c r="H147" s="10">
        <f>ROUND(_xlfn.WEIBULL.DIST(COUNTA($C$141:C147),$T$14,$B$136,FALSE),3)</f>
        <v>0</v>
      </c>
      <c r="I147" s="10">
        <f>ROUND(_xlfn.WEIBULL.DIST(COUNTA($C$142:C147),$T$14,$B$136,FALSE),3)</f>
        <v>0</v>
      </c>
      <c r="J147" s="10">
        <f>ROUND(_xlfn.WEIBULL.DIST(COUNTA($C$143:C147),$T$14,$B$136,FALSE),3)</f>
        <v>0</v>
      </c>
      <c r="K147" s="10">
        <f>ROUND(_xlfn.WEIBULL.DIST(COUNTA($C$144:C147),$T$14,$B$136,FALSE),3)</f>
        <v>0</v>
      </c>
      <c r="L147" s="10">
        <f>ROUND(_xlfn.WEIBULL.DIST(COUNTA($C$145:C147),$T$14,$B$136,FALSE),3)</f>
        <v>0</v>
      </c>
      <c r="M147" s="10">
        <f>ROUND(_xlfn.WEIBULL.DIST(COUNTA($C$146:C147),$T$14,$B$136,FALSE),3)</f>
        <v>0</v>
      </c>
      <c r="N147" s="10">
        <f>ROUND(_xlfn.WEIBULL.DIST(COUNTA($C$147:C147),$T$14,$B$136,FALSE),3)</f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</row>
    <row r="148" spans="2:40" x14ac:dyDescent="0.3">
      <c r="C148" s="10" t="s">
        <v>274</v>
      </c>
      <c r="D148" s="10">
        <f>ROUND(_xlfn.WEIBULL.DIST(COUNTA($C$137:C148),$T$14,$B$114,FALSE),3)</f>
        <v>0.08</v>
      </c>
      <c r="E148" s="10">
        <f>ROUND(_xlfn.WEIBULL.DIST(COUNTA($C$138:C148),$T$14,$B$136,FALSE),3)</f>
        <v>2E-3</v>
      </c>
      <c r="F148" s="10">
        <f>ROUND(_xlfn.WEIBULL.DIST(COUNTA($C$139:C148),$T$14,$B$136,FALSE),3)</f>
        <v>1E-3</v>
      </c>
      <c r="G148" s="10">
        <f>ROUND(_xlfn.WEIBULL.DIST(COUNTA($C$140:C148),$T$14,$B$136,FALSE),3)</f>
        <v>0</v>
      </c>
      <c r="H148" s="10">
        <f>ROUND(_xlfn.WEIBULL.DIST(COUNTA($C$141:C148),$T$14,$B$136,FALSE),3)</f>
        <v>0</v>
      </c>
      <c r="I148" s="10">
        <f>ROUND(_xlfn.WEIBULL.DIST(COUNTA($C$142:C148),$T$14,$B$136,FALSE),3)</f>
        <v>0</v>
      </c>
      <c r="J148" s="10">
        <f>ROUND(_xlfn.WEIBULL.DIST(COUNTA($C$143:C148),$T$14,$B$136,FALSE),3)</f>
        <v>0</v>
      </c>
      <c r="K148" s="10">
        <f>ROUND(_xlfn.WEIBULL.DIST(COUNTA($C$144:C148),$T$14,$B$136,FALSE),3)</f>
        <v>0</v>
      </c>
      <c r="L148" s="10">
        <f>ROUND(_xlfn.WEIBULL.DIST(COUNTA($C$145:C148),$T$14,$B$136,FALSE),3)</f>
        <v>0</v>
      </c>
      <c r="M148" s="10">
        <f>ROUND(_xlfn.WEIBULL.DIST(COUNTA($C$146:C148),$T$14,$B$136,FALSE),3)</f>
        <v>0</v>
      </c>
      <c r="N148" s="10">
        <f>ROUND(_xlfn.WEIBULL.DIST(COUNTA($C$147:C148),$T$14,$B$136,FALSE),3)</f>
        <v>0</v>
      </c>
      <c r="O148" s="10">
        <f>ROUND(_xlfn.WEIBULL.DIST(COUNTA($C$148:C148),$T$14,$B$136,FALSE),3)</f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</row>
    <row r="149" spans="2:40" x14ac:dyDescent="0.3">
      <c r="C149" s="10" t="s">
        <v>275</v>
      </c>
      <c r="D149" s="10">
        <f>ROUND(_xlfn.WEIBULL.DIST(COUNTA($C$137:C149),$T$14,$B$114,FALSE),3)</f>
        <v>0.14499999999999999</v>
      </c>
      <c r="E149" s="10">
        <f>ROUND(_xlfn.WEIBULL.DIST(COUNTA($C$138:C149),$T$14,$B$136,FALSE),3)</f>
        <v>5.0000000000000001E-3</v>
      </c>
      <c r="F149" s="10">
        <f>ROUND(_xlfn.WEIBULL.DIST(COUNTA($C$139:C149),$T$14,$B$136,FALSE),3)</f>
        <v>2E-3</v>
      </c>
      <c r="G149" s="10">
        <f>ROUND(_xlfn.WEIBULL.DIST(COUNTA($C$140:C149),$T$14,$B$136,FALSE),3)</f>
        <v>1E-3</v>
      </c>
      <c r="H149" s="10">
        <f>ROUND(_xlfn.WEIBULL.DIST(COUNTA($C$141:C149),$T$14,$B$136,FALSE),3)</f>
        <v>0</v>
      </c>
      <c r="I149" s="10">
        <f>ROUND(_xlfn.WEIBULL.DIST(COUNTA($C$142:C149),$T$14,$B$136,FALSE),3)</f>
        <v>0</v>
      </c>
      <c r="J149" s="10">
        <f>ROUND(_xlfn.WEIBULL.DIST(COUNTA($C$143:C149),$T$14,$B$136,FALSE),3)</f>
        <v>0</v>
      </c>
      <c r="K149" s="10">
        <f>ROUND(_xlfn.WEIBULL.DIST(COUNTA($C$144:C149),$T$14,$B$136,FALSE),3)</f>
        <v>0</v>
      </c>
      <c r="L149" s="10">
        <f>ROUND(_xlfn.WEIBULL.DIST(COUNTA($C$145:C149),$T$14,$B$136,FALSE),3)</f>
        <v>0</v>
      </c>
      <c r="M149" s="10">
        <f>ROUND(_xlfn.WEIBULL.DIST(COUNTA($C$146:C149),$T$14,$B$136,FALSE),3)</f>
        <v>0</v>
      </c>
      <c r="N149" s="10">
        <f>ROUND(_xlfn.WEIBULL.DIST(COUNTA($C$147:C149),$T$14,$B$136,FALSE),3)</f>
        <v>0</v>
      </c>
      <c r="O149" s="10">
        <f>ROUND(_xlfn.WEIBULL.DIST(COUNTA($C$148:C149),$T$14,$B$136,FALSE),3)</f>
        <v>0</v>
      </c>
      <c r="P149" s="10">
        <f>ROUND(_xlfn.WEIBULL.DIST(COUNTA($C$149:C149),$T$14,$B$136,FALSE),3)</f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</row>
    <row r="150" spans="2:40" x14ac:dyDescent="0.3">
      <c r="C150" s="10" t="s">
        <v>276</v>
      </c>
      <c r="D150" s="10">
        <f>ROUND(_xlfn.WEIBULL.DIST(COUNTA($C$137:C150),$T$14,$B$114,FALSE),3)</f>
        <v>0.217</v>
      </c>
      <c r="E150" s="10">
        <f>ROUND(_xlfn.WEIBULL.DIST(COUNTA($C$138:C150),$T$14,$B$136,FALSE),3)</f>
        <v>0.01</v>
      </c>
      <c r="F150" s="10">
        <f>ROUND(_xlfn.WEIBULL.DIST(COUNTA($C$139:C150),$T$14,$B$136,FALSE),3)</f>
        <v>5.0000000000000001E-3</v>
      </c>
      <c r="G150" s="10">
        <f>ROUND(_xlfn.WEIBULL.DIST(COUNTA($C$140:C150),$T$14,$B$136,FALSE),3)</f>
        <v>2E-3</v>
      </c>
      <c r="H150" s="10">
        <f>ROUND(_xlfn.WEIBULL.DIST(COUNTA($C$141:C150),$T$14,$B$136,FALSE),3)</f>
        <v>1E-3</v>
      </c>
      <c r="I150" s="10">
        <f>ROUND(_xlfn.WEIBULL.DIST(COUNTA($C$142:C150),$T$14,$B$136,FALSE),3)</f>
        <v>0</v>
      </c>
      <c r="J150" s="10">
        <f>ROUND(_xlfn.WEIBULL.DIST(COUNTA($C$143:C150),$T$14,$B$136,FALSE),3)</f>
        <v>0</v>
      </c>
      <c r="K150" s="10">
        <f>ROUND(_xlfn.WEIBULL.DIST(COUNTA($C$144:C150),$T$14,$B$136,FALSE),3)</f>
        <v>0</v>
      </c>
      <c r="L150" s="10">
        <f>ROUND(_xlfn.WEIBULL.DIST(COUNTA($C$145:C150),$T$14,$B$136,FALSE),3)</f>
        <v>0</v>
      </c>
      <c r="M150" s="10">
        <f>ROUND(_xlfn.WEIBULL.DIST(COUNTA($C$146:C150),$T$14,$B$136,FALSE),3)</f>
        <v>0</v>
      </c>
      <c r="N150" s="10">
        <f>ROUND(_xlfn.WEIBULL.DIST(COUNTA($C$147:C150),$T$14,$B$136,FALSE),3)</f>
        <v>0</v>
      </c>
      <c r="O150" s="10">
        <f>ROUND(_xlfn.WEIBULL.DIST(COUNTA($C$148:C150),$T$14,$B$136,FALSE),3)</f>
        <v>0</v>
      </c>
      <c r="P150" s="10">
        <f>ROUND(_xlfn.WEIBULL.DIST(COUNTA($C$149:C150),$T$14,$B$136,FALSE),3)</f>
        <v>0</v>
      </c>
      <c r="Q150" s="10">
        <f>ROUND(_xlfn.WEIBULL.DIST(COUNTA($C$150:C150),$T$14,$B$136,FALSE),3)</f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</row>
    <row r="151" spans="2:40" x14ac:dyDescent="0.3">
      <c r="C151" s="10" t="s">
        <v>277</v>
      </c>
      <c r="D151" s="10">
        <f>ROUND(_xlfn.WEIBULL.DIST(COUNTA($C$137:C151),$T$14,$B$114,FALSE),3)</f>
        <v>0.245</v>
      </c>
      <c r="E151" s="10">
        <f>ROUND(_xlfn.WEIBULL.DIST(COUNTA($C$138:C151),$T$14,$B$136,FALSE),3)</f>
        <v>0.02</v>
      </c>
      <c r="F151" s="10">
        <f>ROUND(_xlfn.WEIBULL.DIST(COUNTA($C$139:C151),$T$14,$B$136,FALSE),3)</f>
        <v>0.01</v>
      </c>
      <c r="G151" s="10">
        <f>ROUND(_xlfn.WEIBULL.DIST(COUNTA($C$140:C151),$T$14,$B$136,FALSE),3)</f>
        <v>5.0000000000000001E-3</v>
      </c>
      <c r="H151" s="10">
        <f>ROUND(_xlfn.WEIBULL.DIST(COUNTA($C$141:C151),$T$14,$B$136,FALSE),3)</f>
        <v>2E-3</v>
      </c>
      <c r="I151" s="10">
        <f>ROUND(_xlfn.WEIBULL.DIST(COUNTA($C$142:C151),$T$14,$B$136,FALSE),3)</f>
        <v>1E-3</v>
      </c>
      <c r="J151" s="10">
        <f>ROUND(_xlfn.WEIBULL.DIST(COUNTA($C$143:C151),$T$14,$B$136,FALSE),3)</f>
        <v>0</v>
      </c>
      <c r="K151" s="10">
        <f>ROUND(_xlfn.WEIBULL.DIST(COUNTA($C$144:C151),$T$14,$B$136,FALSE),3)</f>
        <v>0</v>
      </c>
      <c r="L151" s="10">
        <f>ROUND(_xlfn.WEIBULL.DIST(COUNTA($C$145:C151),$T$14,$B$136,FALSE),3)</f>
        <v>0</v>
      </c>
      <c r="M151" s="10">
        <f>ROUND(_xlfn.WEIBULL.DIST(COUNTA($C$146:C151),$T$14,$B$136,FALSE),3)</f>
        <v>0</v>
      </c>
      <c r="N151" s="10">
        <f>ROUND(_xlfn.WEIBULL.DIST(COUNTA($C$147:C151),$T$14,$B$136,FALSE),3)</f>
        <v>0</v>
      </c>
      <c r="O151" s="10">
        <f>ROUND(_xlfn.WEIBULL.DIST(COUNTA($C$148:C151),$T$14,$B$136,FALSE),3)</f>
        <v>0</v>
      </c>
      <c r="P151" s="10">
        <f>ROUND(_xlfn.WEIBULL.DIST(COUNTA($C$149:C151),$T$14,$B$136,FALSE),3)</f>
        <v>0</v>
      </c>
      <c r="Q151" s="10">
        <f>ROUND(_xlfn.WEIBULL.DIST(COUNTA($C$150:C151),$T$14,$B$136,FALSE),3)</f>
        <v>0</v>
      </c>
      <c r="R151" s="10">
        <f>ROUND(_xlfn.WEIBULL.DIST(COUNTA($C$151:C151),$T$14,$B$136,FALSE),3)</f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</row>
    <row r="152" spans="2:40" x14ac:dyDescent="0.3">
      <c r="C152" s="10" t="s">
        <v>278</v>
      </c>
      <c r="D152" s="10">
        <f>ROUND(_xlfn.WEIBULL.DIST(COUNTA($C$137:C152),$T$14,$B$114,FALSE),3)</f>
        <v>0.17699999999999999</v>
      </c>
      <c r="E152" s="10">
        <f>ROUND(_xlfn.WEIBULL.DIST(COUNTA($C$138:C152),$T$14,$B$136,FALSE),3)</f>
        <v>3.5000000000000003E-2</v>
      </c>
      <c r="F152" s="10">
        <f>ROUND(_xlfn.WEIBULL.DIST(COUNTA($C$139:C152),$T$14,$B$136,FALSE),3)</f>
        <v>0.02</v>
      </c>
      <c r="G152" s="10">
        <f>ROUND(_xlfn.WEIBULL.DIST(COUNTA($C$140:C152),$T$14,$B$136,FALSE),3)</f>
        <v>0.01</v>
      </c>
      <c r="H152" s="10">
        <f>ROUND(_xlfn.WEIBULL.DIST(COUNTA($C$141:C152),$T$14,$B$136,FALSE),3)</f>
        <v>5.0000000000000001E-3</v>
      </c>
      <c r="I152" s="10">
        <f>ROUND(_xlfn.WEIBULL.DIST(COUNTA($C$142:C152),$T$14,$B$136,FALSE),3)</f>
        <v>2E-3</v>
      </c>
      <c r="J152" s="10">
        <f>ROUND(_xlfn.WEIBULL.DIST(COUNTA($C$143:C152),$T$14,$B$136,FALSE),3)</f>
        <v>1E-3</v>
      </c>
      <c r="K152" s="10">
        <f>ROUND(_xlfn.WEIBULL.DIST(COUNTA($C$144:C152),$T$14,$B$136,FALSE),3)</f>
        <v>0</v>
      </c>
      <c r="L152" s="10">
        <f>ROUND(_xlfn.WEIBULL.DIST(COUNTA($C$145:C152),$T$14,$B$136,FALSE),3)</f>
        <v>0</v>
      </c>
      <c r="M152" s="10">
        <f>ROUND(_xlfn.WEIBULL.DIST(COUNTA($C$146:C152),$T$14,$B$136,FALSE),3)</f>
        <v>0</v>
      </c>
      <c r="N152" s="10">
        <f>ROUND(_xlfn.WEIBULL.DIST(COUNTA($C$147:C152),$T$14,$B$136,FALSE),3)</f>
        <v>0</v>
      </c>
      <c r="O152" s="10">
        <f>ROUND(_xlfn.WEIBULL.DIST(COUNTA($C$148:C152),$T$14,$B$136,FALSE),3)</f>
        <v>0</v>
      </c>
      <c r="P152" s="10">
        <f>ROUND(_xlfn.WEIBULL.DIST(COUNTA($C$149:C152),$T$14,$B$136,FALSE),3)</f>
        <v>0</v>
      </c>
      <c r="Q152" s="10">
        <f>ROUND(_xlfn.WEIBULL.DIST(COUNTA($C$150:C152),$T$14,$B$136,FALSE),3)</f>
        <v>0</v>
      </c>
      <c r="R152" s="10">
        <f>ROUND(_xlfn.WEIBULL.DIST(COUNTA($C$151:C152),$T$14,$B$136,FALSE),3)</f>
        <v>0</v>
      </c>
      <c r="S152" s="10">
        <f>ROUND(_xlfn.WEIBULL.DIST(COUNTA($C$152:C152),$T$14,$B$136,FALSE),3)</f>
        <v>0</v>
      </c>
      <c r="T152" s="10">
        <v>0</v>
      </c>
      <c r="U152" s="10">
        <v>0</v>
      </c>
      <c r="V152" s="10">
        <v>0</v>
      </c>
      <c r="W152" s="10">
        <v>0</v>
      </c>
    </row>
    <row r="153" spans="2:40" x14ac:dyDescent="0.3">
      <c r="C153" s="10" t="s">
        <v>279</v>
      </c>
      <c r="D153" s="10">
        <f>ROUND(_xlfn.WEIBULL.DIST(COUNTA($C$137:C153),$T$14,$B$114,FALSE),3)</f>
        <v>6.2E-2</v>
      </c>
      <c r="E153" s="10">
        <f>ROUND(_xlfn.WEIBULL.DIST(COUNTA($C$138:C153),$T$14,$B$136,FALSE),3)</f>
        <v>0.06</v>
      </c>
      <c r="F153" s="10">
        <f>ROUND(_xlfn.WEIBULL.DIST(COUNTA($C$139:C153),$T$14,$B$136,FALSE),3)</f>
        <v>3.5000000000000003E-2</v>
      </c>
      <c r="G153" s="10">
        <f>ROUND(_xlfn.WEIBULL.DIST(COUNTA($C$140:C153),$T$14,$B$136,FALSE),3)</f>
        <v>0.02</v>
      </c>
      <c r="H153" s="10">
        <f>ROUND(_xlfn.WEIBULL.DIST(COUNTA($C$141:C153),$T$14,$B$136,FALSE),3)</f>
        <v>0.01</v>
      </c>
      <c r="I153" s="10">
        <f>ROUND(_xlfn.WEIBULL.DIST(COUNTA($C$142:C153),$T$14,$B$136,FALSE),3)</f>
        <v>5.0000000000000001E-3</v>
      </c>
      <c r="J153" s="10">
        <f>ROUND(_xlfn.WEIBULL.DIST(COUNTA($C$143:C153),$T$14,$B$136,FALSE),3)</f>
        <v>2E-3</v>
      </c>
      <c r="K153" s="10">
        <f>ROUND(_xlfn.WEIBULL.DIST(COUNTA($C$144:C153),$T$14,$B$136,FALSE),3)</f>
        <v>1E-3</v>
      </c>
      <c r="L153" s="10">
        <f>ROUND(_xlfn.WEIBULL.DIST(COUNTA($C$145:C153),$T$14,$B$136,FALSE),3)</f>
        <v>0</v>
      </c>
      <c r="M153" s="10">
        <f>ROUND(_xlfn.WEIBULL.DIST(COUNTA($C$146:C153),$T$14,$B$136,FALSE),3)</f>
        <v>0</v>
      </c>
      <c r="N153" s="10">
        <f>ROUND(_xlfn.WEIBULL.DIST(COUNTA($C$147:C153),$T$14,$B$136,FALSE),3)</f>
        <v>0</v>
      </c>
      <c r="O153" s="10">
        <f>ROUND(_xlfn.WEIBULL.DIST(COUNTA($C$148:C153),$T$14,$B$136,FALSE),3)</f>
        <v>0</v>
      </c>
      <c r="P153" s="10">
        <f>ROUND(_xlfn.WEIBULL.DIST(COUNTA($C$149:C153),$T$14,$B$136,FALSE),3)</f>
        <v>0</v>
      </c>
      <c r="Q153" s="10">
        <f>ROUND(_xlfn.WEIBULL.DIST(COUNTA($C$150:C153),$T$14,$B$136,FALSE),3)</f>
        <v>0</v>
      </c>
      <c r="R153" s="10">
        <f>ROUND(_xlfn.WEIBULL.DIST(COUNTA($C$151:C153),$T$14,$B$136,FALSE),3)</f>
        <v>0</v>
      </c>
      <c r="S153" s="10">
        <f>ROUND(_xlfn.WEIBULL.DIST(COUNTA($C$152:C153),$T$14,$B$136,FALSE),3)</f>
        <v>0</v>
      </c>
      <c r="T153" s="10">
        <f>ROUND(_xlfn.WEIBULL.DIST(COUNTA($C$153:C153),$T$14,$B$136,FALSE),3)</f>
        <v>0</v>
      </c>
      <c r="U153" s="10">
        <v>0</v>
      </c>
      <c r="V153" s="10">
        <v>0</v>
      </c>
      <c r="W153" s="10">
        <v>0</v>
      </c>
    </row>
    <row r="154" spans="2:40" x14ac:dyDescent="0.3">
      <c r="C154" s="10" t="s">
        <v>280</v>
      </c>
      <c r="D154" s="10">
        <f>ROUND(_xlfn.WEIBULL.DIST(COUNTA($C$137:C154),$T$14,$B$114,FALSE),3)</f>
        <v>7.0000000000000001E-3</v>
      </c>
      <c r="E154" s="10">
        <f>ROUND(_xlfn.WEIBULL.DIST(COUNTA($C$138:C154),$T$14,$B$136,FALSE),3)</f>
        <v>9.5000000000000001E-2</v>
      </c>
      <c r="F154" s="10">
        <f>ROUND(_xlfn.WEIBULL.DIST(COUNTA($C$139:C154),$T$14,$B$136,FALSE),3)</f>
        <v>0.06</v>
      </c>
      <c r="G154" s="10">
        <f>ROUND(_xlfn.WEIBULL.DIST(COUNTA($C$140:C154),$T$14,$B$136,FALSE),3)</f>
        <v>3.5000000000000003E-2</v>
      </c>
      <c r="H154" s="10">
        <f>ROUND(_xlfn.WEIBULL.DIST(COUNTA($C$141:C154),$T$14,$B$136,FALSE),3)</f>
        <v>0.02</v>
      </c>
      <c r="I154" s="10">
        <f>ROUND(_xlfn.WEIBULL.DIST(COUNTA($C$142:C154),$T$14,$B$136,FALSE),3)</f>
        <v>0.01</v>
      </c>
      <c r="J154" s="10">
        <f>ROUND(_xlfn.WEIBULL.DIST(COUNTA($C$143:C154),$T$14,$B$136,FALSE),3)</f>
        <v>5.0000000000000001E-3</v>
      </c>
      <c r="K154" s="10">
        <f>ROUND(_xlfn.WEIBULL.DIST(COUNTA($C$144:C154),$T$14,$B$136,FALSE),3)</f>
        <v>2E-3</v>
      </c>
      <c r="L154" s="10">
        <f>ROUND(_xlfn.WEIBULL.DIST(COUNTA($C$145:C154),$T$14,$B$136,FALSE),3)</f>
        <v>1E-3</v>
      </c>
      <c r="M154" s="10">
        <f>ROUND(_xlfn.WEIBULL.DIST(COUNTA($C$146:C154),$T$14,$B$136,FALSE),3)</f>
        <v>0</v>
      </c>
      <c r="N154" s="10">
        <f>ROUND(_xlfn.WEIBULL.DIST(COUNTA($C$147:C154),$T$14,$B$136,FALSE),3)</f>
        <v>0</v>
      </c>
      <c r="O154" s="10">
        <f>ROUND(_xlfn.WEIBULL.DIST(COUNTA($C$148:C154),$T$14,$B$136,FALSE),3)</f>
        <v>0</v>
      </c>
      <c r="P154" s="10">
        <f>ROUND(_xlfn.WEIBULL.DIST(COUNTA($C$149:C154),$T$14,$B$136,FALSE),3)</f>
        <v>0</v>
      </c>
      <c r="Q154" s="10">
        <f>ROUND(_xlfn.WEIBULL.DIST(COUNTA($C$150:C154),$T$14,$B$136,FALSE),3)</f>
        <v>0</v>
      </c>
      <c r="R154" s="10">
        <f>ROUND(_xlfn.WEIBULL.DIST(COUNTA($C$151:C154),$T$14,$B$136,FALSE),3)</f>
        <v>0</v>
      </c>
      <c r="S154" s="10">
        <f>ROUND(_xlfn.WEIBULL.DIST(COUNTA($C$152:C154),$T$14,$B$136,FALSE),3)</f>
        <v>0</v>
      </c>
      <c r="T154" s="10">
        <f>ROUND(_xlfn.WEIBULL.DIST(COUNTA($C$153:C154),$T$14,$B$136,FALSE),3)</f>
        <v>0</v>
      </c>
      <c r="U154" s="10">
        <f>ROUND(_xlfn.WEIBULL.DIST(COUNTA($C$154:C154),$T$14,$B$136,FALSE),3)</f>
        <v>0</v>
      </c>
      <c r="V154" s="10">
        <v>0</v>
      </c>
      <c r="W154" s="10">
        <v>0</v>
      </c>
    </row>
    <row r="155" spans="2:40" x14ac:dyDescent="0.3">
      <c r="C155" s="10" t="s">
        <v>281</v>
      </c>
      <c r="D155" s="10">
        <f>ROUND(_xlfn.WEIBULL.DIST(COUNTA($C$137:C155),$T$14,$B$114,FALSE),3)</f>
        <v>0</v>
      </c>
      <c r="E155" s="10">
        <f>ROUND(_xlfn.WEIBULL.DIST(COUNTA($C$138:C155),$T$14,$B$136,FALSE),3)</f>
        <v>0.13700000000000001</v>
      </c>
      <c r="F155" s="10">
        <f>ROUND(_xlfn.WEIBULL.DIST(COUNTA($C$139:C155),$T$14,$B$136,FALSE),3)</f>
        <v>9.5000000000000001E-2</v>
      </c>
      <c r="G155" s="10">
        <f>ROUND(_xlfn.WEIBULL.DIST(COUNTA($C$140:C155),$T$14,$B$136,FALSE),3)</f>
        <v>0.06</v>
      </c>
      <c r="H155" s="10">
        <f>ROUND(_xlfn.WEIBULL.DIST(COUNTA($C$141:C155),$T$14,$B$136,FALSE),3)</f>
        <v>3.5000000000000003E-2</v>
      </c>
      <c r="I155" s="10">
        <f>ROUND(_xlfn.WEIBULL.DIST(COUNTA($C$142:C155),$T$14,$B$136,FALSE),3)</f>
        <v>0.02</v>
      </c>
      <c r="J155" s="10">
        <f>ROUND(_xlfn.WEIBULL.DIST(COUNTA($C$143:C155),$T$14,$B$136,FALSE),3)</f>
        <v>0.01</v>
      </c>
      <c r="K155" s="10">
        <f>ROUND(_xlfn.WEIBULL.DIST(COUNTA($C$144:C155),$T$14,$B$136,FALSE),3)</f>
        <v>5.0000000000000001E-3</v>
      </c>
      <c r="L155" s="10">
        <f>ROUND(_xlfn.WEIBULL.DIST(COUNTA($C$145:C155),$T$14,$B$136,FALSE),3)</f>
        <v>2E-3</v>
      </c>
      <c r="M155" s="10">
        <f>ROUND(_xlfn.WEIBULL.DIST(COUNTA($C$146:C155),$T$14,$B$136,FALSE),3)</f>
        <v>1E-3</v>
      </c>
      <c r="N155" s="10">
        <f>ROUND(_xlfn.WEIBULL.DIST(COUNTA($C$147:C155),$T$14,$B$136,FALSE),3)</f>
        <v>0</v>
      </c>
      <c r="O155" s="10">
        <f>ROUND(_xlfn.WEIBULL.DIST(COUNTA($C$148:C155),$T$14,$B$136,FALSE),3)</f>
        <v>0</v>
      </c>
      <c r="P155" s="10">
        <f>ROUND(_xlfn.WEIBULL.DIST(COUNTA($C$149:C155),$T$14,$B$136,FALSE),3)</f>
        <v>0</v>
      </c>
      <c r="Q155" s="10">
        <f>ROUND(_xlfn.WEIBULL.DIST(COUNTA($C$150:C155),$T$14,$B$136,FALSE),3)</f>
        <v>0</v>
      </c>
      <c r="R155" s="10">
        <f>ROUND(_xlfn.WEIBULL.DIST(COUNTA($C$151:C155),$T$14,$B$136,FALSE),3)</f>
        <v>0</v>
      </c>
      <c r="S155" s="10">
        <f>ROUND(_xlfn.WEIBULL.DIST(COUNTA($C$152:C155),$T$14,$B$136,FALSE),3)</f>
        <v>0</v>
      </c>
      <c r="T155" s="10">
        <f>ROUND(_xlfn.WEIBULL.DIST(COUNTA($C$153:C155),$T$14,$B$136,FALSE),3)</f>
        <v>0</v>
      </c>
      <c r="U155" s="10">
        <f>ROUND(_xlfn.WEIBULL.DIST(COUNTA($C$154:C155),$T$14,$B$136,FALSE),3)</f>
        <v>0</v>
      </c>
      <c r="V155" s="10">
        <f>ROUND(_xlfn.WEIBULL.DIST(COUNTA($C$155:C155),$T$14,$B$136,FALSE),3)</f>
        <v>0</v>
      </c>
      <c r="W155" s="10">
        <v>0</v>
      </c>
    </row>
    <row r="156" spans="2:40" x14ac:dyDescent="0.3">
      <c r="C156" s="10" t="s">
        <v>282</v>
      </c>
      <c r="D156" s="10">
        <f>ROUND(_xlfn.WEIBULL.DIST(COUNTA($C$137:C156),$T$14,$B$114,FALSE),3)</f>
        <v>0</v>
      </c>
      <c r="E156" s="10">
        <f>ROUND(_xlfn.WEIBULL.DIST(COUNTA($C$138:C156),$T$14,$B$136,FALSE),3)</f>
        <v>0.17299999999999999</v>
      </c>
      <c r="F156" s="10">
        <f>ROUND(_xlfn.WEIBULL.DIST(COUNTA($C$139:C156),$T$14,$B$136,FALSE),3)</f>
        <v>0.13700000000000001</v>
      </c>
      <c r="G156" s="10">
        <f>ROUND(_xlfn.WEIBULL.DIST(COUNTA($C$140:C156),$T$14,$B$136,FALSE),3)</f>
        <v>9.5000000000000001E-2</v>
      </c>
      <c r="H156" s="10">
        <f>ROUND(_xlfn.WEIBULL.DIST(COUNTA($C$141:C156),$T$14,$B$136,FALSE),3)</f>
        <v>0.06</v>
      </c>
      <c r="I156" s="10">
        <f>ROUND(_xlfn.WEIBULL.DIST(COUNTA($C$142:C156),$T$14,$B$136,FALSE),3)</f>
        <v>3.5000000000000003E-2</v>
      </c>
      <c r="J156" s="10">
        <f>ROUND(_xlfn.WEIBULL.DIST(COUNTA($C$143:C156),$T$14,$B$136,FALSE),3)</f>
        <v>0.02</v>
      </c>
      <c r="K156" s="10">
        <f>ROUND(_xlfn.WEIBULL.DIST(COUNTA($C$144:C156),$T$14,$B$136,FALSE),3)</f>
        <v>0.01</v>
      </c>
      <c r="L156" s="10">
        <f>ROUND(_xlfn.WEIBULL.DIST(COUNTA($C$145:C156),$T$14,$B$136,FALSE),3)</f>
        <v>5.0000000000000001E-3</v>
      </c>
      <c r="M156" s="10">
        <f>ROUND(_xlfn.WEIBULL.DIST(COUNTA($C$146:C156),$T$14,$B$136,FALSE),3)</f>
        <v>2E-3</v>
      </c>
      <c r="N156" s="10">
        <f>ROUND(_xlfn.WEIBULL.DIST(COUNTA($C$147:C156),$T$14,$B$136,FALSE),3)</f>
        <v>1E-3</v>
      </c>
      <c r="O156" s="10">
        <f>ROUND(_xlfn.WEIBULL.DIST(COUNTA($C$148:C156),$T$14,$B$136,FALSE),3)</f>
        <v>0</v>
      </c>
      <c r="P156" s="10">
        <f>ROUND(_xlfn.WEIBULL.DIST(COUNTA($C$149:C156),$T$14,$B$136,FALSE),3)</f>
        <v>0</v>
      </c>
      <c r="Q156" s="10">
        <f>ROUND(_xlfn.WEIBULL.DIST(COUNTA($C$150:C156),$T$14,$B$136,FALSE),3)</f>
        <v>0</v>
      </c>
      <c r="R156" s="10">
        <f>ROUND(_xlfn.WEIBULL.DIST(COUNTA($C$151:C156),$T$14,$B$136,FALSE),3)</f>
        <v>0</v>
      </c>
      <c r="S156" s="10">
        <f>ROUND(_xlfn.WEIBULL.DIST(COUNTA($C$152:C156),$T$14,$B$136,FALSE),3)</f>
        <v>0</v>
      </c>
      <c r="T156" s="10">
        <f>ROUND(_xlfn.WEIBULL.DIST(COUNTA($C$153:C156),$T$14,$B$136,FALSE),3)</f>
        <v>0</v>
      </c>
      <c r="U156" s="10">
        <f>ROUND(_xlfn.WEIBULL.DIST(COUNTA($C$154:C156),$T$14,$B$136,FALSE),3)</f>
        <v>0</v>
      </c>
      <c r="V156" s="10">
        <f>ROUND(_xlfn.WEIBULL.DIST(COUNTA($C$155:C156),$T$14,$B$136,FALSE),3)</f>
        <v>0</v>
      </c>
      <c r="W156" s="10">
        <f>ROUND(_xlfn.WEIBULL.DIST(COUNTA($C$156:C156),$T$14,$B$136,FALSE),3)</f>
        <v>0</v>
      </c>
    </row>
    <row r="158" spans="2:40" x14ac:dyDescent="0.3">
      <c r="B158" s="10">
        <f>K37</f>
        <v>10</v>
      </c>
      <c r="D158" s="11" t="s">
        <v>139</v>
      </c>
      <c r="E158" s="11" t="s">
        <v>140</v>
      </c>
      <c r="F158" s="11" t="s">
        <v>141</v>
      </c>
      <c r="G158" s="11" t="s">
        <v>142</v>
      </c>
      <c r="H158" s="11" t="s">
        <v>143</v>
      </c>
      <c r="I158" s="11" t="s">
        <v>268</v>
      </c>
      <c r="J158" s="11" t="s">
        <v>269</v>
      </c>
      <c r="K158" s="11" t="s">
        <v>270</v>
      </c>
      <c r="L158" s="11" t="s">
        <v>271</v>
      </c>
      <c r="M158" s="11" t="s">
        <v>272</v>
      </c>
      <c r="N158" s="11" t="s">
        <v>273</v>
      </c>
      <c r="O158" s="11" t="s">
        <v>274</v>
      </c>
      <c r="P158" s="11" t="s">
        <v>275</v>
      </c>
      <c r="Q158" s="11" t="s">
        <v>276</v>
      </c>
      <c r="R158" s="11" t="s">
        <v>277</v>
      </c>
      <c r="S158" s="11" t="s">
        <v>278</v>
      </c>
      <c r="T158" s="11" t="s">
        <v>279</v>
      </c>
      <c r="U158" s="11" t="s">
        <v>280</v>
      </c>
      <c r="V158" s="11" t="s">
        <v>281</v>
      </c>
      <c r="W158" s="11" t="s">
        <v>282</v>
      </c>
    </row>
    <row r="159" spans="2:40" x14ac:dyDescent="0.3">
      <c r="C159" s="10" t="s">
        <v>139</v>
      </c>
      <c r="D159" s="10">
        <f>ROUND(_xlfn.WEIBULL.DIST(COUNTA($C$159:C159),$T$14,$B$158,FALSE),3)</f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</row>
    <row r="160" spans="2:40" x14ac:dyDescent="0.3">
      <c r="C160" s="10" t="s">
        <v>140</v>
      </c>
      <c r="D160" s="10">
        <f>ROUND(_xlfn.WEIBULL.DIST(COUNTA($C$159:C160),$T$14,$B$158,FALSE),3)</f>
        <v>0</v>
      </c>
      <c r="E160" s="10">
        <f>ROUND(_xlfn.WEIBULL.DIST(COUNTA($C$160:C160),$T$14,$B$158,FALSE),3)</f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</row>
    <row r="161" spans="3:23" x14ac:dyDescent="0.3">
      <c r="C161" s="10" t="s">
        <v>141</v>
      </c>
      <c r="D161" s="10">
        <f>ROUND(_xlfn.WEIBULL.DIST(COUNTA($C$159:C161),$T$14,$B$158,FALSE),3)</f>
        <v>0</v>
      </c>
      <c r="E161" s="10">
        <f>ROUND(_xlfn.WEIBULL.DIST(COUNTA($C$160:C161),$T$14,$B$158,FALSE),3)</f>
        <v>0</v>
      </c>
      <c r="F161" s="10">
        <f>ROUND(_xlfn.WEIBULL.DIST(COUNTA($C$161:C161),$T$14,$B$158,FALSE),3)</f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</row>
    <row r="162" spans="3:23" x14ac:dyDescent="0.3">
      <c r="C162" s="10" t="s">
        <v>142</v>
      </c>
      <c r="D162" s="10">
        <f>ROUND(_xlfn.WEIBULL.DIST(COUNTA($C$159:C162),$T$14,$B$158,FALSE),3)</f>
        <v>0</v>
      </c>
      <c r="E162" s="10">
        <f>ROUND(_xlfn.WEIBULL.DIST(COUNTA($C$160:C162),$T$14,$B$158,FALSE),3)</f>
        <v>0</v>
      </c>
      <c r="F162" s="10">
        <f>ROUND(_xlfn.WEIBULL.DIST(COUNTA($C$161:C162),$T$14,$B$158,FALSE),3)</f>
        <v>0</v>
      </c>
      <c r="G162" s="10">
        <f>ROUND(_xlfn.WEIBULL.DIST(COUNTA($C$162:C162),$T$14,$B$158,FALSE),3)</f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</row>
    <row r="163" spans="3:23" x14ac:dyDescent="0.3">
      <c r="C163" s="10" t="s">
        <v>143</v>
      </c>
      <c r="D163" s="10">
        <f>ROUND(_xlfn.WEIBULL.DIST(COUNTA($C$159:C163),$T$14,$B$158,FALSE),3)</f>
        <v>2E-3</v>
      </c>
      <c r="E163" s="10">
        <f>ROUND(_xlfn.WEIBULL.DIST(COUNTA($C$160:C163),$T$14,$B$158,FALSE),3)</f>
        <v>0</v>
      </c>
      <c r="F163" s="10">
        <f>ROUND(_xlfn.WEIBULL.DIST(COUNTA($C$161:C163),$T$14,$B$158,FALSE),3)</f>
        <v>0</v>
      </c>
      <c r="G163" s="10">
        <f>ROUND(_xlfn.WEIBULL.DIST(COUNTA($C$162:C163),$T$14,$B$158,FALSE),3)</f>
        <v>0</v>
      </c>
      <c r="H163" s="10">
        <f>ROUND(_xlfn.WEIBULL.DIST(COUNTA($C$163:C163),$T$14,$B$158,FALSE),3)</f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</row>
    <row r="164" spans="3:23" x14ac:dyDescent="0.3">
      <c r="C164" s="10" t="s">
        <v>268</v>
      </c>
      <c r="D164" s="10">
        <f>ROUND(_xlfn.WEIBULL.DIST(COUNTA($C$159:C164),$T$14,$B$158,FALSE),3)</f>
        <v>0.01</v>
      </c>
      <c r="E164" s="10">
        <f>ROUND(_xlfn.WEIBULL.DIST(COUNTA($C$160:C164),$T$14,$B$158,FALSE),3)</f>
        <v>2E-3</v>
      </c>
      <c r="F164" s="10">
        <f>ROUND(_xlfn.WEIBULL.DIST(COUNTA($C$161:C164),$T$14,$B$158,FALSE),3)</f>
        <v>0</v>
      </c>
      <c r="G164" s="10">
        <f>ROUND(_xlfn.WEIBULL.DIST(COUNTA($C$162:C164),$T$14,$B$158,FALSE),3)</f>
        <v>0</v>
      </c>
      <c r="H164" s="10">
        <f>ROUND(_xlfn.WEIBULL.DIST(COUNTA($C$163:C164),$T$14,$B$158,FALSE),3)</f>
        <v>0</v>
      </c>
      <c r="I164" s="10">
        <f>ROUND(_xlfn.WEIBULL.DIST(COUNTA($C$164:C164),$T$14,$B$158,FALSE),3)</f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</row>
    <row r="165" spans="3:23" x14ac:dyDescent="0.3">
      <c r="C165" s="10" t="s">
        <v>269</v>
      </c>
      <c r="D165" s="10">
        <f>ROUND(_xlfn.WEIBULL.DIST(COUNTA($C$159:C165),$T$14,$B$158,FALSE),3)</f>
        <v>3.9E-2</v>
      </c>
      <c r="E165" s="10">
        <f>ROUND(_xlfn.WEIBULL.DIST(COUNTA($C$160:C165),$T$14,$B$158,FALSE),3)</f>
        <v>0.01</v>
      </c>
      <c r="F165" s="10">
        <f>ROUND(_xlfn.WEIBULL.DIST(COUNTA($C$161:C165),$T$14,$B$158,FALSE),3)</f>
        <v>2E-3</v>
      </c>
      <c r="G165" s="10">
        <f>ROUND(_xlfn.WEIBULL.DIST(COUNTA($C$162:C165),$T$14,$B$158,FALSE),3)</f>
        <v>0</v>
      </c>
      <c r="H165" s="10">
        <f>ROUND(_xlfn.WEIBULL.DIST(COUNTA($C$163:C165),$T$14,$B$158,FALSE),3)</f>
        <v>0</v>
      </c>
      <c r="I165" s="10">
        <f>ROUND(_xlfn.WEIBULL.DIST(COUNTA($C$164:C165),$T$14,$B$158,FALSE),3)</f>
        <v>0</v>
      </c>
      <c r="J165" s="10">
        <f>ROUND(_xlfn.WEIBULL.DIST(COUNTA($C$165:C165),$T$14,$B$158,FALSE),3)</f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</row>
    <row r="166" spans="3:23" x14ac:dyDescent="0.3">
      <c r="C166" s="10" t="s">
        <v>270</v>
      </c>
      <c r="D166" s="10">
        <f>ROUND(_xlfn.WEIBULL.DIST(COUNTA($C$159:C166),$T$14,$B$158,FALSE),3)</f>
        <v>0.121</v>
      </c>
      <c r="E166" s="10">
        <f>ROUND(_xlfn.WEIBULL.DIST(COUNTA($C$160:C166),$T$14,$B$158,FALSE),3)</f>
        <v>3.9E-2</v>
      </c>
      <c r="F166" s="10">
        <f>ROUND(_xlfn.WEIBULL.DIST(COUNTA($C$161:C166),$T$14,$B$158,FALSE),3)</f>
        <v>0.01</v>
      </c>
      <c r="G166" s="10">
        <f>ROUND(_xlfn.WEIBULL.DIST(COUNTA($C$162:C166),$T$14,$B$158,FALSE),3)</f>
        <v>2E-3</v>
      </c>
      <c r="H166" s="10">
        <f>ROUND(_xlfn.WEIBULL.DIST(COUNTA($C$163:C166),$T$14,$B$158,FALSE),3)</f>
        <v>0</v>
      </c>
      <c r="I166" s="10">
        <f>ROUND(_xlfn.WEIBULL.DIST(COUNTA($C$164:C166),$T$14,$B$158,FALSE),3)</f>
        <v>0</v>
      </c>
      <c r="J166" s="10">
        <f>ROUND(_xlfn.WEIBULL.DIST(COUNTA($C$165:C166),$T$14,$B$158,FALSE),3)</f>
        <v>0</v>
      </c>
      <c r="K166" s="10">
        <f>ROUND(_xlfn.WEIBULL.DIST(COUNTA($C$166:C166),$T$14,$B$158,FALSE),3)</f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</row>
    <row r="167" spans="3:23" x14ac:dyDescent="0.3">
      <c r="C167" s="10" t="s">
        <v>271</v>
      </c>
      <c r="D167" s="10">
        <f>ROUND(_xlfn.WEIBULL.DIST(COUNTA($C$159:C167),$T$14,$B$158,FALSE),3)</f>
        <v>0.27300000000000002</v>
      </c>
      <c r="E167" s="10">
        <f>ROUND(_xlfn.WEIBULL.DIST(COUNTA($C$160:C167),$T$14,$B$158,FALSE),3)</f>
        <v>0.121</v>
      </c>
      <c r="F167" s="10">
        <f>ROUND(_xlfn.WEIBULL.DIST(COUNTA($C$161:C167),$T$14,$B$158,FALSE),3)</f>
        <v>3.9E-2</v>
      </c>
      <c r="G167" s="10">
        <f>ROUND(_xlfn.WEIBULL.DIST(COUNTA($C$162:C167),$T$14,$B$158,FALSE),3)</f>
        <v>0.01</v>
      </c>
      <c r="H167" s="10">
        <f>ROUND(_xlfn.WEIBULL.DIST(COUNTA($C$163:C167),$T$14,$B$158,FALSE),3)</f>
        <v>2E-3</v>
      </c>
      <c r="I167" s="10">
        <f>ROUND(_xlfn.WEIBULL.DIST(COUNTA($C$164:C167),$T$14,$B$158,FALSE),3)</f>
        <v>0</v>
      </c>
      <c r="J167" s="10">
        <f>ROUND(_xlfn.WEIBULL.DIST(COUNTA($C$165:C167),$T$14,$B$158,FALSE),3)</f>
        <v>0</v>
      </c>
      <c r="K167" s="10">
        <f>ROUND(_xlfn.WEIBULL.DIST(COUNTA($C$166:C167),$T$14,$B$158,FALSE),3)</f>
        <v>0</v>
      </c>
      <c r="L167" s="10">
        <f>ROUND(_xlfn.WEIBULL.DIST(COUNTA($C$167:C167),$T$14,$B$158,FALSE),3)</f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</row>
    <row r="168" spans="3:23" x14ac:dyDescent="0.3">
      <c r="C168" s="10" t="s">
        <v>272</v>
      </c>
      <c r="D168" s="10">
        <f>ROUND(_xlfn.WEIBULL.DIST(COUNTA($C$159:C168),$T$14,$B$158,FALSE),3)</f>
        <v>0.36799999999999999</v>
      </c>
      <c r="E168" s="10">
        <f>ROUND(_xlfn.WEIBULL.DIST(COUNTA($C$160:C168),$T$14,$B$158,FALSE),3)</f>
        <v>0.27300000000000002</v>
      </c>
      <c r="F168" s="10">
        <f>ROUND(_xlfn.WEIBULL.DIST(COUNTA($C$161:C168),$T$14,$B$158,FALSE),3)</f>
        <v>0.121</v>
      </c>
      <c r="G168" s="10">
        <f>ROUND(_xlfn.WEIBULL.DIST(COUNTA($C$162:C168),$T$14,$B$158,FALSE),3)</f>
        <v>3.9E-2</v>
      </c>
      <c r="H168" s="10">
        <f>ROUND(_xlfn.WEIBULL.DIST(COUNTA($C$163:C168),$T$14,$B$158,FALSE),3)</f>
        <v>0.01</v>
      </c>
      <c r="I168" s="10">
        <f>ROUND(_xlfn.WEIBULL.DIST(COUNTA($C$164:C168),$T$14,$B$158,FALSE),3)</f>
        <v>2E-3</v>
      </c>
      <c r="J168" s="10">
        <f>ROUND(_xlfn.WEIBULL.DIST(COUNTA($C$165:C168),$T$14,$B$158,FALSE),3)</f>
        <v>0</v>
      </c>
      <c r="K168" s="10">
        <f>ROUND(_xlfn.WEIBULL.DIST(COUNTA($C$166:C168),$T$14,$B$158,FALSE),3)</f>
        <v>0</v>
      </c>
      <c r="L168" s="10">
        <f>ROUND(_xlfn.WEIBULL.DIST(COUNTA($C$167:C168),$T$14,$B$158,FALSE),3)</f>
        <v>0</v>
      </c>
      <c r="M168" s="10">
        <f>ROUND(_xlfn.WEIBULL.DIST(COUNTA($C$168:C168),$T$14,$B$158,FALSE),3)</f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3:23" x14ac:dyDescent="0.3">
      <c r="C169" s="10" t="s">
        <v>273</v>
      </c>
      <c r="D169" s="10">
        <f>ROUND(_xlfn.WEIBULL.DIST(COUNTA($C$159:C169),$T$14,$B$158,FALSE),3)</f>
        <v>0.17599999999999999</v>
      </c>
      <c r="E169" s="10">
        <f>ROUND(_xlfn.WEIBULL.DIST(COUNTA($C$160:C169),$T$14,$B$158,FALSE),3)</f>
        <v>0.36799999999999999</v>
      </c>
      <c r="F169" s="10">
        <f>ROUND(_xlfn.WEIBULL.DIST(COUNTA($C$161:C169),$T$14,$B$158,FALSE),3)</f>
        <v>0.27300000000000002</v>
      </c>
      <c r="G169" s="10">
        <f>ROUND(_xlfn.WEIBULL.DIST(COUNTA($C$162:C169),$T$14,$B$158,FALSE),3)</f>
        <v>0.121</v>
      </c>
      <c r="H169" s="10">
        <f>ROUND(_xlfn.WEIBULL.DIST(COUNTA($C$163:C169),$T$14,$B$158,FALSE),3)</f>
        <v>3.9E-2</v>
      </c>
      <c r="I169" s="10">
        <f>ROUND(_xlfn.WEIBULL.DIST(COUNTA($C$164:C169),$T$14,$B$158,FALSE),3)</f>
        <v>0.01</v>
      </c>
      <c r="J169" s="10">
        <f>ROUND(_xlfn.WEIBULL.DIST(COUNTA($C$165:C169),$T$14,$B$158,FALSE),3)</f>
        <v>2E-3</v>
      </c>
      <c r="K169" s="10">
        <f>ROUND(_xlfn.WEIBULL.DIST(COUNTA($C$166:C169),$T$14,$B$158,FALSE),3)</f>
        <v>0</v>
      </c>
      <c r="L169" s="10">
        <f>ROUND(_xlfn.WEIBULL.DIST(COUNTA($C$167:C169),$T$14,$B$158,FALSE),3)</f>
        <v>0</v>
      </c>
      <c r="M169" s="10">
        <f>ROUND(_xlfn.WEIBULL.DIST(COUNTA($C$168:C169),$T$14,$B$158,FALSE),3)</f>
        <v>0</v>
      </c>
      <c r="N169" s="10">
        <f>ROUND(_xlfn.WEIBULL.DIST(COUNTA($C$169:C169),$T$14,$B$158,FALSE),3)</f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</row>
    <row r="170" spans="3:23" x14ac:dyDescent="0.3">
      <c r="C170" s="10" t="s">
        <v>274</v>
      </c>
      <c r="D170" s="10">
        <f>ROUND(_xlfn.WEIBULL.DIST(COUNTA($C$159:C170),$T$14,$B$158,FALSE),3)</f>
        <v>1.0999999999999999E-2</v>
      </c>
      <c r="E170" s="10">
        <f>ROUND(_xlfn.WEIBULL.DIST(COUNTA($C$160:C170),$T$14,$B$158,FALSE),3)</f>
        <v>0.17599999999999999</v>
      </c>
      <c r="F170" s="10">
        <f>ROUND(_xlfn.WEIBULL.DIST(COUNTA($C$161:C170),$T$14,$B$158,FALSE),3)</f>
        <v>0.36799999999999999</v>
      </c>
      <c r="G170" s="10">
        <f>ROUND(_xlfn.WEIBULL.DIST(COUNTA($C$162:C170),$T$14,$B$158,FALSE),3)</f>
        <v>0.27300000000000002</v>
      </c>
      <c r="H170" s="10">
        <f>ROUND(_xlfn.WEIBULL.DIST(COUNTA($C$163:C170),$T$14,$B$158,FALSE),3)</f>
        <v>0.121</v>
      </c>
      <c r="I170" s="10">
        <f>ROUND(_xlfn.WEIBULL.DIST(COUNTA($C$164:C170),$T$14,$B$158,FALSE),3)</f>
        <v>3.9E-2</v>
      </c>
      <c r="J170" s="10">
        <f>ROUND(_xlfn.WEIBULL.DIST(COUNTA($C$165:C170),$T$14,$B$158,FALSE),3)</f>
        <v>0.01</v>
      </c>
      <c r="K170" s="10">
        <f>ROUND(_xlfn.WEIBULL.DIST(COUNTA($C$166:C170),$T$14,$B$158,FALSE),3)</f>
        <v>2E-3</v>
      </c>
      <c r="L170" s="10">
        <f>ROUND(_xlfn.WEIBULL.DIST(COUNTA($C$167:C170),$T$14,$B$158,FALSE),3)</f>
        <v>0</v>
      </c>
      <c r="M170" s="10">
        <f>ROUND(_xlfn.WEIBULL.DIST(COUNTA($C$168:C170),$T$14,$B$158,FALSE),3)</f>
        <v>0</v>
      </c>
      <c r="N170" s="10">
        <f>ROUND(_xlfn.WEIBULL.DIST(COUNTA($C$169:C170),$T$14,$B$158,FALSE),3)</f>
        <v>0</v>
      </c>
      <c r="O170" s="10">
        <f>ROUND(_xlfn.WEIBULL.DIST(COUNTA($C$170:C170),$T$14,$B$158,FALSE),3)</f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</row>
    <row r="171" spans="3:23" x14ac:dyDescent="0.3">
      <c r="C171" s="10" t="s">
        <v>275</v>
      </c>
      <c r="D171" s="10">
        <f>ROUND(_xlfn.WEIBULL.DIST(COUNTA($C$159:C171),$T$14,$B$158,FALSE),3)</f>
        <v>0</v>
      </c>
      <c r="E171" s="10">
        <f>ROUND(_xlfn.WEIBULL.DIST(COUNTA($C$160:C171),$T$14,$B$158,FALSE),3)</f>
        <v>1.0999999999999999E-2</v>
      </c>
      <c r="F171" s="10">
        <f>ROUND(_xlfn.WEIBULL.DIST(COUNTA($C$161:C171),$T$14,$B$158,FALSE),3)</f>
        <v>0.17599999999999999</v>
      </c>
      <c r="G171" s="10">
        <f>ROUND(_xlfn.WEIBULL.DIST(COUNTA($C$162:C171),$T$14,$B$158,FALSE),3)</f>
        <v>0.36799999999999999</v>
      </c>
      <c r="H171" s="10">
        <f>ROUND(_xlfn.WEIBULL.DIST(COUNTA($C$163:C171),$T$14,$B$158,FALSE),3)</f>
        <v>0.27300000000000002</v>
      </c>
      <c r="I171" s="10">
        <f>ROUND(_xlfn.WEIBULL.DIST(COUNTA($C$164:C171),$T$14,$B$158,FALSE),3)</f>
        <v>0.121</v>
      </c>
      <c r="J171" s="10">
        <f>ROUND(_xlfn.WEIBULL.DIST(COUNTA($C$165:C171),$T$14,$B$158,FALSE),3)</f>
        <v>3.9E-2</v>
      </c>
      <c r="K171" s="10">
        <f>ROUND(_xlfn.WEIBULL.DIST(COUNTA($C$166:C171),$T$14,$B$158,FALSE),3)</f>
        <v>0.01</v>
      </c>
      <c r="L171" s="10">
        <f>ROUND(_xlfn.WEIBULL.DIST(COUNTA($C$167:C171),$T$14,$B$158,FALSE),3)</f>
        <v>2E-3</v>
      </c>
      <c r="M171" s="10">
        <f>ROUND(_xlfn.WEIBULL.DIST(COUNTA($C$168:C171),$T$14,$B$158,FALSE),3)</f>
        <v>0</v>
      </c>
      <c r="N171" s="10">
        <f>ROUND(_xlfn.WEIBULL.DIST(COUNTA($C$169:C171),$T$14,$B$158,FALSE),3)</f>
        <v>0</v>
      </c>
      <c r="O171" s="10">
        <f>ROUND(_xlfn.WEIBULL.DIST(COUNTA($C$170:C171),$T$14,$B$158,FALSE),3)</f>
        <v>0</v>
      </c>
      <c r="P171" s="10">
        <f>ROUND(_xlfn.WEIBULL.DIST(COUNTA($C$171:C171),$T$14,$B$158,FALSE),3)</f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</row>
    <row r="172" spans="3:23" x14ac:dyDescent="0.3">
      <c r="C172" s="10" t="s">
        <v>276</v>
      </c>
      <c r="D172" s="10">
        <f>ROUND(_xlfn.WEIBULL.DIST(COUNTA($C$159:C172),$T$14,$B$158,FALSE),3)</f>
        <v>0</v>
      </c>
      <c r="E172" s="10">
        <f>ROUND(_xlfn.WEIBULL.DIST(COUNTA($C$160:C172),$T$14,$B$158,FALSE),3)</f>
        <v>0</v>
      </c>
      <c r="F172" s="10">
        <f>ROUND(_xlfn.WEIBULL.DIST(COUNTA($C$161:C172),$T$14,$B$158,FALSE),3)</f>
        <v>1.0999999999999999E-2</v>
      </c>
      <c r="G172" s="10">
        <f>ROUND(_xlfn.WEIBULL.DIST(COUNTA($C$162:C172),$T$14,$B$158,FALSE),3)</f>
        <v>0.17599999999999999</v>
      </c>
      <c r="H172" s="10">
        <f>ROUND(_xlfn.WEIBULL.DIST(COUNTA($C$163:C172),$T$14,$B$158,FALSE),3)</f>
        <v>0.36799999999999999</v>
      </c>
      <c r="I172" s="10">
        <f>ROUND(_xlfn.WEIBULL.DIST(COUNTA($C$164:C172),$T$14,$B$158,FALSE),3)</f>
        <v>0.27300000000000002</v>
      </c>
      <c r="J172" s="10">
        <f>ROUND(_xlfn.WEIBULL.DIST(COUNTA($C$165:C172),$T$14,$B$158,FALSE),3)</f>
        <v>0.121</v>
      </c>
      <c r="K172" s="10">
        <f>ROUND(_xlfn.WEIBULL.DIST(COUNTA($C$166:C172),$T$14,$B$158,FALSE),3)</f>
        <v>3.9E-2</v>
      </c>
      <c r="L172" s="10">
        <f>ROUND(_xlfn.WEIBULL.DIST(COUNTA($C$167:C172),$T$14,$B$158,FALSE),3)</f>
        <v>0.01</v>
      </c>
      <c r="M172" s="10">
        <f>ROUND(_xlfn.WEIBULL.DIST(COUNTA($C$168:C172),$T$14,$B$158,FALSE),3)</f>
        <v>2E-3</v>
      </c>
      <c r="N172" s="10">
        <f>ROUND(_xlfn.WEIBULL.DIST(COUNTA($C$169:C172),$T$14,$B$158,FALSE),3)</f>
        <v>0</v>
      </c>
      <c r="O172" s="10">
        <f>ROUND(_xlfn.WEIBULL.DIST(COUNTA($C$170:C172),$T$14,$B$158,FALSE),3)</f>
        <v>0</v>
      </c>
      <c r="P172" s="10">
        <f>ROUND(_xlfn.WEIBULL.DIST(COUNTA($C$171:C172),$T$14,$B$158,FALSE),3)</f>
        <v>0</v>
      </c>
      <c r="Q172" s="10">
        <f>ROUND(_xlfn.WEIBULL.DIST(COUNTA($C$172:C172),$T$14,$B$158,FALSE),3)</f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</row>
    <row r="173" spans="3:23" x14ac:dyDescent="0.3">
      <c r="C173" s="10" t="s">
        <v>277</v>
      </c>
      <c r="D173" s="10">
        <f>ROUND(_xlfn.WEIBULL.DIST(COUNTA($C$159:C173),$T$14,$B$158,FALSE),3)</f>
        <v>0</v>
      </c>
      <c r="E173" s="10">
        <f>ROUND(_xlfn.WEIBULL.DIST(COUNTA($C$160:C173),$T$14,$B$158,FALSE),3)</f>
        <v>0</v>
      </c>
      <c r="F173" s="10">
        <f>ROUND(_xlfn.WEIBULL.DIST(COUNTA($C$161:C173),$T$14,$B$158,FALSE),3)</f>
        <v>0</v>
      </c>
      <c r="G173" s="10">
        <f>ROUND(_xlfn.WEIBULL.DIST(COUNTA($C$162:C173),$T$14,$B$158,FALSE),3)</f>
        <v>1.0999999999999999E-2</v>
      </c>
      <c r="H173" s="10">
        <f>ROUND(_xlfn.WEIBULL.DIST(COUNTA($C$163:C173),$T$14,$B$158,FALSE),3)</f>
        <v>0.17599999999999999</v>
      </c>
      <c r="I173" s="10">
        <f>ROUND(_xlfn.WEIBULL.DIST(COUNTA($C$164:C173),$T$14,$B$158,FALSE),3)</f>
        <v>0.36799999999999999</v>
      </c>
      <c r="J173" s="10">
        <f>ROUND(_xlfn.WEIBULL.DIST(COUNTA($C$165:C173),$T$14,$B$158,FALSE),3)</f>
        <v>0.27300000000000002</v>
      </c>
      <c r="K173" s="10">
        <f>ROUND(_xlfn.WEIBULL.DIST(COUNTA($C$166:C173),$T$14,$B$158,FALSE),3)</f>
        <v>0.121</v>
      </c>
      <c r="L173" s="10">
        <f>ROUND(_xlfn.WEIBULL.DIST(COUNTA($C$167:C173),$T$14,$B$158,FALSE),3)</f>
        <v>3.9E-2</v>
      </c>
      <c r="M173" s="10">
        <f>ROUND(_xlfn.WEIBULL.DIST(COUNTA($C$168:C173),$T$14,$B$158,FALSE),3)</f>
        <v>0.01</v>
      </c>
      <c r="N173" s="10">
        <f>ROUND(_xlfn.WEIBULL.DIST(COUNTA($C$169:C173),$T$14,$B$158,FALSE),3)</f>
        <v>2E-3</v>
      </c>
      <c r="O173" s="10">
        <f>ROUND(_xlfn.WEIBULL.DIST(COUNTA($C$170:C173),$T$14,$B$158,FALSE),3)</f>
        <v>0</v>
      </c>
      <c r="P173" s="10">
        <f>ROUND(_xlfn.WEIBULL.DIST(COUNTA($C$171:C173),$T$14,$B$158,FALSE),3)</f>
        <v>0</v>
      </c>
      <c r="Q173" s="10">
        <f>ROUND(_xlfn.WEIBULL.DIST(COUNTA($C$172:C173),$T$14,$B$158,FALSE),3)</f>
        <v>0</v>
      </c>
      <c r="R173" s="10">
        <f>ROUND(_xlfn.WEIBULL.DIST(COUNTA($C$173:C173),$T$14,$B$158,FALSE),3)</f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</row>
    <row r="174" spans="3:23" x14ac:dyDescent="0.3">
      <c r="C174" s="10" t="s">
        <v>278</v>
      </c>
      <c r="D174" s="10">
        <f>ROUND(_xlfn.WEIBULL.DIST(COUNTA($C$159:C174),$T$14,$B$158,FALSE),3)</f>
        <v>0</v>
      </c>
      <c r="E174" s="10">
        <f>ROUND(_xlfn.WEIBULL.DIST(COUNTA($C$160:C174),$T$14,$B$158,FALSE),3)</f>
        <v>0</v>
      </c>
      <c r="F174" s="10">
        <f>ROUND(_xlfn.WEIBULL.DIST(COUNTA($C$161:C174),$T$14,$B$158,FALSE),3)</f>
        <v>0</v>
      </c>
      <c r="G174" s="10">
        <f>ROUND(_xlfn.WEIBULL.DIST(COUNTA($C$162:C174),$T$14,$B$158,FALSE),3)</f>
        <v>0</v>
      </c>
      <c r="H174" s="10">
        <f>ROUND(_xlfn.WEIBULL.DIST(COUNTA($C$163:C174),$T$14,$B$158,FALSE),3)</f>
        <v>1.0999999999999999E-2</v>
      </c>
      <c r="I174" s="10">
        <f>ROUND(_xlfn.WEIBULL.DIST(COUNTA($C$164:C174),$T$14,$B$158,FALSE),3)</f>
        <v>0.17599999999999999</v>
      </c>
      <c r="J174" s="10">
        <f>ROUND(_xlfn.WEIBULL.DIST(COUNTA($C$165:C174),$T$14,$B$158,FALSE),3)</f>
        <v>0.36799999999999999</v>
      </c>
      <c r="K174" s="10">
        <f>ROUND(_xlfn.WEIBULL.DIST(COUNTA($C$166:C174),$T$14,$B$158,FALSE),3)</f>
        <v>0.27300000000000002</v>
      </c>
      <c r="L174" s="10">
        <f>ROUND(_xlfn.WEIBULL.DIST(COUNTA($C$167:C174),$T$14,$B$158,FALSE),3)</f>
        <v>0.121</v>
      </c>
      <c r="M174" s="10">
        <f>ROUND(_xlfn.WEIBULL.DIST(COUNTA($C$168:C174),$T$14,$B$158,FALSE),3)</f>
        <v>3.9E-2</v>
      </c>
      <c r="N174" s="10">
        <f>ROUND(_xlfn.WEIBULL.DIST(COUNTA($C$169:C174),$T$14,$B$158,FALSE),3)</f>
        <v>0.01</v>
      </c>
      <c r="O174" s="10">
        <f>ROUND(_xlfn.WEIBULL.DIST(COUNTA($C$170:C174),$T$14,$B$158,FALSE),3)</f>
        <v>2E-3</v>
      </c>
      <c r="P174" s="10">
        <f>ROUND(_xlfn.WEIBULL.DIST(COUNTA($C$171:C174),$T$14,$B$158,FALSE),3)</f>
        <v>0</v>
      </c>
      <c r="Q174" s="10">
        <f>ROUND(_xlfn.WEIBULL.DIST(COUNTA($C$172:C174),$T$14,$B$158,FALSE),3)</f>
        <v>0</v>
      </c>
      <c r="R174" s="10">
        <f>ROUND(_xlfn.WEIBULL.DIST(COUNTA($C$173:C174),$T$14,$B$158,FALSE),3)</f>
        <v>0</v>
      </c>
      <c r="S174" s="10">
        <f>ROUND(_xlfn.WEIBULL.DIST(COUNTA($C$174:C174),$T$14,$B$158,FALSE),3)</f>
        <v>0</v>
      </c>
      <c r="T174" s="10">
        <v>0</v>
      </c>
      <c r="U174" s="10">
        <v>0</v>
      </c>
      <c r="V174" s="10">
        <v>0</v>
      </c>
      <c r="W174" s="10">
        <v>0</v>
      </c>
    </row>
    <row r="175" spans="3:23" x14ac:dyDescent="0.3">
      <c r="C175" s="10" t="s">
        <v>279</v>
      </c>
      <c r="D175" s="10">
        <f>ROUND(_xlfn.WEIBULL.DIST(COUNTA($C$159:C175),$T$14,$B$158,FALSE),3)</f>
        <v>0</v>
      </c>
      <c r="E175" s="10">
        <f>ROUND(_xlfn.WEIBULL.DIST(COUNTA($C$160:C175),$T$14,$B$158,FALSE),3)</f>
        <v>0</v>
      </c>
      <c r="F175" s="10">
        <f>ROUND(_xlfn.WEIBULL.DIST(COUNTA($C$161:C175),$T$14,$B$158,FALSE),3)</f>
        <v>0</v>
      </c>
      <c r="G175" s="10">
        <f>ROUND(_xlfn.WEIBULL.DIST(COUNTA($C$162:C175),$T$14,$B$158,FALSE),3)</f>
        <v>0</v>
      </c>
      <c r="H175" s="10">
        <f>ROUND(_xlfn.WEIBULL.DIST(COUNTA($C$163:C175),$T$14,$B$158,FALSE),3)</f>
        <v>0</v>
      </c>
      <c r="I175" s="10">
        <f>ROUND(_xlfn.WEIBULL.DIST(COUNTA($C$164:C175),$T$14,$B$158,FALSE),3)</f>
        <v>1.0999999999999999E-2</v>
      </c>
      <c r="J175" s="10">
        <f>ROUND(_xlfn.WEIBULL.DIST(COUNTA($C$165:C175),$T$14,$B$158,FALSE),3)</f>
        <v>0.17599999999999999</v>
      </c>
      <c r="K175" s="10">
        <f>ROUND(_xlfn.WEIBULL.DIST(COUNTA($C$166:C175),$T$14,$B$158,FALSE),3)</f>
        <v>0.36799999999999999</v>
      </c>
      <c r="L175" s="10">
        <f>ROUND(_xlfn.WEIBULL.DIST(COUNTA($C$167:C175),$T$14,$B$158,FALSE),3)</f>
        <v>0.27300000000000002</v>
      </c>
      <c r="M175" s="10">
        <f>ROUND(_xlfn.WEIBULL.DIST(COUNTA($C$168:C175),$T$14,$B$158,FALSE),3)</f>
        <v>0.121</v>
      </c>
      <c r="N175" s="10">
        <f>ROUND(_xlfn.WEIBULL.DIST(COUNTA($C$169:C175),$T$14,$B$158,FALSE),3)</f>
        <v>3.9E-2</v>
      </c>
      <c r="O175" s="10">
        <f>ROUND(_xlfn.WEIBULL.DIST(COUNTA($C$170:C175),$T$14,$B$158,FALSE),3)</f>
        <v>0.01</v>
      </c>
      <c r="P175" s="10">
        <f>ROUND(_xlfn.WEIBULL.DIST(COUNTA($C$171:C175),$T$14,$B$158,FALSE),3)</f>
        <v>2E-3</v>
      </c>
      <c r="Q175" s="10">
        <f>ROUND(_xlfn.WEIBULL.DIST(COUNTA($C$172:C175),$T$14,$B$158,FALSE),3)</f>
        <v>0</v>
      </c>
      <c r="R175" s="10">
        <f>ROUND(_xlfn.WEIBULL.DIST(COUNTA($C$173:C175),$T$14,$B$158,FALSE),3)</f>
        <v>0</v>
      </c>
      <c r="S175" s="10">
        <f>ROUND(_xlfn.WEIBULL.DIST(COUNTA($C$174:C175),$T$14,$B$158,FALSE),3)</f>
        <v>0</v>
      </c>
      <c r="T175" s="10">
        <f>ROUND(_xlfn.WEIBULL.DIST(COUNTA($C$175:C175),$T$14,$B$158,FALSE),3)</f>
        <v>0</v>
      </c>
      <c r="U175" s="10">
        <v>0</v>
      </c>
      <c r="V175" s="10">
        <v>0</v>
      </c>
      <c r="W175" s="10">
        <v>0</v>
      </c>
    </row>
    <row r="176" spans="3:23" x14ac:dyDescent="0.3">
      <c r="C176" s="10" t="s">
        <v>280</v>
      </c>
      <c r="D176" s="10">
        <f>ROUND(_xlfn.WEIBULL.DIST(COUNTA($C$159:C176),$T$14,$B$158,FALSE),3)</f>
        <v>0</v>
      </c>
      <c r="E176" s="10">
        <f>ROUND(_xlfn.WEIBULL.DIST(COUNTA($C$160:C176),$T$14,$B$158,FALSE),3)</f>
        <v>0</v>
      </c>
      <c r="F176" s="10">
        <f>ROUND(_xlfn.WEIBULL.DIST(COUNTA($C$161:C176),$T$14,$B$158,FALSE),3)</f>
        <v>0</v>
      </c>
      <c r="G176" s="10">
        <f>ROUND(_xlfn.WEIBULL.DIST(COUNTA($C$162:C176),$T$14,$B$158,FALSE),3)</f>
        <v>0</v>
      </c>
      <c r="H176" s="10">
        <f>ROUND(_xlfn.WEIBULL.DIST(COUNTA($C$163:C176),$T$14,$B$158,FALSE),3)</f>
        <v>0</v>
      </c>
      <c r="I176" s="10">
        <f>ROUND(_xlfn.WEIBULL.DIST(COUNTA($C$164:C176),$T$14,$B$158,FALSE),3)</f>
        <v>0</v>
      </c>
      <c r="J176" s="10">
        <f>ROUND(_xlfn.WEIBULL.DIST(COUNTA($C$165:C176),$T$14,$B$158,FALSE),3)</f>
        <v>1.0999999999999999E-2</v>
      </c>
      <c r="K176" s="10">
        <f>ROUND(_xlfn.WEIBULL.DIST(COUNTA($C$166:C176),$T$14,$B$158,FALSE),3)</f>
        <v>0.17599999999999999</v>
      </c>
      <c r="L176" s="10">
        <f>ROUND(_xlfn.WEIBULL.DIST(COUNTA($C$167:C176),$T$14,$B$158,FALSE),3)</f>
        <v>0.36799999999999999</v>
      </c>
      <c r="M176" s="10">
        <f>ROUND(_xlfn.WEIBULL.DIST(COUNTA($C$168:C176),$T$14,$B$158,FALSE),3)</f>
        <v>0.27300000000000002</v>
      </c>
      <c r="N176" s="10">
        <f>ROUND(_xlfn.WEIBULL.DIST(COUNTA($C$169:C176),$T$14,$B$158,FALSE),3)</f>
        <v>0.121</v>
      </c>
      <c r="O176" s="10">
        <f>ROUND(_xlfn.WEIBULL.DIST(COUNTA($C$170:C176),$T$14,$B$158,FALSE),3)</f>
        <v>3.9E-2</v>
      </c>
      <c r="P176" s="10">
        <f>ROUND(_xlfn.WEIBULL.DIST(COUNTA($C$171:C176),$T$14,$B$158,FALSE),3)</f>
        <v>0.01</v>
      </c>
      <c r="Q176" s="10">
        <f>ROUND(_xlfn.WEIBULL.DIST(COUNTA($C$172:C176),$T$14,$B$158,FALSE),3)</f>
        <v>2E-3</v>
      </c>
      <c r="R176" s="10">
        <f>ROUND(_xlfn.WEIBULL.DIST(COUNTA($C$173:C176),$T$14,$B$158,FALSE),3)</f>
        <v>0</v>
      </c>
      <c r="S176" s="10">
        <f>ROUND(_xlfn.WEIBULL.DIST(COUNTA($C$174:C176),$T$14,$B$158,FALSE),3)</f>
        <v>0</v>
      </c>
      <c r="T176" s="10">
        <f>ROUND(_xlfn.WEIBULL.DIST(COUNTA($C$175:C176),$T$14,$B$158,FALSE),3)</f>
        <v>0</v>
      </c>
      <c r="U176" s="10">
        <f>ROUND(_xlfn.WEIBULL.DIST(COUNTA($C$176:C176),$T$14,$B$158,FALSE),3)</f>
        <v>0</v>
      </c>
      <c r="V176" s="10">
        <v>0</v>
      </c>
      <c r="W176" s="10">
        <v>0</v>
      </c>
    </row>
    <row r="177" spans="2:23" x14ac:dyDescent="0.3">
      <c r="C177" s="10" t="s">
        <v>281</v>
      </c>
      <c r="D177" s="10">
        <f>ROUND(_xlfn.WEIBULL.DIST(COUNTA($C$159:C177),$T$14,$B$158,FALSE),3)</f>
        <v>0</v>
      </c>
      <c r="E177" s="10">
        <f>ROUND(_xlfn.WEIBULL.DIST(COUNTA($C$160:C177),$T$14,$B$158,FALSE),3)</f>
        <v>0</v>
      </c>
      <c r="F177" s="10">
        <f>ROUND(_xlfn.WEIBULL.DIST(COUNTA($C$161:C177),$T$14,$B$158,FALSE),3)</f>
        <v>0</v>
      </c>
      <c r="G177" s="10">
        <f>ROUND(_xlfn.WEIBULL.DIST(COUNTA($C$162:C177),$T$14,$B$158,FALSE),3)</f>
        <v>0</v>
      </c>
      <c r="H177" s="10">
        <f>ROUND(_xlfn.WEIBULL.DIST(COUNTA($C$163:C177),$T$14,$B$158,FALSE),3)</f>
        <v>0</v>
      </c>
      <c r="I177" s="10">
        <f>ROUND(_xlfn.WEIBULL.DIST(COUNTA($C$164:C177),$T$14,$B$158,FALSE),3)</f>
        <v>0</v>
      </c>
      <c r="J177" s="10">
        <f>ROUND(_xlfn.WEIBULL.DIST(COUNTA($C$165:C177),$T$14,$B$158,FALSE),3)</f>
        <v>0</v>
      </c>
      <c r="K177" s="10">
        <f>ROUND(_xlfn.WEIBULL.DIST(COUNTA($C$166:C177),$T$14,$B$158,FALSE),3)</f>
        <v>1.0999999999999999E-2</v>
      </c>
      <c r="L177" s="10">
        <f>ROUND(_xlfn.WEIBULL.DIST(COUNTA($C$167:C177),$T$14,$B$158,FALSE),3)</f>
        <v>0.17599999999999999</v>
      </c>
      <c r="M177" s="10">
        <f>ROUND(_xlfn.WEIBULL.DIST(COUNTA($C$168:C177),$T$14,$B$158,FALSE),3)</f>
        <v>0.36799999999999999</v>
      </c>
      <c r="N177" s="10">
        <f>ROUND(_xlfn.WEIBULL.DIST(COUNTA($C$169:C177),$T$14,$B$158,FALSE),3)</f>
        <v>0.27300000000000002</v>
      </c>
      <c r="O177" s="10">
        <f>ROUND(_xlfn.WEIBULL.DIST(COUNTA($C$170:C177),$T$14,$B$158,FALSE),3)</f>
        <v>0.121</v>
      </c>
      <c r="P177" s="10">
        <f>ROUND(_xlfn.WEIBULL.DIST(COUNTA($C$171:C177),$T$14,$B$158,FALSE),3)</f>
        <v>3.9E-2</v>
      </c>
      <c r="Q177" s="10">
        <f>ROUND(_xlfn.WEIBULL.DIST(COUNTA($C$172:C177),$T$14,$B$158,FALSE),3)</f>
        <v>0.01</v>
      </c>
      <c r="R177" s="10">
        <f>ROUND(_xlfn.WEIBULL.DIST(COUNTA($C$173:C177),$T$14,$B$158,FALSE),3)</f>
        <v>2E-3</v>
      </c>
      <c r="S177" s="10">
        <f>ROUND(_xlfn.WEIBULL.DIST(COUNTA($C$174:C177),$T$14,$B$158,FALSE),3)</f>
        <v>0</v>
      </c>
      <c r="T177" s="10">
        <f>ROUND(_xlfn.WEIBULL.DIST(COUNTA($C$175:C177),$T$14,$B$158,FALSE),3)</f>
        <v>0</v>
      </c>
      <c r="U177" s="10">
        <f>ROUND(_xlfn.WEIBULL.DIST(COUNTA($C$176:C177),$T$14,$B$158,FALSE),3)</f>
        <v>0</v>
      </c>
      <c r="V177" s="10">
        <f>ROUND(_xlfn.WEIBULL.DIST(COUNTA($C$177:C177),$T$14,$B$158,FALSE),3)</f>
        <v>0</v>
      </c>
      <c r="W177" s="10">
        <v>0</v>
      </c>
    </row>
    <row r="178" spans="2:23" x14ac:dyDescent="0.3">
      <c r="C178" s="10" t="s">
        <v>282</v>
      </c>
      <c r="D178" s="10">
        <f>ROUND(_xlfn.WEIBULL.DIST(COUNTA($C$159:C178),$T$14,$B$158,FALSE),3)</f>
        <v>0</v>
      </c>
      <c r="E178" s="10">
        <f>ROUND(_xlfn.WEIBULL.DIST(COUNTA($C$160:C178),$T$14,$B$158,FALSE),3)</f>
        <v>0</v>
      </c>
      <c r="F178" s="10">
        <f>ROUND(_xlfn.WEIBULL.DIST(COUNTA($C$161:C178),$T$14,$B$158,FALSE),3)</f>
        <v>0</v>
      </c>
      <c r="G178" s="10">
        <f>ROUND(_xlfn.WEIBULL.DIST(COUNTA($C$162:C178),$T$14,$B$158,FALSE),3)</f>
        <v>0</v>
      </c>
      <c r="H178" s="10">
        <f>ROUND(_xlfn.WEIBULL.DIST(COUNTA($C$163:C178),$T$14,$B$158,FALSE),3)</f>
        <v>0</v>
      </c>
      <c r="I178" s="10">
        <f>ROUND(_xlfn.WEIBULL.DIST(COUNTA($C$164:C178),$T$14,$B$158,FALSE),3)</f>
        <v>0</v>
      </c>
      <c r="J178" s="10">
        <f>ROUND(_xlfn.WEIBULL.DIST(COUNTA($C$165:C178),$T$14,$B$158,FALSE),3)</f>
        <v>0</v>
      </c>
      <c r="K178" s="10">
        <f>ROUND(_xlfn.WEIBULL.DIST(COUNTA($C$166:C178),$T$14,$B$158,FALSE),3)</f>
        <v>0</v>
      </c>
      <c r="L178" s="10">
        <f>ROUND(_xlfn.WEIBULL.DIST(COUNTA($C$167:C178),$T$14,$B$158,FALSE),3)</f>
        <v>1.0999999999999999E-2</v>
      </c>
      <c r="M178" s="10">
        <f>ROUND(_xlfn.WEIBULL.DIST(COUNTA($C$168:C178),$T$14,$B$158,FALSE),3)</f>
        <v>0.17599999999999999</v>
      </c>
      <c r="N178" s="10">
        <f>ROUND(_xlfn.WEIBULL.DIST(COUNTA($C$169:C178),$T$14,$B$158,FALSE),3)</f>
        <v>0.36799999999999999</v>
      </c>
      <c r="O178" s="10">
        <f>ROUND(_xlfn.WEIBULL.DIST(COUNTA($C$170:C178),$T$14,$B$158,FALSE),3)</f>
        <v>0.27300000000000002</v>
      </c>
      <c r="P178" s="10">
        <f>ROUND(_xlfn.WEIBULL.DIST(COUNTA($C$171:C178),$T$14,$B$158,FALSE),3)</f>
        <v>0.121</v>
      </c>
      <c r="Q178" s="10">
        <f>ROUND(_xlfn.WEIBULL.DIST(COUNTA($C$172:C178),$T$14,$B$158,FALSE),3)</f>
        <v>3.9E-2</v>
      </c>
      <c r="R178" s="10">
        <f>ROUND(_xlfn.WEIBULL.DIST(COUNTA($C$173:C178),$T$14,$B$158,FALSE),3)</f>
        <v>0.01</v>
      </c>
      <c r="S178" s="10">
        <f>ROUND(_xlfn.WEIBULL.DIST(COUNTA($C$174:C178),$T$14,$B$158,FALSE),3)</f>
        <v>2E-3</v>
      </c>
      <c r="T178" s="10">
        <f>ROUND(_xlfn.WEIBULL.DIST(COUNTA($C$175:C178),$T$14,$B$158,FALSE),3)</f>
        <v>0</v>
      </c>
      <c r="U178" s="10">
        <f>ROUND(_xlfn.WEIBULL.DIST(COUNTA($C$176:C178),$T$14,$B$158,FALSE),3)</f>
        <v>0</v>
      </c>
      <c r="V178" s="10">
        <f>ROUND(_xlfn.WEIBULL.DIST(COUNTA($C$177:C178),$T$14,$B$158,FALSE),3)</f>
        <v>0</v>
      </c>
      <c r="W178" s="10">
        <f>ROUND(_xlfn.WEIBULL.DIST(COUNTA($C$178:C178),$T$14,$B$158,FALSE),3)</f>
        <v>0</v>
      </c>
    </row>
    <row r="180" spans="2:23" x14ac:dyDescent="0.3">
      <c r="B180" s="10">
        <f>L37</f>
        <v>12</v>
      </c>
      <c r="D180" s="11" t="s">
        <v>139</v>
      </c>
      <c r="E180" s="11" t="s">
        <v>140</v>
      </c>
      <c r="F180" s="11" t="s">
        <v>141</v>
      </c>
      <c r="G180" s="11" t="s">
        <v>142</v>
      </c>
      <c r="H180" s="11" t="s">
        <v>143</v>
      </c>
      <c r="I180" s="11" t="s">
        <v>268</v>
      </c>
      <c r="J180" s="11" t="s">
        <v>269</v>
      </c>
      <c r="K180" s="11" t="s">
        <v>270</v>
      </c>
      <c r="L180" s="11" t="s">
        <v>271</v>
      </c>
      <c r="M180" s="11" t="s">
        <v>272</v>
      </c>
      <c r="N180" s="11" t="s">
        <v>273</v>
      </c>
      <c r="O180" s="11" t="s">
        <v>274</v>
      </c>
      <c r="P180" s="11" t="s">
        <v>275</v>
      </c>
      <c r="Q180" s="11" t="s">
        <v>276</v>
      </c>
      <c r="R180" s="11" t="s">
        <v>277</v>
      </c>
      <c r="S180" s="11" t="s">
        <v>278</v>
      </c>
      <c r="T180" s="11" t="s">
        <v>279</v>
      </c>
      <c r="U180" s="11" t="s">
        <v>280</v>
      </c>
      <c r="V180" s="11" t="s">
        <v>281</v>
      </c>
      <c r="W180" s="11" t="s">
        <v>282</v>
      </c>
    </row>
    <row r="181" spans="2:23" x14ac:dyDescent="0.3">
      <c r="C181" s="10" t="s">
        <v>139</v>
      </c>
      <c r="D181" s="10">
        <f>ROUND(_xlfn.WEIBULL.DIST(COUNTA($C$181:C181),$T$14,$B$180,FALSE),3)</f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</row>
    <row r="182" spans="2:23" x14ac:dyDescent="0.3">
      <c r="C182" s="10" t="s">
        <v>140</v>
      </c>
      <c r="D182" s="10">
        <f>ROUND(_xlfn.WEIBULL.DIST(COUNTA($C$181:C182),$T$14,$B$180,FALSE),3)</f>
        <v>0</v>
      </c>
      <c r="E182" s="10">
        <f>ROUND(_xlfn.WEIBULL.DIST(COUNTA($C$182:C182),$T$14,$B$180,FALSE),3)</f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</row>
    <row r="183" spans="2:23" x14ac:dyDescent="0.3">
      <c r="C183" s="10" t="s">
        <v>141</v>
      </c>
      <c r="D183" s="10">
        <f>ROUND(_xlfn.WEIBULL.DIST(COUNTA($C$181:C183),$T$14,$B$180,FALSE),3)</f>
        <v>0</v>
      </c>
      <c r="E183" s="10">
        <f>ROUND(_xlfn.WEIBULL.DIST(COUNTA($C$182:C183),$T$14,$B$180,FALSE),3)</f>
        <v>0</v>
      </c>
      <c r="F183" s="10">
        <f>ROUND(_xlfn.WEIBULL.DIST(COUNTA($C$183:C183),$T$14,$B$180,FALSE),3)</f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</row>
    <row r="184" spans="2:23" x14ac:dyDescent="0.3">
      <c r="C184" s="10" t="s">
        <v>142</v>
      </c>
      <c r="D184" s="10">
        <f>ROUND(_xlfn.WEIBULL.DIST(COUNTA($C$181:C184),$T$14,$B$180,FALSE),3)</f>
        <v>0</v>
      </c>
      <c r="E184" s="10">
        <f>ROUND(_xlfn.WEIBULL.DIST(COUNTA($C$182:C184),$T$14,$B$180,FALSE),3)</f>
        <v>0</v>
      </c>
      <c r="F184" s="10">
        <f>ROUND(_xlfn.WEIBULL.DIST(COUNTA($C$183:C184),$T$14,$B$180,FALSE),3)</f>
        <v>0</v>
      </c>
      <c r="G184" s="10">
        <f>ROUND(_xlfn.WEIBULL.DIST(COUNTA($C$184:C184),$T$14,$B$180,FALSE),3)</f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</row>
    <row r="185" spans="2:23" x14ac:dyDescent="0.3">
      <c r="C185" s="10" t="s">
        <v>143</v>
      </c>
      <c r="D185" s="10">
        <f>ROUND(_xlfn.WEIBULL.DIST(COUNTA($C$181:C185),$T$14,$B$180,FALSE),3)</f>
        <v>0</v>
      </c>
      <c r="E185" s="10">
        <f>ROUND(_xlfn.WEIBULL.DIST(COUNTA($C$182:C185),$T$14,$B$180,FALSE),3)</f>
        <v>0</v>
      </c>
      <c r="F185" s="10">
        <f>ROUND(_xlfn.WEIBULL.DIST(COUNTA($C$183:C185),$T$14,$B$180,FALSE),3)</f>
        <v>0</v>
      </c>
      <c r="G185" s="10">
        <f>ROUND(_xlfn.WEIBULL.DIST(COUNTA($C$184:C185),$T$14,$B$180,FALSE),3)</f>
        <v>0</v>
      </c>
      <c r="H185" s="10">
        <f>ROUND(_xlfn.WEIBULL.DIST(COUNTA($C$185:C185),$T$14,$B$180,FALSE),3)</f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</row>
    <row r="186" spans="2:23" x14ac:dyDescent="0.3">
      <c r="C186" s="10" t="s">
        <v>268</v>
      </c>
      <c r="D186" s="10">
        <f>ROUND(_xlfn.WEIBULL.DIST(COUNTA($C$181:C186),$T$14,$B$180,FALSE),3)</f>
        <v>2E-3</v>
      </c>
      <c r="E186" s="10">
        <f>ROUND(_xlfn.WEIBULL.DIST(COUNTA($C$182:C186),$T$14,$B$180,FALSE),3)</f>
        <v>0</v>
      </c>
      <c r="F186" s="10">
        <f>ROUND(_xlfn.WEIBULL.DIST(COUNTA($C$183:C186),$T$14,$B$180,FALSE),3)</f>
        <v>0</v>
      </c>
      <c r="G186" s="10">
        <f>ROUND(_xlfn.WEIBULL.DIST(COUNTA($C$184:C186),$T$14,$B$180,FALSE),3)</f>
        <v>0</v>
      </c>
      <c r="H186" s="10">
        <f>ROUND(_xlfn.WEIBULL.DIST(COUNTA($C$185:C186),$T$14,$B$180,FALSE),3)</f>
        <v>0</v>
      </c>
      <c r="I186" s="10">
        <f>ROUND(_xlfn.WEIBULL.DIST(COUNTA($C$186:C186),$T$14,$B$180,FALSE),3)</f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</row>
    <row r="187" spans="2:23" x14ac:dyDescent="0.3">
      <c r="C187" s="10" t="s">
        <v>269</v>
      </c>
      <c r="D187" s="10">
        <f>ROUND(_xlfn.WEIBULL.DIST(COUNTA($C$181:C187),$T$14,$B$180,FALSE),3)</f>
        <v>6.0000000000000001E-3</v>
      </c>
      <c r="E187" s="10">
        <f>ROUND(_xlfn.WEIBULL.DIST(COUNTA($C$182:C187),$T$14,$B$180,FALSE),3)</f>
        <v>2E-3</v>
      </c>
      <c r="F187" s="10">
        <f>ROUND(_xlfn.WEIBULL.DIST(COUNTA($C$183:C187),$T$14,$B$180,FALSE),3)</f>
        <v>0</v>
      </c>
      <c r="G187" s="10">
        <f>ROUND(_xlfn.WEIBULL.DIST(COUNTA($C$184:C187),$T$14,$B$180,FALSE),3)</f>
        <v>0</v>
      </c>
      <c r="H187" s="10">
        <f>ROUND(_xlfn.WEIBULL.DIST(COUNTA($C$185:C187),$T$14,$B$180,FALSE),3)</f>
        <v>0</v>
      </c>
      <c r="I187" s="10">
        <f>ROUND(_xlfn.WEIBULL.DIST(COUNTA($C$186:C187),$T$14,$B$180,FALSE),3)</f>
        <v>0</v>
      </c>
      <c r="J187" s="10">
        <f>ROUND(_xlfn.WEIBULL.DIST(COUNTA($C$187:C187),$T$14,$B$180,FALSE),3)</f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</row>
    <row r="188" spans="2:23" x14ac:dyDescent="0.3">
      <c r="C188" s="10" t="s">
        <v>270</v>
      </c>
      <c r="D188" s="10">
        <f>ROUND(_xlfn.WEIBULL.DIST(COUNTA($C$181:C188),$T$14,$B$180,FALSE),3)</f>
        <v>2.1000000000000001E-2</v>
      </c>
      <c r="E188" s="10">
        <f>ROUND(_xlfn.WEIBULL.DIST(COUNTA($C$182:C188),$T$14,$B$180,FALSE),3)</f>
        <v>6.0000000000000001E-3</v>
      </c>
      <c r="F188" s="10">
        <f>ROUND(_xlfn.WEIBULL.DIST(COUNTA($C$183:C188),$T$14,$B$180,FALSE),3)</f>
        <v>2E-3</v>
      </c>
      <c r="G188" s="10">
        <f>ROUND(_xlfn.WEIBULL.DIST(COUNTA($C$184:C188),$T$14,$B$180,FALSE),3)</f>
        <v>0</v>
      </c>
      <c r="H188" s="10">
        <f>ROUND(_xlfn.WEIBULL.DIST(COUNTA($C$185:C188),$T$14,$B$180,FALSE),3)</f>
        <v>0</v>
      </c>
      <c r="I188" s="10">
        <f>ROUND(_xlfn.WEIBULL.DIST(COUNTA($C$186:C188),$T$14,$B$180,FALSE),3)</f>
        <v>0</v>
      </c>
      <c r="J188" s="10">
        <f>ROUND(_xlfn.WEIBULL.DIST(COUNTA($C$187:C188),$T$14,$B$180,FALSE),3)</f>
        <v>0</v>
      </c>
      <c r="K188" s="10">
        <f>ROUND(_xlfn.WEIBULL.DIST(COUNTA($C$188:C188),$T$14,$B$180,FALSE),3)</f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</row>
    <row r="189" spans="2:23" x14ac:dyDescent="0.3">
      <c r="C189" s="10" t="s">
        <v>271</v>
      </c>
      <c r="D189" s="10">
        <f>ROUND(_xlfn.WEIBULL.DIST(COUNTA($C$181:C189),$T$14,$B$180,FALSE),3)</f>
        <v>5.8999999999999997E-2</v>
      </c>
      <c r="E189" s="10">
        <f>ROUND(_xlfn.WEIBULL.DIST(COUNTA($C$182:C189),$T$14,$B$180,FALSE),3)</f>
        <v>2.1000000000000001E-2</v>
      </c>
      <c r="F189" s="10">
        <f>ROUND(_xlfn.WEIBULL.DIST(COUNTA($C$183:C189),$T$14,$B$180,FALSE),3)</f>
        <v>6.0000000000000001E-3</v>
      </c>
      <c r="G189" s="10">
        <f>ROUND(_xlfn.WEIBULL.DIST(COUNTA($C$184:C189),$T$14,$B$180,FALSE),3)</f>
        <v>2E-3</v>
      </c>
      <c r="H189" s="10">
        <f>ROUND(_xlfn.WEIBULL.DIST(COUNTA($C$185:C189),$T$14,$B$180,FALSE),3)</f>
        <v>0</v>
      </c>
      <c r="I189" s="10">
        <f>ROUND(_xlfn.WEIBULL.DIST(COUNTA($C$186:C189),$T$14,$B$180,FALSE),3)</f>
        <v>0</v>
      </c>
      <c r="J189" s="10">
        <f>ROUND(_xlfn.WEIBULL.DIST(COUNTA($C$187:C189),$T$14,$B$180,FALSE),3)</f>
        <v>0</v>
      </c>
      <c r="K189" s="10">
        <f>ROUND(_xlfn.WEIBULL.DIST(COUNTA($C$188:C189),$T$14,$B$180,FALSE),3)</f>
        <v>0</v>
      </c>
      <c r="L189" s="10">
        <f>ROUND(_xlfn.WEIBULL.DIST(COUNTA($C$189:C189),$T$14,$B$180,FALSE),3)</f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</row>
    <row r="190" spans="2:23" x14ac:dyDescent="0.3">
      <c r="C190" s="10" t="s">
        <v>272</v>
      </c>
      <c r="D190" s="10">
        <f>ROUND(_xlfn.WEIBULL.DIST(COUNTA($C$181:C190),$T$14,$B$180,FALSE),3)</f>
        <v>0.13700000000000001</v>
      </c>
      <c r="E190" s="10">
        <f>ROUND(_xlfn.WEIBULL.DIST(COUNTA($C$182:C190),$T$14,$B$180,FALSE),3)</f>
        <v>5.8999999999999997E-2</v>
      </c>
      <c r="F190" s="10">
        <f>ROUND(_xlfn.WEIBULL.DIST(COUNTA($C$183:C190),$T$14,$B$180,FALSE),3)</f>
        <v>2.1000000000000001E-2</v>
      </c>
      <c r="G190" s="10">
        <f>ROUND(_xlfn.WEIBULL.DIST(COUNTA($C$184:C190),$T$14,$B$180,FALSE),3)</f>
        <v>6.0000000000000001E-3</v>
      </c>
      <c r="H190" s="10">
        <f>ROUND(_xlfn.WEIBULL.DIST(COUNTA($C$185:C190),$T$14,$B$180,FALSE),3)</f>
        <v>2E-3</v>
      </c>
      <c r="I190" s="10">
        <f>ROUND(_xlfn.WEIBULL.DIST(COUNTA($C$186:C190),$T$14,$B$180,FALSE),3)</f>
        <v>0</v>
      </c>
      <c r="J190" s="10">
        <f>ROUND(_xlfn.WEIBULL.DIST(COUNTA($C$187:C190),$T$14,$B$180,FALSE),3)</f>
        <v>0</v>
      </c>
      <c r="K190" s="10">
        <f>ROUND(_xlfn.WEIBULL.DIST(COUNTA($C$188:C190),$T$14,$B$180,FALSE),3)</f>
        <v>0</v>
      </c>
      <c r="L190" s="10">
        <f>ROUND(_xlfn.WEIBULL.DIST(COUNTA($C$189:C190),$T$14,$B$180,FALSE),3)</f>
        <v>0</v>
      </c>
      <c r="M190" s="10">
        <f>ROUND(_xlfn.WEIBULL.DIST(COUNTA($C$190:C190),$T$14,$B$180,FALSE),3)</f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</row>
    <row r="191" spans="2:23" x14ac:dyDescent="0.3">
      <c r="C191" s="10" t="s">
        <v>273</v>
      </c>
      <c r="D191" s="10">
        <f>ROUND(_xlfn.WEIBULL.DIST(COUNTA($C$181:C191),$T$14,$B$180,FALSE),3)</f>
        <v>0.25</v>
      </c>
      <c r="E191" s="10">
        <f>ROUND(_xlfn.WEIBULL.DIST(COUNTA($C$182:C191),$T$14,$B$180,FALSE),3)</f>
        <v>0.13700000000000001</v>
      </c>
      <c r="F191" s="10">
        <f>ROUND(_xlfn.WEIBULL.DIST(COUNTA($C$183:C191),$T$14,$B$180,FALSE),3)</f>
        <v>5.8999999999999997E-2</v>
      </c>
      <c r="G191" s="10">
        <f>ROUND(_xlfn.WEIBULL.DIST(COUNTA($C$184:C191),$T$14,$B$180,FALSE),3)</f>
        <v>2.1000000000000001E-2</v>
      </c>
      <c r="H191" s="10">
        <f>ROUND(_xlfn.WEIBULL.DIST(COUNTA($C$185:C191),$T$14,$B$180,FALSE),3)</f>
        <v>6.0000000000000001E-3</v>
      </c>
      <c r="I191" s="10">
        <f>ROUND(_xlfn.WEIBULL.DIST(COUNTA($C$186:C191),$T$14,$B$180,FALSE),3)</f>
        <v>2E-3</v>
      </c>
      <c r="J191" s="10">
        <f>ROUND(_xlfn.WEIBULL.DIST(COUNTA($C$187:C191),$T$14,$B$180,FALSE),3)</f>
        <v>0</v>
      </c>
      <c r="K191" s="10">
        <f>ROUND(_xlfn.WEIBULL.DIST(COUNTA($C$188:C191),$T$14,$B$180,FALSE),3)</f>
        <v>0</v>
      </c>
      <c r="L191" s="10">
        <f>ROUND(_xlfn.WEIBULL.DIST(COUNTA($C$189:C191),$T$14,$B$180,FALSE),3)</f>
        <v>0</v>
      </c>
      <c r="M191" s="10">
        <f>ROUND(_xlfn.WEIBULL.DIST(COUNTA($C$190:C191),$T$14,$B$180,FALSE),3)</f>
        <v>0</v>
      </c>
      <c r="N191" s="10">
        <f>ROUND(_xlfn.WEIBULL.DIST(COUNTA($C$191:C191),$T$14,$B$180,FALSE),3)</f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</row>
    <row r="192" spans="2:23" x14ac:dyDescent="0.3">
      <c r="C192" s="10" t="s">
        <v>274</v>
      </c>
      <c r="D192" s="10">
        <f>ROUND(_xlfn.WEIBULL.DIST(COUNTA($C$181:C192),$T$14,$B$180,FALSE),3)</f>
        <v>0.307</v>
      </c>
      <c r="E192" s="10">
        <f>ROUND(_xlfn.WEIBULL.DIST(COUNTA($C$182:C192),$T$14,$B$180,FALSE),3)</f>
        <v>0.25</v>
      </c>
      <c r="F192" s="10">
        <f>ROUND(_xlfn.WEIBULL.DIST(COUNTA($C$183:C192),$T$14,$B$180,FALSE),3)</f>
        <v>0.13700000000000001</v>
      </c>
      <c r="G192" s="10">
        <f>ROUND(_xlfn.WEIBULL.DIST(COUNTA($C$184:C192),$T$14,$B$180,FALSE),3)</f>
        <v>5.8999999999999997E-2</v>
      </c>
      <c r="H192" s="10">
        <f>ROUND(_xlfn.WEIBULL.DIST(COUNTA($C$185:C192),$T$14,$B$180,FALSE),3)</f>
        <v>2.1000000000000001E-2</v>
      </c>
      <c r="I192" s="10">
        <f>ROUND(_xlfn.WEIBULL.DIST(COUNTA($C$186:C192),$T$14,$B$180,FALSE),3)</f>
        <v>6.0000000000000001E-3</v>
      </c>
      <c r="J192" s="10">
        <f>ROUND(_xlfn.WEIBULL.DIST(COUNTA($C$187:C192),$T$14,$B$180,FALSE),3)</f>
        <v>2E-3</v>
      </c>
      <c r="K192" s="10">
        <f>ROUND(_xlfn.WEIBULL.DIST(COUNTA($C$188:C192),$T$14,$B$180,FALSE),3)</f>
        <v>0</v>
      </c>
      <c r="L192" s="10">
        <f>ROUND(_xlfn.WEIBULL.DIST(COUNTA($C$189:C192),$T$14,$B$180,FALSE),3)</f>
        <v>0</v>
      </c>
      <c r="M192" s="10">
        <f>ROUND(_xlfn.WEIBULL.DIST(COUNTA($C$190:C192),$T$14,$B$180,FALSE),3)</f>
        <v>0</v>
      </c>
      <c r="N192" s="10">
        <f>ROUND(_xlfn.WEIBULL.DIST(COUNTA($C$191:C192),$T$14,$B$180,FALSE),3)</f>
        <v>0</v>
      </c>
      <c r="O192" s="10">
        <f>ROUND(_xlfn.WEIBULL.DIST(COUNTA($C$192:C192),$T$14,$B$180,FALSE),3)</f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</row>
    <row r="193" spans="3:23" x14ac:dyDescent="0.3">
      <c r="C193" s="10" t="s">
        <v>275</v>
      </c>
      <c r="D193" s="10">
        <f>ROUND(_xlfn.WEIBULL.DIST(COUNTA($C$181:C193),$T$14,$B$180,FALSE),3)</f>
        <v>0.185</v>
      </c>
      <c r="E193" s="10">
        <f>ROUND(_xlfn.WEIBULL.DIST(COUNTA($C$182:C193),$T$14,$B$180,FALSE),3)</f>
        <v>0.307</v>
      </c>
      <c r="F193" s="10">
        <f>ROUND(_xlfn.WEIBULL.DIST(COUNTA($C$183:C193),$T$14,$B$180,FALSE),3)</f>
        <v>0.25</v>
      </c>
      <c r="G193" s="10">
        <f>ROUND(_xlfn.WEIBULL.DIST(COUNTA($C$184:C193),$T$14,$B$180,FALSE),3)</f>
        <v>0.13700000000000001</v>
      </c>
      <c r="H193" s="10">
        <f>ROUND(_xlfn.WEIBULL.DIST(COUNTA($C$185:C193),$T$14,$B$180,FALSE),3)</f>
        <v>5.8999999999999997E-2</v>
      </c>
      <c r="I193" s="10">
        <f>ROUND(_xlfn.WEIBULL.DIST(COUNTA($C$186:C193),$T$14,$B$180,FALSE),3)</f>
        <v>2.1000000000000001E-2</v>
      </c>
      <c r="J193" s="10">
        <f>ROUND(_xlfn.WEIBULL.DIST(COUNTA($C$187:C193),$T$14,$B$180,FALSE),3)</f>
        <v>6.0000000000000001E-3</v>
      </c>
      <c r="K193" s="10">
        <f>ROUND(_xlfn.WEIBULL.DIST(COUNTA($C$188:C193),$T$14,$B$180,FALSE),3)</f>
        <v>2E-3</v>
      </c>
      <c r="L193" s="10">
        <f>ROUND(_xlfn.WEIBULL.DIST(COUNTA($C$189:C193),$T$14,$B$180,FALSE),3)</f>
        <v>0</v>
      </c>
      <c r="M193" s="10">
        <f>ROUND(_xlfn.WEIBULL.DIST(COUNTA($C$190:C193),$T$14,$B$180,FALSE),3)</f>
        <v>0</v>
      </c>
      <c r="N193" s="10">
        <f>ROUND(_xlfn.WEIBULL.DIST(COUNTA($C$191:C193),$T$14,$B$180,FALSE),3)</f>
        <v>0</v>
      </c>
      <c r="O193" s="10">
        <f>ROUND(_xlfn.WEIBULL.DIST(COUNTA($C$192:C193),$T$14,$B$180,FALSE),3)</f>
        <v>0</v>
      </c>
      <c r="P193" s="10">
        <f>ROUND(_xlfn.WEIBULL.DIST(COUNTA($C$193:C193),$T$14,$B$180,FALSE),3)</f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</row>
    <row r="194" spans="3:23" x14ac:dyDescent="0.3">
      <c r="C194" s="10" t="s">
        <v>276</v>
      </c>
      <c r="D194" s="10">
        <f>ROUND(_xlfn.WEIBULL.DIST(COUNTA($C$181:C194),$T$14,$B$180,FALSE),3)</f>
        <v>3.1E-2</v>
      </c>
      <c r="E194" s="10">
        <f>ROUND(_xlfn.WEIBULL.DIST(COUNTA($C$182:C194),$T$14,$B$180,FALSE),3)</f>
        <v>0.185</v>
      </c>
      <c r="F194" s="10">
        <f>ROUND(_xlfn.WEIBULL.DIST(COUNTA($C$183:C194),$T$14,$B$180,FALSE),3)</f>
        <v>0.307</v>
      </c>
      <c r="G194" s="10">
        <f>ROUND(_xlfn.WEIBULL.DIST(COUNTA($C$184:C194),$T$14,$B$180,FALSE),3)</f>
        <v>0.25</v>
      </c>
      <c r="H194" s="10">
        <f>ROUND(_xlfn.WEIBULL.DIST(COUNTA($C$185:C194),$T$14,$B$180,FALSE),3)</f>
        <v>0.13700000000000001</v>
      </c>
      <c r="I194" s="10">
        <f>ROUND(_xlfn.WEIBULL.DIST(COUNTA($C$186:C194),$T$14,$B$180,FALSE),3)</f>
        <v>5.8999999999999997E-2</v>
      </c>
      <c r="J194" s="10">
        <f>ROUND(_xlfn.WEIBULL.DIST(COUNTA($C$187:C194),$T$14,$B$180,FALSE),3)</f>
        <v>2.1000000000000001E-2</v>
      </c>
      <c r="K194" s="10">
        <f>ROUND(_xlfn.WEIBULL.DIST(COUNTA($C$188:C194),$T$14,$B$180,FALSE),3)</f>
        <v>6.0000000000000001E-3</v>
      </c>
      <c r="L194" s="10">
        <f>ROUND(_xlfn.WEIBULL.DIST(COUNTA($C$189:C194),$T$14,$B$180,FALSE),3)</f>
        <v>2E-3</v>
      </c>
      <c r="M194" s="10">
        <f>ROUND(_xlfn.WEIBULL.DIST(COUNTA($C$190:C194),$T$14,$B$180,FALSE),3)</f>
        <v>0</v>
      </c>
      <c r="N194" s="10">
        <f>ROUND(_xlfn.WEIBULL.DIST(COUNTA($C$191:C194),$T$14,$B$180,FALSE),3)</f>
        <v>0</v>
      </c>
      <c r="O194" s="10">
        <f>ROUND(_xlfn.WEIBULL.DIST(COUNTA($C$192:C194),$T$14,$B$180,FALSE),3)</f>
        <v>0</v>
      </c>
      <c r="P194" s="10">
        <f>ROUND(_xlfn.WEIBULL.DIST(COUNTA($C$193:C194),$T$14,$B$180,FALSE),3)</f>
        <v>0</v>
      </c>
      <c r="Q194" s="10">
        <f>ROUND(_xlfn.WEIBULL.DIST(COUNTA($C$194:C194),$T$14,$B$180,FALSE),3)</f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</row>
    <row r="195" spans="3:23" x14ac:dyDescent="0.3">
      <c r="C195" s="10" t="s">
        <v>277</v>
      </c>
      <c r="D195" s="10">
        <f>ROUND(_xlfn.WEIBULL.DIST(COUNTA($C$181:C195),$T$14,$B$180,FALSE),3)</f>
        <v>1E-3</v>
      </c>
      <c r="E195" s="10">
        <f>ROUND(_xlfn.WEIBULL.DIST(COUNTA($C$182:C195),$T$14,$B$180,FALSE),3)</f>
        <v>3.1E-2</v>
      </c>
      <c r="F195" s="10">
        <f>ROUND(_xlfn.WEIBULL.DIST(COUNTA($C$183:C195),$T$14,$B$180,FALSE),3)</f>
        <v>0.185</v>
      </c>
      <c r="G195" s="10">
        <f>ROUND(_xlfn.WEIBULL.DIST(COUNTA($C$184:C195),$T$14,$B$180,FALSE),3)</f>
        <v>0.307</v>
      </c>
      <c r="H195" s="10">
        <f>ROUND(_xlfn.WEIBULL.DIST(COUNTA($C$185:C195),$T$14,$B$180,FALSE),3)</f>
        <v>0.25</v>
      </c>
      <c r="I195" s="10">
        <f>ROUND(_xlfn.WEIBULL.DIST(COUNTA($C$186:C195),$T$14,$B$180,FALSE),3)</f>
        <v>0.13700000000000001</v>
      </c>
      <c r="J195" s="10">
        <f>ROUND(_xlfn.WEIBULL.DIST(COUNTA($C$187:C195),$T$14,$B$180,FALSE),3)</f>
        <v>5.8999999999999997E-2</v>
      </c>
      <c r="K195" s="10">
        <f>ROUND(_xlfn.WEIBULL.DIST(COUNTA($C$188:C195),$T$14,$B$180,FALSE),3)</f>
        <v>2.1000000000000001E-2</v>
      </c>
      <c r="L195" s="10">
        <f>ROUND(_xlfn.WEIBULL.DIST(COUNTA($C$189:C195),$T$14,$B$180,FALSE),3)</f>
        <v>6.0000000000000001E-3</v>
      </c>
      <c r="M195" s="10">
        <f>ROUND(_xlfn.WEIBULL.DIST(COUNTA($C$190:C195),$T$14,$B$180,FALSE),3)</f>
        <v>2E-3</v>
      </c>
      <c r="N195" s="10">
        <f>ROUND(_xlfn.WEIBULL.DIST(COUNTA($C$191:C195),$T$14,$B$180,FALSE),3)</f>
        <v>0</v>
      </c>
      <c r="O195" s="10">
        <f>ROUND(_xlfn.WEIBULL.DIST(COUNTA($C$192:C195),$T$14,$B$180,FALSE),3)</f>
        <v>0</v>
      </c>
      <c r="P195" s="10">
        <f>ROUND(_xlfn.WEIBULL.DIST(COUNTA($C$193:C195),$T$14,$B$180,FALSE),3)</f>
        <v>0</v>
      </c>
      <c r="Q195" s="10">
        <f>ROUND(_xlfn.WEIBULL.DIST(COUNTA($C$194:C195),$T$14,$B$180,FALSE),3)</f>
        <v>0</v>
      </c>
      <c r="R195" s="10">
        <f>ROUND(_xlfn.WEIBULL.DIST(COUNTA($C$195:C195),$T$14,$B$180,FALSE),3)</f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</row>
    <row r="196" spans="3:23" x14ac:dyDescent="0.3">
      <c r="C196" s="10" t="s">
        <v>278</v>
      </c>
      <c r="D196" s="10">
        <f>ROUND(_xlfn.WEIBULL.DIST(COUNTA($C$181:C196),$T$14,$B$180,FALSE),3)</f>
        <v>0</v>
      </c>
      <c r="E196" s="10">
        <f>ROUND(_xlfn.WEIBULL.DIST(COUNTA($C$182:C196),$T$14,$B$180,FALSE),3)</f>
        <v>1E-3</v>
      </c>
      <c r="F196" s="10">
        <f>ROUND(_xlfn.WEIBULL.DIST(COUNTA($C$183:C196),$T$14,$B$180,FALSE),3)</f>
        <v>3.1E-2</v>
      </c>
      <c r="G196" s="10">
        <f>ROUND(_xlfn.WEIBULL.DIST(COUNTA($C$184:C196),$T$14,$B$180,FALSE),3)</f>
        <v>0.185</v>
      </c>
      <c r="H196" s="10">
        <f>ROUND(_xlfn.WEIBULL.DIST(COUNTA($C$185:C196),$T$14,$B$180,FALSE),3)</f>
        <v>0.307</v>
      </c>
      <c r="I196" s="10">
        <f>ROUND(_xlfn.WEIBULL.DIST(COUNTA($C$186:C196),$T$14,$B$180,FALSE),3)</f>
        <v>0.25</v>
      </c>
      <c r="J196" s="10">
        <f>ROUND(_xlfn.WEIBULL.DIST(COUNTA($C$187:C196),$T$14,$B$180,FALSE),3)</f>
        <v>0.13700000000000001</v>
      </c>
      <c r="K196" s="10">
        <f>ROUND(_xlfn.WEIBULL.DIST(COUNTA($C$188:C196),$T$14,$B$180,FALSE),3)</f>
        <v>5.8999999999999997E-2</v>
      </c>
      <c r="L196" s="10">
        <f>ROUND(_xlfn.WEIBULL.DIST(COUNTA($C$189:C196),$T$14,$B$180,FALSE),3)</f>
        <v>2.1000000000000001E-2</v>
      </c>
      <c r="M196" s="10">
        <f>ROUND(_xlfn.WEIBULL.DIST(COUNTA($C$190:C196),$T$14,$B$180,FALSE),3)</f>
        <v>6.0000000000000001E-3</v>
      </c>
      <c r="N196" s="10">
        <f>ROUND(_xlfn.WEIBULL.DIST(COUNTA($C$191:C196),$T$14,$B$180,FALSE),3)</f>
        <v>2E-3</v>
      </c>
      <c r="O196" s="10">
        <f>ROUND(_xlfn.WEIBULL.DIST(COUNTA($C$192:C196),$T$14,$B$180,FALSE),3)</f>
        <v>0</v>
      </c>
      <c r="P196" s="10">
        <f>ROUND(_xlfn.WEIBULL.DIST(COUNTA($C$193:C196),$T$14,$B$180,FALSE),3)</f>
        <v>0</v>
      </c>
      <c r="Q196" s="10">
        <f>ROUND(_xlfn.WEIBULL.DIST(COUNTA($C$194:C196),$T$14,$B$180,FALSE),3)</f>
        <v>0</v>
      </c>
      <c r="R196" s="10">
        <f>ROUND(_xlfn.WEIBULL.DIST(COUNTA($C$195:C196),$T$14,$B$180,FALSE),3)</f>
        <v>0</v>
      </c>
      <c r="S196" s="10">
        <f>ROUND(_xlfn.WEIBULL.DIST(COUNTA($C$196:C196),$T$14,$B$180,FALSE),3)</f>
        <v>0</v>
      </c>
      <c r="T196" s="10">
        <v>0</v>
      </c>
      <c r="U196" s="10">
        <v>0</v>
      </c>
      <c r="V196" s="10">
        <v>0</v>
      </c>
      <c r="W196" s="10">
        <v>0</v>
      </c>
    </row>
    <row r="197" spans="3:23" x14ac:dyDescent="0.3">
      <c r="C197" s="10" t="s">
        <v>279</v>
      </c>
      <c r="D197" s="10">
        <f>ROUND(_xlfn.WEIBULL.DIST(COUNTA($C$181:C197),$T$14,$B$180,FALSE),3)</f>
        <v>0</v>
      </c>
      <c r="E197" s="10">
        <f>ROUND(_xlfn.WEIBULL.DIST(COUNTA($C$182:C197),$T$14,$B$180,FALSE),3)</f>
        <v>0</v>
      </c>
      <c r="F197" s="10">
        <f>ROUND(_xlfn.WEIBULL.DIST(COUNTA($C$183:C197),$T$14,$B$180,FALSE),3)</f>
        <v>1E-3</v>
      </c>
      <c r="G197" s="10">
        <f>ROUND(_xlfn.WEIBULL.DIST(COUNTA($C$184:C197),$T$14,$B$180,FALSE),3)</f>
        <v>3.1E-2</v>
      </c>
      <c r="H197" s="10">
        <f>ROUND(_xlfn.WEIBULL.DIST(COUNTA($C$185:C197),$T$14,$B$180,FALSE),3)</f>
        <v>0.185</v>
      </c>
      <c r="I197" s="10">
        <f>ROUND(_xlfn.WEIBULL.DIST(COUNTA($C$186:C197),$T$14,$B$180,FALSE),3)</f>
        <v>0.307</v>
      </c>
      <c r="J197" s="10">
        <f>ROUND(_xlfn.WEIBULL.DIST(COUNTA($C$187:C197),$T$14,$B$180,FALSE),3)</f>
        <v>0.25</v>
      </c>
      <c r="K197" s="10">
        <f>ROUND(_xlfn.WEIBULL.DIST(COUNTA($C$188:C197),$T$14,$B$180,FALSE),3)</f>
        <v>0.13700000000000001</v>
      </c>
      <c r="L197" s="10">
        <f>ROUND(_xlfn.WEIBULL.DIST(COUNTA($C$189:C197),$T$14,$B$180,FALSE),3)</f>
        <v>5.8999999999999997E-2</v>
      </c>
      <c r="M197" s="10">
        <f>ROUND(_xlfn.WEIBULL.DIST(COUNTA($C$190:C197),$T$14,$B$180,FALSE),3)</f>
        <v>2.1000000000000001E-2</v>
      </c>
      <c r="N197" s="10">
        <f>ROUND(_xlfn.WEIBULL.DIST(COUNTA($C$191:C197),$T$14,$B$180,FALSE),3)</f>
        <v>6.0000000000000001E-3</v>
      </c>
      <c r="O197" s="10">
        <f>ROUND(_xlfn.WEIBULL.DIST(COUNTA($C$192:C197),$T$14,$B$180,FALSE),3)</f>
        <v>2E-3</v>
      </c>
      <c r="P197" s="10">
        <f>ROUND(_xlfn.WEIBULL.DIST(COUNTA($C$193:C197),$T$14,$B$180,FALSE),3)</f>
        <v>0</v>
      </c>
      <c r="Q197" s="10">
        <f>ROUND(_xlfn.WEIBULL.DIST(COUNTA($C$194:C197),$T$14,$B$180,FALSE),3)</f>
        <v>0</v>
      </c>
      <c r="R197" s="10">
        <f>ROUND(_xlfn.WEIBULL.DIST(COUNTA($C$195:C197),$T$14,$B$180,FALSE),3)</f>
        <v>0</v>
      </c>
      <c r="S197" s="10">
        <f>ROUND(_xlfn.WEIBULL.DIST(COUNTA($C$196:C197),$T$14,$B$180,FALSE),3)</f>
        <v>0</v>
      </c>
      <c r="T197" s="10">
        <f>ROUND(_xlfn.WEIBULL.DIST(COUNTA($C$197:C197),$T$14,$B$180,FALSE),3)</f>
        <v>0</v>
      </c>
      <c r="U197" s="10">
        <v>0</v>
      </c>
      <c r="V197" s="10">
        <v>0</v>
      </c>
      <c r="W197" s="10">
        <v>0</v>
      </c>
    </row>
    <row r="198" spans="3:23" x14ac:dyDescent="0.3">
      <c r="C198" s="10" t="s">
        <v>280</v>
      </c>
      <c r="D198" s="10">
        <f>ROUND(_xlfn.WEIBULL.DIST(COUNTA($C$181:C198),$T$14,$B$180,FALSE),3)</f>
        <v>0</v>
      </c>
      <c r="E198" s="10">
        <f>ROUND(_xlfn.WEIBULL.DIST(COUNTA($C$182:C198),$T$14,$B$180,FALSE),3)</f>
        <v>0</v>
      </c>
      <c r="F198" s="10">
        <f>ROUND(_xlfn.WEIBULL.DIST(COUNTA($C$183:C198),$T$14,$B$180,FALSE),3)</f>
        <v>0</v>
      </c>
      <c r="G198" s="10">
        <f>ROUND(_xlfn.WEIBULL.DIST(COUNTA($C$184:C198),$T$14,$B$180,FALSE),3)</f>
        <v>1E-3</v>
      </c>
      <c r="H198" s="10">
        <f>ROUND(_xlfn.WEIBULL.DIST(COUNTA($C$185:C198),$T$14,$B$180,FALSE),3)</f>
        <v>3.1E-2</v>
      </c>
      <c r="I198" s="10">
        <f>ROUND(_xlfn.WEIBULL.DIST(COUNTA($C$186:C198),$T$14,$B$180,FALSE),3)</f>
        <v>0.185</v>
      </c>
      <c r="J198" s="10">
        <f>ROUND(_xlfn.WEIBULL.DIST(COUNTA($C$187:C198),$T$14,$B$180,FALSE),3)</f>
        <v>0.307</v>
      </c>
      <c r="K198" s="10">
        <f>ROUND(_xlfn.WEIBULL.DIST(COUNTA($C$188:C198),$T$14,$B$180,FALSE),3)</f>
        <v>0.25</v>
      </c>
      <c r="L198" s="10">
        <f>ROUND(_xlfn.WEIBULL.DIST(COUNTA($C$189:C198),$T$14,$B$180,FALSE),3)</f>
        <v>0.13700000000000001</v>
      </c>
      <c r="M198" s="10">
        <f>ROUND(_xlfn.WEIBULL.DIST(COUNTA($C$190:C198),$T$14,$B$180,FALSE),3)</f>
        <v>5.8999999999999997E-2</v>
      </c>
      <c r="N198" s="10">
        <f>ROUND(_xlfn.WEIBULL.DIST(COUNTA($C$191:C198),$T$14,$B$180,FALSE),3)</f>
        <v>2.1000000000000001E-2</v>
      </c>
      <c r="O198" s="10">
        <f>ROUND(_xlfn.WEIBULL.DIST(COUNTA($C$192:C198),$T$14,$B$180,FALSE),3)</f>
        <v>6.0000000000000001E-3</v>
      </c>
      <c r="P198" s="10">
        <f>ROUND(_xlfn.WEIBULL.DIST(COUNTA($C$193:C198),$T$14,$B$180,FALSE),3)</f>
        <v>2E-3</v>
      </c>
      <c r="Q198" s="10">
        <f>ROUND(_xlfn.WEIBULL.DIST(COUNTA($C$194:C198),$T$14,$B$180,FALSE),3)</f>
        <v>0</v>
      </c>
      <c r="R198" s="10">
        <f>ROUND(_xlfn.WEIBULL.DIST(COUNTA($C$195:C198),$T$14,$B$180,FALSE),3)</f>
        <v>0</v>
      </c>
      <c r="S198" s="10">
        <f>ROUND(_xlfn.WEIBULL.DIST(COUNTA($C$196:C198),$T$14,$B$180,FALSE),3)</f>
        <v>0</v>
      </c>
      <c r="T198" s="10">
        <f>ROUND(_xlfn.WEIBULL.DIST(COUNTA($C$197:C198),$T$14,$B$180,FALSE),3)</f>
        <v>0</v>
      </c>
      <c r="U198" s="10">
        <f>ROUND(_xlfn.WEIBULL.DIST(COUNTA($C$198:C198),$T$14,$B$180,FALSE),3)</f>
        <v>0</v>
      </c>
      <c r="V198" s="10">
        <v>0</v>
      </c>
      <c r="W198" s="10">
        <v>0</v>
      </c>
    </row>
    <row r="199" spans="3:23" x14ac:dyDescent="0.3">
      <c r="C199" s="10" t="s">
        <v>281</v>
      </c>
      <c r="D199" s="10">
        <f>ROUND(_xlfn.WEIBULL.DIST(COUNTA($C$181:C199),$T$14,$B$180,FALSE),3)</f>
        <v>0</v>
      </c>
      <c r="E199" s="10">
        <f>ROUND(_xlfn.WEIBULL.DIST(COUNTA($C$182:C199),$T$14,$B$180,FALSE),3)</f>
        <v>0</v>
      </c>
      <c r="F199" s="10">
        <f>ROUND(_xlfn.WEIBULL.DIST(COUNTA($C$183:C199),$T$14,$B$180,FALSE),3)</f>
        <v>0</v>
      </c>
      <c r="G199" s="10">
        <f>ROUND(_xlfn.WEIBULL.DIST(COUNTA($C$184:C199),$T$14,$B$180,FALSE),3)</f>
        <v>0</v>
      </c>
      <c r="H199" s="10">
        <f>ROUND(_xlfn.WEIBULL.DIST(COUNTA($C$185:C199),$T$14,$B$180,FALSE),3)</f>
        <v>1E-3</v>
      </c>
      <c r="I199" s="10">
        <f>ROUND(_xlfn.WEIBULL.DIST(COUNTA($C$186:C199),$T$14,$B$180,FALSE),3)</f>
        <v>3.1E-2</v>
      </c>
      <c r="J199" s="10">
        <f>ROUND(_xlfn.WEIBULL.DIST(COUNTA($C$187:C199),$T$14,$B$180,FALSE),3)</f>
        <v>0.185</v>
      </c>
      <c r="K199" s="10">
        <f>ROUND(_xlfn.WEIBULL.DIST(COUNTA($C$188:C199),$T$14,$B$180,FALSE),3)</f>
        <v>0.307</v>
      </c>
      <c r="L199" s="10">
        <f>ROUND(_xlfn.WEIBULL.DIST(COUNTA($C$189:C199),$T$14,$B$180,FALSE),3)</f>
        <v>0.25</v>
      </c>
      <c r="M199" s="10">
        <f>ROUND(_xlfn.WEIBULL.DIST(COUNTA($C$190:C199),$T$14,$B$180,FALSE),3)</f>
        <v>0.13700000000000001</v>
      </c>
      <c r="N199" s="10">
        <f>ROUND(_xlfn.WEIBULL.DIST(COUNTA($C$191:C199),$T$14,$B$180,FALSE),3)</f>
        <v>5.8999999999999997E-2</v>
      </c>
      <c r="O199" s="10">
        <f>ROUND(_xlfn.WEIBULL.DIST(COUNTA($C$192:C199),$T$14,$B$180,FALSE),3)</f>
        <v>2.1000000000000001E-2</v>
      </c>
      <c r="P199" s="10">
        <f>ROUND(_xlfn.WEIBULL.DIST(COUNTA($C$193:C199),$T$14,$B$180,FALSE),3)</f>
        <v>6.0000000000000001E-3</v>
      </c>
      <c r="Q199" s="10">
        <f>ROUND(_xlfn.WEIBULL.DIST(COUNTA($C$194:C199),$T$14,$B$180,FALSE),3)</f>
        <v>2E-3</v>
      </c>
      <c r="R199" s="10">
        <f>ROUND(_xlfn.WEIBULL.DIST(COUNTA($C$195:C199),$T$14,$B$180,FALSE),3)</f>
        <v>0</v>
      </c>
      <c r="S199" s="10">
        <f>ROUND(_xlfn.WEIBULL.DIST(COUNTA($C$196:C199),$T$14,$B$180,FALSE),3)</f>
        <v>0</v>
      </c>
      <c r="T199" s="10">
        <f>ROUND(_xlfn.WEIBULL.DIST(COUNTA($C$197:C199),$T$14,$B$180,FALSE),3)</f>
        <v>0</v>
      </c>
      <c r="U199" s="10">
        <f>ROUND(_xlfn.WEIBULL.DIST(COUNTA($C$198:C199),$T$14,$B$180,FALSE),3)</f>
        <v>0</v>
      </c>
      <c r="V199" s="10">
        <f>ROUND(_xlfn.WEIBULL.DIST(COUNTA($C$199:C199),$T$14,$B$180,FALSE),3)</f>
        <v>0</v>
      </c>
      <c r="W199" s="10">
        <v>0</v>
      </c>
    </row>
    <row r="200" spans="3:23" x14ac:dyDescent="0.3">
      <c r="C200" s="10" t="s">
        <v>282</v>
      </c>
      <c r="D200" s="10">
        <f>ROUND(_xlfn.WEIBULL.DIST(COUNTA($C$181:C200),$T$14,$B$180,FALSE),3)</f>
        <v>0</v>
      </c>
      <c r="E200" s="10">
        <f>ROUND(_xlfn.WEIBULL.DIST(COUNTA($C$182:C200),$T$14,$B$180,FALSE),3)</f>
        <v>0</v>
      </c>
      <c r="F200" s="10">
        <f>ROUND(_xlfn.WEIBULL.DIST(COUNTA($C$183:C200),$T$14,$B$180,FALSE),3)</f>
        <v>0</v>
      </c>
      <c r="G200" s="10">
        <f>ROUND(_xlfn.WEIBULL.DIST(COUNTA($C$184:C200),$T$14,$B$180,FALSE),3)</f>
        <v>0</v>
      </c>
      <c r="H200" s="10">
        <f>ROUND(_xlfn.WEIBULL.DIST(COUNTA($C$185:C200),$T$14,$B$180,FALSE),3)</f>
        <v>0</v>
      </c>
      <c r="I200" s="10">
        <f>ROUND(_xlfn.WEIBULL.DIST(COUNTA($C$186:C200),$T$14,$B$180,FALSE),3)</f>
        <v>1E-3</v>
      </c>
      <c r="J200" s="10">
        <f>ROUND(_xlfn.WEIBULL.DIST(COUNTA($C$187:C200),$T$14,$B$180,FALSE),3)</f>
        <v>3.1E-2</v>
      </c>
      <c r="K200" s="10">
        <f>ROUND(_xlfn.WEIBULL.DIST(COUNTA($C$188:C200),$T$14,$B$180,FALSE),3)</f>
        <v>0.185</v>
      </c>
      <c r="L200" s="10">
        <f>ROUND(_xlfn.WEIBULL.DIST(COUNTA($C$189:C200),$T$14,$B$180,FALSE),3)</f>
        <v>0.307</v>
      </c>
      <c r="M200" s="10">
        <f>ROUND(_xlfn.WEIBULL.DIST(COUNTA($C$190:C200),$T$14,$B$180,FALSE),3)</f>
        <v>0.25</v>
      </c>
      <c r="N200" s="10">
        <f>ROUND(_xlfn.WEIBULL.DIST(COUNTA($C$191:C200),$T$14,$B$180,FALSE),3)</f>
        <v>0.13700000000000001</v>
      </c>
      <c r="O200" s="10">
        <f>ROUND(_xlfn.WEIBULL.DIST(COUNTA($C$192:C200),$T$14,$B$180,FALSE),3)</f>
        <v>5.8999999999999997E-2</v>
      </c>
      <c r="P200" s="10">
        <f>ROUND(_xlfn.WEIBULL.DIST(COUNTA($C$193:C200),$T$14,$B$180,FALSE),3)</f>
        <v>2.1000000000000001E-2</v>
      </c>
      <c r="Q200" s="10">
        <f>ROUND(_xlfn.WEIBULL.DIST(COUNTA($C$194:C200),$T$14,$B$180,FALSE),3)</f>
        <v>6.0000000000000001E-3</v>
      </c>
      <c r="R200" s="10">
        <f>ROUND(_xlfn.WEIBULL.DIST(COUNTA($C$195:C200),$T$14,$B$180,FALSE),3)</f>
        <v>2E-3</v>
      </c>
      <c r="S200" s="10">
        <f>ROUND(_xlfn.WEIBULL.DIST(COUNTA($C$196:C200),$T$14,$B$180,FALSE),3)</f>
        <v>0</v>
      </c>
      <c r="T200" s="10">
        <f>ROUND(_xlfn.WEIBULL.DIST(COUNTA($C$197:C200),$T$14,$B$180,FALSE),3)</f>
        <v>0</v>
      </c>
      <c r="U200" s="10">
        <f>ROUND(_xlfn.WEIBULL.DIST(COUNTA($C$198:C200),$T$14,$B$180,FALSE),3)</f>
        <v>0</v>
      </c>
      <c r="V200" s="10">
        <f>ROUND(_xlfn.WEIBULL.DIST(COUNTA($C$199:C200),$T$14,$B$180,FALSE),3)</f>
        <v>0</v>
      </c>
      <c r="W200" s="10">
        <f>ROUND(_xlfn.WEIBULL.DIST(COUNTA($C$200:C200),$T$14,$B$180,FALSE),3)</f>
        <v>0</v>
      </c>
    </row>
  </sheetData>
  <dataConsolidate/>
  <conditionalFormatting sqref="AF119:AF14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{1810CA81-DC45-4D61-BAFF-A307EE7B5535}</x14:id>
        </ext>
      </extLst>
    </cfRule>
  </conditionalFormatting>
  <conditionalFormatting sqref="AG119:AG14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{726ACDE2-1B87-4ABC-85FF-AB54303BAEFD}</x14:id>
        </ext>
      </extLst>
    </cfRule>
  </conditionalFormatting>
  <conditionalFormatting sqref="AH119:AH14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{E0ED54D0-D323-40D5-9671-31F51EC5AE9A}</x14:id>
        </ext>
      </extLst>
    </cfRule>
  </conditionalFormatting>
  <conditionalFormatting sqref="AI119:AI14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{D1F2A383-62DF-4F23-B142-1971FD5539FF}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10CA81-DC45-4D61-BAFF-A307EE7B5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AF119:AF145</xm:sqref>
        </x14:conditionalFormatting>
        <x14:conditionalFormatting xmlns:xm="http://schemas.microsoft.com/office/excel/2006/main">
          <x14:cfRule type="dataBar" id="{726ACDE2-1B87-4ABC-85FF-AB54303BAE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AG119:AG145</xm:sqref>
        </x14:conditionalFormatting>
        <x14:conditionalFormatting xmlns:xm="http://schemas.microsoft.com/office/excel/2006/main">
          <x14:cfRule type="dataBar" id="{E0ED54D0-D323-40D5-9671-31F51EC5AE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AH119:AH145</xm:sqref>
        </x14:conditionalFormatting>
        <x14:conditionalFormatting xmlns:xm="http://schemas.microsoft.com/office/excel/2006/main">
          <x14:cfRule type="dataBar" id="{D1F2A383-62DF-4F23-B142-1971FD5539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AI119:AI145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47A9-65E4-4881-ABA2-7E0DDA1D91FC}">
  <sheetPr>
    <tabColor theme="9" tint="0.59999389629810485"/>
  </sheetPr>
  <dimension ref="A1:AM107"/>
  <sheetViews>
    <sheetView showGridLines="0" workbookViewId="0">
      <selection activeCell="L25" sqref="L25"/>
    </sheetView>
  </sheetViews>
  <sheetFormatPr defaultColWidth="9.21875" defaultRowHeight="14.4" x14ac:dyDescent="0.3"/>
  <cols>
    <col min="1" max="1" width="9.21875" style="1"/>
    <col min="2" max="2" width="11.21875" style="1" customWidth="1"/>
    <col min="3" max="16384" width="9.21875" style="1"/>
  </cols>
  <sheetData>
    <row r="1" spans="1:19" x14ac:dyDescent="0.3">
      <c r="A1" s="1" t="s">
        <v>314</v>
      </c>
    </row>
    <row r="3" spans="1:19" s="2" customFormat="1" x14ac:dyDescent="0.3">
      <c r="E3" s="2" t="s">
        <v>36</v>
      </c>
      <c r="F3" s="2" t="s">
        <v>315</v>
      </c>
      <c r="G3" s="2" t="s">
        <v>315</v>
      </c>
      <c r="I3" s="2" t="s">
        <v>316</v>
      </c>
    </row>
    <row r="4" spans="1:19" s="2" customFormat="1" x14ac:dyDescent="0.3">
      <c r="F4" s="2" t="s">
        <v>317</v>
      </c>
      <c r="G4" s="2" t="s">
        <v>318</v>
      </c>
      <c r="I4" s="2" t="s">
        <v>319</v>
      </c>
      <c r="J4" s="2" t="s">
        <v>320</v>
      </c>
      <c r="K4" s="2" t="s">
        <v>321</v>
      </c>
      <c r="L4" s="2" t="s">
        <v>322</v>
      </c>
      <c r="M4" s="2" t="s">
        <v>323</v>
      </c>
      <c r="N4" s="2" t="s">
        <v>324</v>
      </c>
      <c r="O4" s="2" t="s">
        <v>325</v>
      </c>
      <c r="P4" s="2" t="s">
        <v>326</v>
      </c>
      <c r="Q4" s="2" t="s">
        <v>327</v>
      </c>
      <c r="R4" s="2" t="s">
        <v>328</v>
      </c>
      <c r="S4" s="2" t="s">
        <v>329</v>
      </c>
    </row>
    <row r="5" spans="1:19" x14ac:dyDescent="0.3">
      <c r="A5" s="1" t="s">
        <v>14</v>
      </c>
      <c r="B5" s="1" t="s">
        <v>17</v>
      </c>
      <c r="C5" s="1" t="s">
        <v>60</v>
      </c>
      <c r="D5" s="1" t="s">
        <v>36</v>
      </c>
      <c r="F5" s="3">
        <v>0</v>
      </c>
      <c r="G5" s="3">
        <v>0</v>
      </c>
      <c r="I5" s="28">
        <v>50</v>
      </c>
      <c r="J5" s="8">
        <f t="shared" ref="J5:S5" si="0">I5*(1+$F$30)</f>
        <v>52.5</v>
      </c>
      <c r="K5" s="8">
        <f t="shared" si="0"/>
        <v>55.125</v>
      </c>
      <c r="L5" s="8">
        <f t="shared" si="0"/>
        <v>57.881250000000001</v>
      </c>
      <c r="M5" s="8">
        <f t="shared" si="0"/>
        <v>60.775312500000005</v>
      </c>
      <c r="N5" s="8">
        <f t="shared" si="0"/>
        <v>63.814078125000009</v>
      </c>
      <c r="O5" s="8">
        <f t="shared" si="0"/>
        <v>67.004782031250016</v>
      </c>
      <c r="P5" s="8">
        <f t="shared" si="0"/>
        <v>70.355021132812524</v>
      </c>
      <c r="Q5" s="8">
        <f t="shared" si="0"/>
        <v>73.872772189453158</v>
      </c>
      <c r="R5" s="8">
        <f t="shared" si="0"/>
        <v>77.566410798925816</v>
      </c>
      <c r="S5" s="8">
        <f t="shared" si="0"/>
        <v>81.444731338872103</v>
      </c>
    </row>
    <row r="6" spans="1:19" x14ac:dyDescent="0.3">
      <c r="A6" s="1" t="s">
        <v>285</v>
      </c>
      <c r="B6" s="1" t="s">
        <v>59</v>
      </c>
      <c r="C6" s="1" t="s">
        <v>60</v>
      </c>
      <c r="D6" s="1" t="s">
        <v>315</v>
      </c>
      <c r="E6" s="3">
        <v>1</v>
      </c>
    </row>
    <row r="8" spans="1:19" x14ac:dyDescent="0.3">
      <c r="A8" s="1" t="s">
        <v>14</v>
      </c>
      <c r="B8" s="1" t="s">
        <v>330</v>
      </c>
      <c r="C8" s="1" t="s">
        <v>60</v>
      </c>
      <c r="D8" s="1" t="s">
        <v>331</v>
      </c>
      <c r="F8" s="3">
        <v>0</v>
      </c>
      <c r="G8" s="3">
        <v>0</v>
      </c>
      <c r="I8" s="8">
        <v>70</v>
      </c>
      <c r="J8" s="8">
        <f t="shared" ref="J8:S8" si="1">I8*(1+$F$30)</f>
        <v>73.5</v>
      </c>
      <c r="K8" s="8">
        <f t="shared" si="1"/>
        <v>77.174999999999997</v>
      </c>
      <c r="L8" s="8">
        <f t="shared" si="1"/>
        <v>81.033749999999998</v>
      </c>
      <c r="M8" s="8">
        <f t="shared" si="1"/>
        <v>85.085437499999998</v>
      </c>
      <c r="N8" s="8">
        <f t="shared" si="1"/>
        <v>89.339709374999998</v>
      </c>
      <c r="O8" s="8">
        <f t="shared" si="1"/>
        <v>93.806694843750009</v>
      </c>
      <c r="P8" s="8">
        <f t="shared" si="1"/>
        <v>98.497029585937511</v>
      </c>
      <c r="Q8" s="8">
        <f t="shared" si="1"/>
        <v>103.42188106523439</v>
      </c>
      <c r="R8" s="8">
        <f t="shared" si="1"/>
        <v>108.59297511849611</v>
      </c>
      <c r="S8" s="8">
        <f t="shared" si="1"/>
        <v>114.02262387442093</v>
      </c>
    </row>
    <row r="9" spans="1:19" x14ac:dyDescent="0.3">
      <c r="B9" s="1" t="s">
        <v>332</v>
      </c>
      <c r="C9" s="1" t="s">
        <v>60</v>
      </c>
      <c r="D9" s="1" t="s">
        <v>333</v>
      </c>
      <c r="F9" s="8">
        <f>-1/F25</f>
        <v>-3.3333333333333335</v>
      </c>
      <c r="G9" s="8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1" spans="1:19" x14ac:dyDescent="0.3">
      <c r="A11" s="1" t="s">
        <v>24</v>
      </c>
      <c r="B11" s="1" t="s">
        <v>334</v>
      </c>
      <c r="C11" s="1" t="s">
        <v>64</v>
      </c>
      <c r="F11" s="3">
        <v>0</v>
      </c>
      <c r="G11" s="3">
        <v>0</v>
      </c>
    </row>
    <row r="12" spans="1:19" x14ac:dyDescent="0.3">
      <c r="B12" s="1" t="s">
        <v>335</v>
      </c>
      <c r="C12" s="1" t="s">
        <v>258</v>
      </c>
      <c r="F12" s="3">
        <v>600</v>
      </c>
      <c r="G12" s="3">
        <v>1500</v>
      </c>
    </row>
    <row r="14" spans="1:19" x14ac:dyDescent="0.3">
      <c r="A14" s="1" t="s">
        <v>336</v>
      </c>
      <c r="E14" s="1">
        <v>1</v>
      </c>
      <c r="F14" s="3">
        <v>0</v>
      </c>
      <c r="G14" s="3">
        <v>0</v>
      </c>
    </row>
    <row r="15" spans="1:19" x14ac:dyDescent="0.3">
      <c r="E15" s="3">
        <v>0</v>
      </c>
      <c r="F15" s="1">
        <v>1</v>
      </c>
      <c r="G15" s="1">
        <v>1</v>
      </c>
    </row>
    <row r="17" spans="1:14" x14ac:dyDescent="0.3">
      <c r="I17" s="1" t="s">
        <v>337</v>
      </c>
    </row>
    <row r="18" spans="1:14" x14ac:dyDescent="0.3">
      <c r="A18" s="1" t="s">
        <v>338</v>
      </c>
      <c r="D18" s="6" t="s">
        <v>339</v>
      </c>
      <c r="F18" s="9">
        <f>$F$27</f>
        <v>0.8</v>
      </c>
      <c r="G18" s="9">
        <v>0</v>
      </c>
      <c r="I18" s="9">
        <v>0.05</v>
      </c>
    </row>
    <row r="19" spans="1:14" x14ac:dyDescent="0.3">
      <c r="D19" s="6" t="s">
        <v>340</v>
      </c>
      <c r="F19" s="9">
        <f>$F$27</f>
        <v>0.8</v>
      </c>
      <c r="G19" s="9">
        <v>0.4</v>
      </c>
      <c r="I19" s="9">
        <v>0.3</v>
      </c>
    </row>
    <row r="20" spans="1:14" x14ac:dyDescent="0.3">
      <c r="D20" s="6" t="s">
        <v>341</v>
      </c>
      <c r="F20" s="9">
        <f>$F$27</f>
        <v>0.8</v>
      </c>
      <c r="G20" s="9">
        <v>1</v>
      </c>
      <c r="I20" s="9">
        <v>0.15</v>
      </c>
      <c r="N20" s="1" t="s">
        <v>342</v>
      </c>
    </row>
    <row r="21" spans="1:14" x14ac:dyDescent="0.3">
      <c r="D21" s="6" t="s">
        <v>343</v>
      </c>
      <c r="F21" s="9">
        <f>$F$27</f>
        <v>0.8</v>
      </c>
      <c r="G21" s="9">
        <v>0.45</v>
      </c>
      <c r="I21" s="9">
        <v>0.4</v>
      </c>
      <c r="N21" s="1" t="s">
        <v>344</v>
      </c>
    </row>
    <row r="22" spans="1:14" x14ac:dyDescent="0.3">
      <c r="D22" s="6" t="s">
        <v>345</v>
      </c>
      <c r="F22" s="9">
        <f>$F$27</f>
        <v>0.8</v>
      </c>
      <c r="G22" s="9">
        <v>0</v>
      </c>
      <c r="I22" s="9">
        <v>0.1</v>
      </c>
      <c r="N22" s="1" t="s">
        <v>346</v>
      </c>
    </row>
    <row r="24" spans="1:14" x14ac:dyDescent="0.3">
      <c r="F24" s="2" t="s">
        <v>347</v>
      </c>
      <c r="G24" s="2" t="s">
        <v>348</v>
      </c>
    </row>
    <row r="25" spans="1:14" x14ac:dyDescent="0.3">
      <c r="B25" s="1" t="s">
        <v>349</v>
      </c>
      <c r="D25" s="1" t="s">
        <v>70</v>
      </c>
      <c r="F25" s="157">
        <v>0.3</v>
      </c>
      <c r="G25" s="157">
        <v>0</v>
      </c>
    </row>
    <row r="26" spans="1:14" x14ac:dyDescent="0.3">
      <c r="B26" s="1" t="s">
        <v>249</v>
      </c>
      <c r="D26" s="1" t="s">
        <v>10</v>
      </c>
      <c r="F26" s="157">
        <v>2</v>
      </c>
      <c r="G26" s="157">
        <v>4</v>
      </c>
    </row>
    <row r="27" spans="1:14" x14ac:dyDescent="0.3">
      <c r="B27" s="1" t="s">
        <v>224</v>
      </c>
      <c r="D27" s="1" t="s">
        <v>70</v>
      </c>
      <c r="F27" s="157">
        <v>0.8</v>
      </c>
      <c r="G27" s="157">
        <v>0</v>
      </c>
    </row>
    <row r="29" spans="1:14" x14ac:dyDescent="0.3">
      <c r="B29" s="10" t="s">
        <v>261</v>
      </c>
      <c r="C29" s="10"/>
      <c r="D29" s="10" t="s">
        <v>70</v>
      </c>
      <c r="F29" s="159">
        <v>0.05</v>
      </c>
    </row>
    <row r="30" spans="1:14" x14ac:dyDescent="0.3">
      <c r="B30" s="10" t="s">
        <v>262</v>
      </c>
      <c r="C30" s="10"/>
      <c r="D30" s="10" t="s">
        <v>70</v>
      </c>
      <c r="F30" s="159">
        <v>0.05</v>
      </c>
    </row>
    <row r="31" spans="1:14" x14ac:dyDescent="0.3">
      <c r="B31" s="10" t="s">
        <v>263</v>
      </c>
      <c r="C31" s="10"/>
      <c r="D31" s="10" t="s">
        <v>70</v>
      </c>
      <c r="F31" s="157">
        <v>10</v>
      </c>
    </row>
    <row r="35" spans="3:39" x14ac:dyDescent="0.3">
      <c r="C35" s="1" t="s">
        <v>350</v>
      </c>
      <c r="D35" s="1" t="s">
        <v>351</v>
      </c>
      <c r="E35" s="10" t="s">
        <v>292</v>
      </c>
      <c r="I35" s="10" t="s">
        <v>293</v>
      </c>
      <c r="P35" s="1" t="s">
        <v>350</v>
      </c>
      <c r="Q35" s="10" t="s">
        <v>299</v>
      </c>
      <c r="T35" s="10" t="s">
        <v>300</v>
      </c>
      <c r="W35" s="10" t="s">
        <v>301</v>
      </c>
      <c r="Z35" s="10" t="s">
        <v>302</v>
      </c>
      <c r="AC35" s="10" t="s">
        <v>303</v>
      </c>
      <c r="AF35" s="1" t="s">
        <v>288</v>
      </c>
      <c r="AI35" s="1" t="s">
        <v>287</v>
      </c>
      <c r="AL35" s="1" t="s">
        <v>352</v>
      </c>
    </row>
    <row r="36" spans="3:39" x14ac:dyDescent="0.3">
      <c r="E36" s="10"/>
      <c r="Q36" s="2" t="s">
        <v>317</v>
      </c>
      <c r="R36" s="2" t="s">
        <v>318</v>
      </c>
      <c r="T36" s="2" t="s">
        <v>317</v>
      </c>
      <c r="U36" s="2" t="s">
        <v>318</v>
      </c>
      <c r="W36" s="2" t="s">
        <v>317</v>
      </c>
      <c r="X36" s="2" t="s">
        <v>318</v>
      </c>
      <c r="Z36" s="2" t="s">
        <v>317</v>
      </c>
      <c r="AA36" s="2" t="s">
        <v>318</v>
      </c>
      <c r="AC36" s="2" t="s">
        <v>317</v>
      </c>
      <c r="AD36" s="2" t="s">
        <v>318</v>
      </c>
      <c r="AF36" s="1" t="s">
        <v>317</v>
      </c>
      <c r="AG36" s="1" t="s">
        <v>318</v>
      </c>
      <c r="AI36" s="2" t="s">
        <v>317</v>
      </c>
      <c r="AJ36" s="2" t="s">
        <v>318</v>
      </c>
      <c r="AL36" s="1" t="s">
        <v>353</v>
      </c>
      <c r="AM36" s="1" t="s">
        <v>354</v>
      </c>
    </row>
    <row r="37" spans="3:39" x14ac:dyDescent="0.3">
      <c r="E37" s="2" t="s">
        <v>36</v>
      </c>
      <c r="F37" s="2" t="s">
        <v>315</v>
      </c>
      <c r="G37" s="2" t="s">
        <v>315</v>
      </c>
      <c r="I37" s="2" t="s">
        <v>315</v>
      </c>
      <c r="J37" s="2" t="s">
        <v>315</v>
      </c>
      <c r="Q37" s="2" t="s">
        <v>306</v>
      </c>
      <c r="R37" s="2" t="s">
        <v>306</v>
      </c>
      <c r="T37" s="2" t="s">
        <v>306</v>
      </c>
      <c r="U37" s="2" t="s">
        <v>306</v>
      </c>
      <c r="W37" s="2" t="s">
        <v>306</v>
      </c>
      <c r="X37" s="2" t="s">
        <v>306</v>
      </c>
      <c r="Z37" s="2" t="s">
        <v>306</v>
      </c>
      <c r="AA37" s="2" t="s">
        <v>306</v>
      </c>
      <c r="AC37" s="2" t="s">
        <v>306</v>
      </c>
      <c r="AD37" s="2" t="s">
        <v>306</v>
      </c>
      <c r="AF37" s="1" t="s">
        <v>121</v>
      </c>
      <c r="AG37" s="1" t="s">
        <v>121</v>
      </c>
      <c r="AI37" s="2" t="s">
        <v>121</v>
      </c>
      <c r="AJ37" s="2" t="s">
        <v>121</v>
      </c>
    </row>
    <row r="38" spans="3:39" x14ac:dyDescent="0.3">
      <c r="C38" s="1" t="s">
        <v>319</v>
      </c>
      <c r="D38" s="6" t="s">
        <v>339</v>
      </c>
      <c r="E38" s="5">
        <v>1</v>
      </c>
      <c r="F38" s="5">
        <v>1</v>
      </c>
      <c r="G38" s="5">
        <v>1</v>
      </c>
      <c r="I38" s="1">
        <f t="shared" ref="I38:I69" si="2">VLOOKUP(C38,$P$38:$AD$48,14,TRUE)*$F$27</f>
        <v>0</v>
      </c>
      <c r="J38" s="1">
        <f t="shared" ref="J38:J69" si="3">VLOOKUP(C38,$P$38:$AD$48,15,TRUE)*VLOOKUP(D38,$D$18:$G$22,4,TRUE)</f>
        <v>0</v>
      </c>
      <c r="P38" s="1" t="s">
        <v>319</v>
      </c>
      <c r="Q38" s="1">
        <v>0</v>
      </c>
      <c r="R38" s="1">
        <v>0</v>
      </c>
      <c r="T38" s="1">
        <v>0</v>
      </c>
      <c r="U38" s="1">
        <v>0</v>
      </c>
      <c r="Z38" s="1">
        <f t="array" ref="Z38:AA48">T38:U48+W38:X48</f>
        <v>0</v>
      </c>
      <c r="AA38" s="1">
        <v>0</v>
      </c>
      <c r="AC38" s="5">
        <v>0</v>
      </c>
      <c r="AD38" s="5">
        <v>0</v>
      </c>
    </row>
    <row r="39" spans="3:39" x14ac:dyDescent="0.3">
      <c r="C39" s="1" t="s">
        <v>319</v>
      </c>
      <c r="D39" s="6" t="s">
        <v>340</v>
      </c>
      <c r="E39" s="5">
        <v>1</v>
      </c>
      <c r="F39" s="5">
        <v>1</v>
      </c>
      <c r="G39" s="5">
        <v>1</v>
      </c>
      <c r="I39" s="1">
        <f t="shared" si="2"/>
        <v>0</v>
      </c>
      <c r="J39" s="1">
        <f t="shared" si="3"/>
        <v>0</v>
      </c>
      <c r="P39" s="1" t="s">
        <v>320</v>
      </c>
      <c r="Q39" s="5">
        <v>0</v>
      </c>
      <c r="R39" s="5">
        <v>0</v>
      </c>
      <c r="Z39" s="1">
        <v>0</v>
      </c>
      <c r="AA39" s="1">
        <v>0</v>
      </c>
      <c r="AC39" s="1">
        <f t="array" ref="AC39:AD39">AC38:AD38+Q39:R39+Z39:AA39</f>
        <v>0</v>
      </c>
      <c r="AD39" s="1">
        <v>0</v>
      </c>
    </row>
    <row r="40" spans="3:39" x14ac:dyDescent="0.3">
      <c r="C40" s="1" t="s">
        <v>319</v>
      </c>
      <c r="D40" s="6" t="s">
        <v>341</v>
      </c>
      <c r="E40" s="5">
        <v>1</v>
      </c>
      <c r="F40" s="5">
        <v>1</v>
      </c>
      <c r="G40" s="5">
        <v>1</v>
      </c>
      <c r="I40" s="1">
        <f t="shared" si="2"/>
        <v>0</v>
      </c>
      <c r="J40" s="1">
        <f t="shared" si="3"/>
        <v>0</v>
      </c>
      <c r="P40" s="1" t="s">
        <v>321</v>
      </c>
      <c r="Q40" s="5">
        <v>0</v>
      </c>
      <c r="R40" s="5">
        <v>0</v>
      </c>
      <c r="Z40" s="1">
        <v>0</v>
      </c>
      <c r="AA40" s="1">
        <v>0</v>
      </c>
      <c r="AC40" s="1">
        <f t="array" ref="AC40:AD40">AC39:AD39+Q40:R40+Z40:AA40</f>
        <v>0</v>
      </c>
      <c r="AD40" s="1">
        <v>0</v>
      </c>
    </row>
    <row r="41" spans="3:39" x14ac:dyDescent="0.3">
      <c r="C41" s="1" t="s">
        <v>319</v>
      </c>
      <c r="D41" s="6" t="s">
        <v>343</v>
      </c>
      <c r="E41" s="5">
        <v>1</v>
      </c>
      <c r="F41" s="5">
        <v>1</v>
      </c>
      <c r="G41" s="5">
        <v>1</v>
      </c>
      <c r="I41" s="1">
        <f t="shared" si="2"/>
        <v>0</v>
      </c>
      <c r="J41" s="1">
        <f t="shared" si="3"/>
        <v>0</v>
      </c>
      <c r="P41" s="1" t="s">
        <v>322</v>
      </c>
      <c r="Q41" s="5">
        <v>0</v>
      </c>
      <c r="R41" s="5">
        <v>0</v>
      </c>
      <c r="Z41" s="1">
        <v>0</v>
      </c>
      <c r="AA41" s="1">
        <v>0</v>
      </c>
      <c r="AC41" s="1">
        <f t="array" ref="AC41:AD41">AC40:AD40+Q41:R41+Z41:AA41</f>
        <v>0</v>
      </c>
      <c r="AD41" s="1">
        <v>0</v>
      </c>
    </row>
    <row r="42" spans="3:39" x14ac:dyDescent="0.3">
      <c r="C42" s="1" t="s">
        <v>319</v>
      </c>
      <c r="D42" s="6" t="s">
        <v>345</v>
      </c>
      <c r="E42" s="5">
        <v>1</v>
      </c>
      <c r="F42" s="5">
        <v>1</v>
      </c>
      <c r="G42" s="5">
        <v>1</v>
      </c>
      <c r="I42" s="1">
        <f t="shared" si="2"/>
        <v>0</v>
      </c>
      <c r="J42" s="1">
        <f t="shared" si="3"/>
        <v>0</v>
      </c>
      <c r="P42" s="1" t="s">
        <v>323</v>
      </c>
      <c r="Q42" s="5">
        <v>0</v>
      </c>
      <c r="R42" s="5">
        <v>0</v>
      </c>
      <c r="Z42" s="1">
        <v>0</v>
      </c>
      <c r="AA42" s="1">
        <v>0</v>
      </c>
      <c r="AC42" s="1">
        <f t="array" ref="AC42:AD42">AC41:AD41+Q42:R42+Z42:AA42</f>
        <v>0</v>
      </c>
      <c r="AD42" s="1">
        <v>0</v>
      </c>
    </row>
    <row r="43" spans="3:39" x14ac:dyDescent="0.3">
      <c r="C43" s="1" t="s">
        <v>320</v>
      </c>
      <c r="D43" s="6" t="s">
        <v>339</v>
      </c>
      <c r="E43" s="5">
        <v>1</v>
      </c>
      <c r="F43" s="5">
        <v>1</v>
      </c>
      <c r="G43" s="5">
        <v>1</v>
      </c>
      <c r="I43" s="1">
        <f t="shared" si="2"/>
        <v>0</v>
      </c>
      <c r="J43" s="1">
        <f t="shared" si="3"/>
        <v>0</v>
      </c>
      <c r="P43" s="1" t="s">
        <v>324</v>
      </c>
      <c r="Q43" s="5">
        <v>0</v>
      </c>
      <c r="R43" s="5">
        <v>0</v>
      </c>
      <c r="Z43" s="1">
        <v>0</v>
      </c>
      <c r="AA43" s="1">
        <v>0</v>
      </c>
      <c r="AC43" s="1">
        <f t="array" ref="AC43:AD43">AC42:AD42+Q43:R43+Z43:AA43</f>
        <v>0</v>
      </c>
      <c r="AD43" s="1">
        <v>0</v>
      </c>
    </row>
    <row r="44" spans="3:39" x14ac:dyDescent="0.3">
      <c r="C44" s="1" t="s">
        <v>320</v>
      </c>
      <c r="D44" s="6" t="s">
        <v>340</v>
      </c>
      <c r="E44" s="5">
        <v>1</v>
      </c>
      <c r="F44" s="5">
        <v>1</v>
      </c>
      <c r="G44" s="5">
        <v>1</v>
      </c>
      <c r="I44" s="1">
        <f t="shared" si="2"/>
        <v>0</v>
      </c>
      <c r="J44" s="1">
        <f t="shared" si="3"/>
        <v>0</v>
      </c>
      <c r="P44" s="1" t="s">
        <v>325</v>
      </c>
      <c r="Q44" s="5">
        <v>0</v>
      </c>
      <c r="R44" s="5">
        <v>0</v>
      </c>
      <c r="Z44" s="1">
        <v>0</v>
      </c>
      <c r="AA44" s="1">
        <v>0</v>
      </c>
      <c r="AC44" s="1">
        <f t="array" ref="AC44:AD44">AC43:AD43+Q44:R44+Z44:AA44</f>
        <v>0</v>
      </c>
      <c r="AD44" s="1">
        <v>0</v>
      </c>
    </row>
    <row r="45" spans="3:39" x14ac:dyDescent="0.3">
      <c r="C45" s="1" t="s">
        <v>320</v>
      </c>
      <c r="D45" s="6" t="s">
        <v>341</v>
      </c>
      <c r="E45" s="5">
        <v>1</v>
      </c>
      <c r="F45" s="5">
        <v>1</v>
      </c>
      <c r="G45" s="5">
        <v>1</v>
      </c>
      <c r="I45" s="1">
        <f t="shared" si="2"/>
        <v>0</v>
      </c>
      <c r="J45" s="1">
        <f t="shared" si="3"/>
        <v>0</v>
      </c>
      <c r="P45" s="1" t="s">
        <v>326</v>
      </c>
      <c r="Q45" s="5">
        <v>0</v>
      </c>
      <c r="R45" s="5">
        <v>0</v>
      </c>
      <c r="Z45" s="1">
        <v>0</v>
      </c>
      <c r="AA45" s="1">
        <v>0</v>
      </c>
      <c r="AC45" s="1">
        <f t="array" ref="AC45:AD45">AC44:AD44+Q45:R45+Z45:AA45</f>
        <v>0</v>
      </c>
      <c r="AD45" s="1">
        <v>0</v>
      </c>
    </row>
    <row r="46" spans="3:39" x14ac:dyDescent="0.3">
      <c r="C46" s="1" t="s">
        <v>320</v>
      </c>
      <c r="D46" s="6" t="s">
        <v>343</v>
      </c>
      <c r="E46" s="5">
        <v>1</v>
      </c>
      <c r="F46" s="5">
        <v>1</v>
      </c>
      <c r="G46" s="5">
        <v>1</v>
      </c>
      <c r="I46" s="1">
        <f t="shared" si="2"/>
        <v>0</v>
      </c>
      <c r="J46" s="1">
        <f t="shared" si="3"/>
        <v>0</v>
      </c>
      <c r="P46" s="1" t="s">
        <v>327</v>
      </c>
      <c r="Q46" s="5">
        <v>0</v>
      </c>
      <c r="R46" s="5">
        <v>0</v>
      </c>
      <c r="Z46" s="1">
        <v>0</v>
      </c>
      <c r="AA46" s="1">
        <v>0</v>
      </c>
      <c r="AC46" s="1">
        <f t="array" ref="AC46:AD46">AC45:AD45+Q46:R46+Z46:AA46</f>
        <v>0</v>
      </c>
      <c r="AD46" s="1">
        <v>0</v>
      </c>
    </row>
    <row r="47" spans="3:39" x14ac:dyDescent="0.3">
      <c r="C47" s="1" t="s">
        <v>320</v>
      </c>
      <c r="D47" s="6" t="s">
        <v>345</v>
      </c>
      <c r="E47" s="5">
        <v>1</v>
      </c>
      <c r="F47" s="5">
        <v>1</v>
      </c>
      <c r="G47" s="5">
        <v>1</v>
      </c>
      <c r="I47" s="1">
        <f t="shared" si="2"/>
        <v>0</v>
      </c>
      <c r="J47" s="1">
        <f t="shared" si="3"/>
        <v>0</v>
      </c>
      <c r="P47" s="1" t="s">
        <v>328</v>
      </c>
      <c r="Q47" s="5">
        <v>0</v>
      </c>
      <c r="R47" s="5">
        <v>0</v>
      </c>
      <c r="Z47" s="1">
        <v>0</v>
      </c>
      <c r="AA47" s="1">
        <v>0</v>
      </c>
      <c r="AC47" s="1">
        <f t="array" ref="AC47:AD47">AC46:AD46+Q47:R47+Z47:AA47</f>
        <v>0</v>
      </c>
      <c r="AD47" s="1">
        <v>0</v>
      </c>
    </row>
    <row r="48" spans="3:39" x14ac:dyDescent="0.3">
      <c r="C48" s="1" t="s">
        <v>321</v>
      </c>
      <c r="D48" s="6" t="s">
        <v>339</v>
      </c>
      <c r="E48" s="5">
        <v>1</v>
      </c>
      <c r="F48" s="5">
        <v>1</v>
      </c>
      <c r="G48" s="5">
        <v>1</v>
      </c>
      <c r="I48" s="1">
        <f t="shared" si="2"/>
        <v>0</v>
      </c>
      <c r="J48" s="1">
        <f t="shared" si="3"/>
        <v>0</v>
      </c>
      <c r="P48" s="1" t="s">
        <v>329</v>
      </c>
      <c r="Q48" s="5">
        <v>0</v>
      </c>
      <c r="R48" s="5">
        <v>0</v>
      </c>
      <c r="Z48" s="1">
        <v>0</v>
      </c>
      <c r="AA48" s="1">
        <v>0</v>
      </c>
      <c r="AC48" s="1">
        <f t="array" ref="AC48:AD48">AC47:AD47+Q48:R48+Z48:AA48</f>
        <v>0</v>
      </c>
      <c r="AD48" s="1">
        <v>0</v>
      </c>
    </row>
    <row r="49" spans="3:28" x14ac:dyDescent="0.3">
      <c r="C49" s="1" t="s">
        <v>321</v>
      </c>
      <c r="D49" s="6" t="s">
        <v>340</v>
      </c>
      <c r="E49" s="5">
        <v>1</v>
      </c>
      <c r="F49" s="5">
        <v>1</v>
      </c>
      <c r="G49" s="5">
        <v>1</v>
      </c>
      <c r="I49" s="1">
        <f t="shared" si="2"/>
        <v>0</v>
      </c>
      <c r="J49" s="1">
        <f t="shared" si="3"/>
        <v>0</v>
      </c>
    </row>
    <row r="50" spans="3:28" x14ac:dyDescent="0.3">
      <c r="C50" s="1" t="s">
        <v>321</v>
      </c>
      <c r="D50" s="6" t="s">
        <v>341</v>
      </c>
      <c r="E50" s="5">
        <v>1</v>
      </c>
      <c r="F50" s="5">
        <v>1</v>
      </c>
      <c r="G50" s="5">
        <v>1</v>
      </c>
      <c r="I50" s="1">
        <f t="shared" si="2"/>
        <v>0</v>
      </c>
      <c r="J50" s="1">
        <f t="shared" si="3"/>
        <v>0</v>
      </c>
    </row>
    <row r="51" spans="3:28" x14ac:dyDescent="0.3">
      <c r="C51" s="1" t="s">
        <v>321</v>
      </c>
      <c r="D51" s="6" t="s">
        <v>343</v>
      </c>
      <c r="E51" s="5">
        <v>1</v>
      </c>
      <c r="F51" s="5">
        <v>1</v>
      </c>
      <c r="G51" s="5">
        <v>1</v>
      </c>
      <c r="I51" s="1">
        <f t="shared" si="2"/>
        <v>0</v>
      </c>
      <c r="J51" s="1">
        <f t="shared" si="3"/>
        <v>0</v>
      </c>
    </row>
    <row r="52" spans="3:28" x14ac:dyDescent="0.3">
      <c r="C52" s="1" t="s">
        <v>321</v>
      </c>
      <c r="D52" s="6" t="s">
        <v>345</v>
      </c>
      <c r="E52" s="5">
        <v>1</v>
      </c>
      <c r="F52" s="5">
        <v>1</v>
      </c>
      <c r="G52" s="5">
        <v>1</v>
      </c>
      <c r="I52" s="1">
        <f t="shared" si="2"/>
        <v>0</v>
      </c>
      <c r="J52" s="1">
        <f t="shared" si="3"/>
        <v>0</v>
      </c>
      <c r="P52" s="10" t="s">
        <v>300</v>
      </c>
    </row>
    <row r="53" spans="3:28" x14ac:dyDescent="0.3">
      <c r="C53" s="1" t="s">
        <v>322</v>
      </c>
      <c r="D53" s="6" t="s">
        <v>339</v>
      </c>
      <c r="E53" s="5">
        <v>1</v>
      </c>
      <c r="F53" s="5">
        <v>1</v>
      </c>
      <c r="G53" s="5">
        <v>1</v>
      </c>
      <c r="I53" s="1">
        <f t="shared" si="2"/>
        <v>0</v>
      </c>
      <c r="J53" s="1">
        <f t="shared" si="3"/>
        <v>0</v>
      </c>
      <c r="P53" s="6" t="s">
        <v>317</v>
      </c>
      <c r="Q53" s="76">
        <f>F26</f>
        <v>2</v>
      </c>
      <c r="R53" s="2" t="s">
        <v>319</v>
      </c>
      <c r="S53" s="2" t="s">
        <v>320</v>
      </c>
      <c r="T53" s="2" t="s">
        <v>321</v>
      </c>
      <c r="U53" s="2" t="s">
        <v>322</v>
      </c>
      <c r="V53" s="2" t="s">
        <v>323</v>
      </c>
      <c r="W53" s="2" t="s">
        <v>324</v>
      </c>
      <c r="X53" s="2" t="s">
        <v>325</v>
      </c>
      <c r="Y53" s="2" t="s">
        <v>326</v>
      </c>
      <c r="Z53" s="2" t="s">
        <v>327</v>
      </c>
      <c r="AA53" s="2" t="s">
        <v>328</v>
      </c>
      <c r="AB53" s="2" t="s">
        <v>329</v>
      </c>
    </row>
    <row r="54" spans="3:28" x14ac:dyDescent="0.3">
      <c r="C54" s="1" t="s">
        <v>322</v>
      </c>
      <c r="D54" s="6" t="s">
        <v>340</v>
      </c>
      <c r="E54" s="5">
        <v>1</v>
      </c>
      <c r="F54" s="5">
        <v>1</v>
      </c>
      <c r="G54" s="5">
        <v>1</v>
      </c>
      <c r="I54" s="1">
        <f t="shared" si="2"/>
        <v>0</v>
      </c>
      <c r="J54" s="1">
        <f t="shared" si="3"/>
        <v>0</v>
      </c>
      <c r="Q54" s="1" t="s">
        <v>319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3:28" x14ac:dyDescent="0.3">
      <c r="C55" s="1" t="s">
        <v>322</v>
      </c>
      <c r="D55" s="6" t="s">
        <v>341</v>
      </c>
      <c r="E55" s="5">
        <v>1</v>
      </c>
      <c r="F55" s="5">
        <v>1</v>
      </c>
      <c r="G55" s="5">
        <v>1</v>
      </c>
      <c r="I55" s="1">
        <f t="shared" si="2"/>
        <v>0</v>
      </c>
      <c r="J55" s="1">
        <f t="shared" si="3"/>
        <v>0</v>
      </c>
      <c r="Q55" s="1" t="s">
        <v>320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3:28" x14ac:dyDescent="0.3">
      <c r="C56" s="1" t="s">
        <v>322</v>
      </c>
      <c r="D56" s="6" t="s">
        <v>343</v>
      </c>
      <c r="E56" s="5">
        <v>1</v>
      </c>
      <c r="F56" s="5">
        <v>1</v>
      </c>
      <c r="G56" s="5">
        <v>1</v>
      </c>
      <c r="I56" s="1">
        <f t="shared" si="2"/>
        <v>0</v>
      </c>
      <c r="J56" s="1">
        <f t="shared" si="3"/>
        <v>0</v>
      </c>
      <c r="Q56" s="1" t="s">
        <v>321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3:28" x14ac:dyDescent="0.3">
      <c r="C57" s="1" t="s">
        <v>322</v>
      </c>
      <c r="D57" s="6" t="s">
        <v>345</v>
      </c>
      <c r="E57" s="5">
        <v>1</v>
      </c>
      <c r="F57" s="5">
        <v>1</v>
      </c>
      <c r="G57" s="5">
        <v>1</v>
      </c>
      <c r="I57" s="1">
        <f t="shared" si="2"/>
        <v>0</v>
      </c>
      <c r="J57" s="1">
        <f t="shared" si="3"/>
        <v>0</v>
      </c>
      <c r="Q57" s="1" t="s">
        <v>322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3:28" x14ac:dyDescent="0.3">
      <c r="C58" s="1" t="s">
        <v>323</v>
      </c>
      <c r="D58" s="6" t="s">
        <v>339</v>
      </c>
      <c r="E58" s="5">
        <v>1</v>
      </c>
      <c r="F58" s="5">
        <v>1</v>
      </c>
      <c r="G58" s="5">
        <v>1</v>
      </c>
      <c r="I58" s="1">
        <f t="shared" si="2"/>
        <v>0</v>
      </c>
      <c r="J58" s="1">
        <f t="shared" si="3"/>
        <v>0</v>
      </c>
      <c r="Q58" s="1" t="s">
        <v>323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3:28" x14ac:dyDescent="0.3">
      <c r="C59" s="1" t="s">
        <v>323</v>
      </c>
      <c r="D59" s="6" t="s">
        <v>340</v>
      </c>
      <c r="E59" s="5">
        <v>1</v>
      </c>
      <c r="F59" s="5">
        <v>1</v>
      </c>
      <c r="G59" s="5">
        <v>1</v>
      </c>
      <c r="I59" s="1">
        <f t="shared" si="2"/>
        <v>0</v>
      </c>
      <c r="J59" s="1">
        <f t="shared" si="3"/>
        <v>0</v>
      </c>
      <c r="Q59" s="1" t="s">
        <v>324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3:28" x14ac:dyDescent="0.3">
      <c r="C60" s="1" t="s">
        <v>323</v>
      </c>
      <c r="D60" s="6" t="s">
        <v>341</v>
      </c>
      <c r="E60" s="5">
        <v>1</v>
      </c>
      <c r="F60" s="5">
        <v>1</v>
      </c>
      <c r="G60" s="5">
        <v>1</v>
      </c>
      <c r="I60" s="1">
        <f t="shared" si="2"/>
        <v>0</v>
      </c>
      <c r="J60" s="1">
        <f t="shared" si="3"/>
        <v>0</v>
      </c>
      <c r="Q60" s="1" t="s">
        <v>325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3:28" x14ac:dyDescent="0.3">
      <c r="C61" s="1" t="s">
        <v>323</v>
      </c>
      <c r="D61" s="6" t="s">
        <v>343</v>
      </c>
      <c r="E61" s="5">
        <v>1</v>
      </c>
      <c r="F61" s="5">
        <v>1</v>
      </c>
      <c r="G61" s="5">
        <v>1</v>
      </c>
      <c r="I61" s="1">
        <f t="shared" si="2"/>
        <v>0</v>
      </c>
      <c r="J61" s="1">
        <f t="shared" si="3"/>
        <v>0</v>
      </c>
      <c r="Q61" s="1" t="s">
        <v>326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3:28" x14ac:dyDescent="0.3">
      <c r="C62" s="1" t="s">
        <v>323</v>
      </c>
      <c r="D62" s="6" t="s">
        <v>345</v>
      </c>
      <c r="E62" s="5">
        <v>1</v>
      </c>
      <c r="F62" s="5">
        <v>1</v>
      </c>
      <c r="G62" s="5">
        <v>1</v>
      </c>
      <c r="I62" s="1">
        <f t="shared" si="2"/>
        <v>0</v>
      </c>
      <c r="J62" s="1">
        <f t="shared" si="3"/>
        <v>0</v>
      </c>
      <c r="Q62" s="1" t="s">
        <v>327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3:28" x14ac:dyDescent="0.3">
      <c r="C63" s="1" t="s">
        <v>324</v>
      </c>
      <c r="D63" s="6" t="s">
        <v>339</v>
      </c>
      <c r="E63" s="5">
        <v>1</v>
      </c>
      <c r="F63" s="5">
        <v>1</v>
      </c>
      <c r="G63" s="5">
        <v>1</v>
      </c>
      <c r="I63" s="1">
        <f t="shared" si="2"/>
        <v>0</v>
      </c>
      <c r="J63" s="1">
        <f t="shared" si="3"/>
        <v>0</v>
      </c>
      <c r="Q63" s="1" t="s">
        <v>328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3:28" x14ac:dyDescent="0.3">
      <c r="C64" s="1" t="s">
        <v>324</v>
      </c>
      <c r="D64" s="6" t="s">
        <v>340</v>
      </c>
      <c r="E64" s="5">
        <v>1</v>
      </c>
      <c r="F64" s="5">
        <v>1</v>
      </c>
      <c r="G64" s="5">
        <v>1</v>
      </c>
      <c r="I64" s="1">
        <f t="shared" si="2"/>
        <v>0</v>
      </c>
      <c r="J64" s="1">
        <f t="shared" si="3"/>
        <v>0</v>
      </c>
      <c r="Q64" s="1" t="s">
        <v>329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3:28" x14ac:dyDescent="0.3">
      <c r="C65" s="1" t="s">
        <v>324</v>
      </c>
      <c r="D65" s="6" t="s">
        <v>341</v>
      </c>
      <c r="E65" s="5">
        <v>1</v>
      </c>
      <c r="F65" s="5">
        <v>1</v>
      </c>
      <c r="G65" s="5">
        <v>1</v>
      </c>
      <c r="I65" s="1">
        <f t="shared" si="2"/>
        <v>0</v>
      </c>
      <c r="J65" s="1">
        <f t="shared" si="3"/>
        <v>0</v>
      </c>
    </row>
    <row r="66" spans="3:28" x14ac:dyDescent="0.3">
      <c r="C66" s="1" t="s">
        <v>324</v>
      </c>
      <c r="D66" s="6" t="s">
        <v>343</v>
      </c>
      <c r="E66" s="5">
        <v>1</v>
      </c>
      <c r="F66" s="5">
        <v>1</v>
      </c>
      <c r="G66" s="5">
        <v>1</v>
      </c>
      <c r="I66" s="1">
        <f t="shared" si="2"/>
        <v>0</v>
      </c>
      <c r="J66" s="1">
        <f t="shared" si="3"/>
        <v>0</v>
      </c>
      <c r="P66" s="10" t="s">
        <v>300</v>
      </c>
    </row>
    <row r="67" spans="3:28" x14ac:dyDescent="0.3">
      <c r="C67" s="1" t="s">
        <v>324</v>
      </c>
      <c r="D67" s="6" t="s">
        <v>345</v>
      </c>
      <c r="E67" s="5">
        <v>1</v>
      </c>
      <c r="F67" s="5">
        <v>1</v>
      </c>
      <c r="G67" s="5">
        <v>1</v>
      </c>
      <c r="I67" s="1">
        <f t="shared" si="2"/>
        <v>0</v>
      </c>
      <c r="J67" s="1">
        <f t="shared" si="3"/>
        <v>0</v>
      </c>
      <c r="P67" s="6" t="s">
        <v>318</v>
      </c>
      <c r="Q67" s="76">
        <f>G26</f>
        <v>4</v>
      </c>
      <c r="R67" s="2" t="s">
        <v>319</v>
      </c>
      <c r="S67" s="2" t="s">
        <v>320</v>
      </c>
      <c r="T67" s="2" t="s">
        <v>321</v>
      </c>
      <c r="U67" s="2" t="s">
        <v>322</v>
      </c>
      <c r="V67" s="2" t="s">
        <v>323</v>
      </c>
      <c r="W67" s="2" t="s">
        <v>324</v>
      </c>
      <c r="X67" s="2" t="s">
        <v>325</v>
      </c>
      <c r="Y67" s="2" t="s">
        <v>326</v>
      </c>
      <c r="Z67" s="2" t="s">
        <v>327</v>
      </c>
      <c r="AA67" s="2" t="s">
        <v>328</v>
      </c>
      <c r="AB67" s="2" t="s">
        <v>329</v>
      </c>
    </row>
    <row r="68" spans="3:28" x14ac:dyDescent="0.3">
      <c r="C68" s="1" t="s">
        <v>325</v>
      </c>
      <c r="D68" s="6" t="s">
        <v>339</v>
      </c>
      <c r="E68" s="5">
        <v>1</v>
      </c>
      <c r="F68" s="5">
        <v>1</v>
      </c>
      <c r="G68" s="5">
        <v>1</v>
      </c>
      <c r="I68" s="1">
        <f t="shared" si="2"/>
        <v>0</v>
      </c>
      <c r="J68" s="1">
        <f t="shared" si="3"/>
        <v>0</v>
      </c>
      <c r="Q68" s="1" t="s">
        <v>319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3:28" x14ac:dyDescent="0.3">
      <c r="C69" s="1" t="s">
        <v>325</v>
      </c>
      <c r="D69" s="6" t="s">
        <v>340</v>
      </c>
      <c r="E69" s="5">
        <v>1</v>
      </c>
      <c r="F69" s="5">
        <v>1</v>
      </c>
      <c r="G69" s="5">
        <v>1</v>
      </c>
      <c r="I69" s="1">
        <f t="shared" si="2"/>
        <v>0</v>
      </c>
      <c r="J69" s="1">
        <f t="shared" si="3"/>
        <v>0</v>
      </c>
      <c r="Q69" s="1" t="s">
        <v>320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3:28" x14ac:dyDescent="0.3">
      <c r="C70" s="1" t="s">
        <v>325</v>
      </c>
      <c r="D70" s="6" t="s">
        <v>341</v>
      </c>
      <c r="E70" s="5">
        <v>1</v>
      </c>
      <c r="F70" s="5">
        <v>1</v>
      </c>
      <c r="G70" s="5">
        <v>1</v>
      </c>
      <c r="I70" s="1">
        <f t="shared" ref="I70:I92" si="4">VLOOKUP(C70,$P$38:$AD$48,14,TRUE)*$F$27</f>
        <v>0</v>
      </c>
      <c r="J70" s="1">
        <f t="shared" ref="J70:J92" si="5">VLOOKUP(C70,$P$38:$AD$48,15,TRUE)*VLOOKUP(D70,$D$18:$G$22,4,TRUE)</f>
        <v>0</v>
      </c>
      <c r="Q70" s="1" t="s">
        <v>321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3:28" x14ac:dyDescent="0.3">
      <c r="C71" s="1" t="s">
        <v>325</v>
      </c>
      <c r="D71" s="6" t="s">
        <v>343</v>
      </c>
      <c r="E71" s="5">
        <v>1</v>
      </c>
      <c r="F71" s="5">
        <v>1</v>
      </c>
      <c r="G71" s="5">
        <v>1</v>
      </c>
      <c r="I71" s="1">
        <f t="shared" si="4"/>
        <v>0</v>
      </c>
      <c r="J71" s="1">
        <f t="shared" si="5"/>
        <v>0</v>
      </c>
      <c r="Q71" s="1" t="s">
        <v>322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3:28" x14ac:dyDescent="0.3">
      <c r="C72" s="1" t="s">
        <v>325</v>
      </c>
      <c r="D72" s="6" t="s">
        <v>345</v>
      </c>
      <c r="E72" s="5">
        <v>1</v>
      </c>
      <c r="F72" s="5">
        <v>1</v>
      </c>
      <c r="G72" s="5">
        <v>1</v>
      </c>
      <c r="I72" s="1">
        <f t="shared" si="4"/>
        <v>0</v>
      </c>
      <c r="J72" s="1">
        <f t="shared" si="5"/>
        <v>0</v>
      </c>
      <c r="Q72" s="1" t="s">
        <v>323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3:28" x14ac:dyDescent="0.3">
      <c r="C73" s="1" t="s">
        <v>326</v>
      </c>
      <c r="D73" s="6" t="s">
        <v>339</v>
      </c>
      <c r="E73" s="5">
        <v>1</v>
      </c>
      <c r="F73" s="5">
        <v>1</v>
      </c>
      <c r="G73" s="5">
        <v>1</v>
      </c>
      <c r="I73" s="1">
        <f t="shared" si="4"/>
        <v>0</v>
      </c>
      <c r="J73" s="1">
        <f t="shared" si="5"/>
        <v>0</v>
      </c>
      <c r="Q73" s="1" t="s">
        <v>324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3:28" x14ac:dyDescent="0.3">
      <c r="C74" s="1" t="s">
        <v>326</v>
      </c>
      <c r="D74" s="6" t="s">
        <v>340</v>
      </c>
      <c r="E74" s="5">
        <v>1</v>
      </c>
      <c r="F74" s="5">
        <v>1</v>
      </c>
      <c r="G74" s="5">
        <v>1</v>
      </c>
      <c r="I74" s="1">
        <f t="shared" si="4"/>
        <v>0</v>
      </c>
      <c r="J74" s="1">
        <f t="shared" si="5"/>
        <v>0</v>
      </c>
      <c r="Q74" s="1" t="s">
        <v>325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3:28" x14ac:dyDescent="0.3">
      <c r="C75" s="1" t="s">
        <v>326</v>
      </c>
      <c r="D75" s="6" t="s">
        <v>341</v>
      </c>
      <c r="E75" s="5">
        <v>1</v>
      </c>
      <c r="F75" s="5">
        <v>1</v>
      </c>
      <c r="G75" s="5">
        <v>1</v>
      </c>
      <c r="I75" s="1">
        <f t="shared" si="4"/>
        <v>0</v>
      </c>
      <c r="J75" s="1">
        <f t="shared" si="5"/>
        <v>0</v>
      </c>
      <c r="Q75" s="1" t="s">
        <v>326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3:28" x14ac:dyDescent="0.3">
      <c r="C76" s="1" t="s">
        <v>326</v>
      </c>
      <c r="D76" s="6" t="s">
        <v>343</v>
      </c>
      <c r="E76" s="5">
        <v>1</v>
      </c>
      <c r="F76" s="5">
        <v>1</v>
      </c>
      <c r="G76" s="5">
        <v>1</v>
      </c>
      <c r="I76" s="1">
        <f t="shared" si="4"/>
        <v>0</v>
      </c>
      <c r="J76" s="1">
        <f t="shared" si="5"/>
        <v>0</v>
      </c>
      <c r="Q76" s="1" t="s">
        <v>327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3:28" x14ac:dyDescent="0.3">
      <c r="C77" s="1" t="s">
        <v>326</v>
      </c>
      <c r="D77" s="6" t="s">
        <v>345</v>
      </c>
      <c r="E77" s="5">
        <v>1</v>
      </c>
      <c r="F77" s="5">
        <v>1</v>
      </c>
      <c r="G77" s="5">
        <v>1</v>
      </c>
      <c r="I77" s="1">
        <f t="shared" si="4"/>
        <v>0</v>
      </c>
      <c r="J77" s="1">
        <f t="shared" si="5"/>
        <v>0</v>
      </c>
      <c r="Q77" s="1" t="s">
        <v>328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3:28" x14ac:dyDescent="0.3">
      <c r="C78" s="1" t="s">
        <v>327</v>
      </c>
      <c r="D78" s="6" t="s">
        <v>339</v>
      </c>
      <c r="E78" s="5">
        <v>1</v>
      </c>
      <c r="F78" s="5">
        <v>1</v>
      </c>
      <c r="G78" s="5">
        <v>1</v>
      </c>
      <c r="I78" s="1">
        <f t="shared" si="4"/>
        <v>0</v>
      </c>
      <c r="J78" s="1">
        <f t="shared" si="5"/>
        <v>0</v>
      </c>
      <c r="Q78" s="1" t="s">
        <v>329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3:28" x14ac:dyDescent="0.3">
      <c r="C79" s="1" t="s">
        <v>327</v>
      </c>
      <c r="D79" s="6" t="s">
        <v>340</v>
      </c>
      <c r="E79" s="5">
        <v>1</v>
      </c>
      <c r="F79" s="5">
        <v>1</v>
      </c>
      <c r="G79" s="5">
        <v>1</v>
      </c>
      <c r="I79" s="1">
        <f t="shared" si="4"/>
        <v>0</v>
      </c>
      <c r="J79" s="1">
        <f t="shared" si="5"/>
        <v>0</v>
      </c>
    </row>
    <row r="80" spans="3:28" x14ac:dyDescent="0.3">
      <c r="C80" s="1" t="s">
        <v>327</v>
      </c>
      <c r="D80" s="6" t="s">
        <v>341</v>
      </c>
      <c r="E80" s="5">
        <v>1</v>
      </c>
      <c r="F80" s="5">
        <v>1</v>
      </c>
      <c r="G80" s="5">
        <v>1</v>
      </c>
      <c r="I80" s="1">
        <f t="shared" si="4"/>
        <v>0</v>
      </c>
      <c r="J80" s="1">
        <f t="shared" si="5"/>
        <v>0</v>
      </c>
    </row>
    <row r="81" spans="3:10" x14ac:dyDescent="0.3">
      <c r="C81" s="1" t="s">
        <v>327</v>
      </c>
      <c r="D81" s="6" t="s">
        <v>343</v>
      </c>
      <c r="E81" s="5">
        <v>1</v>
      </c>
      <c r="F81" s="5">
        <v>1</v>
      </c>
      <c r="G81" s="5">
        <v>1</v>
      </c>
      <c r="I81" s="1">
        <f t="shared" si="4"/>
        <v>0</v>
      </c>
      <c r="J81" s="1">
        <f t="shared" si="5"/>
        <v>0</v>
      </c>
    </row>
    <row r="82" spans="3:10" x14ac:dyDescent="0.3">
      <c r="C82" s="1" t="s">
        <v>327</v>
      </c>
      <c r="D82" s="6" t="s">
        <v>345</v>
      </c>
      <c r="E82" s="5">
        <v>1</v>
      </c>
      <c r="F82" s="5">
        <v>1</v>
      </c>
      <c r="G82" s="5">
        <v>1</v>
      </c>
      <c r="I82" s="1">
        <f t="shared" si="4"/>
        <v>0</v>
      </c>
      <c r="J82" s="1">
        <f t="shared" si="5"/>
        <v>0</v>
      </c>
    </row>
    <row r="83" spans="3:10" x14ac:dyDescent="0.3">
      <c r="C83" s="1" t="s">
        <v>328</v>
      </c>
      <c r="D83" s="6" t="s">
        <v>339</v>
      </c>
      <c r="E83" s="5">
        <v>1</v>
      </c>
      <c r="F83" s="5">
        <v>1</v>
      </c>
      <c r="G83" s="5">
        <v>1</v>
      </c>
      <c r="I83" s="1">
        <f t="shared" si="4"/>
        <v>0</v>
      </c>
      <c r="J83" s="1">
        <f t="shared" si="5"/>
        <v>0</v>
      </c>
    </row>
    <row r="84" spans="3:10" x14ac:dyDescent="0.3">
      <c r="C84" s="1" t="s">
        <v>328</v>
      </c>
      <c r="D84" s="6" t="s">
        <v>340</v>
      </c>
      <c r="E84" s="5">
        <v>1</v>
      </c>
      <c r="F84" s="5">
        <v>1</v>
      </c>
      <c r="G84" s="5">
        <v>1</v>
      </c>
      <c r="I84" s="1">
        <f t="shared" si="4"/>
        <v>0</v>
      </c>
      <c r="J84" s="1">
        <f t="shared" si="5"/>
        <v>0</v>
      </c>
    </row>
    <row r="85" spans="3:10" x14ac:dyDescent="0.3">
      <c r="C85" s="1" t="s">
        <v>328</v>
      </c>
      <c r="D85" s="6" t="s">
        <v>341</v>
      </c>
      <c r="E85" s="5">
        <v>1</v>
      </c>
      <c r="F85" s="5">
        <v>1</v>
      </c>
      <c r="G85" s="5">
        <v>1</v>
      </c>
      <c r="I85" s="1">
        <f t="shared" si="4"/>
        <v>0</v>
      </c>
      <c r="J85" s="1">
        <f t="shared" si="5"/>
        <v>0</v>
      </c>
    </row>
    <row r="86" spans="3:10" x14ac:dyDescent="0.3">
      <c r="C86" s="1" t="s">
        <v>328</v>
      </c>
      <c r="D86" s="6" t="s">
        <v>343</v>
      </c>
      <c r="E86" s="5">
        <v>1</v>
      </c>
      <c r="F86" s="5">
        <v>1</v>
      </c>
      <c r="G86" s="5">
        <v>1</v>
      </c>
      <c r="I86" s="1">
        <f t="shared" si="4"/>
        <v>0</v>
      </c>
      <c r="J86" s="1">
        <f t="shared" si="5"/>
        <v>0</v>
      </c>
    </row>
    <row r="87" spans="3:10" x14ac:dyDescent="0.3">
      <c r="C87" s="1" t="s">
        <v>328</v>
      </c>
      <c r="D87" s="6" t="s">
        <v>345</v>
      </c>
      <c r="E87" s="5">
        <v>1</v>
      </c>
      <c r="F87" s="5">
        <v>1</v>
      </c>
      <c r="G87" s="5">
        <v>1</v>
      </c>
      <c r="I87" s="1">
        <f t="shared" si="4"/>
        <v>0</v>
      </c>
      <c r="J87" s="1">
        <f t="shared" si="5"/>
        <v>0</v>
      </c>
    </row>
    <row r="88" spans="3:10" x14ac:dyDescent="0.3">
      <c r="C88" s="1" t="s">
        <v>329</v>
      </c>
      <c r="D88" s="6" t="s">
        <v>339</v>
      </c>
      <c r="E88" s="5">
        <v>1</v>
      </c>
      <c r="F88" s="5">
        <v>1</v>
      </c>
      <c r="G88" s="5">
        <v>1</v>
      </c>
      <c r="I88" s="1">
        <f t="shared" si="4"/>
        <v>0</v>
      </c>
      <c r="J88" s="1">
        <f t="shared" si="5"/>
        <v>0</v>
      </c>
    </row>
    <row r="89" spans="3:10" x14ac:dyDescent="0.3">
      <c r="C89" s="1" t="s">
        <v>329</v>
      </c>
      <c r="D89" s="6" t="s">
        <v>340</v>
      </c>
      <c r="E89" s="5">
        <v>1</v>
      </c>
      <c r="F89" s="5">
        <v>1</v>
      </c>
      <c r="G89" s="5">
        <v>1</v>
      </c>
      <c r="I89" s="1">
        <f t="shared" si="4"/>
        <v>0</v>
      </c>
      <c r="J89" s="1">
        <f t="shared" si="5"/>
        <v>0</v>
      </c>
    </row>
    <row r="90" spans="3:10" x14ac:dyDescent="0.3">
      <c r="C90" s="1" t="s">
        <v>329</v>
      </c>
      <c r="D90" s="6" t="s">
        <v>341</v>
      </c>
      <c r="E90" s="5">
        <v>1</v>
      </c>
      <c r="F90" s="5">
        <v>1</v>
      </c>
      <c r="G90" s="5">
        <v>1</v>
      </c>
      <c r="I90" s="1">
        <f t="shared" si="4"/>
        <v>0</v>
      </c>
      <c r="J90" s="1">
        <f t="shared" si="5"/>
        <v>0</v>
      </c>
    </row>
    <row r="91" spans="3:10" x14ac:dyDescent="0.3">
      <c r="C91" s="1" t="s">
        <v>329</v>
      </c>
      <c r="D91" s="6" t="s">
        <v>343</v>
      </c>
      <c r="E91" s="5">
        <v>1</v>
      </c>
      <c r="F91" s="5">
        <v>1</v>
      </c>
      <c r="G91" s="5">
        <v>1</v>
      </c>
      <c r="I91" s="1">
        <f t="shared" si="4"/>
        <v>0</v>
      </c>
      <c r="J91" s="1">
        <f t="shared" si="5"/>
        <v>0</v>
      </c>
    </row>
    <row r="92" spans="3:10" x14ac:dyDescent="0.3">
      <c r="C92" s="1" t="s">
        <v>329</v>
      </c>
      <c r="D92" s="6" t="s">
        <v>345</v>
      </c>
      <c r="E92" s="5">
        <v>1</v>
      </c>
      <c r="F92" s="5">
        <v>1</v>
      </c>
      <c r="G92" s="5">
        <v>1</v>
      </c>
      <c r="I92" s="1">
        <f t="shared" si="4"/>
        <v>0</v>
      </c>
      <c r="J92" s="1">
        <f t="shared" si="5"/>
        <v>0</v>
      </c>
    </row>
    <row r="93" spans="3:10" x14ac:dyDescent="0.3">
      <c r="D93" s="6"/>
    </row>
    <row r="94" spans="3:10" x14ac:dyDescent="0.3">
      <c r="D94" s="6"/>
    </row>
    <row r="95" spans="3:10" x14ac:dyDescent="0.3">
      <c r="D95" s="6"/>
    </row>
    <row r="96" spans="3:10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97A9-EC61-47E4-94E2-CA4B6B6C5371}">
  <sheetPr>
    <tabColor theme="9" tint="0.59999389629810485"/>
  </sheetPr>
  <dimension ref="A1:AD33"/>
  <sheetViews>
    <sheetView workbookViewId="0"/>
  </sheetViews>
  <sheetFormatPr defaultColWidth="9.21875" defaultRowHeight="14.4" x14ac:dyDescent="0.3"/>
  <cols>
    <col min="1" max="1" width="14.21875" style="10" customWidth="1"/>
    <col min="2" max="2" width="13.77734375" style="10" customWidth="1"/>
    <col min="3" max="3" width="5.77734375" style="10" customWidth="1"/>
    <col min="4" max="35" width="7" style="10" customWidth="1"/>
    <col min="36" max="16384" width="9.21875" style="10"/>
  </cols>
  <sheetData>
    <row r="1" spans="1:30" x14ac:dyDescent="0.3">
      <c r="F1" s="11" t="s">
        <v>209</v>
      </c>
      <c r="G1" s="11" t="s">
        <v>51</v>
      </c>
      <c r="H1" s="11" t="s">
        <v>355</v>
      </c>
      <c r="I1" s="11" t="s">
        <v>356</v>
      </c>
    </row>
    <row r="2" spans="1:30" x14ac:dyDescent="0.3">
      <c r="E2" s="11" t="s">
        <v>138</v>
      </c>
      <c r="F2" s="11" t="s">
        <v>138</v>
      </c>
      <c r="G2" s="11" t="s">
        <v>138</v>
      </c>
      <c r="H2" s="11" t="s">
        <v>138</v>
      </c>
      <c r="I2" s="11" t="s">
        <v>138</v>
      </c>
      <c r="N2" s="11" t="s">
        <v>139</v>
      </c>
      <c r="O2" s="11" t="s">
        <v>140</v>
      </c>
      <c r="P2" s="11" t="s">
        <v>141</v>
      </c>
      <c r="Q2" s="11" t="s">
        <v>142</v>
      </c>
      <c r="R2" s="11" t="s">
        <v>143</v>
      </c>
      <c r="T2" s="11" t="s">
        <v>139</v>
      </c>
      <c r="U2" s="11" t="s">
        <v>140</v>
      </c>
      <c r="V2" s="11" t="s">
        <v>141</v>
      </c>
      <c r="W2" s="11" t="s">
        <v>142</v>
      </c>
      <c r="X2" s="11" t="s">
        <v>143</v>
      </c>
      <c r="Z2" s="11" t="s">
        <v>139</v>
      </c>
      <c r="AA2" s="11" t="s">
        <v>140</v>
      </c>
      <c r="AB2" s="11" t="s">
        <v>141</v>
      </c>
      <c r="AC2" s="11" t="s">
        <v>142</v>
      </c>
      <c r="AD2" s="11" t="s">
        <v>143</v>
      </c>
    </row>
    <row r="3" spans="1:30" x14ac:dyDescent="0.3">
      <c r="D3" s="10" t="s">
        <v>2</v>
      </c>
      <c r="E3" s="11" t="s">
        <v>36</v>
      </c>
      <c r="F3" s="11" t="s">
        <v>231</v>
      </c>
      <c r="G3" s="11" t="s">
        <v>232</v>
      </c>
      <c r="H3" s="11" t="s">
        <v>357</v>
      </c>
      <c r="I3" s="11" t="s">
        <v>358</v>
      </c>
      <c r="K3" s="11" t="s">
        <v>10</v>
      </c>
      <c r="N3" s="10" t="s">
        <v>10</v>
      </c>
      <c r="T3" s="10" t="s">
        <v>359</v>
      </c>
      <c r="Z3" s="10" t="s">
        <v>360</v>
      </c>
    </row>
    <row r="4" spans="1:30" x14ac:dyDescent="0.3">
      <c r="A4" s="10" t="s">
        <v>14</v>
      </c>
      <c r="B4" s="10" t="s">
        <v>17</v>
      </c>
      <c r="C4" s="10" t="s">
        <v>138</v>
      </c>
      <c r="D4" s="10" t="s">
        <v>36</v>
      </c>
      <c r="E4" s="10">
        <v>0</v>
      </c>
      <c r="F4" s="9">
        <v>0</v>
      </c>
      <c r="G4" s="9">
        <v>0</v>
      </c>
      <c r="H4" s="9">
        <v>1</v>
      </c>
      <c r="I4" s="9">
        <v>1</v>
      </c>
      <c r="K4" s="13">
        <v>20</v>
      </c>
      <c r="N4" s="9">
        <v>0.05</v>
      </c>
      <c r="O4" s="9">
        <v>0.35</v>
      </c>
      <c r="P4" s="9">
        <v>0.2</v>
      </c>
      <c r="Q4" s="9">
        <v>0.3</v>
      </c>
      <c r="R4" s="9">
        <v>0.1</v>
      </c>
      <c r="Z4" s="10">
        <f t="array" ref="Z4">$E$14*$E$19-MMULT($F$4:$I$4,TRANSPOSE($F$19:$I$19))-$K$4*N4</f>
        <v>0</v>
      </c>
      <c r="AA4" s="10">
        <f t="array" ref="AA4">$E$14*$E$20-MMULT($F$4:$I$4,TRANSPOSE($F$20:$I$20))-$K$4*O4</f>
        <v>0</v>
      </c>
      <c r="AB4" s="10">
        <f t="array" ref="AB4">$E$14*$E$21-MMULT($F$4:$I$4,TRANSPOSE($F$21:$I$21))-$K$4*P4</f>
        <v>0</v>
      </c>
      <c r="AC4" s="10">
        <f t="array" ref="AC4">$E$14*$E$22-MMULT($F$4:$I$4,TRANSPOSE($F$22:$I$22))-$K$4*Q4</f>
        <v>0</v>
      </c>
      <c r="AD4" s="10">
        <f t="array" ref="AD4">$E$14*$E$23-MMULT($F$4:$I$4,TRANSPOSE($F$23:$I$23))-$K$4*R4</f>
        <v>0</v>
      </c>
    </row>
    <row r="5" spans="1:30" x14ac:dyDescent="0.3">
      <c r="A5" s="10" t="s">
        <v>19</v>
      </c>
      <c r="B5" s="10" t="s">
        <v>120</v>
      </c>
      <c r="C5" s="10" t="s">
        <v>138</v>
      </c>
      <c r="D5" s="10" t="s">
        <v>7</v>
      </c>
      <c r="E5" s="9">
        <v>1</v>
      </c>
      <c r="F5" s="10">
        <v>0</v>
      </c>
      <c r="G5" s="10">
        <v>0</v>
      </c>
      <c r="H5" s="10">
        <v>0</v>
      </c>
      <c r="I5" s="10">
        <v>0</v>
      </c>
      <c r="K5" s="12">
        <v>0</v>
      </c>
      <c r="Z5" s="10">
        <f t="array" ref="Z5:Z6">$E$5:$E$6*$E$19-MMULT($F$15:$I$16,TRANSPOSE($F$19:$I$19))</f>
        <v>0</v>
      </c>
      <c r="AA5" s="10">
        <f t="array" ref="AA5:AA6">$E$5:$E$6*$E$20-MMULT($F$15:$I$16,TRANSPOSE($F$20:$I$20))</f>
        <v>0</v>
      </c>
      <c r="AB5" s="10">
        <f t="array" ref="AB5:AB6">$E$5:$E$6*$E$21-MMULT($F$15:$I$16,TRANSPOSE($F$21:$I$21))</f>
        <v>0</v>
      </c>
      <c r="AC5" s="10">
        <f t="array" ref="AC5:AC6">$E$5:$E$6*$E$22-MMULT($F$15:$I$16,TRANSPOSE($F$22:$I$22))</f>
        <v>0</v>
      </c>
      <c r="AD5" s="10">
        <f t="array" ref="AD5:AD6">$E$5:$E$6*$E$23-MMULT($F$15:$I$16,TRANSPOSE($F$23:$I$23))</f>
        <v>0</v>
      </c>
    </row>
    <row r="6" spans="1:30" x14ac:dyDescent="0.3">
      <c r="B6" s="10" t="s">
        <v>361</v>
      </c>
      <c r="C6" s="10" t="s">
        <v>138</v>
      </c>
      <c r="D6" s="10" t="s">
        <v>8</v>
      </c>
      <c r="E6" s="9">
        <v>0</v>
      </c>
      <c r="F6" s="10">
        <v>0</v>
      </c>
      <c r="G6" s="10">
        <v>0</v>
      </c>
      <c r="H6" s="10">
        <v>0</v>
      </c>
      <c r="I6" s="10">
        <v>0</v>
      </c>
      <c r="K6" s="12">
        <v>0</v>
      </c>
      <c r="T6" s="8">
        <f t="array" ref="T6:X6">U8+TRANSPOSE(MMULT(E29:I33,H19:H23+I19:I23))</f>
        <v>19</v>
      </c>
      <c r="U6" s="8">
        <v>19.5</v>
      </c>
      <c r="V6" s="8">
        <v>23</v>
      </c>
      <c r="W6" s="8">
        <v>22</v>
      </c>
      <c r="X6" s="8">
        <v>20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</row>
    <row r="8" spans="1:30" x14ac:dyDescent="0.3">
      <c r="A8" s="10" t="s">
        <v>14</v>
      </c>
      <c r="B8" s="10" t="s">
        <v>24</v>
      </c>
      <c r="D8" s="10" t="s">
        <v>45</v>
      </c>
      <c r="E8" s="10">
        <v>0</v>
      </c>
      <c r="F8" s="9">
        <v>2.5</v>
      </c>
      <c r="G8" s="9">
        <v>0</v>
      </c>
      <c r="H8" s="9">
        <v>0</v>
      </c>
      <c r="I8" s="9">
        <v>0</v>
      </c>
      <c r="T8" s="10" t="s">
        <v>362</v>
      </c>
      <c r="U8" s="5">
        <v>20</v>
      </c>
      <c r="W8" s="10" t="s">
        <v>363</v>
      </c>
      <c r="X8" s="5">
        <v>40</v>
      </c>
    </row>
    <row r="9" spans="1:30" x14ac:dyDescent="0.3">
      <c r="T9" s="10" t="s">
        <v>364</v>
      </c>
      <c r="U9" s="5">
        <f>U8</f>
        <v>20</v>
      </c>
      <c r="W9" s="10" t="s">
        <v>365</v>
      </c>
      <c r="X9" s="5">
        <v>10</v>
      </c>
    </row>
    <row r="10" spans="1:30" x14ac:dyDescent="0.3">
      <c r="A10" s="10" t="s">
        <v>221</v>
      </c>
      <c r="B10" s="10" t="s">
        <v>222</v>
      </c>
      <c r="D10" s="10" t="s">
        <v>223</v>
      </c>
      <c r="E10" s="10">
        <v>0</v>
      </c>
      <c r="F10" s="9">
        <v>2</v>
      </c>
      <c r="G10" s="9">
        <v>25</v>
      </c>
      <c r="H10" s="9">
        <v>0</v>
      </c>
      <c r="I10" s="9">
        <v>0</v>
      </c>
      <c r="N10" s="10" t="s">
        <v>51</v>
      </c>
    </row>
    <row r="11" spans="1:30" x14ac:dyDescent="0.3">
      <c r="B11" s="10" t="s">
        <v>224</v>
      </c>
      <c r="D11" s="10" t="s">
        <v>225</v>
      </c>
      <c r="E11" s="10">
        <v>0</v>
      </c>
      <c r="F11" s="9">
        <v>0.9</v>
      </c>
      <c r="G11" s="117" t="s">
        <v>226</v>
      </c>
      <c r="H11" s="9">
        <v>0</v>
      </c>
      <c r="I11" s="9">
        <v>0</v>
      </c>
      <c r="N11" s="9">
        <v>0</v>
      </c>
      <c r="O11" s="9">
        <v>0.3</v>
      </c>
      <c r="P11" s="9">
        <v>0.5</v>
      </c>
      <c r="Q11" s="9">
        <v>0.2</v>
      </c>
      <c r="R11" s="9">
        <v>0</v>
      </c>
    </row>
    <row r="13" spans="1:30" x14ac:dyDescent="0.3">
      <c r="A13" s="10" t="s">
        <v>366</v>
      </c>
      <c r="D13" s="10" t="s">
        <v>49</v>
      </c>
      <c r="E13" s="11" t="s">
        <v>36</v>
      </c>
      <c r="F13" s="11" t="s">
        <v>231</v>
      </c>
      <c r="G13" s="11" t="s">
        <v>232</v>
      </c>
      <c r="H13" s="11" t="s">
        <v>357</v>
      </c>
      <c r="I13" s="11" t="s">
        <v>358</v>
      </c>
    </row>
    <row r="14" spans="1:30" x14ac:dyDescent="0.3">
      <c r="D14" s="10" t="s">
        <v>36</v>
      </c>
      <c r="E14" s="1">
        <v>1</v>
      </c>
      <c r="F14" s="3">
        <v>0</v>
      </c>
      <c r="G14" s="3">
        <v>0</v>
      </c>
      <c r="H14" s="3">
        <v>0</v>
      </c>
      <c r="I14" s="3">
        <v>0</v>
      </c>
    </row>
    <row r="15" spans="1:30" x14ac:dyDescent="0.3">
      <c r="D15" s="10" t="s">
        <v>7</v>
      </c>
      <c r="E15" s="3">
        <v>0</v>
      </c>
      <c r="F15" s="1">
        <v>1</v>
      </c>
      <c r="G15" s="1">
        <v>1</v>
      </c>
      <c r="H15" s="1">
        <v>0</v>
      </c>
      <c r="I15" s="1">
        <v>0</v>
      </c>
    </row>
    <row r="16" spans="1:30" x14ac:dyDescent="0.3">
      <c r="D16" s="10" t="s">
        <v>8</v>
      </c>
      <c r="E16" s="3">
        <v>0</v>
      </c>
      <c r="F16" s="1">
        <v>0</v>
      </c>
      <c r="G16" s="1">
        <v>0</v>
      </c>
      <c r="H16" s="1">
        <v>0</v>
      </c>
      <c r="I16" s="1">
        <v>0</v>
      </c>
    </row>
    <row r="17" spans="1:15" x14ac:dyDescent="0.3">
      <c r="K17" s="10" t="s">
        <v>229</v>
      </c>
      <c r="N17" s="10" t="s">
        <v>24</v>
      </c>
    </row>
    <row r="18" spans="1:15" x14ac:dyDescent="0.3">
      <c r="A18" s="10" t="s">
        <v>25</v>
      </c>
      <c r="D18" s="10" t="s">
        <v>26</v>
      </c>
      <c r="E18" s="11" t="s">
        <v>36</v>
      </c>
      <c r="F18" s="11" t="s">
        <v>231</v>
      </c>
      <c r="G18" s="11" t="s">
        <v>232</v>
      </c>
      <c r="H18" s="11" t="s">
        <v>357</v>
      </c>
      <c r="I18" s="11" t="s">
        <v>358</v>
      </c>
      <c r="K18" s="11" t="s">
        <v>231</v>
      </c>
      <c r="L18" s="11" t="s">
        <v>232</v>
      </c>
    </row>
    <row r="19" spans="1:15" x14ac:dyDescent="0.3">
      <c r="D19" s="76" t="s">
        <v>139</v>
      </c>
      <c r="E19" s="12">
        <v>0</v>
      </c>
      <c r="F19" s="12">
        <v>0</v>
      </c>
      <c r="G19" s="12">
        <v>0</v>
      </c>
      <c r="H19" s="12">
        <v>0</v>
      </c>
      <c r="I19" s="12">
        <v>-1</v>
      </c>
      <c r="K19" s="10">
        <f>$F$10*$F$11</f>
        <v>1.8</v>
      </c>
      <c r="L19" s="10">
        <f t="array" ref="L19:L23">TRANSPOSE(N11:R11)*G10</f>
        <v>0</v>
      </c>
      <c r="N19" s="10">
        <f t="array" ref="N19:N23">MMULT(E19:I23,TRANSPOSE(E8:I8))</f>
        <v>0</v>
      </c>
    </row>
    <row r="20" spans="1:15" x14ac:dyDescent="0.3">
      <c r="D20" s="76" t="s">
        <v>140</v>
      </c>
      <c r="E20" s="12">
        <v>7.5</v>
      </c>
      <c r="F20" s="12">
        <v>0</v>
      </c>
      <c r="G20" s="12">
        <v>7.5</v>
      </c>
      <c r="H20" s="12">
        <v>0.5</v>
      </c>
      <c r="I20" s="12">
        <v>0</v>
      </c>
      <c r="K20" s="10">
        <f t="shared" ref="K20:K23" si="0">$F$10*$F$11</f>
        <v>1.8</v>
      </c>
      <c r="L20" s="10">
        <v>7.5</v>
      </c>
      <c r="N20" s="10">
        <v>0</v>
      </c>
    </row>
    <row r="21" spans="1:15" x14ac:dyDescent="0.3">
      <c r="D21" s="76" t="s">
        <v>141</v>
      </c>
      <c r="E21" s="12">
        <v>7.5</v>
      </c>
      <c r="F21" s="12">
        <v>0</v>
      </c>
      <c r="G21" s="12">
        <v>7.5</v>
      </c>
      <c r="H21" s="12">
        <v>3.5</v>
      </c>
      <c r="I21" s="12">
        <v>0</v>
      </c>
      <c r="K21" s="10">
        <f t="shared" si="0"/>
        <v>1.8</v>
      </c>
      <c r="L21" s="10">
        <v>12.5</v>
      </c>
      <c r="N21" s="10">
        <v>0</v>
      </c>
    </row>
    <row r="22" spans="1:15" x14ac:dyDescent="0.3">
      <c r="D22" s="76" t="s">
        <v>142</v>
      </c>
      <c r="E22" s="12">
        <v>5</v>
      </c>
      <c r="F22" s="12">
        <v>0</v>
      </c>
      <c r="G22" s="12">
        <v>5</v>
      </c>
      <c r="H22" s="12">
        <v>0</v>
      </c>
      <c r="I22" s="12">
        <v>-1</v>
      </c>
      <c r="K22" s="10">
        <f t="shared" si="0"/>
        <v>1.8</v>
      </c>
      <c r="L22" s="10">
        <v>5</v>
      </c>
      <c r="N22" s="10">
        <v>0</v>
      </c>
    </row>
    <row r="23" spans="1:15" x14ac:dyDescent="0.3">
      <c r="D23" s="76" t="s">
        <v>143</v>
      </c>
      <c r="E23" s="12">
        <v>0</v>
      </c>
      <c r="F23" s="12">
        <v>0</v>
      </c>
      <c r="G23" s="12">
        <v>0</v>
      </c>
      <c r="H23" s="12">
        <v>0</v>
      </c>
      <c r="I23" s="12">
        <v>-2</v>
      </c>
      <c r="K23" s="10">
        <f t="shared" si="0"/>
        <v>1.8</v>
      </c>
      <c r="L23" s="10">
        <v>0</v>
      </c>
      <c r="N23" s="10">
        <v>0</v>
      </c>
    </row>
    <row r="25" spans="1:15" x14ac:dyDescent="0.3">
      <c r="D25" s="10" t="s">
        <v>80</v>
      </c>
      <c r="E25" s="79">
        <f>SUM(E19:E24)</f>
        <v>20</v>
      </c>
      <c r="F25" s="79">
        <f t="shared" ref="F25:I25" si="1">SUM(F19:F24)</f>
        <v>0</v>
      </c>
      <c r="G25" s="79">
        <f t="shared" si="1"/>
        <v>20</v>
      </c>
      <c r="H25" s="79">
        <f t="shared" si="1"/>
        <v>4</v>
      </c>
      <c r="I25" s="79">
        <f t="shared" si="1"/>
        <v>-4</v>
      </c>
      <c r="N25" s="10">
        <f>SUM(N19:N23)</f>
        <v>0</v>
      </c>
      <c r="O25" s="10" t="s">
        <v>92</v>
      </c>
    </row>
    <row r="26" spans="1:15" x14ac:dyDescent="0.3">
      <c r="K26" s="12"/>
    </row>
    <row r="28" spans="1:15" x14ac:dyDescent="0.3">
      <c r="A28" s="10" t="s">
        <v>367</v>
      </c>
      <c r="D28" s="76"/>
      <c r="E28" s="11" t="s">
        <v>139</v>
      </c>
      <c r="F28" s="11" t="s">
        <v>140</v>
      </c>
      <c r="G28" s="11" t="s">
        <v>141</v>
      </c>
      <c r="H28" s="11" t="s">
        <v>142</v>
      </c>
      <c r="I28" s="11" t="s">
        <v>143</v>
      </c>
    </row>
    <row r="29" spans="1:15" x14ac:dyDescent="0.3">
      <c r="D29" s="76" t="s">
        <v>139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</row>
    <row r="30" spans="1:15" x14ac:dyDescent="0.3">
      <c r="D30" s="76" t="s">
        <v>140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</row>
    <row r="31" spans="1:15" x14ac:dyDescent="0.3">
      <c r="D31" s="76" t="s">
        <v>141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</row>
    <row r="32" spans="1:15" x14ac:dyDescent="0.3">
      <c r="D32" s="76" t="s">
        <v>142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</row>
    <row r="33" spans="4:9" x14ac:dyDescent="0.3">
      <c r="D33" s="76" t="s">
        <v>143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</sheetData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F250-2001-45F2-B9B9-D2EC4EF090FB}">
  <sheetPr>
    <tabColor theme="7" tint="-0.249977111117893"/>
  </sheetPr>
  <dimension ref="A1:AG31"/>
  <sheetViews>
    <sheetView showGridLines="0" zoomScale="85" zoomScaleNormal="85" workbookViewId="0">
      <selection activeCell="K8" sqref="K8"/>
    </sheetView>
  </sheetViews>
  <sheetFormatPr defaultColWidth="9.21875" defaultRowHeight="14.4" x14ac:dyDescent="0.3"/>
  <cols>
    <col min="1" max="1" width="14.21875" style="10" customWidth="1"/>
    <col min="2" max="2" width="13.77734375" style="10" customWidth="1"/>
    <col min="3" max="3" width="5.77734375" style="10" customWidth="1"/>
    <col min="4" max="34" width="7" style="10" customWidth="1"/>
    <col min="35" max="16384" width="9.21875" style="10"/>
  </cols>
  <sheetData>
    <row r="1" spans="1:18" x14ac:dyDescent="0.3">
      <c r="F1" s="11" t="s">
        <v>209</v>
      </c>
      <c r="G1" s="11" t="s">
        <v>51</v>
      </c>
      <c r="H1" s="11" t="s">
        <v>368</v>
      </c>
      <c r="L1" s="10" t="s">
        <v>210</v>
      </c>
    </row>
    <row r="2" spans="1:18" x14ac:dyDescent="0.3">
      <c r="E2" s="11" t="s">
        <v>138</v>
      </c>
      <c r="F2" s="11" t="s">
        <v>138</v>
      </c>
      <c r="G2" s="11" t="s">
        <v>138</v>
      </c>
      <c r="H2" s="11" t="s">
        <v>138</v>
      </c>
      <c r="L2" s="11" t="s">
        <v>139</v>
      </c>
      <c r="M2" s="11" t="s">
        <v>140</v>
      </c>
      <c r="N2" s="11" t="s">
        <v>141</v>
      </c>
      <c r="O2" s="11" t="s">
        <v>142</v>
      </c>
      <c r="P2" s="11" t="s">
        <v>143</v>
      </c>
    </row>
    <row r="3" spans="1:18" x14ac:dyDescent="0.3">
      <c r="D3" s="10" t="s">
        <v>2</v>
      </c>
      <c r="E3" s="11" t="s">
        <v>36</v>
      </c>
      <c r="F3" s="11" t="s">
        <v>231</v>
      </c>
      <c r="G3" s="11" t="s">
        <v>232</v>
      </c>
      <c r="H3" s="11" t="s">
        <v>8</v>
      </c>
      <c r="J3" s="11" t="s">
        <v>10</v>
      </c>
      <c r="L3" s="10" t="s">
        <v>360</v>
      </c>
    </row>
    <row r="4" spans="1:18" x14ac:dyDescent="0.3">
      <c r="A4" s="10" t="s">
        <v>14</v>
      </c>
      <c r="B4" s="10" t="s">
        <v>17</v>
      </c>
      <c r="C4" s="10" t="s">
        <v>138</v>
      </c>
      <c r="D4" s="10" t="s">
        <v>36</v>
      </c>
      <c r="E4" s="10">
        <v>0</v>
      </c>
      <c r="F4" s="9">
        <v>0</v>
      </c>
      <c r="G4" s="9">
        <v>0</v>
      </c>
      <c r="H4" s="9">
        <v>-1</v>
      </c>
      <c r="J4" s="13">
        <v>20</v>
      </c>
      <c r="L4" s="10">
        <f t="array" ref="L4:P4">MMULT(E17,TRANSPOSE(E22:E26))-MMULT(F4:H4,TRANSPOSE(F22:H26))-$J$4*TRANSPOSE(M22:M26)</f>
        <v>0</v>
      </c>
      <c r="M4" s="10">
        <v>0</v>
      </c>
      <c r="N4" s="10">
        <v>0</v>
      </c>
      <c r="O4" s="10">
        <v>0</v>
      </c>
      <c r="P4" s="10">
        <v>0</v>
      </c>
      <c r="R4" s="10" t="s">
        <v>215</v>
      </c>
    </row>
    <row r="5" spans="1:18" x14ac:dyDescent="0.3">
      <c r="A5" s="10" t="s">
        <v>19</v>
      </c>
      <c r="B5" s="10" t="s">
        <v>120</v>
      </c>
      <c r="C5" s="10" t="s">
        <v>138</v>
      </c>
      <c r="D5" s="10" t="s">
        <v>7</v>
      </c>
      <c r="E5" s="9">
        <v>1</v>
      </c>
      <c r="F5" s="10">
        <v>0</v>
      </c>
      <c r="G5" s="10">
        <v>0</v>
      </c>
      <c r="H5" s="10">
        <v>0</v>
      </c>
      <c r="J5" s="12">
        <v>0</v>
      </c>
      <c r="L5" s="10">
        <f t="array" ref="L5:P6">MMULT(E5:E6,TRANSPOSE(E22:E26))-MMULT(F18:H19,TRANSPOSE(F22:H26))</f>
        <v>0</v>
      </c>
      <c r="M5" s="10">
        <v>0</v>
      </c>
      <c r="N5" s="10">
        <v>0</v>
      </c>
      <c r="O5" s="10">
        <v>0</v>
      </c>
      <c r="P5" s="10">
        <v>0</v>
      </c>
      <c r="R5" s="10" t="s">
        <v>217</v>
      </c>
    </row>
    <row r="6" spans="1:18" x14ac:dyDescent="0.3">
      <c r="B6" s="10" t="s">
        <v>361</v>
      </c>
      <c r="C6" s="10" t="s">
        <v>138</v>
      </c>
      <c r="D6" s="10" t="s">
        <v>8</v>
      </c>
      <c r="E6" s="9">
        <v>0</v>
      </c>
      <c r="F6" s="10">
        <v>0</v>
      </c>
      <c r="G6" s="10">
        <v>0</v>
      </c>
      <c r="H6" s="10">
        <v>0</v>
      </c>
      <c r="J6" s="12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</row>
    <row r="8" spans="1:18" x14ac:dyDescent="0.3">
      <c r="A8" s="10" t="s">
        <v>14</v>
      </c>
      <c r="B8" s="10" t="s">
        <v>24</v>
      </c>
      <c r="D8" s="10" t="s">
        <v>45</v>
      </c>
      <c r="E8" s="10">
        <v>0</v>
      </c>
      <c r="F8" s="9">
        <v>2.5</v>
      </c>
      <c r="G8" s="9">
        <v>0</v>
      </c>
      <c r="H8" s="9">
        <v>0</v>
      </c>
    </row>
    <row r="10" spans="1:18" x14ac:dyDescent="0.3">
      <c r="A10" s="10" t="s">
        <v>221</v>
      </c>
      <c r="B10" s="10" t="s">
        <v>222</v>
      </c>
      <c r="D10" s="10" t="s">
        <v>223</v>
      </c>
      <c r="E10" s="10">
        <v>0</v>
      </c>
      <c r="F10" s="9">
        <v>50</v>
      </c>
      <c r="G10" s="9">
        <v>25</v>
      </c>
      <c r="H10" s="9">
        <v>40</v>
      </c>
    </row>
    <row r="11" spans="1:18" x14ac:dyDescent="0.3">
      <c r="B11" s="10" t="s">
        <v>224</v>
      </c>
      <c r="D11" s="10" t="s">
        <v>225</v>
      </c>
      <c r="E11" s="10">
        <v>0</v>
      </c>
      <c r="F11" s="9">
        <v>0.9</v>
      </c>
      <c r="G11" s="117" t="s">
        <v>226</v>
      </c>
      <c r="H11" s="9">
        <v>0</v>
      </c>
    </row>
    <row r="12" spans="1:18" x14ac:dyDescent="0.3">
      <c r="B12" s="10" t="s">
        <v>369</v>
      </c>
      <c r="D12" s="10" t="s">
        <v>370</v>
      </c>
      <c r="E12" s="10">
        <v>0</v>
      </c>
      <c r="F12" s="9">
        <v>0</v>
      </c>
      <c r="G12" s="117">
        <v>0</v>
      </c>
      <c r="H12" s="9">
        <v>0.1</v>
      </c>
    </row>
    <row r="13" spans="1:18" x14ac:dyDescent="0.3">
      <c r="B13" s="10" t="s">
        <v>371</v>
      </c>
      <c r="D13" s="10" t="s">
        <v>372</v>
      </c>
      <c r="E13" s="10">
        <v>0</v>
      </c>
      <c r="F13" s="9">
        <v>0</v>
      </c>
      <c r="G13" s="117">
        <v>0</v>
      </c>
      <c r="H13" s="9">
        <v>0.6</v>
      </c>
    </row>
    <row r="14" spans="1:18" x14ac:dyDescent="0.3">
      <c r="B14" s="10" t="s">
        <v>373</v>
      </c>
      <c r="D14" s="10" t="s">
        <v>374</v>
      </c>
      <c r="E14" s="10">
        <v>0</v>
      </c>
      <c r="F14" s="9">
        <v>0</v>
      </c>
      <c r="G14" s="117">
        <v>0</v>
      </c>
      <c r="H14" s="9">
        <v>0.6</v>
      </c>
    </row>
    <row r="16" spans="1:18" x14ac:dyDescent="0.3">
      <c r="A16" s="10" t="s">
        <v>366</v>
      </c>
      <c r="D16" s="10" t="s">
        <v>49</v>
      </c>
      <c r="E16" s="11" t="s">
        <v>36</v>
      </c>
      <c r="F16" s="11" t="s">
        <v>231</v>
      </c>
      <c r="G16" s="11" t="s">
        <v>232</v>
      </c>
      <c r="H16" s="11" t="s">
        <v>357</v>
      </c>
    </row>
    <row r="17" spans="1:33" x14ac:dyDescent="0.3">
      <c r="D17" s="10" t="s">
        <v>36</v>
      </c>
      <c r="E17" s="1">
        <v>1</v>
      </c>
      <c r="F17" s="3">
        <v>0</v>
      </c>
      <c r="G17" s="3">
        <v>0</v>
      </c>
      <c r="H17" s="3">
        <v>0</v>
      </c>
    </row>
    <row r="18" spans="1:33" x14ac:dyDescent="0.3">
      <c r="D18" s="10" t="s">
        <v>7</v>
      </c>
      <c r="E18" s="3">
        <v>0</v>
      </c>
      <c r="F18" s="1">
        <v>1</v>
      </c>
      <c r="G18" s="1">
        <v>1</v>
      </c>
      <c r="H18" s="1">
        <v>0</v>
      </c>
    </row>
    <row r="19" spans="1:33" x14ac:dyDescent="0.3">
      <c r="D19" s="10" t="s">
        <v>8</v>
      </c>
      <c r="E19" s="3">
        <v>0</v>
      </c>
      <c r="F19" s="1">
        <v>0</v>
      </c>
      <c r="G19" s="1">
        <v>0</v>
      </c>
      <c r="H19" s="1">
        <v>0</v>
      </c>
    </row>
    <row r="20" spans="1:33" x14ac:dyDescent="0.3">
      <c r="L20" s="76"/>
      <c r="M20" s="11" t="s">
        <v>375</v>
      </c>
      <c r="O20" s="11" t="s">
        <v>359</v>
      </c>
      <c r="P20" s="11"/>
      <c r="Q20" s="11" t="s">
        <v>376</v>
      </c>
      <c r="S20" s="10" t="s">
        <v>229</v>
      </c>
      <c r="V20" s="10" t="s">
        <v>24</v>
      </c>
    </row>
    <row r="21" spans="1:33" x14ac:dyDescent="0.3">
      <c r="A21" s="10" t="s">
        <v>25</v>
      </c>
      <c r="D21" s="10" t="s">
        <v>26</v>
      </c>
      <c r="E21" s="11" t="s">
        <v>36</v>
      </c>
      <c r="F21" s="11" t="s">
        <v>231</v>
      </c>
      <c r="G21" s="11" t="s">
        <v>232</v>
      </c>
      <c r="H21" s="11" t="s">
        <v>8</v>
      </c>
      <c r="M21" s="11" t="s">
        <v>377</v>
      </c>
      <c r="P21" s="11"/>
      <c r="S21" s="11" t="s">
        <v>231</v>
      </c>
      <c r="T21" s="11" t="s">
        <v>232</v>
      </c>
      <c r="Y21" s="76"/>
      <c r="Z21" s="11" t="s">
        <v>139</v>
      </c>
      <c r="AA21" s="11" t="s">
        <v>140</v>
      </c>
      <c r="AB21" s="11" t="s">
        <v>141</v>
      </c>
      <c r="AC21" s="11" t="s">
        <v>142</v>
      </c>
      <c r="AD21" s="11" t="s">
        <v>143</v>
      </c>
      <c r="AF21" s="10" t="s">
        <v>355</v>
      </c>
      <c r="AG21" s="10" t="s">
        <v>378</v>
      </c>
    </row>
    <row r="22" spans="1:33" x14ac:dyDescent="0.3">
      <c r="D22" s="76" t="s">
        <v>139</v>
      </c>
      <c r="E22" s="12">
        <v>1.5</v>
      </c>
      <c r="F22" s="12">
        <v>1.5</v>
      </c>
      <c r="G22" s="12">
        <v>0</v>
      </c>
      <c r="H22" s="12">
        <v>-0.5</v>
      </c>
      <c r="L22" s="76" t="s">
        <v>139</v>
      </c>
      <c r="M22" s="9">
        <v>0.05</v>
      </c>
      <c r="O22" s="117">
        <f t="array" ref="O22:O26">O28+MMULT(Z22:AD26,-H22:H26)</f>
        <v>24.5</v>
      </c>
      <c r="Q22" s="9">
        <v>0</v>
      </c>
      <c r="S22" s="10">
        <f>$F$10*$F$11</f>
        <v>45</v>
      </c>
      <c r="T22" s="10">
        <f t="array" ref="T22:T26">Q22:Q26*G10</f>
        <v>0</v>
      </c>
      <c r="V22" s="10">
        <f t="array" ref="V22:V26">MMULT(E22:H26,TRANSPOSE(E8:H8))</f>
        <v>3.75</v>
      </c>
      <c r="Y22" s="76" t="s">
        <v>139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F22" s="10">
        <f t="array" ref="AF22:AF26">-H22:H26</f>
        <v>0.5</v>
      </c>
      <c r="AG22" s="10">
        <f t="array" ref="AG22:AG26">H22:H26</f>
        <v>-0.5</v>
      </c>
    </row>
    <row r="23" spans="1:33" x14ac:dyDescent="0.3">
      <c r="D23" s="76" t="s">
        <v>140</v>
      </c>
      <c r="E23" s="12">
        <v>7.5</v>
      </c>
      <c r="F23" s="12">
        <v>0</v>
      </c>
      <c r="G23" s="12">
        <v>7.5</v>
      </c>
      <c r="H23" s="12">
        <v>-0.5</v>
      </c>
      <c r="L23" s="76" t="s">
        <v>140</v>
      </c>
      <c r="M23" s="9">
        <v>0.35</v>
      </c>
      <c r="O23" s="9">
        <v>25</v>
      </c>
      <c r="Q23" s="9">
        <v>0.3</v>
      </c>
      <c r="S23" s="10">
        <f t="shared" ref="S23:S26" si="0">$F$10*$F$11</f>
        <v>45</v>
      </c>
      <c r="T23" s="10">
        <v>7.5</v>
      </c>
      <c r="V23" s="10">
        <v>0</v>
      </c>
      <c r="Y23" s="76" t="s">
        <v>140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F23" s="10">
        <v>0.5</v>
      </c>
      <c r="AG23" s="10">
        <v>-0.5</v>
      </c>
    </row>
    <row r="24" spans="1:33" x14ac:dyDescent="0.3">
      <c r="D24" s="76" t="s">
        <v>141</v>
      </c>
      <c r="E24" s="12">
        <v>6</v>
      </c>
      <c r="F24" s="12">
        <v>0</v>
      </c>
      <c r="G24" s="12">
        <v>6</v>
      </c>
      <c r="H24" s="12">
        <v>-2</v>
      </c>
      <c r="L24" s="76" t="s">
        <v>141</v>
      </c>
      <c r="M24" s="9">
        <v>0.2</v>
      </c>
      <c r="O24" s="9">
        <v>27</v>
      </c>
      <c r="Q24" s="9">
        <v>0.5</v>
      </c>
      <c r="S24" s="10">
        <f t="shared" si="0"/>
        <v>45</v>
      </c>
      <c r="T24" s="10">
        <v>12.5</v>
      </c>
      <c r="V24" s="10">
        <v>0</v>
      </c>
      <c r="Y24" s="76" t="s">
        <v>141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F24" s="10">
        <v>2</v>
      </c>
      <c r="AG24" s="10">
        <v>-2</v>
      </c>
    </row>
    <row r="25" spans="1:33" x14ac:dyDescent="0.3">
      <c r="D25" s="76" t="s">
        <v>142</v>
      </c>
      <c r="E25" s="12">
        <v>5</v>
      </c>
      <c r="F25" s="12">
        <v>0</v>
      </c>
      <c r="G25" s="12">
        <v>5</v>
      </c>
      <c r="H25" s="12">
        <v>1</v>
      </c>
      <c r="L25" s="76" t="s">
        <v>142</v>
      </c>
      <c r="M25" s="9">
        <v>0.3</v>
      </c>
      <c r="O25" s="9">
        <v>26</v>
      </c>
      <c r="Q25" s="9">
        <v>0.2</v>
      </c>
      <c r="S25" s="10">
        <f t="shared" si="0"/>
        <v>45</v>
      </c>
      <c r="T25" s="10">
        <v>5</v>
      </c>
      <c r="V25" s="10">
        <v>0</v>
      </c>
      <c r="Y25" s="76" t="s">
        <v>142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F25" s="10">
        <v>-1</v>
      </c>
      <c r="AG25" s="10">
        <v>1</v>
      </c>
    </row>
    <row r="26" spans="1:33" x14ac:dyDescent="0.3">
      <c r="D26" s="76" t="s">
        <v>143</v>
      </c>
      <c r="E26" s="12">
        <v>0</v>
      </c>
      <c r="F26" s="12">
        <v>0</v>
      </c>
      <c r="G26" s="12">
        <v>0</v>
      </c>
      <c r="H26" s="12">
        <v>2</v>
      </c>
      <c r="L26" s="76" t="s">
        <v>143</v>
      </c>
      <c r="M26" s="9">
        <v>0.1</v>
      </c>
      <c r="O26" s="9">
        <v>24</v>
      </c>
      <c r="Q26" s="9">
        <v>0</v>
      </c>
      <c r="S26" s="10">
        <f t="shared" si="0"/>
        <v>45</v>
      </c>
      <c r="T26" s="10">
        <v>0</v>
      </c>
      <c r="V26" s="10">
        <v>0</v>
      </c>
      <c r="Y26" s="76" t="s">
        <v>143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F26" s="10">
        <v>-2</v>
      </c>
      <c r="AG26" s="10">
        <v>2</v>
      </c>
    </row>
    <row r="28" spans="1:33" x14ac:dyDescent="0.3">
      <c r="D28" s="10" t="s">
        <v>80</v>
      </c>
      <c r="E28" s="79">
        <f>SUM(E22:E27)</f>
        <v>20</v>
      </c>
      <c r="F28" s="79">
        <f t="shared" ref="F28:H28" si="1">SUM(F22:F27)</f>
        <v>1.5</v>
      </c>
      <c r="G28" s="79">
        <f t="shared" si="1"/>
        <v>18.5</v>
      </c>
      <c r="H28" s="79">
        <f t="shared" si="1"/>
        <v>0</v>
      </c>
      <c r="L28" s="10" t="s">
        <v>362</v>
      </c>
      <c r="O28" s="79">
        <f>$H$10*H13</f>
        <v>24</v>
      </c>
      <c r="V28" s="10">
        <f>SUM(V22:V26)</f>
        <v>3.75</v>
      </c>
      <c r="W28" s="10" t="s">
        <v>92</v>
      </c>
    </row>
    <row r="29" spans="1:33" x14ac:dyDescent="0.3">
      <c r="J29" s="12"/>
      <c r="L29" s="10" t="s">
        <v>364</v>
      </c>
      <c r="O29" s="79">
        <f>$H$10*H14</f>
        <v>24</v>
      </c>
      <c r="AF29" s="10" t="s">
        <v>379</v>
      </c>
    </row>
    <row r="30" spans="1:33" x14ac:dyDescent="0.3">
      <c r="L30" s="10" t="s">
        <v>363</v>
      </c>
      <c r="O30" s="180">
        <f>H10</f>
        <v>40</v>
      </c>
      <c r="AF30" s="10">
        <v>2</v>
      </c>
    </row>
    <row r="31" spans="1:33" x14ac:dyDescent="0.3">
      <c r="L31" s="10" t="s">
        <v>365</v>
      </c>
      <c r="O31" s="180">
        <f>H10*H12</f>
        <v>4</v>
      </c>
    </row>
  </sheetData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C0FD-6C4F-44B4-94F1-7A591692A878}">
  <sheetPr>
    <tabColor theme="9" tint="0.59999389629810485"/>
  </sheetPr>
  <dimension ref="A1:AH37"/>
  <sheetViews>
    <sheetView workbookViewId="0"/>
  </sheetViews>
  <sheetFormatPr defaultColWidth="9.21875" defaultRowHeight="14.4" x14ac:dyDescent="0.3"/>
  <cols>
    <col min="1" max="1" width="14.21875" style="10" customWidth="1"/>
    <col min="2" max="2" width="17.44140625" style="10" customWidth="1"/>
    <col min="3" max="3" width="5.77734375" style="10" customWidth="1"/>
    <col min="4" max="37" width="7" style="10" customWidth="1"/>
    <col min="38" max="16384" width="9.21875" style="10"/>
  </cols>
  <sheetData>
    <row r="1" spans="1:34" x14ac:dyDescent="0.3">
      <c r="H1" s="11" t="s">
        <v>209</v>
      </c>
      <c r="I1" s="11" t="s">
        <v>51</v>
      </c>
      <c r="J1" s="11" t="s">
        <v>380</v>
      </c>
      <c r="K1" s="11" t="s">
        <v>368</v>
      </c>
    </row>
    <row r="2" spans="1:34" x14ac:dyDescent="0.3">
      <c r="E2" s="11" t="s">
        <v>138</v>
      </c>
      <c r="F2" s="11" t="s">
        <v>138</v>
      </c>
      <c r="G2" s="11" t="s">
        <v>138</v>
      </c>
      <c r="H2" s="11" t="s">
        <v>138</v>
      </c>
      <c r="I2" s="11" t="s">
        <v>138</v>
      </c>
      <c r="J2" s="11" t="s">
        <v>138</v>
      </c>
      <c r="K2" s="11" t="s">
        <v>138</v>
      </c>
      <c r="P2" s="11" t="s">
        <v>139</v>
      </c>
      <c r="Q2" s="11" t="s">
        <v>140</v>
      </c>
      <c r="R2" s="11" t="s">
        <v>141</v>
      </c>
      <c r="S2" s="11" t="s">
        <v>142</v>
      </c>
      <c r="T2" s="11" t="s">
        <v>143</v>
      </c>
      <c r="V2" s="11" t="s">
        <v>139</v>
      </c>
      <c r="W2" s="11" t="s">
        <v>140</v>
      </c>
      <c r="X2" s="11" t="s">
        <v>141</v>
      </c>
      <c r="Y2" s="11" t="s">
        <v>142</v>
      </c>
      <c r="Z2" s="11" t="s">
        <v>143</v>
      </c>
      <c r="AB2" s="11" t="s">
        <v>139</v>
      </c>
      <c r="AC2" s="11" t="s">
        <v>140</v>
      </c>
      <c r="AD2" s="11" t="s">
        <v>141</v>
      </c>
      <c r="AE2" s="11" t="s">
        <v>142</v>
      </c>
      <c r="AF2" s="11" t="s">
        <v>143</v>
      </c>
    </row>
    <row r="3" spans="1:34" x14ac:dyDescent="0.3">
      <c r="D3" s="10" t="s">
        <v>2</v>
      </c>
      <c r="E3" s="11" t="s">
        <v>36</v>
      </c>
      <c r="F3" s="11" t="s">
        <v>5</v>
      </c>
      <c r="G3" s="11" t="s">
        <v>6</v>
      </c>
      <c r="H3" s="11" t="s">
        <v>231</v>
      </c>
      <c r="I3" s="11" t="s">
        <v>232</v>
      </c>
      <c r="J3" s="11" t="s">
        <v>8</v>
      </c>
      <c r="K3" s="11" t="s">
        <v>9</v>
      </c>
      <c r="M3" s="11" t="s">
        <v>10</v>
      </c>
      <c r="P3" s="10" t="s">
        <v>10</v>
      </c>
      <c r="V3" s="10" t="s">
        <v>359</v>
      </c>
    </row>
    <row r="4" spans="1:34" x14ac:dyDescent="0.3">
      <c r="A4" s="10" t="s">
        <v>116</v>
      </c>
      <c r="B4" s="10" t="s">
        <v>17</v>
      </c>
      <c r="C4" s="10" t="s">
        <v>138</v>
      </c>
      <c r="D4" s="10" t="s">
        <v>36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v>0</v>
      </c>
      <c r="K4" s="9">
        <v>1</v>
      </c>
      <c r="M4" s="13">
        <v>0</v>
      </c>
      <c r="P4" s="9">
        <v>0.05</v>
      </c>
      <c r="Q4" s="9">
        <v>0.35</v>
      </c>
      <c r="R4" s="9">
        <v>0.2</v>
      </c>
      <c r="S4" s="9">
        <v>0.3</v>
      </c>
      <c r="T4" s="9">
        <v>0.1</v>
      </c>
      <c r="AB4" s="10">
        <f t="array" ref="AB4:AB6">MMULT($E$20:$G$22,TRANSPOSE($E$28:$G$28))-MMULT($H$4:$K$6,TRANSPOSE($H$28:$K$28))-$M$4:$M$6*P4:P6</f>
        <v>0</v>
      </c>
      <c r="AC4" s="10">
        <f t="array" ref="AC4:AC6">MMULT($E$20:$G$22,TRANSPOSE($E$29:$G$29))-MMULT($H$4:$K$6,TRANSPOSE($H$29:$K$29))-$M$4:$M$6*Q4:Q6</f>
        <v>0</v>
      </c>
      <c r="AD4" s="10">
        <f t="array" ref="AD4:AD6">MMULT($E$20:$G$22,TRANSPOSE($E$30:$G$30))-MMULT($H$4:$K$6,TRANSPOSE($H$30:$K$30))-$M$4:$M$6*R4:R6</f>
        <v>0</v>
      </c>
      <c r="AE4" s="10">
        <f t="array" ref="AE4:AE6">MMULT($E$20:$G$22,TRANSPOSE($E$31:$G$31))-MMULT($H$4:$K$6,TRANSPOSE($H$31:$K$31))-$M$4:$M$6*S4:S6</f>
        <v>0</v>
      </c>
      <c r="AF4" s="10">
        <f t="array" ref="AF4:AF6">MMULT($E$20:$G$22,TRANSPOSE($E$32:$G$32))-MMULT($H$4:$K$6,TRANSPOSE($H$32:$K$32))-$M$4:$M$6*T4:T6</f>
        <v>0</v>
      </c>
      <c r="AH4" s="10" t="s">
        <v>215</v>
      </c>
    </row>
    <row r="5" spans="1:34" x14ac:dyDescent="0.3">
      <c r="B5" s="10" t="s">
        <v>381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M5" s="13">
        <v>10</v>
      </c>
      <c r="P5" s="9">
        <v>0</v>
      </c>
      <c r="Q5" s="9">
        <v>0.4</v>
      </c>
      <c r="R5" s="9">
        <v>0.3</v>
      </c>
      <c r="S5" s="9">
        <v>0.1</v>
      </c>
      <c r="T5" s="9">
        <v>0.2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</row>
    <row r="6" spans="1:34" x14ac:dyDescent="0.3">
      <c r="B6" s="10" t="s">
        <v>382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9">
        <v>0</v>
      </c>
      <c r="I6" s="9">
        <v>0</v>
      </c>
      <c r="J6" s="9">
        <v>1.5</v>
      </c>
      <c r="K6" s="9">
        <v>0</v>
      </c>
      <c r="M6" s="13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</row>
    <row r="7" spans="1:34" x14ac:dyDescent="0.3">
      <c r="A7" s="10" t="s">
        <v>19</v>
      </c>
      <c r="B7" s="10" t="s">
        <v>120</v>
      </c>
      <c r="C7" s="10" t="s">
        <v>138</v>
      </c>
      <c r="D7" s="10" t="s">
        <v>7</v>
      </c>
      <c r="E7" s="9">
        <v>1</v>
      </c>
      <c r="F7" s="9">
        <v>0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M7" s="12">
        <v>0</v>
      </c>
      <c r="AB7" s="10">
        <f t="array" ref="AB7:AB9">MMULT($E$7:$G$9,TRANSPOSE($E$28:$G$28))-MMULT($H$23:$K$25,TRANSPOSE($H$28:$K$28))</f>
        <v>0</v>
      </c>
      <c r="AC7" s="10">
        <f t="array" ref="AC7:AC9">MMULT($E$7:$G$9,TRANSPOSE($E$29:$G$29))-MMULT($H$23:$K$25,TRANSPOSE($H$29:$K$29))</f>
        <v>0</v>
      </c>
      <c r="AD7" s="10">
        <f t="array" ref="AD7:AD9">MMULT($E$7:$G$9,TRANSPOSE($E$30:$G$30))-MMULT($H$23:$K$25,TRANSPOSE($H$30:$K$30))</f>
        <v>0</v>
      </c>
      <c r="AE7" s="10">
        <f t="array" ref="AE7:AE9">MMULT($E$7:$G$9,TRANSPOSE($E$31:$G$31))-MMULT($H$23:$K$25,TRANSPOSE($H$31:$K$31))</f>
        <v>0</v>
      </c>
      <c r="AF7" s="10">
        <f t="array" ref="AF7:AF9">MMULT($E$7:$G$9,TRANSPOSE($E$32:$G$32))-MMULT($H$23:$K$25,TRANSPOSE($H$32:$K$32))</f>
        <v>0</v>
      </c>
      <c r="AH7" s="10" t="s">
        <v>217</v>
      </c>
    </row>
    <row r="8" spans="1:34" x14ac:dyDescent="0.3">
      <c r="B8" s="10" t="s">
        <v>383</v>
      </c>
      <c r="C8" s="10" t="s">
        <v>138</v>
      </c>
      <c r="D8" s="10" t="s">
        <v>8</v>
      </c>
      <c r="E8" s="9">
        <v>0</v>
      </c>
      <c r="F8" s="9">
        <v>1</v>
      </c>
      <c r="G8" s="9">
        <v>0</v>
      </c>
      <c r="H8" s="10">
        <v>0</v>
      </c>
      <c r="I8" s="10">
        <v>0</v>
      </c>
      <c r="J8" s="10">
        <v>0</v>
      </c>
      <c r="K8" s="10">
        <v>0</v>
      </c>
      <c r="M8" s="12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</row>
    <row r="9" spans="1:34" x14ac:dyDescent="0.3">
      <c r="B9" s="10" t="s">
        <v>384</v>
      </c>
      <c r="C9" s="10" t="s">
        <v>138</v>
      </c>
      <c r="D9" s="10" t="s">
        <v>9</v>
      </c>
      <c r="E9" s="9">
        <v>0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K9" s="10">
        <v>0</v>
      </c>
      <c r="M9" s="12">
        <v>0</v>
      </c>
      <c r="V9" s="8">
        <f t="array" ref="V9:Z9">W11+TRANSPOSE(MMULT(V28:Z32,K28:K32))</f>
        <v>16</v>
      </c>
      <c r="W9" s="8">
        <v>16</v>
      </c>
      <c r="X9" s="8">
        <v>16</v>
      </c>
      <c r="Y9" s="8">
        <v>16</v>
      </c>
      <c r="Z9" s="8">
        <v>16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1" spans="1:34" x14ac:dyDescent="0.3">
      <c r="A11" s="10" t="s">
        <v>14</v>
      </c>
      <c r="B11" s="10" t="s">
        <v>24</v>
      </c>
      <c r="D11" s="10" t="s">
        <v>45</v>
      </c>
      <c r="E11" s="10">
        <v>0</v>
      </c>
      <c r="F11" s="10">
        <v>0</v>
      </c>
      <c r="G11" s="10">
        <v>0</v>
      </c>
      <c r="H11" s="9">
        <v>2.5</v>
      </c>
      <c r="I11" s="9">
        <v>0</v>
      </c>
      <c r="J11" s="9">
        <v>0</v>
      </c>
      <c r="K11" s="9">
        <v>0</v>
      </c>
      <c r="V11" s="10" t="s">
        <v>362</v>
      </c>
      <c r="W11" s="180">
        <f>K13*K16</f>
        <v>16</v>
      </c>
      <c r="Y11" s="10" t="s">
        <v>363</v>
      </c>
      <c r="Z11" s="180">
        <f>K13</f>
        <v>40</v>
      </c>
    </row>
    <row r="12" spans="1:34" x14ac:dyDescent="0.3">
      <c r="V12" s="10" t="s">
        <v>364</v>
      </c>
      <c r="W12" s="180">
        <f>K13*K17</f>
        <v>16</v>
      </c>
      <c r="Y12" s="10" t="s">
        <v>365</v>
      </c>
      <c r="Z12" s="180">
        <f>K13*K15</f>
        <v>4</v>
      </c>
    </row>
    <row r="13" spans="1:34" x14ac:dyDescent="0.3">
      <c r="A13" s="10" t="s">
        <v>221</v>
      </c>
      <c r="B13" s="10" t="s">
        <v>222</v>
      </c>
      <c r="D13" s="10" t="s">
        <v>223</v>
      </c>
      <c r="E13" s="10">
        <v>0</v>
      </c>
      <c r="F13" s="10">
        <v>0</v>
      </c>
      <c r="G13" s="10">
        <v>0</v>
      </c>
      <c r="H13" s="9">
        <v>2</v>
      </c>
      <c r="I13" s="9">
        <v>25</v>
      </c>
      <c r="J13" s="9">
        <v>0</v>
      </c>
      <c r="K13" s="9">
        <v>40</v>
      </c>
      <c r="P13" s="10" t="s">
        <v>51</v>
      </c>
    </row>
    <row r="14" spans="1:34" x14ac:dyDescent="0.3">
      <c r="B14" s="10" t="s">
        <v>224</v>
      </c>
      <c r="D14" s="10" t="s">
        <v>225</v>
      </c>
      <c r="E14" s="10">
        <v>0</v>
      </c>
      <c r="F14" s="10">
        <v>0</v>
      </c>
      <c r="G14" s="10">
        <v>0</v>
      </c>
      <c r="H14" s="9">
        <v>0.9</v>
      </c>
      <c r="I14" s="117" t="s">
        <v>226</v>
      </c>
      <c r="J14" s="117">
        <v>0</v>
      </c>
      <c r="K14" s="9">
        <v>0</v>
      </c>
      <c r="P14" s="9">
        <v>0</v>
      </c>
      <c r="Q14" s="9">
        <v>0.3</v>
      </c>
      <c r="R14" s="9">
        <v>0.5</v>
      </c>
      <c r="S14" s="9">
        <v>0.2</v>
      </c>
      <c r="T14" s="9">
        <v>0</v>
      </c>
    </row>
    <row r="15" spans="1:34" x14ac:dyDescent="0.3">
      <c r="B15" s="10" t="s">
        <v>369</v>
      </c>
      <c r="D15" s="10" t="s">
        <v>370</v>
      </c>
      <c r="E15" s="10">
        <v>0</v>
      </c>
      <c r="F15" s="10">
        <v>0</v>
      </c>
      <c r="G15" s="10">
        <v>0</v>
      </c>
      <c r="H15" s="9">
        <v>0</v>
      </c>
      <c r="I15" s="117">
        <v>0</v>
      </c>
      <c r="J15" s="117">
        <v>0</v>
      </c>
      <c r="K15" s="9">
        <v>0.1</v>
      </c>
    </row>
    <row r="16" spans="1:34" x14ac:dyDescent="0.3">
      <c r="B16" s="10" t="s">
        <v>371</v>
      </c>
      <c r="D16" s="10" t="s">
        <v>372</v>
      </c>
      <c r="E16" s="10">
        <v>0</v>
      </c>
      <c r="F16" s="10">
        <v>0</v>
      </c>
      <c r="G16" s="10">
        <v>0</v>
      </c>
      <c r="H16" s="9">
        <v>0</v>
      </c>
      <c r="I16" s="117">
        <v>0</v>
      </c>
      <c r="J16" s="117">
        <v>0</v>
      </c>
      <c r="K16" s="9">
        <v>0.4</v>
      </c>
    </row>
    <row r="17" spans="1:26" x14ac:dyDescent="0.3">
      <c r="B17" s="10" t="s">
        <v>373</v>
      </c>
      <c r="D17" s="10" t="s">
        <v>374</v>
      </c>
      <c r="E17" s="10">
        <v>0</v>
      </c>
      <c r="F17" s="10">
        <v>0</v>
      </c>
      <c r="G17" s="10">
        <v>0</v>
      </c>
      <c r="H17" s="9">
        <v>0</v>
      </c>
      <c r="I17" s="117">
        <v>0</v>
      </c>
      <c r="J17" s="117">
        <v>0</v>
      </c>
      <c r="K17" s="9">
        <f>K16</f>
        <v>0.4</v>
      </c>
    </row>
    <row r="19" spans="1:26" x14ac:dyDescent="0.3">
      <c r="A19" s="10" t="s">
        <v>366</v>
      </c>
      <c r="D19" s="10" t="s">
        <v>49</v>
      </c>
      <c r="E19" s="11" t="s">
        <v>36</v>
      </c>
      <c r="F19" s="11" t="s">
        <v>5</v>
      </c>
      <c r="G19" s="11" t="s">
        <v>6</v>
      </c>
      <c r="H19" s="11" t="s">
        <v>231</v>
      </c>
      <c r="I19" s="11" t="s">
        <v>232</v>
      </c>
      <c r="J19" s="11" t="s">
        <v>8</v>
      </c>
      <c r="K19" s="11" t="s">
        <v>9</v>
      </c>
    </row>
    <row r="20" spans="1:26" x14ac:dyDescent="0.3">
      <c r="D20" s="10" t="s">
        <v>36</v>
      </c>
      <c r="E20" s="1">
        <v>1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</row>
    <row r="21" spans="1:26" x14ac:dyDescent="0.3">
      <c r="D21" s="10" t="s">
        <v>5</v>
      </c>
      <c r="E21" s="1">
        <v>0</v>
      </c>
      <c r="F21" s="1">
        <v>1</v>
      </c>
      <c r="G21" s="1">
        <v>0</v>
      </c>
      <c r="H21" s="3">
        <v>0</v>
      </c>
      <c r="I21" s="3">
        <v>0</v>
      </c>
      <c r="J21" s="3">
        <v>0</v>
      </c>
      <c r="K21" s="3">
        <v>0</v>
      </c>
    </row>
    <row r="22" spans="1:26" x14ac:dyDescent="0.3">
      <c r="D22" s="10" t="s">
        <v>6</v>
      </c>
      <c r="E22" s="1">
        <v>0</v>
      </c>
      <c r="F22" s="1">
        <v>0</v>
      </c>
      <c r="G22" s="1">
        <v>1</v>
      </c>
      <c r="H22" s="3">
        <v>0</v>
      </c>
      <c r="I22" s="3">
        <v>0</v>
      </c>
      <c r="J22" s="3">
        <v>0</v>
      </c>
      <c r="K22" s="3">
        <v>0</v>
      </c>
    </row>
    <row r="23" spans="1:26" x14ac:dyDescent="0.3">
      <c r="D23" s="10" t="s">
        <v>7</v>
      </c>
      <c r="E23" s="3">
        <v>0</v>
      </c>
      <c r="F23" s="3">
        <v>0</v>
      </c>
      <c r="G23" s="3">
        <v>0</v>
      </c>
      <c r="H23" s="1">
        <v>1</v>
      </c>
      <c r="I23" s="1">
        <v>1</v>
      </c>
      <c r="J23" s="1">
        <v>0</v>
      </c>
      <c r="K23" s="1">
        <v>0</v>
      </c>
    </row>
    <row r="24" spans="1:26" x14ac:dyDescent="0.3">
      <c r="D24" s="10" t="s">
        <v>8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1</v>
      </c>
      <c r="K24" s="1">
        <v>0</v>
      </c>
    </row>
    <row r="25" spans="1:26" x14ac:dyDescent="0.3">
      <c r="D25" s="10" t="s">
        <v>9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</row>
    <row r="26" spans="1:26" x14ac:dyDescent="0.3">
      <c r="M26" s="10" t="s">
        <v>229</v>
      </c>
      <c r="P26" s="10" t="s">
        <v>24</v>
      </c>
    </row>
    <row r="27" spans="1:26" x14ac:dyDescent="0.3">
      <c r="A27" s="10" t="s">
        <v>25</v>
      </c>
      <c r="D27" s="10" t="s">
        <v>26</v>
      </c>
      <c r="E27" s="11" t="s">
        <v>36</v>
      </c>
      <c r="F27" s="11" t="s">
        <v>5</v>
      </c>
      <c r="G27" s="11" t="s">
        <v>6</v>
      </c>
      <c r="H27" s="11" t="s">
        <v>231</v>
      </c>
      <c r="I27" s="11" t="s">
        <v>232</v>
      </c>
      <c r="J27" s="11" t="s">
        <v>8</v>
      </c>
      <c r="K27" s="11" t="s">
        <v>9</v>
      </c>
      <c r="M27" s="11" t="s">
        <v>231</v>
      </c>
      <c r="N27" s="11" t="s">
        <v>232</v>
      </c>
      <c r="U27" s="76"/>
      <c r="V27" s="11" t="s">
        <v>139</v>
      </c>
      <c r="W27" s="11" t="s">
        <v>140</v>
      </c>
      <c r="X27" s="11" t="s">
        <v>141</v>
      </c>
      <c r="Y27" s="11" t="s">
        <v>142</v>
      </c>
      <c r="Z27" s="11" t="s">
        <v>143</v>
      </c>
    </row>
    <row r="28" spans="1:26" x14ac:dyDescent="0.3">
      <c r="D28" s="76" t="s">
        <v>139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M28" s="10">
        <f>$H$13*$H$14</f>
        <v>1.8</v>
      </c>
      <c r="N28" s="10">
        <f t="array" ref="N28:N32">TRANSPOSE(P14:T14)*I13</f>
        <v>0</v>
      </c>
      <c r="P28" s="10">
        <f t="array" ref="P28:P32">MMULT(E28:K32,TRANSPOSE(E11:K11))</f>
        <v>0</v>
      </c>
      <c r="U28" s="76" t="s">
        <v>139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">
      <c r="D29" s="76" t="s">
        <v>140</v>
      </c>
      <c r="E29" s="12">
        <v>0</v>
      </c>
      <c r="F29" s="12">
        <v>4</v>
      </c>
      <c r="G29" s="12">
        <v>6</v>
      </c>
      <c r="H29" s="12">
        <v>0</v>
      </c>
      <c r="I29" s="12">
        <v>0</v>
      </c>
      <c r="J29" s="12">
        <v>4</v>
      </c>
      <c r="K29" s="12">
        <v>0</v>
      </c>
      <c r="M29" s="10">
        <f t="shared" ref="M29:M32" si="0">$H$13*$H$14</f>
        <v>1.8</v>
      </c>
      <c r="N29" s="10">
        <v>7.5</v>
      </c>
      <c r="P29" s="10">
        <v>0</v>
      </c>
      <c r="U29" s="76" t="s">
        <v>140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</row>
    <row r="30" spans="1:26" x14ac:dyDescent="0.3">
      <c r="D30" s="76" t="s">
        <v>141</v>
      </c>
      <c r="E30" s="12">
        <v>0</v>
      </c>
      <c r="F30" s="12">
        <v>3</v>
      </c>
      <c r="G30" s="12">
        <v>4.5</v>
      </c>
      <c r="H30" s="12">
        <v>0</v>
      </c>
      <c r="I30" s="12">
        <v>0</v>
      </c>
      <c r="J30" s="12">
        <v>3</v>
      </c>
      <c r="K30" s="12">
        <v>0</v>
      </c>
      <c r="M30" s="10">
        <f t="shared" si="0"/>
        <v>1.8</v>
      </c>
      <c r="N30" s="10">
        <v>12.5</v>
      </c>
      <c r="P30" s="10">
        <v>0</v>
      </c>
      <c r="U30" s="76" t="s">
        <v>141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</row>
    <row r="31" spans="1:26" x14ac:dyDescent="0.3">
      <c r="D31" s="76" t="s">
        <v>142</v>
      </c>
      <c r="E31" s="12">
        <v>0</v>
      </c>
      <c r="F31" s="12">
        <v>1</v>
      </c>
      <c r="G31" s="12">
        <v>1.5</v>
      </c>
      <c r="H31" s="12">
        <v>0</v>
      </c>
      <c r="I31" s="12">
        <v>0</v>
      </c>
      <c r="J31" s="12">
        <v>1</v>
      </c>
      <c r="K31" s="12">
        <v>0</v>
      </c>
      <c r="M31" s="10">
        <f t="shared" si="0"/>
        <v>1.8</v>
      </c>
      <c r="N31" s="10">
        <v>5</v>
      </c>
      <c r="P31" s="10">
        <v>0</v>
      </c>
      <c r="U31" s="76" t="s">
        <v>142</v>
      </c>
      <c r="V31" s="1">
        <v>1</v>
      </c>
      <c r="W31" s="1">
        <v>1</v>
      </c>
      <c r="X31" s="1">
        <v>1</v>
      </c>
      <c r="Y31" s="1">
        <v>1</v>
      </c>
      <c r="Z31" s="1">
        <v>0</v>
      </c>
    </row>
    <row r="32" spans="1:26" x14ac:dyDescent="0.3">
      <c r="D32" s="76" t="s">
        <v>143</v>
      </c>
      <c r="E32" s="12">
        <v>0</v>
      </c>
      <c r="F32" s="12">
        <v>2</v>
      </c>
      <c r="G32" s="12">
        <v>3</v>
      </c>
      <c r="H32" s="12">
        <v>0</v>
      </c>
      <c r="I32" s="12">
        <v>0</v>
      </c>
      <c r="J32" s="12">
        <v>2</v>
      </c>
      <c r="K32" s="12">
        <v>0</v>
      </c>
      <c r="M32" s="10">
        <f t="shared" si="0"/>
        <v>1.8</v>
      </c>
      <c r="N32" s="10">
        <v>0</v>
      </c>
      <c r="P32" s="10">
        <v>0</v>
      </c>
      <c r="U32" s="76" t="s">
        <v>143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</row>
    <row r="34" spans="1:17" x14ac:dyDescent="0.3">
      <c r="D34" s="10" t="s">
        <v>80</v>
      </c>
      <c r="E34" s="79">
        <f>SUM(E28:E32)</f>
        <v>0</v>
      </c>
      <c r="F34" s="79">
        <f t="shared" ref="F34:K34" si="1">SUM(F28:F32)</f>
        <v>10</v>
      </c>
      <c r="G34" s="79">
        <f t="shared" si="1"/>
        <v>15</v>
      </c>
      <c r="H34" s="79">
        <f t="shared" si="1"/>
        <v>0</v>
      </c>
      <c r="I34" s="79">
        <f t="shared" si="1"/>
        <v>0</v>
      </c>
      <c r="J34" s="79">
        <f t="shared" si="1"/>
        <v>10</v>
      </c>
      <c r="K34" s="79">
        <f t="shared" si="1"/>
        <v>0</v>
      </c>
      <c r="L34" s="79"/>
      <c r="P34" s="10">
        <f>SUM(P28:P32)</f>
        <v>0</v>
      </c>
      <c r="Q34" s="10" t="s">
        <v>92</v>
      </c>
    </row>
    <row r="35" spans="1:17" x14ac:dyDescent="0.3">
      <c r="M35" s="12"/>
    </row>
    <row r="37" spans="1:17" x14ac:dyDescent="0.3">
      <c r="A37" s="10" t="s">
        <v>367</v>
      </c>
    </row>
  </sheetData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C5D4-75FE-4F3A-A21A-B33161FE2962}">
  <sheetPr>
    <tabColor theme="7" tint="-0.249977111117893"/>
  </sheetPr>
  <dimension ref="A1:AJ70"/>
  <sheetViews>
    <sheetView showGridLines="0" zoomScale="70" zoomScaleNormal="70" workbookViewId="0">
      <selection activeCell="K29" sqref="K29:K30"/>
    </sheetView>
  </sheetViews>
  <sheetFormatPr defaultColWidth="9.21875" defaultRowHeight="14.4" x14ac:dyDescent="0.3"/>
  <cols>
    <col min="1" max="1" width="14.21875" style="10" customWidth="1"/>
    <col min="2" max="2" width="17.44140625" style="10" customWidth="1"/>
    <col min="3" max="3" width="5.77734375" style="10" customWidth="1"/>
    <col min="4" max="37" width="7" style="10" customWidth="1"/>
    <col min="38" max="16384" width="9.21875" style="10"/>
  </cols>
  <sheetData>
    <row r="1" spans="1:22" x14ac:dyDescent="0.3">
      <c r="H1" s="11" t="s">
        <v>209</v>
      </c>
      <c r="I1" s="11" t="s">
        <v>51</v>
      </c>
      <c r="J1" s="11" t="s">
        <v>380</v>
      </c>
      <c r="K1" s="11" t="s">
        <v>385</v>
      </c>
      <c r="L1" s="11" t="s">
        <v>386</v>
      </c>
    </row>
    <row r="2" spans="1:22" x14ac:dyDescent="0.3">
      <c r="E2" s="11" t="s">
        <v>138</v>
      </c>
      <c r="F2" s="11" t="s">
        <v>138</v>
      </c>
      <c r="G2" s="11" t="s">
        <v>138</v>
      </c>
      <c r="H2" s="11" t="s">
        <v>138</v>
      </c>
      <c r="I2" s="11" t="s">
        <v>138</v>
      </c>
      <c r="J2" s="11" t="s">
        <v>138</v>
      </c>
      <c r="K2" s="11" t="s">
        <v>138</v>
      </c>
      <c r="L2" s="11" t="s">
        <v>138</v>
      </c>
      <c r="P2" s="11" t="s">
        <v>139</v>
      </c>
      <c r="Q2" s="11" t="s">
        <v>140</v>
      </c>
      <c r="R2" s="11" t="s">
        <v>141</v>
      </c>
      <c r="S2" s="11" t="s">
        <v>142</v>
      </c>
      <c r="T2" s="11" t="s">
        <v>143</v>
      </c>
    </row>
    <row r="3" spans="1:22" x14ac:dyDescent="0.3">
      <c r="D3" s="10" t="s">
        <v>2</v>
      </c>
      <c r="E3" s="11" t="s">
        <v>36</v>
      </c>
      <c r="F3" s="11" t="s">
        <v>5</v>
      </c>
      <c r="G3" s="11" t="s">
        <v>6</v>
      </c>
      <c r="H3" s="11" t="s">
        <v>231</v>
      </c>
      <c r="I3" s="11" t="s">
        <v>232</v>
      </c>
      <c r="J3" s="11" t="s">
        <v>8</v>
      </c>
      <c r="K3" s="11" t="s">
        <v>387</v>
      </c>
      <c r="L3" s="11" t="s">
        <v>388</v>
      </c>
      <c r="N3" s="11" t="s">
        <v>10</v>
      </c>
    </row>
    <row r="4" spans="1:22" x14ac:dyDescent="0.3">
      <c r="A4" s="10" t="s">
        <v>116</v>
      </c>
      <c r="B4" s="10" t="s">
        <v>17</v>
      </c>
      <c r="C4" s="10" t="s">
        <v>138</v>
      </c>
      <c r="D4" s="10" t="s">
        <v>36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v>0</v>
      </c>
      <c r="K4" s="9">
        <v>-1</v>
      </c>
      <c r="L4" s="9">
        <v>0</v>
      </c>
      <c r="N4" s="13">
        <v>20</v>
      </c>
      <c r="P4" s="10">
        <f t="array" ref="P4:T6">MMULT(E20:G22,TRANSPOSE(E29:G33))-MMULT(H4:L6,TRANSPOSE(H29:L33))-N4:N6*TRANSPOSE(Q29:S33)</f>
        <v>0</v>
      </c>
      <c r="Q4" s="10">
        <v>0</v>
      </c>
      <c r="R4" s="10">
        <v>0</v>
      </c>
      <c r="S4" s="10">
        <v>0</v>
      </c>
      <c r="T4" s="10">
        <v>0</v>
      </c>
      <c r="V4" s="10" t="s">
        <v>215</v>
      </c>
    </row>
    <row r="5" spans="1:22" x14ac:dyDescent="0.3">
      <c r="B5" s="10" t="s">
        <v>381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N5" s="13">
        <v>10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2" x14ac:dyDescent="0.3">
      <c r="B6" s="10" t="s">
        <v>382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9">
        <v>0</v>
      </c>
      <c r="I6" s="9">
        <v>0</v>
      </c>
      <c r="J6" s="9">
        <v>1.5</v>
      </c>
      <c r="K6" s="9">
        <v>0</v>
      </c>
      <c r="L6" s="9">
        <v>0</v>
      </c>
      <c r="N6" s="13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2" x14ac:dyDescent="0.3">
      <c r="A7" s="10" t="s">
        <v>19</v>
      </c>
      <c r="B7" s="10" t="s">
        <v>120</v>
      </c>
      <c r="C7" s="10" t="s">
        <v>138</v>
      </c>
      <c r="D7" s="10" t="s">
        <v>7</v>
      </c>
      <c r="E7" s="9">
        <v>1</v>
      </c>
      <c r="F7" s="9">
        <v>0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N7" s="12">
        <v>0</v>
      </c>
      <c r="P7" s="10">
        <f t="array" ref="P7:T9">MMULT(E7:G9,TRANSPOSE(E29:G33))-MMULT(H23:L25,TRANSPOSE(H29:L33))</f>
        <v>0</v>
      </c>
      <c r="Q7" s="10">
        <v>0</v>
      </c>
      <c r="R7" s="10">
        <v>0</v>
      </c>
      <c r="S7" s="10">
        <v>0</v>
      </c>
      <c r="T7" s="10">
        <v>0</v>
      </c>
      <c r="V7" s="10" t="s">
        <v>217</v>
      </c>
    </row>
    <row r="8" spans="1:22" x14ac:dyDescent="0.3">
      <c r="B8" s="10" t="s">
        <v>383</v>
      </c>
      <c r="C8" s="10" t="s">
        <v>138</v>
      </c>
      <c r="D8" s="10" t="s">
        <v>8</v>
      </c>
      <c r="E8" s="9">
        <v>0</v>
      </c>
      <c r="F8" s="9">
        <v>1</v>
      </c>
      <c r="G8" s="9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N8" s="12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2" x14ac:dyDescent="0.3">
      <c r="B9" s="10" t="s">
        <v>389</v>
      </c>
      <c r="C9" s="10" t="s">
        <v>138</v>
      </c>
      <c r="D9" s="10" t="s">
        <v>9</v>
      </c>
      <c r="E9" s="9">
        <v>0</v>
      </c>
      <c r="F9" s="9">
        <v>0</v>
      </c>
      <c r="G9" s="9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N9" s="12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1" spans="1:22" x14ac:dyDescent="0.3">
      <c r="A11" s="10" t="s">
        <v>14</v>
      </c>
      <c r="B11" s="10" t="s">
        <v>24</v>
      </c>
      <c r="D11" s="10" t="s">
        <v>45</v>
      </c>
      <c r="E11" s="10">
        <v>0</v>
      </c>
      <c r="F11" s="10">
        <v>0</v>
      </c>
      <c r="G11" s="10">
        <v>0</v>
      </c>
      <c r="H11" s="9">
        <v>2.5</v>
      </c>
      <c r="I11" s="9">
        <v>0</v>
      </c>
      <c r="J11" s="9">
        <v>0</v>
      </c>
      <c r="K11" s="9">
        <v>0</v>
      </c>
      <c r="L11" s="9">
        <v>0</v>
      </c>
    </row>
    <row r="13" spans="1:22" x14ac:dyDescent="0.3">
      <c r="A13" s="10" t="s">
        <v>221</v>
      </c>
      <c r="B13" s="10" t="s">
        <v>222</v>
      </c>
      <c r="D13" s="10" t="s">
        <v>223</v>
      </c>
      <c r="E13" s="10">
        <v>0</v>
      </c>
      <c r="F13" s="10">
        <v>0</v>
      </c>
      <c r="G13" s="10">
        <v>0</v>
      </c>
      <c r="H13" s="9">
        <v>10</v>
      </c>
      <c r="I13" s="9">
        <v>100</v>
      </c>
      <c r="J13" s="9">
        <v>0</v>
      </c>
      <c r="K13" s="9">
        <v>40</v>
      </c>
      <c r="L13" s="9">
        <v>0</v>
      </c>
    </row>
    <row r="14" spans="1:22" x14ac:dyDescent="0.3">
      <c r="B14" s="10" t="s">
        <v>224</v>
      </c>
      <c r="D14" s="10" t="s">
        <v>225</v>
      </c>
      <c r="E14" s="10">
        <v>0</v>
      </c>
      <c r="F14" s="10">
        <v>0</v>
      </c>
      <c r="G14" s="10">
        <v>0</v>
      </c>
      <c r="H14" s="9">
        <v>0.9</v>
      </c>
      <c r="I14" s="117" t="s">
        <v>226</v>
      </c>
      <c r="J14" s="117">
        <v>0</v>
      </c>
      <c r="K14" s="9">
        <v>0</v>
      </c>
      <c r="L14" s="117">
        <v>0</v>
      </c>
    </row>
    <row r="15" spans="1:22" x14ac:dyDescent="0.3">
      <c r="B15" s="10" t="s">
        <v>369</v>
      </c>
      <c r="D15" s="10" t="s">
        <v>370</v>
      </c>
      <c r="E15" s="10">
        <v>0</v>
      </c>
      <c r="F15" s="10">
        <v>0</v>
      </c>
      <c r="G15" s="10">
        <v>0</v>
      </c>
      <c r="H15" s="9">
        <v>0</v>
      </c>
      <c r="I15" s="117">
        <v>0</v>
      </c>
      <c r="J15" s="117">
        <v>0</v>
      </c>
      <c r="K15" s="9">
        <v>0.1</v>
      </c>
      <c r="L15" s="117">
        <v>0</v>
      </c>
    </row>
    <row r="16" spans="1:22" x14ac:dyDescent="0.3">
      <c r="B16" s="10" t="s">
        <v>371</v>
      </c>
      <c r="D16" s="10" t="s">
        <v>372</v>
      </c>
      <c r="E16" s="10">
        <v>0</v>
      </c>
      <c r="F16" s="10">
        <v>0</v>
      </c>
      <c r="G16" s="10">
        <v>0</v>
      </c>
      <c r="H16" s="9">
        <v>0</v>
      </c>
      <c r="I16" s="117">
        <v>0</v>
      </c>
      <c r="J16" s="117">
        <v>0</v>
      </c>
      <c r="K16" s="9">
        <v>0.2</v>
      </c>
      <c r="L16" s="117">
        <v>0</v>
      </c>
    </row>
    <row r="17" spans="1:36" x14ac:dyDescent="0.3">
      <c r="B17" s="10" t="s">
        <v>373</v>
      </c>
      <c r="D17" s="10" t="s">
        <v>374</v>
      </c>
      <c r="E17" s="10">
        <v>0</v>
      </c>
      <c r="F17" s="10">
        <v>0</v>
      </c>
      <c r="G17" s="10">
        <v>0</v>
      </c>
      <c r="H17" s="9">
        <v>0</v>
      </c>
      <c r="I17" s="117">
        <v>0</v>
      </c>
      <c r="J17" s="117">
        <v>0</v>
      </c>
      <c r="K17" s="9">
        <f>K16</f>
        <v>0.2</v>
      </c>
      <c r="L17" s="117">
        <v>0</v>
      </c>
    </row>
    <row r="19" spans="1:36" x14ac:dyDescent="0.3">
      <c r="A19" s="10" t="s">
        <v>366</v>
      </c>
      <c r="D19" s="10" t="s">
        <v>49</v>
      </c>
      <c r="E19" s="11" t="s">
        <v>36</v>
      </c>
      <c r="F19" s="11" t="s">
        <v>5</v>
      </c>
      <c r="G19" s="11" t="s">
        <v>6</v>
      </c>
      <c r="H19" s="11" t="s">
        <v>231</v>
      </c>
      <c r="I19" s="11" t="s">
        <v>232</v>
      </c>
      <c r="J19" s="11" t="s">
        <v>8</v>
      </c>
      <c r="K19" s="11" t="s">
        <v>387</v>
      </c>
      <c r="L19" s="11" t="s">
        <v>388</v>
      </c>
    </row>
    <row r="20" spans="1:36" x14ac:dyDescent="0.3">
      <c r="D20" s="10" t="s">
        <v>36</v>
      </c>
      <c r="E20" s="1">
        <v>1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36" x14ac:dyDescent="0.3">
      <c r="D21" s="10" t="s">
        <v>5</v>
      </c>
      <c r="E21" s="1">
        <v>0</v>
      </c>
      <c r="F21" s="1">
        <v>1</v>
      </c>
      <c r="G21" s="1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36" x14ac:dyDescent="0.3">
      <c r="D22" s="10" t="s">
        <v>6</v>
      </c>
      <c r="E22" s="1">
        <v>0</v>
      </c>
      <c r="F22" s="1">
        <v>0</v>
      </c>
      <c r="G22" s="1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36" x14ac:dyDescent="0.3">
      <c r="D23" s="10" t="s">
        <v>7</v>
      </c>
      <c r="E23" s="3">
        <v>0</v>
      </c>
      <c r="F23" s="3">
        <v>0</v>
      </c>
      <c r="G23" s="3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</row>
    <row r="24" spans="1:36" x14ac:dyDescent="0.3">
      <c r="D24" s="10" t="s">
        <v>8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36" x14ac:dyDescent="0.3">
      <c r="D25" s="10" t="s">
        <v>9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7" spans="1:36" x14ac:dyDescent="0.3">
      <c r="J27" s="11"/>
      <c r="K27" s="11" t="s">
        <v>651</v>
      </c>
      <c r="L27" s="11" t="s">
        <v>650</v>
      </c>
      <c r="M27" s="11" t="s">
        <v>649</v>
      </c>
      <c r="P27" s="76"/>
      <c r="Q27" s="11" t="s">
        <v>375</v>
      </c>
      <c r="U27" s="11" t="s">
        <v>359</v>
      </c>
      <c r="V27" s="11"/>
      <c r="W27" s="11" t="s">
        <v>376</v>
      </c>
      <c r="Y27" s="10" t="s">
        <v>229</v>
      </c>
      <c r="AB27" s="10" t="s">
        <v>24</v>
      </c>
    </row>
    <row r="28" spans="1:36" x14ac:dyDescent="0.3">
      <c r="A28" s="10" t="s">
        <v>25</v>
      </c>
      <c r="D28" s="10" t="s">
        <v>26</v>
      </c>
      <c r="E28" s="11" t="s">
        <v>36</v>
      </c>
      <c r="F28" s="11" t="s">
        <v>5</v>
      </c>
      <c r="G28" s="11" t="s">
        <v>6</v>
      </c>
      <c r="H28" s="11" t="s">
        <v>231</v>
      </c>
      <c r="I28" s="11" t="s">
        <v>232</v>
      </c>
      <c r="J28" s="11" t="s">
        <v>8</v>
      </c>
      <c r="K28" s="11" t="s">
        <v>9</v>
      </c>
      <c r="L28" s="11" t="s">
        <v>174</v>
      </c>
      <c r="Q28" s="11" t="s">
        <v>377</v>
      </c>
      <c r="R28" s="11" t="s">
        <v>390</v>
      </c>
      <c r="S28" s="11" t="s">
        <v>391</v>
      </c>
      <c r="V28" s="11"/>
      <c r="Y28" s="11" t="s">
        <v>231</v>
      </c>
      <c r="Z28" s="11" t="s">
        <v>232</v>
      </c>
      <c r="AE28" s="76"/>
      <c r="AF28" s="11" t="s">
        <v>139</v>
      </c>
      <c r="AG28" s="11" t="s">
        <v>140</v>
      </c>
      <c r="AH28" s="11" t="s">
        <v>141</v>
      </c>
      <c r="AI28" s="11" t="s">
        <v>142</v>
      </c>
      <c r="AJ28" s="11" t="s">
        <v>143</v>
      </c>
    </row>
    <row r="29" spans="1:36" x14ac:dyDescent="0.3">
      <c r="D29" s="76" t="s">
        <v>139</v>
      </c>
      <c r="E29" s="12">
        <v>4</v>
      </c>
      <c r="F29" s="12">
        <v>2</v>
      </c>
      <c r="G29" s="12">
        <v>3</v>
      </c>
      <c r="H29" s="12">
        <v>4</v>
      </c>
      <c r="I29" s="12">
        <v>0</v>
      </c>
      <c r="J29" s="12">
        <v>2</v>
      </c>
      <c r="K29" s="12">
        <v>-3</v>
      </c>
      <c r="L29" s="12">
        <v>3</v>
      </c>
      <c r="M29" s="10">
        <f>K29+L29</f>
        <v>0</v>
      </c>
      <c r="P29" s="76" t="s">
        <v>139</v>
      </c>
      <c r="Q29" s="9">
        <v>0.05</v>
      </c>
      <c r="R29" s="9">
        <v>0.2</v>
      </c>
      <c r="S29" s="9">
        <v>0</v>
      </c>
      <c r="U29" s="215">
        <f t="array" ref="U29:U33">U35+MMULT(AF29:AJ33,(-K29:K33-L29:L33))</f>
        <v>8</v>
      </c>
      <c r="W29" s="9">
        <v>0</v>
      </c>
      <c r="Y29" s="10">
        <f>$H$13*$H$14</f>
        <v>9</v>
      </c>
      <c r="Z29" s="10">
        <f t="array" ref="Z29:Z33">W29:W33*I13</f>
        <v>0</v>
      </c>
      <c r="AB29" s="10">
        <f t="array" ref="AB29:AB33">MMULT(E29:L33,TRANSPOSE(E11:L11))</f>
        <v>10</v>
      </c>
      <c r="AE29" s="76" t="s">
        <v>139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3">
      <c r="D30" s="76" t="s">
        <v>140</v>
      </c>
      <c r="E30" s="12">
        <v>20.5</v>
      </c>
      <c r="F30" s="12">
        <v>1</v>
      </c>
      <c r="G30" s="12">
        <v>1.5</v>
      </c>
      <c r="H30" s="12">
        <v>0</v>
      </c>
      <c r="I30" s="12">
        <v>20.5</v>
      </c>
      <c r="J30" s="12">
        <v>1</v>
      </c>
      <c r="K30" s="12">
        <v>-13.5</v>
      </c>
      <c r="L30" s="12">
        <v>1.5</v>
      </c>
      <c r="M30" s="10">
        <f t="shared" ref="M30:M33" si="0">K30+L30</f>
        <v>-12</v>
      </c>
      <c r="P30" s="76" t="s">
        <v>140</v>
      </c>
      <c r="Q30" s="9">
        <v>0.35</v>
      </c>
      <c r="R30" s="9">
        <v>0.1</v>
      </c>
      <c r="S30" s="9">
        <v>0</v>
      </c>
      <c r="U30" s="216">
        <v>20</v>
      </c>
      <c r="W30" s="9">
        <v>0.3</v>
      </c>
      <c r="Y30" s="10">
        <f t="shared" ref="Y30:Y33" si="1">$H$13*$H$14</f>
        <v>9</v>
      </c>
      <c r="Z30" s="10">
        <v>30</v>
      </c>
      <c r="AB30" s="10">
        <v>0</v>
      </c>
      <c r="AE30" s="76" t="s">
        <v>140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</row>
    <row r="31" spans="1:36" x14ac:dyDescent="0.3">
      <c r="D31" s="76" t="s">
        <v>141</v>
      </c>
      <c r="E31" s="12">
        <v>0</v>
      </c>
      <c r="F31" s="12">
        <v>2</v>
      </c>
      <c r="G31" s="12">
        <v>3</v>
      </c>
      <c r="H31" s="12">
        <v>0</v>
      </c>
      <c r="I31" s="12">
        <v>0</v>
      </c>
      <c r="J31" s="12">
        <v>2</v>
      </c>
      <c r="K31" s="12">
        <v>3</v>
      </c>
      <c r="L31" s="12">
        <v>3</v>
      </c>
      <c r="M31" s="10">
        <f t="shared" si="0"/>
        <v>6</v>
      </c>
      <c r="P31" s="76" t="s">
        <v>141</v>
      </c>
      <c r="Q31" s="9">
        <v>0.15</v>
      </c>
      <c r="R31" s="9">
        <v>0.2</v>
      </c>
      <c r="S31" s="9">
        <v>0</v>
      </c>
      <c r="U31" s="216">
        <v>14</v>
      </c>
      <c r="W31" s="9">
        <v>0.5</v>
      </c>
      <c r="Y31" s="10">
        <f t="shared" si="1"/>
        <v>9</v>
      </c>
      <c r="Z31" s="10">
        <v>50</v>
      </c>
      <c r="AB31" s="10">
        <v>0</v>
      </c>
      <c r="AE31" s="76" t="s">
        <v>141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</row>
    <row r="32" spans="1:36" x14ac:dyDescent="0.3">
      <c r="D32" s="76" t="s">
        <v>142</v>
      </c>
      <c r="E32" s="12">
        <v>10.5</v>
      </c>
      <c r="F32" s="12">
        <v>0.5</v>
      </c>
      <c r="G32" s="12">
        <v>0.75</v>
      </c>
      <c r="H32" s="12">
        <v>0</v>
      </c>
      <c r="I32" s="12">
        <v>10.5</v>
      </c>
      <c r="J32" s="12">
        <v>0.5</v>
      </c>
      <c r="K32" s="12">
        <v>-5.5</v>
      </c>
      <c r="L32" s="12">
        <v>0.75</v>
      </c>
      <c r="M32" s="10">
        <f>K32+L32</f>
        <v>-4.75</v>
      </c>
      <c r="P32" s="76" t="s">
        <v>142</v>
      </c>
      <c r="Q32" s="9">
        <v>0.25</v>
      </c>
      <c r="R32" s="9">
        <v>0.05</v>
      </c>
      <c r="S32" s="9">
        <v>0</v>
      </c>
      <c r="U32" s="216">
        <v>18.75</v>
      </c>
      <c r="W32" s="9">
        <v>0.2</v>
      </c>
      <c r="Y32" s="10">
        <f t="shared" si="1"/>
        <v>9</v>
      </c>
      <c r="Z32" s="10">
        <v>20</v>
      </c>
      <c r="AB32" s="10">
        <v>0</v>
      </c>
      <c r="AE32" s="76" t="s">
        <v>142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</row>
    <row r="33" spans="4:36" x14ac:dyDescent="0.3">
      <c r="D33" s="76" t="s">
        <v>143</v>
      </c>
      <c r="E33" s="12">
        <v>0</v>
      </c>
      <c r="F33" s="12">
        <v>4.5</v>
      </c>
      <c r="G33" s="12">
        <v>6.75</v>
      </c>
      <c r="H33" s="12">
        <v>0</v>
      </c>
      <c r="I33" s="12">
        <v>0</v>
      </c>
      <c r="J33" s="12">
        <v>4.5</v>
      </c>
      <c r="K33" s="12">
        <v>4</v>
      </c>
      <c r="L33" s="12">
        <v>6.75</v>
      </c>
      <c r="M33" s="10">
        <f t="shared" si="0"/>
        <v>10.75</v>
      </c>
      <c r="P33" s="76" t="s">
        <v>143</v>
      </c>
      <c r="Q33" s="9">
        <v>0.2</v>
      </c>
      <c r="R33" s="9">
        <v>0.45</v>
      </c>
      <c r="S33" s="9">
        <v>0</v>
      </c>
      <c r="U33" s="216">
        <v>8</v>
      </c>
      <c r="W33" s="9">
        <v>0</v>
      </c>
      <c r="Y33" s="10">
        <f t="shared" si="1"/>
        <v>9</v>
      </c>
      <c r="Z33" s="10">
        <v>0</v>
      </c>
      <c r="AB33" s="10">
        <v>0</v>
      </c>
      <c r="AE33" s="76" t="s">
        <v>143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</row>
    <row r="35" spans="4:36" x14ac:dyDescent="0.3">
      <c r="D35" s="10" t="s">
        <v>80</v>
      </c>
      <c r="E35" s="79">
        <f>SUM(E29:E33)</f>
        <v>35</v>
      </c>
      <c r="F35" s="79">
        <f t="shared" ref="F35:K35" si="2">SUM(F29:F33)</f>
        <v>10</v>
      </c>
      <c r="G35" s="79">
        <f t="shared" si="2"/>
        <v>15</v>
      </c>
      <c r="H35" s="79">
        <f t="shared" si="2"/>
        <v>4</v>
      </c>
      <c r="I35" s="79">
        <f t="shared" si="2"/>
        <v>31</v>
      </c>
      <c r="J35" s="79">
        <f t="shared" si="2"/>
        <v>10</v>
      </c>
      <c r="K35" s="79">
        <f t="shared" si="2"/>
        <v>-15</v>
      </c>
      <c r="L35" s="79">
        <f t="shared" ref="L35" si="3">SUM(L29:L33)</f>
        <v>15</v>
      </c>
      <c r="M35" s="79"/>
      <c r="P35" s="10" t="s">
        <v>362</v>
      </c>
      <c r="U35" s="180">
        <f>K13*K16</f>
        <v>8</v>
      </c>
      <c r="AB35" s="10">
        <f>SUM(AB29:AB33)</f>
        <v>10</v>
      </c>
      <c r="AC35" s="10" t="s">
        <v>92</v>
      </c>
    </row>
    <row r="36" spans="4:36" x14ac:dyDescent="0.3">
      <c r="P36" s="10" t="s">
        <v>364</v>
      </c>
      <c r="U36" s="180">
        <f>K13*K17</f>
        <v>8</v>
      </c>
      <c r="AB36" s="12"/>
    </row>
    <row r="37" spans="4:36" x14ac:dyDescent="0.3">
      <c r="K37" s="10">
        <f>SUM(K29:K33)</f>
        <v>-15</v>
      </c>
      <c r="L37" s="10">
        <f>SUM(L29:L33)</f>
        <v>15</v>
      </c>
      <c r="M37" s="10">
        <f>SUM(K37:L37)</f>
        <v>0</v>
      </c>
      <c r="P37" s="10" t="s">
        <v>363</v>
      </c>
      <c r="U37" s="180">
        <v>20</v>
      </c>
    </row>
    <row r="38" spans="4:36" x14ac:dyDescent="0.3">
      <c r="P38" s="10" t="s">
        <v>365</v>
      </c>
      <c r="U38" s="180">
        <f>K13*K15</f>
        <v>4</v>
      </c>
    </row>
    <row r="40" spans="4:36" x14ac:dyDescent="0.3">
      <c r="D40" s="10" t="s">
        <v>652</v>
      </c>
    </row>
    <row r="58" spans="7:26" x14ac:dyDescent="0.3">
      <c r="Z58" s="11"/>
    </row>
    <row r="64" spans="7:26" x14ac:dyDescent="0.3">
      <c r="G64" s="10" t="s">
        <v>654</v>
      </c>
      <c r="K64" s="11" t="s">
        <v>653</v>
      </c>
      <c r="N64" s="10" t="s">
        <v>655</v>
      </c>
    </row>
    <row r="65" spans="6:15" x14ac:dyDescent="0.3">
      <c r="G65" s="11" t="s">
        <v>231</v>
      </c>
      <c r="H65" s="11" t="s">
        <v>232</v>
      </c>
      <c r="I65" s="11" t="s">
        <v>656</v>
      </c>
      <c r="K65" s="11" t="s">
        <v>10</v>
      </c>
      <c r="L65" s="11" t="s">
        <v>657</v>
      </c>
      <c r="N65" s="11"/>
      <c r="O65" s="11"/>
    </row>
    <row r="66" spans="6:15" x14ac:dyDescent="0.3">
      <c r="F66" s="76" t="s">
        <v>139</v>
      </c>
      <c r="G66" s="10">
        <f t="array" ref="G66:H70">H29:I33</f>
        <v>4</v>
      </c>
      <c r="H66" s="10">
        <v>0</v>
      </c>
      <c r="I66" s="10">
        <f>IF(K29&gt;=0,K29,0)</f>
        <v>0</v>
      </c>
      <c r="K66" s="10">
        <f t="array" ref="K66:K70">N4*Q29:Q33</f>
        <v>1</v>
      </c>
      <c r="L66" s="10">
        <f>IF(K29&lt;=0,-K29,0)</f>
        <v>3</v>
      </c>
      <c r="N66" s="10">
        <f>SUM(G66:I66)-SUM(K66:L66)</f>
        <v>0</v>
      </c>
    </row>
    <row r="67" spans="6:15" x14ac:dyDescent="0.3">
      <c r="F67" s="76" t="s">
        <v>140</v>
      </c>
      <c r="G67" s="10">
        <v>0</v>
      </c>
      <c r="H67" s="10">
        <v>20.5</v>
      </c>
      <c r="I67" s="10">
        <f>IF(K30&gt;=0,K30,0)</f>
        <v>0</v>
      </c>
      <c r="K67" s="10">
        <v>7</v>
      </c>
      <c r="L67" s="10">
        <f>IF(K30&lt;=0,-K30,0)</f>
        <v>13.5</v>
      </c>
      <c r="N67" s="10">
        <f t="shared" ref="N67:N70" si="4">SUM(G67:I67)-SUM(K67:L67)</f>
        <v>0</v>
      </c>
    </row>
    <row r="68" spans="6:15" x14ac:dyDescent="0.3">
      <c r="F68" s="76" t="s">
        <v>141</v>
      </c>
      <c r="G68" s="10">
        <v>0</v>
      </c>
      <c r="H68" s="10">
        <v>0</v>
      </c>
      <c r="I68" s="10">
        <f>IF(K31&gt;=0,K31,0)</f>
        <v>3</v>
      </c>
      <c r="K68" s="10">
        <v>3</v>
      </c>
      <c r="L68" s="10">
        <f>IF(K31&lt;=0,-K31,0)</f>
        <v>0</v>
      </c>
      <c r="N68" s="10">
        <f t="shared" si="4"/>
        <v>0</v>
      </c>
    </row>
    <row r="69" spans="6:15" x14ac:dyDescent="0.3">
      <c r="F69" s="76" t="s">
        <v>142</v>
      </c>
      <c r="G69" s="10">
        <v>0</v>
      </c>
      <c r="H69" s="10">
        <v>10.5</v>
      </c>
      <c r="I69" s="10">
        <f>IF(K32&gt;=0,K32,0)</f>
        <v>0</v>
      </c>
      <c r="K69" s="10">
        <v>5</v>
      </c>
      <c r="L69" s="10">
        <f>IF(K32&lt;=0,-K32,0)</f>
        <v>5.5</v>
      </c>
      <c r="N69" s="10">
        <f t="shared" si="4"/>
        <v>0</v>
      </c>
    </row>
    <row r="70" spans="6:15" x14ac:dyDescent="0.3">
      <c r="F70" s="76" t="s">
        <v>143</v>
      </c>
      <c r="G70" s="10">
        <v>0</v>
      </c>
      <c r="H70" s="10">
        <v>0</v>
      </c>
      <c r="I70" s="10">
        <f>IF(K33&gt;=0,K33,0)</f>
        <v>4</v>
      </c>
      <c r="K70" s="10">
        <v>4</v>
      </c>
      <c r="L70" s="10">
        <f>IF(K33&lt;=0,-K33,0)</f>
        <v>0</v>
      </c>
      <c r="N70" s="10">
        <f t="shared" si="4"/>
        <v>0</v>
      </c>
    </row>
  </sheetData>
  <dataConsolidate/>
  <phoneticPr fontId="2" type="noConversion"/>
  <conditionalFormatting sqref="Q29:Q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{A3CEA332-4C16-41EF-BF2C-4CF83450168E}</x14:id>
        </ext>
      </extLst>
    </cfRule>
  </conditionalFormatting>
  <conditionalFormatting sqref="R29:R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{540C58AC-704C-46BA-B0DD-40464A24EDE0}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CEA332-4C16-41EF-BF2C-4CF83450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Q29:Q33</xm:sqref>
        </x14:conditionalFormatting>
        <x14:conditionalFormatting xmlns:xm="http://schemas.microsoft.com/office/excel/2006/main">
          <x14:cfRule type="dataBar" id="{540C58AC-704C-46BA-B0DD-40464A24ED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R29:R33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994-7FB6-40B7-ADAE-37CEFD42ACBB}">
  <sheetPr>
    <tabColor theme="7" tint="-0.249977111117893"/>
  </sheetPr>
  <dimension ref="A1:AJ37"/>
  <sheetViews>
    <sheetView showGridLines="0" topLeftCell="B1" zoomScale="115" zoomScaleNormal="115" workbookViewId="0">
      <selection activeCell="N28" sqref="N28"/>
    </sheetView>
  </sheetViews>
  <sheetFormatPr defaultColWidth="9.21875" defaultRowHeight="14.4" x14ac:dyDescent="0.3"/>
  <cols>
    <col min="1" max="1" width="14.21875" style="10" customWidth="1"/>
    <col min="2" max="2" width="17.44140625" style="10" customWidth="1"/>
    <col min="3" max="3" width="5.77734375" style="10" customWidth="1"/>
    <col min="4" max="37" width="7" style="10" customWidth="1"/>
    <col min="38" max="16384" width="9.21875" style="10"/>
  </cols>
  <sheetData>
    <row r="1" spans="1:22" x14ac:dyDescent="0.3">
      <c r="H1" s="11" t="s">
        <v>209</v>
      </c>
      <c r="I1" s="11" t="s">
        <v>51</v>
      </c>
      <c r="J1" s="11" t="s">
        <v>380</v>
      </c>
      <c r="K1" s="11" t="s">
        <v>385</v>
      </c>
      <c r="L1" s="11" t="s">
        <v>386</v>
      </c>
    </row>
    <row r="2" spans="1:22" x14ac:dyDescent="0.3">
      <c r="E2" s="11" t="s">
        <v>138</v>
      </c>
      <c r="F2" s="11" t="s">
        <v>138</v>
      </c>
      <c r="G2" s="11" t="s">
        <v>138</v>
      </c>
      <c r="H2" s="11" t="s">
        <v>138</v>
      </c>
      <c r="I2" s="11" t="s">
        <v>138</v>
      </c>
      <c r="J2" s="11" t="s">
        <v>138</v>
      </c>
      <c r="K2" s="11" t="s">
        <v>138</v>
      </c>
      <c r="L2" s="11" t="s">
        <v>138</v>
      </c>
      <c r="P2" s="11" t="s">
        <v>139</v>
      </c>
      <c r="Q2" s="11" t="s">
        <v>140</v>
      </c>
      <c r="R2" s="11" t="s">
        <v>141</v>
      </c>
      <c r="S2" s="11" t="s">
        <v>142</v>
      </c>
      <c r="T2" s="11" t="s">
        <v>143</v>
      </c>
    </row>
    <row r="3" spans="1:22" x14ac:dyDescent="0.3">
      <c r="D3" s="10" t="s">
        <v>2</v>
      </c>
      <c r="E3" s="11" t="s">
        <v>36</v>
      </c>
      <c r="F3" s="11" t="s">
        <v>5</v>
      </c>
      <c r="G3" s="11" t="s">
        <v>6</v>
      </c>
      <c r="H3" s="11" t="s">
        <v>231</v>
      </c>
      <c r="I3" s="11" t="s">
        <v>232</v>
      </c>
      <c r="J3" s="11" t="s">
        <v>8</v>
      </c>
      <c r="K3" s="11" t="s">
        <v>387</v>
      </c>
      <c r="L3" s="11" t="s">
        <v>388</v>
      </c>
      <c r="N3" s="11" t="s">
        <v>10</v>
      </c>
    </row>
    <row r="4" spans="1:22" x14ac:dyDescent="0.3">
      <c r="A4" s="10" t="s">
        <v>116</v>
      </c>
      <c r="B4" s="10" t="s">
        <v>17</v>
      </c>
      <c r="C4" s="10" t="s">
        <v>138</v>
      </c>
      <c r="D4" s="10" t="s">
        <v>36</v>
      </c>
      <c r="E4" s="10">
        <v>0</v>
      </c>
      <c r="F4" s="10">
        <v>0</v>
      </c>
      <c r="G4" s="10">
        <v>0</v>
      </c>
      <c r="H4" s="9">
        <v>0</v>
      </c>
      <c r="I4" s="9">
        <v>0</v>
      </c>
      <c r="J4" s="9">
        <v>0</v>
      </c>
      <c r="K4" s="9">
        <v>-1</v>
      </c>
      <c r="L4" s="9">
        <v>0</v>
      </c>
      <c r="N4" s="13">
        <v>10</v>
      </c>
      <c r="P4" s="10">
        <f t="array" ref="P4:T6">MMULT(E20:G22,TRANSPOSE(E28:G32))-MMULT(H4:L6,TRANSPOSE(H28:L32))-N4:N6*TRANSPOSE(Q28:S32)</f>
        <v>0</v>
      </c>
      <c r="Q4" s="10">
        <v>0</v>
      </c>
      <c r="R4" s="10">
        <v>0</v>
      </c>
      <c r="S4" s="10">
        <v>0</v>
      </c>
      <c r="T4" s="10">
        <v>0</v>
      </c>
      <c r="V4" s="10" t="s">
        <v>215</v>
      </c>
    </row>
    <row r="5" spans="1:22" x14ac:dyDescent="0.3">
      <c r="B5" s="10" t="s">
        <v>381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N5" s="13">
        <v>10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2" x14ac:dyDescent="0.3">
      <c r="B6" s="10" t="s">
        <v>382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9">
        <v>0</v>
      </c>
      <c r="I6" s="9">
        <v>0</v>
      </c>
      <c r="J6" s="9">
        <v>1.5</v>
      </c>
      <c r="K6" s="9">
        <v>0</v>
      </c>
      <c r="L6" s="9">
        <v>0</v>
      </c>
      <c r="N6" s="13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2" x14ac:dyDescent="0.3">
      <c r="A7" s="10" t="s">
        <v>19</v>
      </c>
      <c r="B7" s="10" t="s">
        <v>120</v>
      </c>
      <c r="C7" s="10" t="s">
        <v>138</v>
      </c>
      <c r="D7" s="10" t="s">
        <v>7</v>
      </c>
      <c r="E7" s="9">
        <v>1</v>
      </c>
      <c r="F7" s="9">
        <v>0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N7" s="12">
        <v>0</v>
      </c>
      <c r="P7" s="10">
        <f t="array" ref="P7:T9">MMULT(E7:G9,TRANSPOSE(E28:G32))-MMULT(H23:L25,TRANSPOSE(H28:L32))</f>
        <v>0</v>
      </c>
      <c r="Q7" s="10">
        <v>0</v>
      </c>
      <c r="R7" s="10">
        <v>0</v>
      </c>
      <c r="S7" s="10">
        <v>0</v>
      </c>
      <c r="T7" s="10">
        <v>0</v>
      </c>
      <c r="V7" s="10" t="s">
        <v>217</v>
      </c>
    </row>
    <row r="8" spans="1:22" x14ac:dyDescent="0.3">
      <c r="B8" s="10" t="s">
        <v>383</v>
      </c>
      <c r="C8" s="10" t="s">
        <v>138</v>
      </c>
      <c r="D8" s="10" t="s">
        <v>8</v>
      </c>
      <c r="E8" s="9">
        <v>0</v>
      </c>
      <c r="F8" s="9">
        <v>1</v>
      </c>
      <c r="G8" s="9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N8" s="12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2" x14ac:dyDescent="0.3">
      <c r="B9" s="10" t="s">
        <v>389</v>
      </c>
      <c r="C9" s="10" t="s">
        <v>138</v>
      </c>
      <c r="D9" s="10" t="s">
        <v>9</v>
      </c>
      <c r="E9" s="9">
        <v>0</v>
      </c>
      <c r="F9" s="9">
        <v>0</v>
      </c>
      <c r="G9" s="9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N9" s="12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1" spans="1:22" x14ac:dyDescent="0.3">
      <c r="A11" s="10" t="s">
        <v>14</v>
      </c>
      <c r="B11" s="10" t="s">
        <v>24</v>
      </c>
      <c r="D11" s="10" t="s">
        <v>45</v>
      </c>
      <c r="E11" s="10">
        <v>0</v>
      </c>
      <c r="F11" s="10">
        <v>0</v>
      </c>
      <c r="G11" s="10">
        <v>0</v>
      </c>
      <c r="H11" s="9">
        <v>2.5</v>
      </c>
      <c r="I11" s="9">
        <v>0</v>
      </c>
      <c r="J11" s="9">
        <v>0</v>
      </c>
      <c r="K11" s="9">
        <v>0</v>
      </c>
      <c r="L11" s="9">
        <v>0</v>
      </c>
    </row>
    <row r="13" spans="1:22" x14ac:dyDescent="0.3">
      <c r="A13" s="10" t="s">
        <v>221</v>
      </c>
      <c r="B13" s="10" t="s">
        <v>222</v>
      </c>
      <c r="D13" s="10" t="s">
        <v>223</v>
      </c>
      <c r="E13" s="10">
        <v>0</v>
      </c>
      <c r="F13" s="10">
        <v>0</v>
      </c>
      <c r="G13" s="10">
        <v>0</v>
      </c>
      <c r="H13" s="9">
        <v>2</v>
      </c>
      <c r="I13" s="9">
        <v>25</v>
      </c>
      <c r="J13" s="9">
        <v>0</v>
      </c>
      <c r="K13" s="9">
        <v>40</v>
      </c>
      <c r="L13" s="9">
        <v>0</v>
      </c>
    </row>
    <row r="14" spans="1:22" x14ac:dyDescent="0.3">
      <c r="B14" s="10" t="s">
        <v>224</v>
      </c>
      <c r="D14" s="10" t="s">
        <v>225</v>
      </c>
      <c r="E14" s="10">
        <v>0</v>
      </c>
      <c r="F14" s="10">
        <v>0</v>
      </c>
      <c r="G14" s="10">
        <v>0</v>
      </c>
      <c r="H14" s="9">
        <v>0.9</v>
      </c>
      <c r="I14" s="117" t="s">
        <v>226</v>
      </c>
      <c r="J14" s="117">
        <v>0</v>
      </c>
      <c r="K14" s="9">
        <v>0</v>
      </c>
      <c r="L14" s="117">
        <v>0</v>
      </c>
    </row>
    <row r="15" spans="1:22" x14ac:dyDescent="0.3">
      <c r="B15" s="10" t="s">
        <v>369</v>
      </c>
      <c r="D15" s="10" t="s">
        <v>370</v>
      </c>
      <c r="E15" s="10">
        <v>0</v>
      </c>
      <c r="F15" s="10">
        <v>0</v>
      </c>
      <c r="G15" s="10">
        <v>0</v>
      </c>
      <c r="H15" s="9">
        <v>0</v>
      </c>
      <c r="I15" s="117">
        <v>0</v>
      </c>
      <c r="J15" s="117">
        <v>0</v>
      </c>
      <c r="K15" s="9">
        <v>0.1</v>
      </c>
      <c r="L15" s="117">
        <v>0</v>
      </c>
    </row>
    <row r="16" spans="1:22" x14ac:dyDescent="0.3">
      <c r="B16" s="10" t="s">
        <v>371</v>
      </c>
      <c r="D16" s="10" t="s">
        <v>372</v>
      </c>
      <c r="E16" s="10">
        <v>0</v>
      </c>
      <c r="F16" s="10">
        <v>0</v>
      </c>
      <c r="G16" s="10">
        <v>0</v>
      </c>
      <c r="H16" s="9">
        <v>0</v>
      </c>
      <c r="I16" s="117">
        <v>0</v>
      </c>
      <c r="J16" s="117">
        <v>0</v>
      </c>
      <c r="K16" s="9">
        <v>0.2</v>
      </c>
      <c r="L16" s="117">
        <v>0</v>
      </c>
    </row>
    <row r="17" spans="1:36" x14ac:dyDescent="0.3">
      <c r="B17" s="10" t="s">
        <v>373</v>
      </c>
      <c r="D17" s="10" t="s">
        <v>374</v>
      </c>
      <c r="E17" s="10">
        <v>0</v>
      </c>
      <c r="F17" s="10">
        <v>0</v>
      </c>
      <c r="G17" s="10">
        <v>0</v>
      </c>
      <c r="H17" s="9">
        <v>0</v>
      </c>
      <c r="I17" s="117">
        <v>0</v>
      </c>
      <c r="J17" s="117">
        <v>0</v>
      </c>
      <c r="K17" s="9">
        <f>K16</f>
        <v>0.2</v>
      </c>
      <c r="L17" s="117">
        <v>0</v>
      </c>
    </row>
    <row r="19" spans="1:36" x14ac:dyDescent="0.3">
      <c r="A19" s="10" t="s">
        <v>366</v>
      </c>
      <c r="D19" s="10" t="s">
        <v>49</v>
      </c>
      <c r="E19" s="11" t="s">
        <v>36</v>
      </c>
      <c r="F19" s="11" t="s">
        <v>5</v>
      </c>
      <c r="G19" s="11" t="s">
        <v>6</v>
      </c>
      <c r="H19" s="11" t="s">
        <v>231</v>
      </c>
      <c r="I19" s="11" t="s">
        <v>232</v>
      </c>
      <c r="J19" s="11" t="s">
        <v>8</v>
      </c>
      <c r="K19" s="11" t="s">
        <v>387</v>
      </c>
      <c r="L19" s="11" t="s">
        <v>388</v>
      </c>
    </row>
    <row r="20" spans="1:36" x14ac:dyDescent="0.3">
      <c r="D20" s="10" t="s">
        <v>36</v>
      </c>
      <c r="E20" s="1">
        <v>1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36" x14ac:dyDescent="0.3">
      <c r="D21" s="10" t="s">
        <v>5</v>
      </c>
      <c r="E21" s="1">
        <v>0</v>
      </c>
      <c r="F21" s="1">
        <v>1</v>
      </c>
      <c r="G21" s="1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36" x14ac:dyDescent="0.3">
      <c r="D22" s="10" t="s">
        <v>6</v>
      </c>
      <c r="E22" s="1">
        <v>0</v>
      </c>
      <c r="F22" s="1">
        <v>0</v>
      </c>
      <c r="G22" s="1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36" x14ac:dyDescent="0.3">
      <c r="D23" s="10" t="s">
        <v>7</v>
      </c>
      <c r="E23" s="3">
        <v>0</v>
      </c>
      <c r="F23" s="3">
        <v>0</v>
      </c>
      <c r="G23" s="3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</row>
    <row r="24" spans="1:36" x14ac:dyDescent="0.3">
      <c r="D24" s="10" t="s">
        <v>8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36" x14ac:dyDescent="0.3">
      <c r="D25" s="10" t="s">
        <v>9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36" x14ac:dyDescent="0.3">
      <c r="P26" s="76"/>
      <c r="Q26" s="11" t="s">
        <v>375</v>
      </c>
      <c r="U26" s="11" t="s">
        <v>359</v>
      </c>
      <c r="V26" s="11"/>
      <c r="W26" s="11" t="s">
        <v>376</v>
      </c>
      <c r="Y26" s="10" t="s">
        <v>229</v>
      </c>
      <c r="AB26" s="10" t="s">
        <v>24</v>
      </c>
    </row>
    <row r="27" spans="1:36" x14ac:dyDescent="0.3">
      <c r="A27" s="10" t="s">
        <v>25</v>
      </c>
      <c r="D27" s="10" t="s">
        <v>26</v>
      </c>
      <c r="E27" s="11" t="s">
        <v>36</v>
      </c>
      <c r="F27" s="11" t="s">
        <v>5</v>
      </c>
      <c r="G27" s="11" t="s">
        <v>6</v>
      </c>
      <c r="H27" s="11" t="s">
        <v>231</v>
      </c>
      <c r="I27" s="11" t="s">
        <v>232</v>
      </c>
      <c r="J27" s="11" t="s">
        <v>8</v>
      </c>
      <c r="K27" s="11" t="s">
        <v>9</v>
      </c>
      <c r="L27" s="11" t="s">
        <v>174</v>
      </c>
      <c r="Q27" s="11" t="s">
        <v>377</v>
      </c>
      <c r="R27" s="11" t="s">
        <v>390</v>
      </c>
      <c r="S27" s="11" t="s">
        <v>391</v>
      </c>
      <c r="V27" s="11"/>
      <c r="Y27" s="11" t="s">
        <v>231</v>
      </c>
      <c r="Z27" s="11" t="s">
        <v>232</v>
      </c>
      <c r="AE27" s="76"/>
      <c r="AF27" s="11" t="s">
        <v>139</v>
      </c>
      <c r="AG27" s="11" t="s">
        <v>140</v>
      </c>
      <c r="AH27" s="11" t="s">
        <v>141</v>
      </c>
      <c r="AI27" s="11" t="s">
        <v>142</v>
      </c>
      <c r="AJ27" s="11" t="s">
        <v>143</v>
      </c>
    </row>
    <row r="28" spans="1:36" x14ac:dyDescent="0.3">
      <c r="D28" s="76" t="s">
        <v>139</v>
      </c>
      <c r="E28" s="12">
        <v>0.5</v>
      </c>
      <c r="F28" s="12">
        <v>0</v>
      </c>
      <c r="G28" s="12">
        <v>0</v>
      </c>
      <c r="H28" s="12">
        <v>0.5</v>
      </c>
      <c r="I28" s="12">
        <v>0</v>
      </c>
      <c r="J28" s="12">
        <v>0</v>
      </c>
      <c r="K28" s="12">
        <v>0</v>
      </c>
      <c r="L28" s="12">
        <v>0</v>
      </c>
      <c r="P28" s="76" t="s">
        <v>139</v>
      </c>
      <c r="Q28" s="9">
        <v>0.05</v>
      </c>
      <c r="R28" s="9">
        <v>0</v>
      </c>
      <c r="S28" s="9">
        <v>0</v>
      </c>
      <c r="U28" s="189">
        <f t="array" ref="U28:U32">U34+MMULT(AF28:AJ32,(-K28:K32))</f>
        <v>8</v>
      </c>
      <c r="W28" s="9">
        <v>0</v>
      </c>
      <c r="Y28" s="10">
        <f>$H$13*$H$14</f>
        <v>1.8</v>
      </c>
      <c r="Z28" s="10">
        <f t="array" ref="Z28:Z32">W28:W32*I13</f>
        <v>0</v>
      </c>
      <c r="AB28" s="10">
        <f t="array" ref="AB28:AB32">MMULT(E28:L32,TRANSPOSE(E11:L11))</f>
        <v>1.25</v>
      </c>
      <c r="AE28" s="76" t="s">
        <v>139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3">
      <c r="D29" s="76" t="s">
        <v>140</v>
      </c>
      <c r="E29" s="12">
        <v>3.5</v>
      </c>
      <c r="F29" s="12">
        <v>4</v>
      </c>
      <c r="G29" s="12">
        <v>6</v>
      </c>
      <c r="H29" s="12">
        <v>0</v>
      </c>
      <c r="I29" s="12">
        <v>3.5</v>
      </c>
      <c r="J29" s="12">
        <v>4</v>
      </c>
      <c r="K29" s="12">
        <v>0</v>
      </c>
      <c r="L29" s="12">
        <v>6</v>
      </c>
      <c r="P29" s="76" t="s">
        <v>140</v>
      </c>
      <c r="Q29" s="9">
        <v>0.35</v>
      </c>
      <c r="R29" s="9">
        <v>0.4</v>
      </c>
      <c r="S29" s="9">
        <v>0</v>
      </c>
      <c r="U29" s="190">
        <v>8</v>
      </c>
      <c r="W29" s="9">
        <v>0.3</v>
      </c>
      <c r="Y29" s="10">
        <f t="shared" ref="Y29:Y32" si="0">$H$13*$H$14</f>
        <v>1.8</v>
      </c>
      <c r="Z29" s="10">
        <v>7.5</v>
      </c>
      <c r="AB29" s="10">
        <v>0</v>
      </c>
      <c r="AE29" s="76" t="s">
        <v>140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</row>
    <row r="30" spans="1:36" x14ac:dyDescent="0.3">
      <c r="D30" s="76" t="s">
        <v>141</v>
      </c>
      <c r="E30" s="12">
        <v>2</v>
      </c>
      <c r="F30" s="12">
        <v>3</v>
      </c>
      <c r="G30" s="12">
        <v>4.5</v>
      </c>
      <c r="H30" s="12">
        <v>0</v>
      </c>
      <c r="I30" s="12">
        <v>2</v>
      </c>
      <c r="J30" s="12">
        <v>3</v>
      </c>
      <c r="K30" s="12">
        <v>0</v>
      </c>
      <c r="L30" s="12">
        <v>4.5</v>
      </c>
      <c r="P30" s="76" t="s">
        <v>141</v>
      </c>
      <c r="Q30" s="9">
        <v>0.2</v>
      </c>
      <c r="R30" s="9">
        <v>0.3</v>
      </c>
      <c r="S30" s="9">
        <v>0</v>
      </c>
      <c r="U30" s="190">
        <v>8</v>
      </c>
      <c r="W30" s="9">
        <v>0.5</v>
      </c>
      <c r="Y30" s="10">
        <f t="shared" si="0"/>
        <v>1.8</v>
      </c>
      <c r="Z30" s="10">
        <v>12.5</v>
      </c>
      <c r="AB30" s="10">
        <v>0</v>
      </c>
      <c r="AE30" s="76" t="s">
        <v>141</v>
      </c>
      <c r="AF30" s="1">
        <v>1</v>
      </c>
      <c r="AG30" s="1">
        <v>1</v>
      </c>
      <c r="AH30" s="1">
        <v>1</v>
      </c>
      <c r="AI30" s="1">
        <v>0</v>
      </c>
      <c r="AJ30" s="1">
        <v>0</v>
      </c>
    </row>
    <row r="31" spans="1:36" x14ac:dyDescent="0.3">
      <c r="D31" s="76" t="s">
        <v>142</v>
      </c>
      <c r="E31" s="12">
        <v>3</v>
      </c>
      <c r="F31" s="12">
        <v>1</v>
      </c>
      <c r="G31" s="12">
        <v>1.5</v>
      </c>
      <c r="H31" s="12">
        <v>0</v>
      </c>
      <c r="I31" s="12">
        <v>3</v>
      </c>
      <c r="J31" s="12">
        <v>1</v>
      </c>
      <c r="K31" s="12">
        <v>0</v>
      </c>
      <c r="L31" s="12">
        <v>1.5</v>
      </c>
      <c r="P31" s="76" t="s">
        <v>142</v>
      </c>
      <c r="Q31" s="9">
        <v>0.3</v>
      </c>
      <c r="R31" s="9">
        <v>0.1</v>
      </c>
      <c r="S31" s="9">
        <v>0</v>
      </c>
      <c r="U31" s="190">
        <v>8</v>
      </c>
      <c r="W31" s="9">
        <v>0.2</v>
      </c>
      <c r="Y31" s="10">
        <f t="shared" si="0"/>
        <v>1.8</v>
      </c>
      <c r="Z31" s="10">
        <v>5</v>
      </c>
      <c r="AB31" s="10">
        <v>0</v>
      </c>
      <c r="AE31" s="76" t="s">
        <v>142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</row>
    <row r="32" spans="1:36" x14ac:dyDescent="0.3">
      <c r="D32" s="76" t="s">
        <v>143</v>
      </c>
      <c r="E32" s="12">
        <v>1</v>
      </c>
      <c r="F32" s="12">
        <v>2</v>
      </c>
      <c r="G32" s="12">
        <v>3</v>
      </c>
      <c r="H32" s="12">
        <v>1</v>
      </c>
      <c r="I32" s="12">
        <v>0</v>
      </c>
      <c r="J32" s="12">
        <v>2</v>
      </c>
      <c r="K32" s="12">
        <v>0</v>
      </c>
      <c r="L32" s="12">
        <v>3</v>
      </c>
      <c r="P32" s="76" t="s">
        <v>143</v>
      </c>
      <c r="Q32" s="9">
        <v>0.1</v>
      </c>
      <c r="R32" s="9">
        <v>0.2</v>
      </c>
      <c r="S32" s="9">
        <v>0</v>
      </c>
      <c r="U32" s="190">
        <v>8</v>
      </c>
      <c r="W32" s="9">
        <v>0</v>
      </c>
      <c r="Y32" s="10">
        <f t="shared" si="0"/>
        <v>1.8</v>
      </c>
      <c r="Z32" s="10">
        <v>0</v>
      </c>
      <c r="AB32" s="10">
        <v>2.5</v>
      </c>
      <c r="AE32" s="76" t="s">
        <v>143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</row>
    <row r="34" spans="4:29" x14ac:dyDescent="0.3">
      <c r="D34" s="10" t="s">
        <v>80</v>
      </c>
      <c r="E34" s="79">
        <f>SUM(E28:E32)</f>
        <v>10</v>
      </c>
      <c r="F34" s="79">
        <f t="shared" ref="F34:L34" si="1">SUM(F28:F32)</f>
        <v>10</v>
      </c>
      <c r="G34" s="79">
        <f t="shared" si="1"/>
        <v>15</v>
      </c>
      <c r="H34" s="79">
        <f t="shared" si="1"/>
        <v>1.5</v>
      </c>
      <c r="I34" s="79">
        <f t="shared" si="1"/>
        <v>8.5</v>
      </c>
      <c r="J34" s="79">
        <f t="shared" si="1"/>
        <v>10</v>
      </c>
      <c r="K34" s="79">
        <f t="shared" si="1"/>
        <v>0</v>
      </c>
      <c r="L34" s="79">
        <f t="shared" si="1"/>
        <v>15</v>
      </c>
      <c r="M34" s="79"/>
      <c r="P34" s="10" t="s">
        <v>362</v>
      </c>
      <c r="U34" s="180">
        <f>K13*K16</f>
        <v>8</v>
      </c>
      <c r="AB34" s="10">
        <f>SUM(AB28:AB32)</f>
        <v>3.75</v>
      </c>
      <c r="AC34" s="10" t="s">
        <v>92</v>
      </c>
    </row>
    <row r="35" spans="4:29" x14ac:dyDescent="0.3">
      <c r="P35" s="10" t="s">
        <v>364</v>
      </c>
      <c r="U35" s="180">
        <f>K13*K17</f>
        <v>8</v>
      </c>
      <c r="AB35" s="12"/>
    </row>
    <row r="36" spans="4:29" x14ac:dyDescent="0.3">
      <c r="P36" s="10" t="s">
        <v>363</v>
      </c>
      <c r="U36" s="180">
        <f>K13</f>
        <v>40</v>
      </c>
    </row>
    <row r="37" spans="4:29" x14ac:dyDescent="0.3">
      <c r="P37" s="10" t="s">
        <v>365</v>
      </c>
      <c r="U37" s="180">
        <f>K13*K15</f>
        <v>4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40C-AEED-4B3B-849D-17CACF87BFAC}">
  <sheetPr>
    <tabColor theme="7" tint="-0.249977111117893"/>
  </sheetPr>
  <dimension ref="A1:AP55"/>
  <sheetViews>
    <sheetView showGridLines="0" topLeftCell="A7" zoomScale="85" zoomScaleNormal="85" workbookViewId="0">
      <selection activeCell="O34" sqref="O34:O38"/>
    </sheetView>
  </sheetViews>
  <sheetFormatPr defaultColWidth="9.21875" defaultRowHeight="14.4" x14ac:dyDescent="0.3"/>
  <cols>
    <col min="1" max="1" width="14.21875" style="10" customWidth="1"/>
    <col min="2" max="2" width="17.44140625" style="10" customWidth="1"/>
    <col min="3" max="3" width="5.77734375" style="10" customWidth="1"/>
    <col min="4" max="41" width="7" style="10" customWidth="1"/>
    <col min="42" max="16384" width="9.21875" style="10"/>
  </cols>
  <sheetData>
    <row r="1" spans="1:28" x14ac:dyDescent="0.3">
      <c r="I1" s="11"/>
      <c r="J1" s="11"/>
      <c r="K1" s="11"/>
      <c r="L1" s="11"/>
      <c r="M1" s="11"/>
      <c r="N1" s="11"/>
      <c r="O1" s="11"/>
    </row>
    <row r="2" spans="1:28" x14ac:dyDescent="0.3">
      <c r="E2" s="11" t="s">
        <v>137</v>
      </c>
      <c r="F2" s="11" t="s">
        <v>138</v>
      </c>
      <c r="G2" s="11" t="s">
        <v>138</v>
      </c>
      <c r="H2" s="11" t="s">
        <v>138</v>
      </c>
      <c r="I2" s="11"/>
      <c r="J2" s="11"/>
      <c r="K2" s="11"/>
      <c r="L2" s="11"/>
      <c r="M2" s="11"/>
      <c r="N2" s="11"/>
      <c r="O2" s="11"/>
      <c r="T2" s="11" t="s">
        <v>139</v>
      </c>
      <c r="U2" s="11" t="s">
        <v>140</v>
      </c>
      <c r="V2" s="11" t="s">
        <v>141</v>
      </c>
      <c r="W2" s="11" t="s">
        <v>142</v>
      </c>
      <c r="X2" s="11" t="s">
        <v>143</v>
      </c>
      <c r="Z2" s="10" t="s">
        <v>80</v>
      </c>
    </row>
    <row r="3" spans="1:28" x14ac:dyDescent="0.3">
      <c r="D3" s="10" t="s">
        <v>2</v>
      </c>
      <c r="E3" s="11" t="s">
        <v>36</v>
      </c>
      <c r="F3" s="11" t="s">
        <v>5</v>
      </c>
      <c r="G3" s="11" t="s">
        <v>6</v>
      </c>
      <c r="H3" s="11" t="s">
        <v>181</v>
      </c>
      <c r="I3" s="11" t="s">
        <v>7</v>
      </c>
      <c r="J3" s="11" t="s">
        <v>392</v>
      </c>
      <c r="K3" s="11" t="s">
        <v>393</v>
      </c>
      <c r="L3" s="11" t="s">
        <v>394</v>
      </c>
      <c r="M3" s="11" t="s">
        <v>395</v>
      </c>
      <c r="N3" s="11" t="s">
        <v>174</v>
      </c>
      <c r="O3" s="11" t="s">
        <v>396</v>
      </c>
      <c r="Q3" s="11" t="s">
        <v>10</v>
      </c>
    </row>
    <row r="4" spans="1:28" x14ac:dyDescent="0.3">
      <c r="A4" s="10" t="s">
        <v>116</v>
      </c>
      <c r="B4" s="10" t="s">
        <v>39</v>
      </c>
      <c r="C4" s="10" t="s">
        <v>137</v>
      </c>
      <c r="D4" s="10" t="s">
        <v>36</v>
      </c>
      <c r="E4" s="10">
        <v>0</v>
      </c>
      <c r="F4" s="10">
        <v>0</v>
      </c>
      <c r="G4" s="10">
        <v>0</v>
      </c>
      <c r="H4" s="10">
        <v>0</v>
      </c>
      <c r="I4" s="74">
        <v>0</v>
      </c>
      <c r="J4" s="74">
        <v>0</v>
      </c>
      <c r="K4" s="74">
        <v>1</v>
      </c>
      <c r="L4" s="74">
        <f>1/0.45</f>
        <v>2.2222222222222223</v>
      </c>
      <c r="M4" s="74">
        <v>0</v>
      </c>
      <c r="N4" s="74">
        <v>0</v>
      </c>
      <c r="O4" s="74">
        <v>0</v>
      </c>
      <c r="Q4" s="75">
        <v>10</v>
      </c>
      <c r="Z4" s="10">
        <f t="array" ref="Z4">MMULT($E$23:$H$23,TRANSPOSE($E$40:$H$40))-MMULT($I$4:$O$4,TRANSPOSE($I$40:$O$40))-Q4</f>
        <v>4.4444443858537852E-7</v>
      </c>
      <c r="AB4" s="10" t="s">
        <v>215</v>
      </c>
    </row>
    <row r="5" spans="1:28" x14ac:dyDescent="0.3">
      <c r="B5" s="10" t="s">
        <v>41</v>
      </c>
      <c r="C5" s="10" t="s">
        <v>138</v>
      </c>
      <c r="D5" s="10" t="s">
        <v>5</v>
      </c>
      <c r="E5" s="10">
        <v>0</v>
      </c>
      <c r="F5" s="10">
        <v>0</v>
      </c>
      <c r="G5" s="10">
        <v>0</v>
      </c>
      <c r="H5" s="10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Q5" s="55">
        <v>0</v>
      </c>
      <c r="T5" s="10">
        <f t="array" ref="T5:X7">MMULT(F24:H26,TRANSPOSE(F34:H38))-I5:I7*I40*TRANSPOSE(X34:Z38)-MMULT(J5:O7,TRANSPOSE(J34:O38))-Q5:Q7*TRANSPOSE(T34:V38)</f>
        <v>0</v>
      </c>
      <c r="U5" s="10">
        <v>0</v>
      </c>
      <c r="V5" s="10">
        <v>0</v>
      </c>
      <c r="W5" s="10">
        <v>0</v>
      </c>
      <c r="X5" s="10">
        <v>0</v>
      </c>
    </row>
    <row r="6" spans="1:28" x14ac:dyDescent="0.3">
      <c r="B6" s="10" t="s">
        <v>17</v>
      </c>
      <c r="C6" s="10" t="s">
        <v>138</v>
      </c>
      <c r="D6" s="10" t="s">
        <v>6</v>
      </c>
      <c r="E6" s="10">
        <v>0</v>
      </c>
      <c r="F6" s="10">
        <v>0</v>
      </c>
      <c r="G6" s="10">
        <v>0</v>
      </c>
      <c r="H6" s="10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f>1/0.4</f>
        <v>2.5</v>
      </c>
      <c r="O6" s="56">
        <v>0</v>
      </c>
      <c r="Q6" s="55">
        <v>0</v>
      </c>
      <c r="T6" s="10">
        <v>0</v>
      </c>
      <c r="U6" s="10">
        <v>0</v>
      </c>
      <c r="V6" s="10">
        <v>1.7763568394002505E-15</v>
      </c>
      <c r="W6" s="10">
        <v>-8.8817841970012523E-16</v>
      </c>
      <c r="X6" s="10">
        <v>1.7763568394002505E-15</v>
      </c>
    </row>
    <row r="7" spans="1:28" x14ac:dyDescent="0.3">
      <c r="B7" s="10" t="s">
        <v>40</v>
      </c>
      <c r="C7" s="10" t="s">
        <v>138</v>
      </c>
      <c r="D7" s="10" t="s">
        <v>181</v>
      </c>
      <c r="E7" s="10">
        <v>0</v>
      </c>
      <c r="F7" s="10">
        <v>0</v>
      </c>
      <c r="G7" s="10">
        <v>0</v>
      </c>
      <c r="H7" s="10">
        <v>0</v>
      </c>
      <c r="I7" s="56">
        <v>0</v>
      </c>
      <c r="J7" s="56">
        <v>1</v>
      </c>
      <c r="K7" s="56">
        <v>0</v>
      </c>
      <c r="L7" s="56">
        <v>0</v>
      </c>
      <c r="M7" s="56">
        <v>0</v>
      </c>
      <c r="N7" s="56">
        <v>0</v>
      </c>
      <c r="O7" s="56">
        <v>-1</v>
      </c>
      <c r="Q7" s="55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8" x14ac:dyDescent="0.3">
      <c r="A8" s="10" t="s">
        <v>19</v>
      </c>
      <c r="B8" s="10" t="s">
        <v>397</v>
      </c>
      <c r="D8" s="10" t="s">
        <v>7</v>
      </c>
      <c r="E8" s="74">
        <v>1</v>
      </c>
      <c r="F8" s="74">
        <v>0</v>
      </c>
      <c r="G8" s="74">
        <v>0</v>
      </c>
      <c r="H8" s="74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Q8" s="12">
        <v>0</v>
      </c>
      <c r="Z8" s="10">
        <f t="array" ref="Z8">MMULT($E$8:$H$8,TRANSPOSE($E$40:$H$40))-MMULT($I$27:$O$27,TRANSPOSE($I$40:$O$40))</f>
        <v>0</v>
      </c>
      <c r="AB8" s="10" t="s">
        <v>217</v>
      </c>
    </row>
    <row r="9" spans="1:28" x14ac:dyDescent="0.3">
      <c r="B9" s="10" t="s">
        <v>398</v>
      </c>
      <c r="D9" s="10" t="s">
        <v>8</v>
      </c>
      <c r="E9" s="56">
        <v>0</v>
      </c>
      <c r="F9" s="56">
        <v>1</v>
      </c>
      <c r="G9" s="56">
        <v>0</v>
      </c>
      <c r="H9" s="56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Q9" s="12">
        <v>0</v>
      </c>
      <c r="T9" s="10">
        <f t="array" ref="T9:X12">MMULT($F$9:$H$12,TRANSPOSE($F$34:$H$38))-MMULT($J$28:$O$31,TRANSPOSE($J$34:$O$38))</f>
        <v>0</v>
      </c>
      <c r="U9" s="10">
        <v>0</v>
      </c>
      <c r="V9" s="10">
        <v>0</v>
      </c>
      <c r="W9" s="10">
        <v>0</v>
      </c>
      <c r="X9" s="10">
        <v>0</v>
      </c>
    </row>
    <row r="10" spans="1:28" x14ac:dyDescent="0.3">
      <c r="B10" s="10" t="s">
        <v>120</v>
      </c>
      <c r="D10" s="10" t="s">
        <v>9</v>
      </c>
      <c r="E10" s="56">
        <v>0</v>
      </c>
      <c r="F10" s="56">
        <v>0</v>
      </c>
      <c r="G10" s="56">
        <v>1</v>
      </c>
      <c r="H10" s="56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Q10" s="12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8" x14ac:dyDescent="0.3">
      <c r="B11" s="10" t="s">
        <v>42</v>
      </c>
      <c r="D11" s="10" t="s">
        <v>174</v>
      </c>
      <c r="E11" s="56">
        <v>0</v>
      </c>
      <c r="F11" s="56">
        <v>0</v>
      </c>
      <c r="G11" s="56">
        <v>0</v>
      </c>
      <c r="H11" s="56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Q11" s="12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8" x14ac:dyDescent="0.3">
      <c r="B12" s="10" t="s">
        <v>399</v>
      </c>
      <c r="D12" s="10" t="s">
        <v>400</v>
      </c>
      <c r="E12" s="56">
        <v>0</v>
      </c>
      <c r="F12" s="56">
        <v>0</v>
      </c>
      <c r="G12" s="56">
        <v>0</v>
      </c>
      <c r="H12" s="56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Q12" s="12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4" spans="1:28" x14ac:dyDescent="0.3">
      <c r="A14" s="10" t="s">
        <v>14</v>
      </c>
      <c r="B14" s="10" t="s">
        <v>24</v>
      </c>
      <c r="D14" s="10" t="s">
        <v>45</v>
      </c>
      <c r="E14" s="10">
        <v>0</v>
      </c>
      <c r="F14" s="10">
        <v>0</v>
      </c>
      <c r="G14" s="10">
        <v>0</v>
      </c>
      <c r="H14" s="10">
        <v>0</v>
      </c>
      <c r="I14" s="9">
        <v>0.3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6" spans="1:28" x14ac:dyDescent="0.3">
      <c r="A16" s="10" t="s">
        <v>221</v>
      </c>
      <c r="B16" s="10" t="s">
        <v>222</v>
      </c>
      <c r="D16" s="10" t="s">
        <v>223</v>
      </c>
      <c r="E16" s="10">
        <v>0</v>
      </c>
      <c r="F16" s="10">
        <v>0</v>
      </c>
      <c r="G16" s="10">
        <v>0</v>
      </c>
      <c r="H16" s="10">
        <v>0</v>
      </c>
      <c r="I16" s="9">
        <v>0</v>
      </c>
      <c r="J16" s="9">
        <v>0</v>
      </c>
      <c r="K16" s="9">
        <v>0</v>
      </c>
      <c r="L16" s="9">
        <v>2</v>
      </c>
      <c r="M16" s="9">
        <v>25</v>
      </c>
      <c r="N16" s="9">
        <v>0</v>
      </c>
      <c r="O16" s="9">
        <v>40</v>
      </c>
    </row>
    <row r="17" spans="1:35" x14ac:dyDescent="0.3">
      <c r="B17" s="10" t="s">
        <v>224</v>
      </c>
      <c r="D17" s="10" t="s">
        <v>225</v>
      </c>
      <c r="E17" s="10">
        <v>0</v>
      </c>
      <c r="F17" s="10">
        <v>0</v>
      </c>
      <c r="G17" s="10">
        <v>0</v>
      </c>
      <c r="H17" s="10">
        <v>0</v>
      </c>
      <c r="I17" s="9">
        <v>0</v>
      </c>
      <c r="J17" s="117">
        <v>0</v>
      </c>
      <c r="K17" s="117">
        <v>0</v>
      </c>
      <c r="L17" s="9">
        <v>0.9</v>
      </c>
      <c r="M17" s="117" t="s">
        <v>226</v>
      </c>
      <c r="N17" s="117">
        <v>0</v>
      </c>
      <c r="O17" s="9">
        <v>0</v>
      </c>
    </row>
    <row r="18" spans="1:35" x14ac:dyDescent="0.3">
      <c r="B18" s="10" t="s">
        <v>369</v>
      </c>
      <c r="D18" s="10" t="s">
        <v>370</v>
      </c>
      <c r="E18" s="10">
        <v>0</v>
      </c>
      <c r="F18" s="10">
        <v>0</v>
      </c>
      <c r="G18" s="10">
        <v>0</v>
      </c>
      <c r="H18" s="10">
        <v>0</v>
      </c>
      <c r="I18" s="9">
        <v>0</v>
      </c>
      <c r="J18" s="117">
        <v>0</v>
      </c>
      <c r="K18" s="117">
        <v>0</v>
      </c>
      <c r="L18" s="9">
        <v>0</v>
      </c>
      <c r="M18" s="117">
        <v>0</v>
      </c>
      <c r="N18" s="117">
        <v>0</v>
      </c>
      <c r="O18" s="9">
        <v>0.1</v>
      </c>
    </row>
    <row r="19" spans="1:35" x14ac:dyDescent="0.3">
      <c r="B19" s="10" t="s">
        <v>371</v>
      </c>
      <c r="D19" s="10" t="s">
        <v>372</v>
      </c>
      <c r="E19" s="10">
        <v>0</v>
      </c>
      <c r="F19" s="10">
        <v>0</v>
      </c>
      <c r="G19" s="10">
        <v>0</v>
      </c>
      <c r="H19" s="10">
        <v>0</v>
      </c>
      <c r="I19" s="9">
        <v>0</v>
      </c>
      <c r="J19" s="117">
        <v>0</v>
      </c>
      <c r="K19" s="117">
        <v>0</v>
      </c>
      <c r="L19" s="9">
        <v>0</v>
      </c>
      <c r="M19" s="117">
        <v>0</v>
      </c>
      <c r="N19" s="117">
        <v>0</v>
      </c>
      <c r="O19" s="9">
        <v>0.5</v>
      </c>
    </row>
    <row r="20" spans="1:35" x14ac:dyDescent="0.3">
      <c r="B20" s="10" t="s">
        <v>373</v>
      </c>
      <c r="D20" s="10" t="s">
        <v>374</v>
      </c>
      <c r="E20" s="10">
        <v>0</v>
      </c>
      <c r="F20" s="10">
        <v>0</v>
      </c>
      <c r="G20" s="10">
        <v>0</v>
      </c>
      <c r="H20" s="10">
        <v>0</v>
      </c>
      <c r="I20" s="9">
        <v>0</v>
      </c>
      <c r="J20" s="117">
        <v>0</v>
      </c>
      <c r="K20" s="117">
        <v>0</v>
      </c>
      <c r="L20" s="9">
        <v>0</v>
      </c>
      <c r="M20" s="117">
        <v>0</v>
      </c>
      <c r="N20" s="117">
        <v>0</v>
      </c>
      <c r="O20" s="9">
        <f>O19</f>
        <v>0.5</v>
      </c>
    </row>
    <row r="22" spans="1:35" x14ac:dyDescent="0.3">
      <c r="A22" s="10" t="s">
        <v>366</v>
      </c>
      <c r="D22" s="10" t="s">
        <v>49</v>
      </c>
      <c r="E22" s="11" t="s">
        <v>36</v>
      </c>
      <c r="F22" s="11" t="s">
        <v>5</v>
      </c>
      <c r="G22" s="11" t="s">
        <v>6</v>
      </c>
      <c r="H22" s="11" t="s">
        <v>181</v>
      </c>
      <c r="I22" s="11" t="s">
        <v>7</v>
      </c>
      <c r="J22" s="11" t="s">
        <v>392</v>
      </c>
      <c r="K22" s="11" t="s">
        <v>393</v>
      </c>
      <c r="L22" s="11" t="s">
        <v>394</v>
      </c>
      <c r="M22" s="11" t="s">
        <v>395</v>
      </c>
      <c r="N22" s="11" t="s">
        <v>174</v>
      </c>
      <c r="O22" s="11" t="s">
        <v>396</v>
      </c>
    </row>
    <row r="23" spans="1:35" x14ac:dyDescent="0.3">
      <c r="D23" s="10" t="s">
        <v>36</v>
      </c>
      <c r="E23" s="1">
        <v>1</v>
      </c>
      <c r="F23" s="1">
        <v>0</v>
      </c>
      <c r="G23" s="1">
        <v>0</v>
      </c>
      <c r="H23" s="1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35" x14ac:dyDescent="0.3">
      <c r="D24" s="10" t="s">
        <v>5</v>
      </c>
      <c r="E24" s="1">
        <v>0</v>
      </c>
      <c r="F24" s="1">
        <v>1</v>
      </c>
      <c r="G24" s="1">
        <v>0</v>
      </c>
      <c r="H24" s="1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35" x14ac:dyDescent="0.3">
      <c r="D25" s="10" t="s">
        <v>6</v>
      </c>
      <c r="E25" s="1">
        <v>0</v>
      </c>
      <c r="F25" s="1">
        <v>0</v>
      </c>
      <c r="G25" s="1">
        <v>1</v>
      </c>
      <c r="H25" s="1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35" x14ac:dyDescent="0.3">
      <c r="D26" s="10" t="s">
        <v>181</v>
      </c>
      <c r="E26" s="1">
        <v>0</v>
      </c>
      <c r="F26" s="1">
        <v>0</v>
      </c>
      <c r="G26" s="1">
        <v>0</v>
      </c>
      <c r="H26" s="1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35" x14ac:dyDescent="0.3">
      <c r="D27" s="10" t="s">
        <v>7</v>
      </c>
      <c r="E27" s="3">
        <v>0</v>
      </c>
      <c r="F27" s="3">
        <v>0</v>
      </c>
      <c r="G27" s="3">
        <v>0</v>
      </c>
      <c r="H27" s="3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35" x14ac:dyDescent="0.3">
      <c r="D28" s="10" t="s">
        <v>8</v>
      </c>
      <c r="E28" s="3">
        <v>0</v>
      </c>
      <c r="F28" s="3">
        <v>0</v>
      </c>
      <c r="G28" s="3">
        <v>0</v>
      </c>
      <c r="H28" s="3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</row>
    <row r="29" spans="1:35" x14ac:dyDescent="0.3">
      <c r="D29" s="10" t="s">
        <v>9</v>
      </c>
      <c r="E29" s="3">
        <v>0</v>
      </c>
      <c r="F29" s="3">
        <v>0</v>
      </c>
      <c r="G29" s="3">
        <v>0</v>
      </c>
      <c r="H29" s="3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</row>
    <row r="30" spans="1:35" x14ac:dyDescent="0.3">
      <c r="D30" s="10" t="s">
        <v>174</v>
      </c>
      <c r="E30" s="3">
        <v>0</v>
      </c>
      <c r="F30" s="3">
        <v>0</v>
      </c>
      <c r="G30" s="3">
        <v>0</v>
      </c>
      <c r="H30" s="3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</row>
    <row r="31" spans="1:35" x14ac:dyDescent="0.3">
      <c r="D31" s="10" t="s">
        <v>400</v>
      </c>
      <c r="E31" s="3">
        <v>0</v>
      </c>
      <c r="F31" s="3">
        <v>0</v>
      </c>
      <c r="G31" s="3">
        <v>0</v>
      </c>
      <c r="H31" s="3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35" x14ac:dyDescent="0.3">
      <c r="S32" s="76"/>
      <c r="T32" s="11" t="s">
        <v>375</v>
      </c>
      <c r="AB32" s="11" t="s">
        <v>359</v>
      </c>
      <c r="AD32" s="10" t="s">
        <v>376</v>
      </c>
      <c r="AF32" s="10" t="s">
        <v>229</v>
      </c>
      <c r="AI32" s="10" t="s">
        <v>24</v>
      </c>
    </row>
    <row r="33" spans="1:42" x14ac:dyDescent="0.3">
      <c r="A33" s="10" t="s">
        <v>25</v>
      </c>
      <c r="D33" s="10" t="s">
        <v>26</v>
      </c>
      <c r="E33" s="11" t="s">
        <v>36</v>
      </c>
      <c r="F33" s="11" t="s">
        <v>5</v>
      </c>
      <c r="G33" s="11" t="s">
        <v>6</v>
      </c>
      <c r="H33" s="11" t="s">
        <v>181</v>
      </c>
      <c r="I33" s="11" t="s">
        <v>7</v>
      </c>
      <c r="J33" s="11" t="s">
        <v>392</v>
      </c>
      <c r="K33" s="11" t="s">
        <v>393</v>
      </c>
      <c r="L33" s="11" t="s">
        <v>394</v>
      </c>
      <c r="M33" s="11" t="s">
        <v>395</v>
      </c>
      <c r="N33" s="11" t="s">
        <v>174</v>
      </c>
      <c r="O33" s="11" t="s">
        <v>396</v>
      </c>
      <c r="T33" s="11" t="s">
        <v>377</v>
      </c>
      <c r="U33" s="11" t="s">
        <v>390</v>
      </c>
      <c r="V33" s="11" t="s">
        <v>391</v>
      </c>
      <c r="X33" s="11" t="s">
        <v>401</v>
      </c>
      <c r="Y33" s="11" t="s">
        <v>402</v>
      </c>
      <c r="Z33" s="11" t="s">
        <v>403</v>
      </c>
      <c r="AF33" s="11" t="s">
        <v>394</v>
      </c>
      <c r="AG33" s="11" t="s">
        <v>395</v>
      </c>
      <c r="AL33" s="11" t="s">
        <v>139</v>
      </c>
      <c r="AM33" s="11" t="s">
        <v>140</v>
      </c>
      <c r="AN33" s="11" t="s">
        <v>141</v>
      </c>
      <c r="AO33" s="11" t="s">
        <v>142</v>
      </c>
      <c r="AP33" s="11" t="s">
        <v>143</v>
      </c>
    </row>
    <row r="34" spans="1:42" x14ac:dyDescent="0.3">
      <c r="D34" s="76" t="s">
        <v>139</v>
      </c>
      <c r="E34" s="12"/>
      <c r="F34" s="12">
        <v>0</v>
      </c>
      <c r="G34" s="12">
        <v>10</v>
      </c>
      <c r="H34" s="12">
        <v>4</v>
      </c>
      <c r="I34" s="12"/>
      <c r="J34" s="12">
        <v>0</v>
      </c>
      <c r="K34" s="12">
        <v>0</v>
      </c>
      <c r="L34" s="12">
        <v>10</v>
      </c>
      <c r="M34" s="12">
        <v>0</v>
      </c>
      <c r="N34" s="12">
        <v>4</v>
      </c>
      <c r="O34" s="12">
        <v>-4</v>
      </c>
      <c r="S34" s="76" t="s">
        <v>139</v>
      </c>
      <c r="T34" s="9">
        <v>0.05</v>
      </c>
      <c r="U34" s="9">
        <v>0</v>
      </c>
      <c r="V34" s="9">
        <v>0</v>
      </c>
      <c r="X34" s="9">
        <f t="shared" ref="X34:Z38" si="0">1/5</f>
        <v>0.2</v>
      </c>
      <c r="Y34" s="9">
        <f t="shared" si="0"/>
        <v>0.2</v>
      </c>
      <c r="Z34" s="9">
        <f t="shared" si="0"/>
        <v>0.2</v>
      </c>
      <c r="AB34" s="189">
        <f t="array" ref="AB34:AB38">AA14+MMULT(AL34:AP38,(-O34:O38))</f>
        <v>4</v>
      </c>
      <c r="AD34" s="9">
        <v>0</v>
      </c>
      <c r="AF34" s="10">
        <f>$L$16*$L$17</f>
        <v>1.8</v>
      </c>
      <c r="AG34" s="10">
        <f t="array" ref="AG34:AG38">AD34:AD38*M16</f>
        <v>0</v>
      </c>
      <c r="AK34" s="76" t="s">
        <v>139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D35" s="76" t="s">
        <v>140</v>
      </c>
      <c r="E35" s="12"/>
      <c r="F35" s="12">
        <v>0</v>
      </c>
      <c r="G35" s="12">
        <v>7.5</v>
      </c>
      <c r="H35" s="12">
        <v>3</v>
      </c>
      <c r="I35" s="12"/>
      <c r="J35" s="12">
        <v>0</v>
      </c>
      <c r="K35" s="12">
        <v>0</v>
      </c>
      <c r="L35" s="12">
        <v>0</v>
      </c>
      <c r="M35" s="12">
        <v>7.5</v>
      </c>
      <c r="N35" s="12">
        <v>3</v>
      </c>
      <c r="O35" s="12">
        <v>-3</v>
      </c>
      <c r="S35" s="76" t="s">
        <v>140</v>
      </c>
      <c r="T35" s="9">
        <v>0.35</v>
      </c>
      <c r="U35" s="9">
        <v>0.4</v>
      </c>
      <c r="V35" s="9">
        <v>0</v>
      </c>
      <c r="X35" s="9">
        <f t="shared" si="0"/>
        <v>0.2</v>
      </c>
      <c r="Y35" s="9">
        <f t="shared" si="0"/>
        <v>0.2</v>
      </c>
      <c r="Z35" s="9">
        <f t="shared" si="0"/>
        <v>0.2</v>
      </c>
      <c r="AB35" s="190">
        <v>7</v>
      </c>
      <c r="AD35" s="9">
        <v>0.3</v>
      </c>
      <c r="AF35" s="10">
        <f t="shared" ref="AF35:AF38" si="1">$L$16*$L$17</f>
        <v>1.8</v>
      </c>
      <c r="AG35" s="10">
        <v>7.5</v>
      </c>
      <c r="AK35" s="76" t="s">
        <v>140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</row>
    <row r="36" spans="1:42" x14ac:dyDescent="0.3">
      <c r="D36" s="76" t="s">
        <v>141</v>
      </c>
      <c r="E36" s="12"/>
      <c r="F36" s="12">
        <v>0</v>
      </c>
      <c r="G36" s="12">
        <v>14.3</v>
      </c>
      <c r="H36" s="12">
        <v>5.72</v>
      </c>
      <c r="I36" s="12"/>
      <c r="J36" s="12">
        <v>0</v>
      </c>
      <c r="K36" s="12">
        <v>0</v>
      </c>
      <c r="L36" s="12">
        <v>1.8</v>
      </c>
      <c r="M36" s="12">
        <v>12.5</v>
      </c>
      <c r="N36" s="12">
        <v>5.72</v>
      </c>
      <c r="O36" s="12">
        <v>-5.72</v>
      </c>
      <c r="S36" s="76" t="s">
        <v>141</v>
      </c>
      <c r="T36" s="9">
        <v>0.2</v>
      </c>
      <c r="U36" s="9">
        <v>0.3</v>
      </c>
      <c r="V36" s="9">
        <v>0</v>
      </c>
      <c r="X36" s="9">
        <f t="shared" si="0"/>
        <v>0.2</v>
      </c>
      <c r="Y36" s="9">
        <f t="shared" si="0"/>
        <v>0.2</v>
      </c>
      <c r="Z36" s="9">
        <f t="shared" si="0"/>
        <v>0.2</v>
      </c>
      <c r="AB36" s="190">
        <v>12.719999999999999</v>
      </c>
      <c r="AD36" s="9">
        <v>0.5</v>
      </c>
      <c r="AF36" s="10">
        <f t="shared" si="1"/>
        <v>1.8</v>
      </c>
      <c r="AG36" s="10">
        <v>12.5</v>
      </c>
      <c r="AK36" s="76" t="s">
        <v>141</v>
      </c>
      <c r="AL36" s="1">
        <v>1</v>
      </c>
      <c r="AM36" s="1">
        <v>1</v>
      </c>
      <c r="AN36" s="1">
        <v>1</v>
      </c>
      <c r="AO36" s="1">
        <v>0</v>
      </c>
      <c r="AP36" s="1">
        <v>0</v>
      </c>
    </row>
    <row r="37" spans="1:42" x14ac:dyDescent="0.3">
      <c r="D37" s="76" t="s">
        <v>142</v>
      </c>
      <c r="E37" s="12"/>
      <c r="F37" s="12">
        <v>0</v>
      </c>
      <c r="G37" s="12">
        <v>6.8</v>
      </c>
      <c r="H37" s="12">
        <v>2.72</v>
      </c>
      <c r="I37" s="12"/>
      <c r="J37" s="12">
        <v>0</v>
      </c>
      <c r="K37" s="12">
        <v>0</v>
      </c>
      <c r="L37" s="12">
        <v>1.8</v>
      </c>
      <c r="M37" s="12">
        <v>5</v>
      </c>
      <c r="N37" s="12">
        <v>2.72</v>
      </c>
      <c r="O37" s="12">
        <v>-2.72</v>
      </c>
      <c r="S37" s="76" t="s">
        <v>142</v>
      </c>
      <c r="T37" s="9">
        <v>0.3</v>
      </c>
      <c r="U37" s="9">
        <v>0.1</v>
      </c>
      <c r="V37" s="9">
        <v>0</v>
      </c>
      <c r="X37" s="9">
        <f t="shared" si="0"/>
        <v>0.2</v>
      </c>
      <c r="Y37" s="9">
        <f t="shared" si="0"/>
        <v>0.2</v>
      </c>
      <c r="Z37" s="9">
        <f t="shared" si="0"/>
        <v>0.2</v>
      </c>
      <c r="AB37" s="190">
        <v>15.44</v>
      </c>
      <c r="AD37" s="9">
        <v>0.2</v>
      </c>
      <c r="AF37" s="10">
        <f t="shared" si="1"/>
        <v>1.8</v>
      </c>
      <c r="AG37" s="10">
        <v>5</v>
      </c>
      <c r="AK37" s="76" t="s">
        <v>142</v>
      </c>
      <c r="AL37" s="1">
        <v>1</v>
      </c>
      <c r="AM37" s="1">
        <v>1</v>
      </c>
      <c r="AN37" s="1">
        <v>1</v>
      </c>
      <c r="AO37" s="1">
        <v>1</v>
      </c>
      <c r="AP37" s="1">
        <v>0</v>
      </c>
    </row>
    <row r="38" spans="1:42" x14ac:dyDescent="0.3">
      <c r="D38" s="76" t="s">
        <v>143</v>
      </c>
      <c r="E38" s="12"/>
      <c r="F38" s="12">
        <v>0</v>
      </c>
      <c r="G38" s="12">
        <v>11.4</v>
      </c>
      <c r="H38" s="12">
        <v>4.5599999999999996</v>
      </c>
      <c r="I38" s="12"/>
      <c r="J38" s="12">
        <v>0</v>
      </c>
      <c r="K38" s="12">
        <v>0</v>
      </c>
      <c r="L38" s="12">
        <v>11.4</v>
      </c>
      <c r="M38" s="12">
        <v>0</v>
      </c>
      <c r="N38" s="12">
        <v>4.5599999999999996</v>
      </c>
      <c r="O38" s="12">
        <v>-4.5599999999999996</v>
      </c>
      <c r="S38" s="76" t="s">
        <v>143</v>
      </c>
      <c r="T38" s="9">
        <v>0.1</v>
      </c>
      <c r="U38" s="9">
        <v>0.2</v>
      </c>
      <c r="V38" s="9">
        <v>0</v>
      </c>
      <c r="X38" s="9">
        <f t="shared" si="0"/>
        <v>0.2</v>
      </c>
      <c r="Y38" s="9">
        <f t="shared" si="0"/>
        <v>0.2</v>
      </c>
      <c r="Z38" s="9">
        <f t="shared" si="0"/>
        <v>0.2</v>
      </c>
      <c r="AB38" s="190">
        <v>20</v>
      </c>
      <c r="AD38" s="9">
        <v>0</v>
      </c>
      <c r="AF38" s="10">
        <f t="shared" si="1"/>
        <v>1.8</v>
      </c>
      <c r="AG38" s="10">
        <v>0</v>
      </c>
      <c r="AK38" s="76" t="s">
        <v>143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</row>
    <row r="40" spans="1:42" x14ac:dyDescent="0.3">
      <c r="D40" s="10" t="s">
        <v>80</v>
      </c>
      <c r="E40" s="12">
        <v>65.555555999999996</v>
      </c>
      <c r="F40" s="79">
        <f>SUM(F34:F38)</f>
        <v>0</v>
      </c>
      <c r="G40" s="79">
        <f>SUM(G34:G38)</f>
        <v>50</v>
      </c>
      <c r="H40" s="79">
        <f t="shared" ref="H40" si="2">SUM(H34:H38)</f>
        <v>20</v>
      </c>
      <c r="I40" s="12">
        <v>65.555555999999996</v>
      </c>
      <c r="J40" s="79">
        <f t="shared" ref="J40:K40" si="3">SUM(J34:J38)</f>
        <v>0</v>
      </c>
      <c r="K40" s="79">
        <f t="shared" si="3"/>
        <v>0</v>
      </c>
      <c r="L40" s="79">
        <f t="shared" ref="L40:N40" si="4">SUM(L34:L38)</f>
        <v>25</v>
      </c>
      <c r="M40" s="79">
        <f t="shared" si="4"/>
        <v>25</v>
      </c>
      <c r="N40" s="79">
        <f t="shared" si="4"/>
        <v>20</v>
      </c>
      <c r="O40" s="79">
        <f t="shared" ref="O40" si="5">SUM(O34:O38)</f>
        <v>-20</v>
      </c>
      <c r="P40" s="79"/>
      <c r="S40" s="10" t="s">
        <v>362</v>
      </c>
      <c r="AB40" s="180">
        <f>O16*O19</f>
        <v>20</v>
      </c>
      <c r="AI40" s="10">
        <f t="array" ref="AI40">MMULT(I40:O40,TRANSPOSE(I14:O14))</f>
        <v>19.666666799999998</v>
      </c>
      <c r="AJ40" s="10" t="s">
        <v>92</v>
      </c>
    </row>
    <row r="41" spans="1:42" x14ac:dyDescent="0.3">
      <c r="S41" s="10" t="s">
        <v>364</v>
      </c>
      <c r="AB41" s="180">
        <f>O16*O20</f>
        <v>20</v>
      </c>
    </row>
    <row r="42" spans="1:42" x14ac:dyDescent="0.3">
      <c r="S42" s="10" t="s">
        <v>363</v>
      </c>
      <c r="AB42" s="180">
        <f>O16</f>
        <v>40</v>
      </c>
    </row>
    <row r="43" spans="1:42" x14ac:dyDescent="0.3">
      <c r="S43" s="10" t="s">
        <v>365</v>
      </c>
      <c r="AB43" s="180">
        <f>O16*O18</f>
        <v>4</v>
      </c>
    </row>
    <row r="46" spans="1:42" x14ac:dyDescent="0.3">
      <c r="D46" s="10" t="s">
        <v>2</v>
      </c>
      <c r="E46" s="11" t="s">
        <v>36</v>
      </c>
      <c r="F46" s="11" t="s">
        <v>5</v>
      </c>
      <c r="G46" s="11" t="s">
        <v>6</v>
      </c>
      <c r="H46" s="11" t="s">
        <v>181</v>
      </c>
      <c r="I46" s="11" t="s">
        <v>7</v>
      </c>
      <c r="J46" s="11" t="s">
        <v>392</v>
      </c>
      <c r="K46" s="11" t="s">
        <v>393</v>
      </c>
      <c r="L46" s="11" t="s">
        <v>394</v>
      </c>
      <c r="M46" s="11" t="s">
        <v>395</v>
      </c>
      <c r="N46" s="11" t="s">
        <v>174</v>
      </c>
      <c r="O46" s="11" t="s">
        <v>396</v>
      </c>
    </row>
    <row r="47" spans="1:42" x14ac:dyDescent="0.3">
      <c r="D47" s="10" t="s">
        <v>36</v>
      </c>
      <c r="E47" s="10">
        <f t="array" ref="E47:O55">MMULT(E4:O12,E40:O40*_xlfn.MUNIT(11))</f>
        <v>0</v>
      </c>
      <c r="F47" s="10">
        <v>0</v>
      </c>
      <c r="G47" s="10">
        <v>0</v>
      </c>
      <c r="H47" s="10">
        <v>0</v>
      </c>
      <c r="I47" s="74">
        <v>0</v>
      </c>
      <c r="J47" s="74">
        <v>0</v>
      </c>
      <c r="K47" s="74">
        <v>0</v>
      </c>
      <c r="L47" s="74">
        <v>55.555555555555557</v>
      </c>
      <c r="M47" s="74">
        <v>0</v>
      </c>
      <c r="N47" s="74">
        <v>0</v>
      </c>
      <c r="O47" s="74">
        <v>0</v>
      </c>
    </row>
    <row r="48" spans="1:42" x14ac:dyDescent="0.3">
      <c r="D48" s="10" t="s">
        <v>5</v>
      </c>
      <c r="E48" s="10">
        <v>0</v>
      </c>
      <c r="F48" s="10">
        <v>0</v>
      </c>
      <c r="G48" s="10">
        <v>0</v>
      </c>
      <c r="H48" s="10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</row>
    <row r="49" spans="4:15" x14ac:dyDescent="0.3">
      <c r="D49" s="10" t="s">
        <v>6</v>
      </c>
      <c r="E49" s="10">
        <v>0</v>
      </c>
      <c r="F49" s="10">
        <v>0</v>
      </c>
      <c r="G49" s="10">
        <v>0</v>
      </c>
      <c r="H49" s="10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50</v>
      </c>
      <c r="O49" s="56">
        <v>0</v>
      </c>
    </row>
    <row r="50" spans="4:15" x14ac:dyDescent="0.3">
      <c r="D50" s="10" t="s">
        <v>181</v>
      </c>
      <c r="E50" s="10">
        <v>0</v>
      </c>
      <c r="F50" s="10">
        <v>0</v>
      </c>
      <c r="G50" s="10">
        <v>0</v>
      </c>
      <c r="H50" s="10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20</v>
      </c>
    </row>
    <row r="51" spans="4:15" x14ac:dyDescent="0.3">
      <c r="D51" s="10" t="s">
        <v>7</v>
      </c>
      <c r="E51" s="74">
        <v>65.555555999999996</v>
      </c>
      <c r="F51" s="74">
        <v>0</v>
      </c>
      <c r="G51" s="74">
        <v>0</v>
      </c>
      <c r="H51" s="74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4:15" x14ac:dyDescent="0.3">
      <c r="D52" s="10" t="s">
        <v>8</v>
      </c>
      <c r="E52" s="56">
        <v>0</v>
      </c>
      <c r="F52" s="56">
        <v>0</v>
      </c>
      <c r="G52" s="56">
        <v>0</v>
      </c>
      <c r="H52" s="56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4:15" x14ac:dyDescent="0.3">
      <c r="D53" s="10" t="s">
        <v>9</v>
      </c>
      <c r="E53" s="56">
        <v>0</v>
      </c>
      <c r="F53" s="56">
        <v>0</v>
      </c>
      <c r="G53" s="56">
        <v>50</v>
      </c>
      <c r="H53" s="56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4:15" x14ac:dyDescent="0.3">
      <c r="D54" s="10" t="s">
        <v>174</v>
      </c>
      <c r="E54" s="56">
        <v>0</v>
      </c>
      <c r="F54" s="56">
        <v>0</v>
      </c>
      <c r="G54" s="56">
        <v>0</v>
      </c>
      <c r="H54" s="56">
        <v>20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4:15" x14ac:dyDescent="0.3">
      <c r="D55" s="10" t="s">
        <v>400</v>
      </c>
      <c r="E55" s="56">
        <v>0</v>
      </c>
      <c r="F55" s="56">
        <v>0</v>
      </c>
      <c r="G55" s="56">
        <v>0</v>
      </c>
      <c r="H55" s="56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</sheetData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5EA8-AC59-4CE1-9428-E67CA4964F99}">
  <sheetPr>
    <tabColor theme="5" tint="-0.249977111117893"/>
  </sheetPr>
  <dimension ref="A2:P42"/>
  <sheetViews>
    <sheetView showGridLines="0" zoomScale="85" zoomScaleNormal="85" workbookViewId="0">
      <selection activeCell="G36" sqref="G36"/>
    </sheetView>
  </sheetViews>
  <sheetFormatPr defaultColWidth="8.77734375" defaultRowHeight="14.4" x14ac:dyDescent="0.3"/>
  <cols>
    <col min="1" max="1" width="22.77734375" customWidth="1"/>
    <col min="4" max="24" width="6.44140625" customWidth="1"/>
  </cols>
  <sheetData>
    <row r="2" spans="1:16" x14ac:dyDescent="0.3">
      <c r="A2" t="s">
        <v>404</v>
      </c>
      <c r="D2" s="208"/>
      <c r="E2" s="208"/>
      <c r="F2" s="208"/>
      <c r="G2" s="208" t="s">
        <v>315</v>
      </c>
      <c r="H2" s="208" t="s">
        <v>405</v>
      </c>
      <c r="I2" s="208" t="s">
        <v>406</v>
      </c>
      <c r="M2" t="s">
        <v>210</v>
      </c>
    </row>
    <row r="3" spans="1:16" x14ac:dyDescent="0.3">
      <c r="D3" s="208" t="s">
        <v>407</v>
      </c>
      <c r="E3" s="208" t="s">
        <v>408</v>
      </c>
      <c r="F3" s="208" t="s">
        <v>409</v>
      </c>
      <c r="G3" s="208" t="s">
        <v>139</v>
      </c>
      <c r="H3" s="208" t="s">
        <v>140</v>
      </c>
      <c r="I3" s="208" t="s">
        <v>141</v>
      </c>
      <c r="K3" s="208" t="s">
        <v>10</v>
      </c>
    </row>
    <row r="4" spans="1:16" x14ac:dyDescent="0.3">
      <c r="A4" t="s">
        <v>81</v>
      </c>
      <c r="B4" t="s">
        <v>407</v>
      </c>
      <c r="C4" t="s">
        <v>60</v>
      </c>
      <c r="D4" s="10"/>
      <c r="E4" s="10"/>
      <c r="F4" s="10"/>
      <c r="G4" s="9">
        <v>0.1</v>
      </c>
      <c r="H4" s="9">
        <v>1.1000000000000001</v>
      </c>
      <c r="I4" s="9">
        <v>0</v>
      </c>
      <c r="K4" s="3">
        <v>0</v>
      </c>
      <c r="M4">
        <f t="array" ref="M4:M6">TRANSPOSE(D31:F31)-MMULT(G4:I6,TRANSPOSE(G31:I31))-K4:K6</f>
        <v>1.9999999494757503E-5</v>
      </c>
      <c r="O4" s="10" t="s">
        <v>410</v>
      </c>
      <c r="P4" s="193" t="s">
        <v>234</v>
      </c>
    </row>
    <row r="5" spans="1:16" x14ac:dyDescent="0.3">
      <c r="A5" t="s">
        <v>82</v>
      </c>
      <c r="B5" t="s">
        <v>408</v>
      </c>
      <c r="C5" t="s">
        <v>60</v>
      </c>
      <c r="D5" s="10"/>
      <c r="E5" s="10"/>
      <c r="F5" s="10"/>
      <c r="G5" s="9">
        <v>0</v>
      </c>
      <c r="H5" s="9">
        <v>0</v>
      </c>
      <c r="I5" s="9">
        <v>2.4</v>
      </c>
      <c r="K5" s="3">
        <v>0</v>
      </c>
      <c r="M5">
        <v>-3.9999999899009708E-5</v>
      </c>
      <c r="O5" s="10" t="s">
        <v>198</v>
      </c>
      <c r="P5" s="193" t="s">
        <v>235</v>
      </c>
    </row>
    <row r="6" spans="1:16" x14ac:dyDescent="0.3">
      <c r="A6" t="s">
        <v>17</v>
      </c>
      <c r="B6" t="s">
        <v>409</v>
      </c>
      <c r="C6" t="s">
        <v>60</v>
      </c>
      <c r="D6" s="10"/>
      <c r="E6" s="10"/>
      <c r="F6" s="10"/>
      <c r="G6" s="9">
        <v>0.05</v>
      </c>
      <c r="H6" s="9">
        <v>0.2</v>
      </c>
      <c r="I6" s="9">
        <v>0</v>
      </c>
      <c r="K6" s="3">
        <v>300</v>
      </c>
      <c r="M6">
        <v>9.9999999179090082E-6</v>
      </c>
    </row>
    <row r="7" spans="1:16" x14ac:dyDescent="0.3">
      <c r="A7" t="s">
        <v>83</v>
      </c>
      <c r="B7" t="s">
        <v>315</v>
      </c>
      <c r="C7" t="s">
        <v>60</v>
      </c>
      <c r="D7" s="9">
        <v>0.8</v>
      </c>
      <c r="E7" s="9">
        <v>0</v>
      </c>
      <c r="F7" s="9">
        <v>0</v>
      </c>
      <c r="G7" s="10"/>
      <c r="H7" s="10"/>
      <c r="I7" s="10"/>
      <c r="M7">
        <f t="array" ref="M7:M9">MMULT(D7:F9,TRANSPOSE(D31:F31))-MMULT(G25:I27,TRANSPOSE(G31:I31))</f>
        <v>0</v>
      </c>
    </row>
    <row r="8" spans="1:16" x14ac:dyDescent="0.3">
      <c r="A8" t="s">
        <v>84</v>
      </c>
      <c r="B8" t="s">
        <v>405</v>
      </c>
      <c r="C8" t="s">
        <v>60</v>
      </c>
      <c r="D8" s="9">
        <v>0</v>
      </c>
      <c r="E8" s="9">
        <v>1</v>
      </c>
      <c r="F8" s="9">
        <v>0</v>
      </c>
      <c r="G8" s="10"/>
      <c r="H8" s="10"/>
      <c r="I8" s="10"/>
      <c r="M8">
        <v>0</v>
      </c>
    </row>
    <row r="9" spans="1:16" x14ac:dyDescent="0.3">
      <c r="A9" t="s">
        <v>411</v>
      </c>
      <c r="B9" t="s">
        <v>406</v>
      </c>
      <c r="C9" t="s">
        <v>60</v>
      </c>
      <c r="D9" s="9">
        <v>0</v>
      </c>
      <c r="E9" s="9">
        <v>0</v>
      </c>
      <c r="F9" s="9">
        <v>1</v>
      </c>
      <c r="G9" s="10"/>
      <c r="H9" s="10"/>
      <c r="I9" s="10"/>
      <c r="M9">
        <v>0</v>
      </c>
    </row>
    <row r="11" spans="1:16" x14ac:dyDescent="0.3">
      <c r="A11" t="s">
        <v>81</v>
      </c>
      <c r="B11" t="s">
        <v>412</v>
      </c>
      <c r="C11" t="s">
        <v>70</v>
      </c>
      <c r="D11" s="10"/>
      <c r="E11" s="10"/>
      <c r="F11" s="10"/>
      <c r="G11" s="9">
        <v>1</v>
      </c>
      <c r="H11" s="9">
        <v>0</v>
      </c>
      <c r="I11" s="9">
        <v>0</v>
      </c>
    </row>
    <row r="13" spans="1:16" x14ac:dyDescent="0.3">
      <c r="A13" t="s">
        <v>413</v>
      </c>
      <c r="B13" t="s">
        <v>414</v>
      </c>
      <c r="C13" t="s">
        <v>64</v>
      </c>
      <c r="D13" s="10">
        <v>0</v>
      </c>
      <c r="E13" s="10">
        <v>0</v>
      </c>
      <c r="F13" s="10">
        <v>0</v>
      </c>
      <c r="G13" s="9">
        <v>0.2</v>
      </c>
      <c r="H13" s="9">
        <v>0</v>
      </c>
      <c r="I13" s="9">
        <v>0</v>
      </c>
    </row>
    <row r="14" spans="1:16" x14ac:dyDescent="0.3">
      <c r="A14" t="s">
        <v>287</v>
      </c>
      <c r="B14" t="s">
        <v>415</v>
      </c>
      <c r="C14" t="s">
        <v>64</v>
      </c>
      <c r="D14" s="10"/>
      <c r="E14" s="10"/>
      <c r="F14" s="10"/>
      <c r="G14" s="9">
        <v>0.1</v>
      </c>
      <c r="H14" s="9">
        <v>0.5</v>
      </c>
      <c r="I14" s="9">
        <v>0.7</v>
      </c>
    </row>
    <row r="15" spans="1:16" x14ac:dyDescent="0.3">
      <c r="A15" t="s">
        <v>288</v>
      </c>
      <c r="B15" t="s">
        <v>416</v>
      </c>
      <c r="C15" t="s">
        <v>258</v>
      </c>
      <c r="D15" s="10"/>
      <c r="E15" s="10"/>
      <c r="F15" s="10"/>
      <c r="G15" s="9">
        <v>0</v>
      </c>
      <c r="H15" s="9">
        <v>0</v>
      </c>
      <c r="I15" s="3">
        <v>100</v>
      </c>
    </row>
    <row r="16" spans="1:16" x14ac:dyDescent="0.3">
      <c r="A16" t="s">
        <v>417</v>
      </c>
      <c r="B16" t="s">
        <v>418</v>
      </c>
      <c r="C16" t="s">
        <v>258</v>
      </c>
      <c r="D16" s="10"/>
      <c r="E16" s="10"/>
      <c r="F16" s="10"/>
      <c r="G16" s="9">
        <v>0</v>
      </c>
      <c r="H16" s="9">
        <v>0</v>
      </c>
      <c r="I16" s="3">
        <v>20</v>
      </c>
    </row>
    <row r="17" spans="1:9" x14ac:dyDescent="0.3">
      <c r="A17" t="s">
        <v>419</v>
      </c>
      <c r="B17" t="s">
        <v>420</v>
      </c>
      <c r="C17" t="s">
        <v>421</v>
      </c>
      <c r="D17" s="10"/>
      <c r="E17" s="10"/>
      <c r="F17" s="10"/>
      <c r="G17" s="9">
        <v>0</v>
      </c>
      <c r="H17" s="9">
        <v>0</v>
      </c>
      <c r="I17" s="9">
        <v>0</v>
      </c>
    </row>
    <row r="19" spans="1:9" x14ac:dyDescent="0.3">
      <c r="A19" t="s">
        <v>422</v>
      </c>
      <c r="B19" t="s">
        <v>139</v>
      </c>
      <c r="C19" t="s">
        <v>306</v>
      </c>
      <c r="D19" s="10"/>
      <c r="E19" s="10"/>
      <c r="F19" s="10"/>
      <c r="G19" s="9">
        <v>0</v>
      </c>
      <c r="H19" s="9">
        <v>0</v>
      </c>
      <c r="I19" s="3">
        <v>1</v>
      </c>
    </row>
    <row r="20" spans="1:9" x14ac:dyDescent="0.3">
      <c r="A20" t="s">
        <v>224</v>
      </c>
      <c r="B20" t="s">
        <v>140</v>
      </c>
      <c r="C20" t="s">
        <v>70</v>
      </c>
      <c r="D20" s="10"/>
      <c r="E20" s="10"/>
      <c r="F20" s="10"/>
      <c r="G20" s="9">
        <v>0</v>
      </c>
      <c r="H20" s="9">
        <v>0</v>
      </c>
      <c r="I20" s="9">
        <v>0.8</v>
      </c>
    </row>
    <row r="22" spans="1:9" x14ac:dyDescent="0.3">
      <c r="A22" t="s">
        <v>336</v>
      </c>
      <c r="B22" t="s">
        <v>407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 x14ac:dyDescent="0.3">
      <c r="B23" t="s">
        <v>408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3">
      <c r="B24" t="s">
        <v>409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</row>
    <row r="25" spans="1:9" x14ac:dyDescent="0.3">
      <c r="B25" t="s">
        <v>315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</row>
    <row r="26" spans="1:9" x14ac:dyDescent="0.3">
      <c r="B26" t="s">
        <v>405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</row>
    <row r="27" spans="1:9" x14ac:dyDescent="0.3">
      <c r="B27" t="s">
        <v>406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</row>
    <row r="29" spans="1:9" x14ac:dyDescent="0.3">
      <c r="A29" t="s">
        <v>423</v>
      </c>
    </row>
    <row r="31" spans="1:9" x14ac:dyDescent="0.3">
      <c r="A31" t="s">
        <v>25</v>
      </c>
      <c r="D31" s="5">
        <v>2124.4634999999998</v>
      </c>
      <c r="E31" s="5">
        <v>1776.8240000000001</v>
      </c>
      <c r="F31" s="5">
        <v>740.34334999999999</v>
      </c>
      <c r="G31" s="5">
        <v>1699.5708</v>
      </c>
      <c r="H31" s="5">
        <v>1776.8240000000001</v>
      </c>
      <c r="I31" s="5">
        <v>740.34334999999999</v>
      </c>
    </row>
    <row r="32" spans="1:9" x14ac:dyDescent="0.3">
      <c r="A32" t="s">
        <v>424</v>
      </c>
      <c r="D32" s="109"/>
      <c r="E32" s="109"/>
      <c r="F32" s="109"/>
      <c r="G32" s="5" cm="1">
        <f t="array" ref="G32:I32">G19:I19*G20:I20*8760</f>
        <v>0</v>
      </c>
      <c r="H32" s="5">
        <v>0</v>
      </c>
      <c r="I32" s="5">
        <v>7008</v>
      </c>
    </row>
    <row r="34" spans="1:11" x14ac:dyDescent="0.3">
      <c r="A34" t="s">
        <v>81</v>
      </c>
      <c r="B34" t="s">
        <v>412</v>
      </c>
      <c r="C34" t="s">
        <v>70</v>
      </c>
      <c r="D34" s="10"/>
      <c r="E34" s="10"/>
      <c r="F34" s="10"/>
      <c r="G34" s="3">
        <f t="array" ref="G34:I34">MMULT(G11:I11,G31:I31*G25:I27)</f>
        <v>1699.5708</v>
      </c>
      <c r="H34" s="3">
        <v>0</v>
      </c>
      <c r="I34" s="3">
        <v>0</v>
      </c>
    </row>
    <row r="36" spans="1:11" x14ac:dyDescent="0.3">
      <c r="A36" t="s">
        <v>413</v>
      </c>
      <c r="B36" t="s">
        <v>414</v>
      </c>
      <c r="C36" t="s">
        <v>121</v>
      </c>
      <c r="D36" s="10"/>
      <c r="E36" s="10"/>
      <c r="F36" s="10"/>
      <c r="G36" s="3">
        <f t="array" ref="G36:I36">MMULT(G13:I13,$G$31:$I$31*$G$25:$I$27)</f>
        <v>339.91416000000004</v>
      </c>
      <c r="H36" s="3">
        <v>0</v>
      </c>
      <c r="I36" s="3">
        <v>0</v>
      </c>
      <c r="J36" s="1"/>
      <c r="K36" s="1"/>
    </row>
    <row r="37" spans="1:11" x14ac:dyDescent="0.3">
      <c r="A37" t="s">
        <v>287</v>
      </c>
      <c r="B37" t="s">
        <v>415</v>
      </c>
      <c r="C37" t="s">
        <v>121</v>
      </c>
      <c r="D37" s="10"/>
      <c r="E37" s="10"/>
      <c r="F37" s="10"/>
      <c r="G37" s="3">
        <f t="array" ref="G37:I37">MMULT(G14:I14,$G$31:$I$31*$G$25:$I$27)</f>
        <v>169.95708000000002</v>
      </c>
      <c r="H37" s="3">
        <v>888.41200000000003</v>
      </c>
      <c r="I37" s="3">
        <v>518.24034499999993</v>
      </c>
      <c r="J37" s="1"/>
      <c r="K37" s="1"/>
    </row>
    <row r="38" spans="1:11" x14ac:dyDescent="0.3">
      <c r="A38" t="s">
        <v>288</v>
      </c>
      <c r="B38" t="s">
        <v>416</v>
      </c>
      <c r="C38" t="s">
        <v>121</v>
      </c>
      <c r="D38" s="10"/>
      <c r="E38" s="10"/>
      <c r="F38" s="10"/>
      <c r="G38" s="3">
        <f t="array" ref="G38:I38">MMULT(G15:I15,$G$19:$I$19*$G$25:$I$27)</f>
        <v>0</v>
      </c>
      <c r="H38" s="3">
        <v>0</v>
      </c>
      <c r="I38" s="3">
        <v>100</v>
      </c>
      <c r="J38" s="1"/>
      <c r="K38" s="1"/>
    </row>
    <row r="39" spans="1:11" x14ac:dyDescent="0.3">
      <c r="A39" t="s">
        <v>417</v>
      </c>
      <c r="B39" t="s">
        <v>418</v>
      </c>
      <c r="C39" t="s">
        <v>121</v>
      </c>
      <c r="D39" s="10"/>
      <c r="E39" s="10"/>
      <c r="F39" s="10"/>
      <c r="G39" s="3">
        <f t="array" ref="G39:I39">MMULT(G16:I16,$G$19:$I$19*$G$25:$I$27)</f>
        <v>0</v>
      </c>
      <c r="H39" s="3">
        <v>0</v>
      </c>
      <c r="I39" s="3">
        <v>20</v>
      </c>
      <c r="J39" s="1"/>
      <c r="K39" s="1"/>
    </row>
    <row r="40" spans="1:11" x14ac:dyDescent="0.3">
      <c r="A40" t="s">
        <v>419</v>
      </c>
      <c r="B40" t="s">
        <v>420</v>
      </c>
      <c r="C40" t="s">
        <v>121</v>
      </c>
      <c r="D40" s="10"/>
      <c r="E40" s="10"/>
      <c r="F40" s="10"/>
      <c r="G40" s="3">
        <f t="array" ref="G40:I40">MMULT(G17:I17,$G$31:$I$31*$G$25:$I$27)</f>
        <v>0</v>
      </c>
      <c r="H40" s="3">
        <v>0</v>
      </c>
      <c r="I40" s="3">
        <v>0</v>
      </c>
      <c r="J40" s="1"/>
      <c r="K40" s="1"/>
    </row>
    <row r="41" spans="1:11" x14ac:dyDescent="0.3">
      <c r="G41" s="1"/>
      <c r="H41" s="1"/>
      <c r="I41" s="1"/>
      <c r="J41" s="1"/>
      <c r="K41" s="2" t="s">
        <v>92</v>
      </c>
    </row>
    <row r="42" spans="1:11" x14ac:dyDescent="0.3">
      <c r="A42" t="s">
        <v>425</v>
      </c>
      <c r="C42" t="s">
        <v>121</v>
      </c>
      <c r="G42" s="3">
        <f>SUM(G36:G40)</f>
        <v>509.87124000000006</v>
      </c>
      <c r="H42" s="3">
        <f t="shared" ref="H42:I42" si="0">SUM(H36:H40)</f>
        <v>888.41200000000003</v>
      </c>
      <c r="I42" s="3">
        <f t="shared" si="0"/>
        <v>638.24034499999993</v>
      </c>
      <c r="J42" s="1"/>
      <c r="K42" s="209">
        <f>SUM(G42:I42)</f>
        <v>2036.5235850000001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1AB3-606D-4D88-A156-E282626A9BEE}">
  <sheetPr>
    <tabColor theme="5" tint="-0.249977111117893"/>
  </sheetPr>
  <dimension ref="A2:AI42"/>
  <sheetViews>
    <sheetView showGridLines="0" topLeftCell="A9" zoomScale="70" zoomScaleNormal="70" workbookViewId="0">
      <selection activeCell="AB15" sqref="AB15"/>
    </sheetView>
  </sheetViews>
  <sheetFormatPr defaultColWidth="8.77734375" defaultRowHeight="14.4" x14ac:dyDescent="0.3"/>
  <cols>
    <col min="1" max="1" width="22.77734375" customWidth="1"/>
    <col min="4" max="24" width="6.44140625" customWidth="1"/>
  </cols>
  <sheetData>
    <row r="2" spans="1:35" x14ac:dyDescent="0.3">
      <c r="A2" t="s">
        <v>404</v>
      </c>
      <c r="D2" s="208"/>
      <c r="E2" s="208"/>
      <c r="F2" s="208"/>
      <c r="G2" s="208" t="s">
        <v>315</v>
      </c>
      <c r="H2" s="208" t="s">
        <v>405</v>
      </c>
      <c r="I2" s="208" t="s">
        <v>406</v>
      </c>
      <c r="M2" t="s">
        <v>210</v>
      </c>
      <c r="W2" s="208"/>
      <c r="X2" s="208"/>
      <c r="Y2" s="208"/>
      <c r="Z2" s="208"/>
      <c r="AA2" s="208"/>
      <c r="AB2" s="208"/>
    </row>
    <row r="3" spans="1:35" x14ac:dyDescent="0.3">
      <c r="D3" s="208" t="s">
        <v>407</v>
      </c>
      <c r="E3" s="208" t="s">
        <v>408</v>
      </c>
      <c r="F3" s="208" t="s">
        <v>409</v>
      </c>
      <c r="G3" s="208" t="s">
        <v>139</v>
      </c>
      <c r="H3" s="208" t="s">
        <v>140</v>
      </c>
      <c r="I3" s="208" t="s">
        <v>141</v>
      </c>
      <c r="K3" s="208" t="s">
        <v>10</v>
      </c>
      <c r="W3" s="208"/>
      <c r="X3" s="208"/>
      <c r="Y3" s="208"/>
      <c r="Z3" s="208"/>
      <c r="AA3" s="208"/>
      <c r="AB3" s="208"/>
      <c r="AD3" s="208"/>
    </row>
    <row r="4" spans="1:35" x14ac:dyDescent="0.3">
      <c r="A4" t="s">
        <v>81</v>
      </c>
      <c r="B4" t="s">
        <v>407</v>
      </c>
      <c r="C4" t="s">
        <v>60</v>
      </c>
      <c r="D4" s="10"/>
      <c r="E4" s="10"/>
      <c r="F4" s="10"/>
      <c r="G4" s="9">
        <v>0.1</v>
      </c>
      <c r="H4" s="9">
        <v>1.1000000000000001</v>
      </c>
      <c r="I4" s="9">
        <v>0</v>
      </c>
      <c r="K4" s="3">
        <v>0</v>
      </c>
      <c r="M4">
        <f t="array" ref="M4:M6">TRANSPOSE(D31:F31)-MMULT(G4:I6,TRANSPOSE(G31:I31))-K4:K6</f>
        <v>6.9999999595893314E-5</v>
      </c>
      <c r="O4" s="10" t="s">
        <v>410</v>
      </c>
      <c r="P4" s="193" t="s">
        <v>234</v>
      </c>
      <c r="W4" s="10"/>
      <c r="X4" s="10"/>
      <c r="Y4" s="10"/>
      <c r="Z4" s="9"/>
      <c r="AA4" s="9"/>
      <c r="AB4" s="9"/>
      <c r="AD4" s="3"/>
      <c r="AH4" s="10"/>
      <c r="AI4" s="193"/>
    </row>
    <row r="5" spans="1:35" x14ac:dyDescent="0.3">
      <c r="A5" t="s">
        <v>82</v>
      </c>
      <c r="B5" t="s">
        <v>408</v>
      </c>
      <c r="C5" t="s">
        <v>60</v>
      </c>
      <c r="D5" s="10"/>
      <c r="E5" s="10"/>
      <c r="F5" s="10"/>
      <c r="G5" s="9">
        <v>0</v>
      </c>
      <c r="H5" s="9">
        <v>0</v>
      </c>
      <c r="I5" s="9">
        <v>2.4</v>
      </c>
      <c r="K5" s="3">
        <v>0</v>
      </c>
      <c r="M5">
        <v>-3.1999999691834091E-5</v>
      </c>
      <c r="O5" s="10" t="s">
        <v>198</v>
      </c>
      <c r="P5" s="193" t="s">
        <v>235</v>
      </c>
      <c r="W5" s="10"/>
      <c r="X5" s="10"/>
      <c r="Y5" s="10"/>
      <c r="Z5" s="9"/>
      <c r="AA5" s="9"/>
      <c r="AB5" s="9"/>
      <c r="AD5" s="3"/>
      <c r="AH5" s="10"/>
      <c r="AI5" s="193"/>
    </row>
    <row r="6" spans="1:35" x14ac:dyDescent="0.3">
      <c r="A6" t="s">
        <v>17</v>
      </c>
      <c r="B6" t="s">
        <v>409</v>
      </c>
      <c r="C6" t="s">
        <v>60</v>
      </c>
      <c r="D6" s="10"/>
      <c r="E6" s="10"/>
      <c r="F6" s="10"/>
      <c r="G6" s="9">
        <v>0.05</v>
      </c>
      <c r="H6" s="9">
        <v>0.2</v>
      </c>
      <c r="I6" s="9">
        <v>0</v>
      </c>
      <c r="K6" s="3">
        <v>300</v>
      </c>
      <c r="M6">
        <v>4.9999999305327947E-6</v>
      </c>
      <c r="W6" s="10"/>
      <c r="X6" s="10"/>
      <c r="Y6" s="10"/>
      <c r="Z6" s="9"/>
      <c r="AA6" s="9"/>
      <c r="AB6" s="9"/>
      <c r="AD6" s="3"/>
    </row>
    <row r="7" spans="1:35" x14ac:dyDescent="0.3">
      <c r="A7" t="s">
        <v>83</v>
      </c>
      <c r="B7" t="s">
        <v>315</v>
      </c>
      <c r="C7" t="s">
        <v>60</v>
      </c>
      <c r="D7" s="9">
        <v>1</v>
      </c>
      <c r="E7" s="9">
        <v>0</v>
      </c>
      <c r="F7" s="9">
        <v>0</v>
      </c>
      <c r="G7" s="10"/>
      <c r="H7" s="10"/>
      <c r="I7" s="10"/>
      <c r="M7">
        <f t="array" ref="M7:M9">MMULT(D7:F9,TRANSPOSE(D31:F31))-MMULT(G25:I27,TRANSPOSE(G31:I31))</f>
        <v>0</v>
      </c>
      <c r="W7" s="9"/>
      <c r="X7" s="9"/>
      <c r="Y7" s="9"/>
      <c r="Z7" s="10"/>
      <c r="AA7" s="10"/>
      <c r="AB7" s="10"/>
    </row>
    <row r="8" spans="1:35" x14ac:dyDescent="0.3">
      <c r="A8" t="s">
        <v>84</v>
      </c>
      <c r="B8" t="s">
        <v>405</v>
      </c>
      <c r="C8" t="s">
        <v>60</v>
      </c>
      <c r="D8" s="9">
        <v>0</v>
      </c>
      <c r="E8" s="9">
        <v>1</v>
      </c>
      <c r="F8" s="9">
        <v>0</v>
      </c>
      <c r="G8" s="10"/>
      <c r="H8" s="10"/>
      <c r="I8" s="10"/>
      <c r="M8">
        <v>0</v>
      </c>
      <c r="W8" s="9"/>
      <c r="X8" s="9"/>
      <c r="Y8" s="9"/>
      <c r="Z8" s="10"/>
      <c r="AA8" s="10"/>
      <c r="AB8" s="10"/>
    </row>
    <row r="9" spans="1:35" x14ac:dyDescent="0.3">
      <c r="A9" t="s">
        <v>411</v>
      </c>
      <c r="B9" t="s">
        <v>406</v>
      </c>
      <c r="C9" t="s">
        <v>60</v>
      </c>
      <c r="D9" s="9">
        <v>0</v>
      </c>
      <c r="E9" s="9">
        <v>0</v>
      </c>
      <c r="F9" s="9">
        <v>1</v>
      </c>
      <c r="G9" s="10"/>
      <c r="H9" s="10"/>
      <c r="I9" s="10"/>
      <c r="M9">
        <v>0</v>
      </c>
      <c r="W9" s="9"/>
      <c r="X9" s="9"/>
      <c r="Y9" s="9"/>
      <c r="Z9" s="10"/>
      <c r="AA9" s="10"/>
      <c r="AB9" s="10"/>
    </row>
    <row r="11" spans="1:35" x14ac:dyDescent="0.3">
      <c r="A11" t="s">
        <v>81</v>
      </c>
      <c r="B11" t="s">
        <v>412</v>
      </c>
      <c r="C11" t="s">
        <v>70</v>
      </c>
      <c r="D11" s="10"/>
      <c r="E11" s="10"/>
      <c r="F11" s="10"/>
      <c r="G11" s="9">
        <v>1</v>
      </c>
      <c r="H11" s="9">
        <v>0</v>
      </c>
      <c r="I11" s="9">
        <v>0</v>
      </c>
      <c r="W11" s="10"/>
      <c r="X11" s="10"/>
      <c r="Y11" s="10"/>
      <c r="Z11" s="9"/>
      <c r="AA11" s="9"/>
      <c r="AB11" s="9"/>
    </row>
    <row r="13" spans="1:35" x14ac:dyDescent="0.3">
      <c r="A13" t="s">
        <v>413</v>
      </c>
      <c r="B13" t="s">
        <v>414</v>
      </c>
      <c r="C13" t="s">
        <v>64</v>
      </c>
      <c r="D13" s="10"/>
      <c r="E13" s="10"/>
      <c r="F13" s="10"/>
      <c r="G13" s="9">
        <v>0.2</v>
      </c>
      <c r="H13" s="9">
        <v>0</v>
      </c>
      <c r="I13" s="9">
        <v>0</v>
      </c>
      <c r="W13" s="10"/>
      <c r="X13" s="10"/>
      <c r="Y13" s="10"/>
      <c r="Z13" s="9"/>
      <c r="AA13" s="9"/>
      <c r="AB13" s="9"/>
    </row>
    <row r="14" spans="1:35" x14ac:dyDescent="0.3">
      <c r="A14" t="s">
        <v>287</v>
      </c>
      <c r="B14" t="s">
        <v>415</v>
      </c>
      <c r="C14" t="s">
        <v>64</v>
      </c>
      <c r="D14" s="10"/>
      <c r="E14" s="10"/>
      <c r="F14" s="10"/>
      <c r="G14" s="9">
        <v>0.1</v>
      </c>
      <c r="H14" s="9">
        <v>0.5</v>
      </c>
      <c r="I14" s="9">
        <v>0.7</v>
      </c>
      <c r="W14" s="10"/>
      <c r="X14" s="10"/>
      <c r="Y14" s="10"/>
      <c r="Z14" s="9"/>
      <c r="AA14" s="9"/>
      <c r="AB14" s="9"/>
    </row>
    <row r="15" spans="1:35" x14ac:dyDescent="0.3">
      <c r="A15" t="s">
        <v>288</v>
      </c>
      <c r="B15" t="s">
        <v>416</v>
      </c>
      <c r="C15" t="s">
        <v>258</v>
      </c>
      <c r="D15" s="10"/>
      <c r="E15" s="10"/>
      <c r="F15" s="10"/>
      <c r="G15" s="9">
        <v>0</v>
      </c>
      <c r="H15" s="9">
        <v>0</v>
      </c>
      <c r="I15" s="3">
        <v>100</v>
      </c>
      <c r="W15" s="10"/>
      <c r="X15" s="10"/>
      <c r="Y15" s="10"/>
      <c r="Z15" s="9"/>
      <c r="AA15" s="9"/>
      <c r="AB15" s="3"/>
    </row>
    <row r="16" spans="1:35" x14ac:dyDescent="0.3">
      <c r="A16" t="s">
        <v>417</v>
      </c>
      <c r="B16" t="s">
        <v>418</v>
      </c>
      <c r="C16" t="s">
        <v>258</v>
      </c>
      <c r="D16" s="10"/>
      <c r="E16" s="10"/>
      <c r="F16" s="10"/>
      <c r="G16" s="9">
        <v>0</v>
      </c>
      <c r="H16" s="9">
        <v>0</v>
      </c>
      <c r="I16" s="3">
        <v>20</v>
      </c>
      <c r="W16" s="10"/>
      <c r="X16" s="10"/>
      <c r="Y16" s="10"/>
      <c r="Z16" s="9"/>
      <c r="AA16" s="9"/>
      <c r="AB16" s="3"/>
    </row>
    <row r="17" spans="1:28" x14ac:dyDescent="0.3">
      <c r="A17" t="s">
        <v>419</v>
      </c>
      <c r="B17" t="s">
        <v>420</v>
      </c>
      <c r="C17" t="s">
        <v>421</v>
      </c>
      <c r="D17" s="10"/>
      <c r="E17" s="10"/>
      <c r="F17" s="10"/>
      <c r="G17" s="9">
        <v>0</v>
      </c>
      <c r="H17" s="9">
        <v>0</v>
      </c>
      <c r="I17" s="9">
        <v>0</v>
      </c>
      <c r="W17" s="10"/>
      <c r="X17" s="10"/>
      <c r="Y17" s="10"/>
      <c r="Z17" s="9"/>
      <c r="AA17" s="9"/>
      <c r="AB17" s="9"/>
    </row>
    <row r="19" spans="1:28" x14ac:dyDescent="0.3">
      <c r="A19" t="s">
        <v>422</v>
      </c>
      <c r="B19" t="s">
        <v>139</v>
      </c>
      <c r="C19" t="s">
        <v>306</v>
      </c>
      <c r="D19" s="10"/>
      <c r="E19" s="10"/>
      <c r="F19" s="10"/>
      <c r="G19" s="9">
        <v>0</v>
      </c>
      <c r="H19" s="9">
        <v>0</v>
      </c>
      <c r="I19" s="3">
        <v>1</v>
      </c>
      <c r="W19" s="10"/>
      <c r="X19" s="10"/>
      <c r="Y19" s="10"/>
      <c r="Z19" s="9"/>
      <c r="AA19" s="9"/>
      <c r="AB19" s="3"/>
    </row>
    <row r="20" spans="1:28" x14ac:dyDescent="0.3">
      <c r="A20" t="s">
        <v>224</v>
      </c>
      <c r="B20" t="s">
        <v>140</v>
      </c>
      <c r="C20" t="s">
        <v>70</v>
      </c>
      <c r="D20" s="10"/>
      <c r="E20" s="10"/>
      <c r="F20" s="10"/>
      <c r="G20" s="9">
        <v>0</v>
      </c>
      <c r="H20" s="9">
        <v>0</v>
      </c>
      <c r="I20" s="9">
        <v>0.8</v>
      </c>
      <c r="W20" s="10"/>
      <c r="X20" s="10"/>
      <c r="Y20" s="10"/>
      <c r="Z20" s="9"/>
      <c r="AA20" s="9"/>
      <c r="AB20" s="9"/>
    </row>
    <row r="22" spans="1:28" x14ac:dyDescent="0.3">
      <c r="A22" t="s">
        <v>336</v>
      </c>
      <c r="B22" t="s">
        <v>407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W22" s="10"/>
      <c r="X22" s="10"/>
      <c r="Y22" s="10"/>
      <c r="Z22" s="10"/>
      <c r="AA22" s="10"/>
      <c r="AB22" s="10"/>
    </row>
    <row r="23" spans="1:28" x14ac:dyDescent="0.3">
      <c r="B23" t="s">
        <v>408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W23" s="10"/>
      <c r="X23" s="10"/>
      <c r="Y23" s="10"/>
      <c r="Z23" s="10"/>
      <c r="AA23" s="10"/>
      <c r="AB23" s="10"/>
    </row>
    <row r="24" spans="1:28" x14ac:dyDescent="0.3">
      <c r="B24" t="s">
        <v>409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W24" s="10"/>
      <c r="X24" s="10"/>
      <c r="Y24" s="10"/>
      <c r="Z24" s="10"/>
      <c r="AA24" s="10"/>
      <c r="AB24" s="10"/>
    </row>
    <row r="25" spans="1:28" x14ac:dyDescent="0.3">
      <c r="B25" t="s">
        <v>315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W25" s="10"/>
      <c r="X25" s="10"/>
      <c r="Y25" s="10"/>
      <c r="Z25" s="10"/>
      <c r="AA25" s="10"/>
      <c r="AB25" s="10"/>
    </row>
    <row r="26" spans="1:28" x14ac:dyDescent="0.3">
      <c r="B26" t="s">
        <v>405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W26" s="10"/>
      <c r="X26" s="10"/>
      <c r="Y26" s="10"/>
      <c r="Z26" s="10"/>
      <c r="AA26" s="10"/>
      <c r="AB26" s="10"/>
    </row>
    <row r="27" spans="1:28" x14ac:dyDescent="0.3">
      <c r="B27" t="s">
        <v>406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W27" s="10"/>
      <c r="X27" s="10"/>
      <c r="Y27" s="10"/>
      <c r="Z27" s="10"/>
      <c r="AA27" s="10"/>
      <c r="AB27" s="10"/>
    </row>
    <row r="29" spans="1:28" x14ac:dyDescent="0.3">
      <c r="A29" t="s">
        <v>423</v>
      </c>
    </row>
    <row r="31" spans="1:28" x14ac:dyDescent="0.3">
      <c r="A31" t="s">
        <v>25</v>
      </c>
      <c r="D31" s="5">
        <v>2357.1428999999998</v>
      </c>
      <c r="E31" s="5">
        <v>1928.5714</v>
      </c>
      <c r="F31" s="5">
        <v>803.57142999999996</v>
      </c>
      <c r="G31" s="5">
        <v>2357.1428999999998</v>
      </c>
      <c r="H31" s="5">
        <v>1928.5714</v>
      </c>
      <c r="I31" s="5">
        <v>803.57142999999996</v>
      </c>
      <c r="W31" s="5"/>
      <c r="X31" s="5"/>
      <c r="Y31" s="5"/>
      <c r="Z31" s="5"/>
      <c r="AA31" s="5"/>
      <c r="AB31" s="5"/>
    </row>
    <row r="32" spans="1:28" x14ac:dyDescent="0.3">
      <c r="A32" t="s">
        <v>424</v>
      </c>
      <c r="D32" s="109"/>
      <c r="E32" s="109"/>
      <c r="F32" s="109"/>
      <c r="G32" s="5" cm="1">
        <f t="array" ref="G32:I32">G19:I19*G20:I20*8760</f>
        <v>0</v>
      </c>
      <c r="H32" s="5">
        <v>0</v>
      </c>
      <c r="I32" s="5">
        <v>7008</v>
      </c>
      <c r="W32" s="109"/>
      <c r="X32" s="109"/>
      <c r="Y32" s="109"/>
      <c r="Z32" s="5"/>
      <c r="AA32" s="5"/>
      <c r="AB32" s="5"/>
    </row>
    <row r="34" spans="1:30" x14ac:dyDescent="0.3">
      <c r="A34" t="s">
        <v>81</v>
      </c>
      <c r="B34" t="s">
        <v>412</v>
      </c>
      <c r="C34" t="s">
        <v>70</v>
      </c>
      <c r="D34" s="10"/>
      <c r="E34" s="10"/>
      <c r="F34" s="10"/>
      <c r="G34" s="3">
        <f t="array" ref="G34:I34">MMULT(G11:I11,G31:I31*G25:I27)</f>
        <v>2357.1428999999998</v>
      </c>
      <c r="H34" s="3">
        <v>0</v>
      </c>
      <c r="I34" s="3">
        <v>0</v>
      </c>
      <c r="W34" s="10"/>
      <c r="X34" s="10"/>
      <c r="Y34" s="10"/>
      <c r="Z34" s="3"/>
      <c r="AA34" s="3"/>
      <c r="AB34" s="3"/>
    </row>
    <row r="36" spans="1:30" x14ac:dyDescent="0.3">
      <c r="A36" t="s">
        <v>413</v>
      </c>
      <c r="B36" t="s">
        <v>414</v>
      </c>
      <c r="C36" t="s">
        <v>121</v>
      </c>
      <c r="D36" s="10"/>
      <c r="E36" s="10"/>
      <c r="F36" s="10"/>
      <c r="G36" s="3">
        <f t="array" ref="G36:I36">MMULT(G13:I13,$G$31:$I$31*$G$25:$I$27)</f>
        <v>471.42858000000001</v>
      </c>
      <c r="H36" s="3">
        <v>0</v>
      </c>
      <c r="I36" s="3">
        <v>0</v>
      </c>
      <c r="J36" s="1"/>
      <c r="K36" s="1"/>
      <c r="W36" s="10"/>
      <c r="X36" s="10"/>
      <c r="Y36" s="10"/>
      <c r="Z36" s="3"/>
      <c r="AA36" s="3"/>
      <c r="AB36" s="3"/>
      <c r="AC36" s="1"/>
      <c r="AD36" s="1"/>
    </row>
    <row r="37" spans="1:30" x14ac:dyDescent="0.3">
      <c r="A37" t="s">
        <v>287</v>
      </c>
      <c r="B37" t="s">
        <v>415</v>
      </c>
      <c r="C37" t="s">
        <v>121</v>
      </c>
      <c r="D37" s="10"/>
      <c r="E37" s="10"/>
      <c r="F37" s="10"/>
      <c r="G37" s="3">
        <f t="array" ref="G37:I37">MMULT(G14:I14,$G$31:$I$31*$G$25:$I$27)</f>
        <v>235.71429000000001</v>
      </c>
      <c r="H37" s="3">
        <v>964.28570000000002</v>
      </c>
      <c r="I37" s="3">
        <v>562.50000099999988</v>
      </c>
      <c r="J37" s="1"/>
      <c r="K37" s="1"/>
      <c r="W37" s="10"/>
      <c r="X37" s="10"/>
      <c r="Y37" s="10"/>
      <c r="Z37" s="3"/>
      <c r="AA37" s="3"/>
      <c r="AB37" s="3"/>
      <c r="AC37" s="1"/>
      <c r="AD37" s="1"/>
    </row>
    <row r="38" spans="1:30" x14ac:dyDescent="0.3">
      <c r="A38" t="s">
        <v>288</v>
      </c>
      <c r="B38" t="s">
        <v>416</v>
      </c>
      <c r="C38" t="s">
        <v>121</v>
      </c>
      <c r="D38" s="10"/>
      <c r="E38" s="10"/>
      <c r="F38" s="10"/>
      <c r="G38" s="3">
        <f t="array" ref="G38:I38">MMULT(G15:I15,$G$19:$I$19*$G$25:$I$27)</f>
        <v>0</v>
      </c>
      <c r="H38" s="3">
        <v>0</v>
      </c>
      <c r="I38" s="3">
        <v>100</v>
      </c>
      <c r="J38" s="1"/>
      <c r="K38" s="1"/>
      <c r="W38" s="10"/>
      <c r="X38" s="10"/>
      <c r="Y38" s="10"/>
      <c r="Z38" s="3"/>
      <c r="AA38" s="3"/>
      <c r="AB38" s="3"/>
      <c r="AC38" s="1"/>
      <c r="AD38" s="1"/>
    </row>
    <row r="39" spans="1:30" x14ac:dyDescent="0.3">
      <c r="A39" t="s">
        <v>417</v>
      </c>
      <c r="B39" t="s">
        <v>418</v>
      </c>
      <c r="C39" t="s">
        <v>121</v>
      </c>
      <c r="D39" s="10"/>
      <c r="E39" s="10"/>
      <c r="F39" s="10"/>
      <c r="G39" s="3">
        <f t="array" ref="G39:I39">MMULT(G16:I16,$G$19:$I$19*$G$25:$I$27)</f>
        <v>0</v>
      </c>
      <c r="H39" s="3">
        <v>0</v>
      </c>
      <c r="I39" s="3">
        <v>20</v>
      </c>
      <c r="J39" s="1"/>
      <c r="K39" s="1"/>
      <c r="W39" s="10"/>
      <c r="X39" s="10"/>
      <c r="Y39" s="10"/>
      <c r="Z39" s="3"/>
      <c r="AA39" s="3"/>
      <c r="AB39" s="3"/>
      <c r="AC39" s="1"/>
      <c r="AD39" s="1"/>
    </row>
    <row r="40" spans="1:30" x14ac:dyDescent="0.3">
      <c r="A40" t="s">
        <v>419</v>
      </c>
      <c r="B40" t="s">
        <v>420</v>
      </c>
      <c r="C40" t="s">
        <v>121</v>
      </c>
      <c r="D40" s="10"/>
      <c r="E40" s="10"/>
      <c r="F40" s="10"/>
      <c r="G40" s="3">
        <f t="array" ref="G40:I40">MMULT(G17:I17,$G$31:$I$31*$G$25:$I$27)</f>
        <v>0</v>
      </c>
      <c r="H40" s="3">
        <v>0</v>
      </c>
      <c r="I40" s="3">
        <v>0</v>
      </c>
      <c r="J40" s="1"/>
      <c r="K40" s="1"/>
      <c r="W40" s="10"/>
      <c r="X40" s="10"/>
      <c r="Y40" s="10"/>
      <c r="Z40" s="3"/>
      <c r="AA40" s="3"/>
      <c r="AB40" s="3"/>
      <c r="AC40" s="1"/>
      <c r="AD40" s="1"/>
    </row>
    <row r="41" spans="1:30" x14ac:dyDescent="0.3">
      <c r="G41" s="1"/>
      <c r="H41" s="1"/>
      <c r="I41" s="1"/>
      <c r="J41" s="1"/>
      <c r="K41" s="2" t="s">
        <v>92</v>
      </c>
      <c r="Z41" s="1"/>
      <c r="AA41" s="1"/>
      <c r="AB41" s="1"/>
      <c r="AC41" s="1"/>
      <c r="AD41" s="2"/>
    </row>
    <row r="42" spans="1:30" x14ac:dyDescent="0.3">
      <c r="A42" t="s">
        <v>425</v>
      </c>
      <c r="C42" t="s">
        <v>121</v>
      </c>
      <c r="G42" s="3">
        <f>SUM(G36:G40)</f>
        <v>707.14287000000002</v>
      </c>
      <c r="H42" s="3">
        <f t="shared" ref="H42:I42" si="0">SUM(H36:H40)</f>
        <v>964.28570000000002</v>
      </c>
      <c r="I42" s="3">
        <f t="shared" si="0"/>
        <v>682.50000099999988</v>
      </c>
      <c r="J42" s="1"/>
      <c r="K42" s="209">
        <f>SUM(G42:I42)</f>
        <v>2353.9285709999999</v>
      </c>
      <c r="Z42" s="3"/>
      <c r="AA42" s="3"/>
      <c r="AB42" s="3"/>
      <c r="AC42" s="1"/>
      <c r="AD42" s="20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38FB-85AE-4402-8F13-9C17C59898DE}">
  <sheetPr>
    <tabColor theme="5" tint="-0.249977111117893"/>
  </sheetPr>
  <dimension ref="A1:AZ136"/>
  <sheetViews>
    <sheetView showGridLines="0" topLeftCell="P9" zoomScale="70" zoomScaleNormal="70" workbookViewId="0">
      <selection activeCell="AL27" sqref="AL27"/>
    </sheetView>
  </sheetViews>
  <sheetFormatPr defaultColWidth="9.21875" defaultRowHeight="14.4" x14ac:dyDescent="0.3"/>
  <cols>
    <col min="1" max="1" width="17.21875" style="10" customWidth="1"/>
    <col min="2" max="2" width="20.77734375" style="10" customWidth="1"/>
    <col min="3" max="3" width="8.44140625" style="10" customWidth="1"/>
    <col min="4" max="4" width="8.21875" style="10" customWidth="1"/>
    <col min="5" max="50" width="7.44140625" style="10" customWidth="1"/>
    <col min="51" max="16384" width="9.21875" style="10"/>
  </cols>
  <sheetData>
    <row r="1" spans="1:28" x14ac:dyDescent="0.3">
      <c r="E1" s="11"/>
      <c r="F1" s="11" t="s">
        <v>112</v>
      </c>
      <c r="G1" s="11" t="s">
        <v>260</v>
      </c>
      <c r="I1" s="10" t="s">
        <v>426</v>
      </c>
    </row>
    <row r="2" spans="1:28" x14ac:dyDescent="0.3">
      <c r="D2" s="10" t="s">
        <v>2</v>
      </c>
      <c r="E2" s="11" t="s">
        <v>36</v>
      </c>
      <c r="F2" s="11" t="s">
        <v>126</v>
      </c>
      <c r="G2" s="11" t="s">
        <v>213</v>
      </c>
      <c r="I2" s="210" t="s">
        <v>139</v>
      </c>
      <c r="J2" s="210" t="s">
        <v>140</v>
      </c>
      <c r="K2" s="210" t="s">
        <v>141</v>
      </c>
      <c r="L2" s="210" t="s">
        <v>142</v>
      </c>
      <c r="M2" s="11" t="s">
        <v>143</v>
      </c>
      <c r="N2" s="11" t="s">
        <v>268</v>
      </c>
      <c r="O2" s="11" t="s">
        <v>269</v>
      </c>
      <c r="P2" s="11" t="s">
        <v>270</v>
      </c>
      <c r="Q2" s="11" t="s">
        <v>271</v>
      </c>
      <c r="R2" s="11" t="s">
        <v>272</v>
      </c>
      <c r="S2" s="11" t="s">
        <v>273</v>
      </c>
      <c r="T2" s="11" t="s">
        <v>274</v>
      </c>
      <c r="U2" s="11" t="s">
        <v>275</v>
      </c>
      <c r="V2" s="11" t="s">
        <v>276</v>
      </c>
      <c r="W2" s="11" t="s">
        <v>277</v>
      </c>
      <c r="X2" s="210" t="s">
        <v>278</v>
      </c>
      <c r="Y2" s="210" t="s">
        <v>279</v>
      </c>
      <c r="Z2" s="210" t="s">
        <v>280</v>
      </c>
      <c r="AA2" s="210" t="s">
        <v>281</v>
      </c>
      <c r="AB2" s="210" t="s">
        <v>282</v>
      </c>
    </row>
    <row r="3" spans="1:28" x14ac:dyDescent="0.3">
      <c r="A3" s="10" t="s">
        <v>14</v>
      </c>
      <c r="B3" s="10" t="s">
        <v>17</v>
      </c>
      <c r="C3" s="10" t="s">
        <v>427</v>
      </c>
      <c r="D3" s="10" t="s">
        <v>36</v>
      </c>
      <c r="E3" s="10">
        <v>0</v>
      </c>
      <c r="F3" s="9">
        <v>0</v>
      </c>
      <c r="G3" s="9">
        <v>0</v>
      </c>
      <c r="I3" s="3">
        <v>2000</v>
      </c>
      <c r="J3" s="3">
        <v>2000</v>
      </c>
      <c r="K3" s="3">
        <v>2000</v>
      </c>
      <c r="L3" s="3">
        <v>2000</v>
      </c>
      <c r="M3" s="3">
        <v>2000</v>
      </c>
      <c r="N3" s="3">
        <f t="shared" ref="N3:W3" si="0">M3*(1+$B$21)</f>
        <v>2200</v>
      </c>
      <c r="O3" s="3">
        <f t="shared" si="0"/>
        <v>2420</v>
      </c>
      <c r="P3" s="3">
        <f t="shared" si="0"/>
        <v>2662</v>
      </c>
      <c r="Q3" s="3">
        <f t="shared" si="0"/>
        <v>2928.2000000000003</v>
      </c>
      <c r="R3" s="3">
        <f t="shared" si="0"/>
        <v>3221.0200000000004</v>
      </c>
      <c r="S3" s="3">
        <f t="shared" si="0"/>
        <v>3543.1220000000008</v>
      </c>
      <c r="T3" s="3">
        <f t="shared" si="0"/>
        <v>3897.4342000000011</v>
      </c>
      <c r="U3" s="3">
        <f t="shared" si="0"/>
        <v>4287.1776200000013</v>
      </c>
      <c r="V3" s="3">
        <f t="shared" si="0"/>
        <v>4715.8953820000015</v>
      </c>
      <c r="W3" s="3">
        <f t="shared" si="0"/>
        <v>5187.4849202000023</v>
      </c>
      <c r="X3" s="3">
        <f>W3</f>
        <v>5187.4849202000023</v>
      </c>
      <c r="Y3" s="3">
        <f t="shared" ref="Y3:AB3" si="1">X3</f>
        <v>5187.4849202000023</v>
      </c>
      <c r="Z3" s="3">
        <f t="shared" si="1"/>
        <v>5187.4849202000023</v>
      </c>
      <c r="AA3" s="3">
        <f t="shared" si="1"/>
        <v>5187.4849202000023</v>
      </c>
      <c r="AB3" s="3">
        <f t="shared" si="1"/>
        <v>5187.4849202000023</v>
      </c>
    </row>
    <row r="4" spans="1:28" x14ac:dyDescent="0.3">
      <c r="A4" s="10" t="s">
        <v>19</v>
      </c>
      <c r="B4" s="10" t="s">
        <v>120</v>
      </c>
      <c r="D4" s="10" t="s">
        <v>7</v>
      </c>
      <c r="E4" s="9">
        <v>1</v>
      </c>
      <c r="F4" s="10">
        <v>0</v>
      </c>
      <c r="G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</row>
    <row r="6" spans="1:28" x14ac:dyDescent="0.3">
      <c r="D6" s="10" t="s">
        <v>49</v>
      </c>
      <c r="E6" s="11" t="s">
        <v>36</v>
      </c>
      <c r="F6" s="11" t="s">
        <v>126</v>
      </c>
      <c r="G6" s="11" t="s">
        <v>213</v>
      </c>
      <c r="I6" s="10" t="s">
        <v>11</v>
      </c>
    </row>
    <row r="7" spans="1:28" x14ac:dyDescent="0.3">
      <c r="A7" s="10" t="s">
        <v>14</v>
      </c>
      <c r="B7" s="10" t="s">
        <v>17</v>
      </c>
      <c r="D7" s="10" t="s">
        <v>36</v>
      </c>
      <c r="E7" s="10">
        <v>1</v>
      </c>
      <c r="F7" s="9">
        <v>0</v>
      </c>
      <c r="G7" s="9">
        <v>0</v>
      </c>
      <c r="I7" s="3">
        <f t="array" ref="I7:AB8">MMULT(E7:G8-E3:G4,TRANSPOSE(E24:G43))</f>
        <v>0</v>
      </c>
      <c r="J7" s="3">
        <v>0</v>
      </c>
      <c r="K7" s="3">
        <v>0</v>
      </c>
      <c r="L7" s="3">
        <v>341.64</v>
      </c>
      <c r="M7" s="3">
        <v>341.64</v>
      </c>
      <c r="N7" s="3">
        <v>340.95672000000002</v>
      </c>
      <c r="O7" s="3">
        <v>336.17376000000002</v>
      </c>
      <c r="P7" s="3">
        <v>319.09176000000002</v>
      </c>
      <c r="Q7" s="3">
        <v>272.62871999999999</v>
      </c>
      <c r="R7" s="3">
        <v>182.09411999999998</v>
      </c>
      <c r="S7" s="3">
        <v>72.086039999999983</v>
      </c>
      <c r="T7" s="3">
        <v>10.249199999999968</v>
      </c>
      <c r="U7" s="3">
        <v>0.68327999999996725</v>
      </c>
      <c r="V7" s="3">
        <v>0.34163999999996725</v>
      </c>
      <c r="W7" s="3">
        <v>0.34163999999996725</v>
      </c>
      <c r="X7" s="3">
        <v>0.34163999999996725</v>
      </c>
      <c r="Y7" s="3">
        <v>0.34163999999996725</v>
      </c>
      <c r="Z7" s="3">
        <v>0.34163999999996725</v>
      </c>
      <c r="AA7" s="3">
        <v>0.34163999999996725</v>
      </c>
      <c r="AB7" s="3">
        <v>0.34163999999996725</v>
      </c>
    </row>
    <row r="8" spans="1:28" x14ac:dyDescent="0.3">
      <c r="A8" s="10" t="s">
        <v>19</v>
      </c>
      <c r="B8" s="10" t="s">
        <v>120</v>
      </c>
      <c r="D8" s="10" t="s">
        <v>7</v>
      </c>
      <c r="E8" s="9">
        <v>0</v>
      </c>
      <c r="F8" s="10">
        <v>1</v>
      </c>
      <c r="G8" s="10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10" spans="1:28" x14ac:dyDescent="0.3">
      <c r="A10" s="10" t="s">
        <v>14</v>
      </c>
      <c r="B10" s="10" t="s">
        <v>428</v>
      </c>
      <c r="C10" s="10" t="s">
        <v>64</v>
      </c>
      <c r="D10" s="10" t="s">
        <v>45</v>
      </c>
      <c r="F10" s="9">
        <v>0.1</v>
      </c>
      <c r="G10" s="9">
        <v>0.1</v>
      </c>
    </row>
    <row r="11" spans="1:28" x14ac:dyDescent="0.3">
      <c r="B11" s="10" t="s">
        <v>429</v>
      </c>
      <c r="C11" s="10" t="s">
        <v>258</v>
      </c>
      <c r="D11" s="10" t="s">
        <v>46</v>
      </c>
      <c r="F11" s="3">
        <v>600</v>
      </c>
      <c r="G11" s="3">
        <v>1500</v>
      </c>
    </row>
    <row r="13" spans="1:28" x14ac:dyDescent="0.3">
      <c r="A13" s="10" t="s">
        <v>221</v>
      </c>
      <c r="B13" s="10" t="s">
        <v>430</v>
      </c>
      <c r="D13" s="10" t="s">
        <v>223</v>
      </c>
      <c r="F13" s="9">
        <v>0</v>
      </c>
      <c r="G13" s="9">
        <v>0.13</v>
      </c>
    </row>
    <row r="14" spans="1:28" x14ac:dyDescent="0.3">
      <c r="B14" s="10" t="s">
        <v>431</v>
      </c>
      <c r="D14" s="10" t="s">
        <v>225</v>
      </c>
      <c r="F14" s="9">
        <v>0.9</v>
      </c>
      <c r="G14" s="9">
        <v>0</v>
      </c>
    </row>
    <row r="15" spans="1:28" x14ac:dyDescent="0.3">
      <c r="B15" s="10" t="s">
        <v>432</v>
      </c>
      <c r="D15" s="10" t="s">
        <v>370</v>
      </c>
      <c r="F15" s="9">
        <v>0.9</v>
      </c>
      <c r="G15" s="9">
        <v>0</v>
      </c>
    </row>
    <row r="16" spans="1:28" x14ac:dyDescent="0.3">
      <c r="B16" s="10" t="s">
        <v>433</v>
      </c>
      <c r="D16" s="10" t="s">
        <v>372</v>
      </c>
      <c r="F16" s="3">
        <v>5</v>
      </c>
      <c r="G16" s="3">
        <v>8</v>
      </c>
    </row>
    <row r="17" spans="1:45" x14ac:dyDescent="0.3">
      <c r="B17" s="10" t="s">
        <v>434</v>
      </c>
      <c r="D17" s="10" t="s">
        <v>372</v>
      </c>
      <c r="F17" s="3">
        <v>4</v>
      </c>
      <c r="G17" s="3">
        <v>4</v>
      </c>
    </row>
    <row r="19" spans="1:45" x14ac:dyDescent="0.3">
      <c r="Y19" s="10">
        <f>I3/(F15*0.001*8760)</f>
        <v>253.67833587011668</v>
      </c>
      <c r="Z19" s="10">
        <v>0</v>
      </c>
    </row>
    <row r="21" spans="1:45" x14ac:dyDescent="0.3">
      <c r="A21" s="10" t="s">
        <v>435</v>
      </c>
      <c r="B21" s="200">
        <v>0.1</v>
      </c>
      <c r="E21" s="198" t="s">
        <v>436</v>
      </c>
      <c r="F21" s="9"/>
      <c r="G21" s="9"/>
      <c r="H21" s="9"/>
      <c r="I21" s="9" t="s">
        <v>427</v>
      </c>
      <c r="J21" s="9"/>
      <c r="K21" s="9"/>
      <c r="M21" s="198" t="s">
        <v>437</v>
      </c>
      <c r="N21" s="9"/>
      <c r="O21" s="9"/>
      <c r="P21" s="9"/>
      <c r="Q21" s="9"/>
      <c r="R21" s="9"/>
      <c r="S21" s="9">
        <v>1.8</v>
      </c>
      <c r="T21" s="9">
        <v>1.8</v>
      </c>
      <c r="U21" s="9"/>
      <c r="V21" s="9"/>
      <c r="W21" s="9"/>
      <c r="X21" s="9"/>
      <c r="Y21" s="9"/>
      <c r="Z21" s="9"/>
      <c r="AB21" s="198" t="s">
        <v>438</v>
      </c>
      <c r="AC21" s="9"/>
      <c r="AE21" s="198" t="s">
        <v>439</v>
      </c>
      <c r="AF21" s="9"/>
      <c r="AG21" s="9"/>
      <c r="AH21" s="9"/>
      <c r="AI21" s="9"/>
      <c r="AJ21" s="9"/>
      <c r="AK21" s="9"/>
      <c r="AL21" s="9"/>
      <c r="AN21" s="198" t="s">
        <v>440</v>
      </c>
      <c r="AO21" s="9"/>
      <c r="AP21" s="9"/>
      <c r="AQ21" s="9"/>
      <c r="AR21" s="9"/>
      <c r="AS21" s="9"/>
    </row>
    <row r="22" spans="1:45" x14ac:dyDescent="0.3">
      <c r="A22" s="10" t="s">
        <v>261</v>
      </c>
      <c r="B22" s="202">
        <v>0.01</v>
      </c>
      <c r="E22" s="10" t="s">
        <v>441</v>
      </c>
      <c r="I22" s="11" t="s">
        <v>442</v>
      </c>
      <c r="J22" s="11" t="s">
        <v>229</v>
      </c>
      <c r="K22" s="11" t="s">
        <v>443</v>
      </c>
      <c r="M22" s="10" t="s">
        <v>444</v>
      </c>
      <c r="P22" s="10" t="s">
        <v>445</v>
      </c>
      <c r="S22" s="10" t="s">
        <v>446</v>
      </c>
      <c r="V22" s="10" t="s">
        <v>447</v>
      </c>
      <c r="Y22" s="10" t="s">
        <v>448</v>
      </c>
      <c r="AB22" s="10" t="s">
        <v>449</v>
      </c>
      <c r="AE22" s="10" t="s">
        <v>450</v>
      </c>
      <c r="AH22" s="10" t="s">
        <v>451</v>
      </c>
      <c r="AK22" s="10" t="s">
        <v>452</v>
      </c>
      <c r="AN22" s="10" t="s">
        <v>450</v>
      </c>
      <c r="AQ22" s="10" t="s">
        <v>451</v>
      </c>
    </row>
    <row r="23" spans="1:45" x14ac:dyDescent="0.3">
      <c r="A23" s="10" t="s">
        <v>453</v>
      </c>
      <c r="B23" s="202">
        <v>0.03</v>
      </c>
      <c r="E23" s="11" t="s">
        <v>36</v>
      </c>
      <c r="F23" s="199" t="s">
        <v>126</v>
      </c>
      <c r="G23" s="11" t="s">
        <v>213</v>
      </c>
      <c r="I23" s="11" t="s">
        <v>126</v>
      </c>
      <c r="J23" s="11" t="s">
        <v>126</v>
      </c>
      <c r="K23" s="11" t="s">
        <v>213</v>
      </c>
      <c r="M23" s="11" t="s">
        <v>126</v>
      </c>
      <c r="N23" s="11" t="s">
        <v>213</v>
      </c>
      <c r="P23" s="11" t="s">
        <v>126</v>
      </c>
      <c r="Q23" s="11" t="s">
        <v>213</v>
      </c>
      <c r="S23" s="11" t="s">
        <v>126</v>
      </c>
      <c r="T23" s="11" t="s">
        <v>213</v>
      </c>
      <c r="V23" s="11" t="s">
        <v>126</v>
      </c>
      <c r="W23" s="11" t="s">
        <v>213</v>
      </c>
      <c r="Y23" s="11" t="s">
        <v>126</v>
      </c>
      <c r="Z23" s="11" t="s">
        <v>213</v>
      </c>
      <c r="AB23" s="11" t="s">
        <v>126</v>
      </c>
      <c r="AC23" s="11" t="s">
        <v>213</v>
      </c>
      <c r="AE23" s="11" t="s">
        <v>126</v>
      </c>
      <c r="AF23" s="11" t="s">
        <v>213</v>
      </c>
      <c r="AH23" s="11" t="s">
        <v>126</v>
      </c>
      <c r="AI23" s="11" t="s">
        <v>213</v>
      </c>
      <c r="AK23" s="11" t="s">
        <v>126</v>
      </c>
      <c r="AL23" s="11" t="s">
        <v>213</v>
      </c>
      <c r="AN23" s="11" t="s">
        <v>126</v>
      </c>
      <c r="AO23" s="11" t="s">
        <v>213</v>
      </c>
    </row>
    <row r="24" spans="1:45" x14ac:dyDescent="0.3">
      <c r="A24" s="10" t="s">
        <v>454</v>
      </c>
      <c r="B24" s="77">
        <v>7</v>
      </c>
      <c r="D24" s="6">
        <v>1</v>
      </c>
      <c r="E24" s="5">
        <v>0</v>
      </c>
      <c r="F24" s="174">
        <v>0</v>
      </c>
      <c r="G24" s="5">
        <v>0</v>
      </c>
      <c r="I24" s="1">
        <f t="array" ref="I24:I43">Y24:Y43*8760*F14/1000</f>
        <v>0</v>
      </c>
      <c r="J24" s="1">
        <f t="array" ref="J24:J43">Y24:Y43*8760*F15/1000</f>
        <v>0</v>
      </c>
      <c r="K24" s="1">
        <f t="array" ref="K24:K43">Z24:Z43*8760*G13/1000</f>
        <v>0</v>
      </c>
      <c r="M24" s="5">
        <v>0</v>
      </c>
      <c r="N24" s="5">
        <v>0</v>
      </c>
      <c r="P24" s="1">
        <f t="array" ref="P24:P43">-MMULT(AE74:AX93,M24:M43)</f>
        <v>0</v>
      </c>
      <c r="Q24" s="1">
        <f t="array" ref="Q24:Q43">-MMULT(AE108:AX127,N24:N43)</f>
        <v>0</v>
      </c>
      <c r="S24" s="1"/>
      <c r="T24" s="1"/>
      <c r="V24" s="1">
        <f t="array" ref="V24:W24">P24:Q24+S24:T24</f>
        <v>0</v>
      </c>
      <c r="W24" s="1">
        <v>0</v>
      </c>
      <c r="Y24" s="180">
        <f t="array" ref="Y24:Z24">V24:W24+M24:N24</f>
        <v>0</v>
      </c>
      <c r="Z24" s="180">
        <v>0</v>
      </c>
      <c r="AB24" s="10" t="e">
        <f t="array" ref="AB24:AC43">F24:G43*1000/Y24:Z43/8760</f>
        <v>#DIV/0!</v>
      </c>
      <c r="AC24" s="10" t="e">
        <v>#DIV/0!</v>
      </c>
      <c r="AE24" s="27">
        <f t="array" ref="AE24:AF43">MMULT(F24:G43*1000,F10:G10*_xlfn.MUNIT(2))*0.000001</f>
        <v>0</v>
      </c>
      <c r="AF24" s="27">
        <v>0</v>
      </c>
      <c r="AH24" s="27">
        <f t="array" ref="AH24:AI43">MMULT(M24:N43,F11:G11*_xlfn.MUNIT(2))*0.000001</f>
        <v>0</v>
      </c>
      <c r="AI24" s="27">
        <v>0</v>
      </c>
      <c r="AK24" s="1">
        <f t="array" ref="AK24:AL43">AE24:AF43+AH24:AI43</f>
        <v>0</v>
      </c>
      <c r="AL24" s="1">
        <v>0</v>
      </c>
      <c r="AN24" s="10">
        <f t="array" ref="AN24:AN43">AE24:AE43*(1/(1+$B$22)^($D24:$D43-1))</f>
        <v>0</v>
      </c>
      <c r="AO24" s="10">
        <f t="shared" ref="AO24:AO43" si="2">AF24*(1/(1+$B$22)^($D24-1))</f>
        <v>0</v>
      </c>
    </row>
    <row r="25" spans="1:45" x14ac:dyDescent="0.3">
      <c r="D25" s="6">
        <v>2</v>
      </c>
      <c r="E25" s="5">
        <v>0</v>
      </c>
      <c r="F25" s="174">
        <v>0</v>
      </c>
      <c r="G25" s="5">
        <v>0</v>
      </c>
      <c r="I25" s="1">
        <v>0</v>
      </c>
      <c r="J25" s="1">
        <v>0</v>
      </c>
      <c r="K25" s="1">
        <v>0</v>
      </c>
      <c r="M25" s="5">
        <v>0</v>
      </c>
      <c r="N25" s="5">
        <v>0</v>
      </c>
      <c r="P25" s="1">
        <v>0</v>
      </c>
      <c r="Q25" s="1">
        <v>0</v>
      </c>
      <c r="S25" s="1"/>
      <c r="T25" s="1"/>
      <c r="V25" s="1">
        <f t="array" ref="V25:W25">P25:Q25+S25:T25</f>
        <v>0</v>
      </c>
      <c r="W25" s="1">
        <v>0</v>
      </c>
      <c r="Y25" s="180">
        <f t="array" ref="Y25:Z25">Y24:Z24+V25:W25+M25:N25</f>
        <v>0</v>
      </c>
      <c r="Z25" s="180">
        <v>0</v>
      </c>
      <c r="AB25" s="10" t="e">
        <v>#DIV/0!</v>
      </c>
      <c r="AC25" s="10" t="e">
        <v>#DIV/0!</v>
      </c>
      <c r="AE25" s="27">
        <v>0</v>
      </c>
      <c r="AF25" s="27">
        <v>0</v>
      </c>
      <c r="AH25" s="27">
        <v>0</v>
      </c>
      <c r="AI25" s="27">
        <v>0</v>
      </c>
      <c r="AK25" s="1">
        <v>0</v>
      </c>
      <c r="AL25" s="1">
        <v>0</v>
      </c>
      <c r="AN25" s="10">
        <v>0</v>
      </c>
      <c r="AO25" s="10">
        <f>AF25*(1/(1+$B$22)^($D25-1))</f>
        <v>0</v>
      </c>
    </row>
    <row r="26" spans="1:45" x14ac:dyDescent="0.3">
      <c r="A26" s="10" t="s">
        <v>455</v>
      </c>
      <c r="B26" s="10" t="s">
        <v>353</v>
      </c>
      <c r="D26" s="6">
        <v>3</v>
      </c>
      <c r="E26" s="5">
        <v>0</v>
      </c>
      <c r="F26" s="174">
        <v>0</v>
      </c>
      <c r="G26" s="5">
        <v>0</v>
      </c>
      <c r="I26" s="1">
        <v>0</v>
      </c>
      <c r="J26" s="1">
        <v>0</v>
      </c>
      <c r="K26" s="1">
        <v>0</v>
      </c>
      <c r="M26" s="5">
        <v>0</v>
      </c>
      <c r="N26" s="5">
        <v>0</v>
      </c>
      <c r="P26" s="1">
        <v>0</v>
      </c>
      <c r="Q26" s="1">
        <v>0</v>
      </c>
      <c r="S26" s="1"/>
      <c r="T26" s="1"/>
      <c r="V26" s="1">
        <f t="array" ref="V26:W26">P26:Q26+S26:T26</f>
        <v>0</v>
      </c>
      <c r="W26" s="1">
        <v>0</v>
      </c>
      <c r="Y26" s="180">
        <f t="array" ref="Y26:Z26">Y25:Z25+V26:W26+M26:N26</f>
        <v>0</v>
      </c>
      <c r="Z26" s="180">
        <v>0</v>
      </c>
      <c r="AB26" s="10" t="e">
        <v>#DIV/0!</v>
      </c>
      <c r="AC26" s="10" t="e">
        <v>#DIV/0!</v>
      </c>
      <c r="AE26" s="27">
        <v>0</v>
      </c>
      <c r="AF26" s="27">
        <v>0</v>
      </c>
      <c r="AH26" s="27">
        <v>0</v>
      </c>
      <c r="AI26" s="27">
        <v>0</v>
      </c>
      <c r="AK26" s="1">
        <v>0</v>
      </c>
      <c r="AL26" s="1">
        <v>0</v>
      </c>
      <c r="AN26" s="10">
        <v>0</v>
      </c>
      <c r="AO26" s="10">
        <f t="shared" si="2"/>
        <v>0</v>
      </c>
    </row>
    <row r="27" spans="1:45" x14ac:dyDescent="0.3">
      <c r="A27" s="10" t="s">
        <v>456</v>
      </c>
      <c r="B27" s="76">
        <f>SUM(AN24:AN43)</f>
        <v>0</v>
      </c>
      <c r="D27" s="6">
        <v>4</v>
      </c>
      <c r="E27" s="5">
        <v>341.64</v>
      </c>
      <c r="F27" s="174">
        <v>0</v>
      </c>
      <c r="G27" s="5">
        <v>341.64</v>
      </c>
      <c r="I27" s="1">
        <v>0</v>
      </c>
      <c r="J27" s="1">
        <v>0</v>
      </c>
      <c r="K27" s="1">
        <v>341.64</v>
      </c>
      <c r="M27" s="5">
        <v>0</v>
      </c>
      <c r="N27" s="5">
        <v>300</v>
      </c>
      <c r="P27" s="1">
        <v>0</v>
      </c>
      <c r="Q27" s="1">
        <v>0</v>
      </c>
      <c r="S27" s="1"/>
      <c r="T27" s="1"/>
      <c r="V27" s="1">
        <f t="array" ref="V27:W27">P27:Q27+S27:T27</f>
        <v>0</v>
      </c>
      <c r="W27" s="1">
        <v>0</v>
      </c>
      <c r="Y27" s="180">
        <f t="array" ref="Y27:Z27">Y26:Z26+V27:W27+M27:N27</f>
        <v>0</v>
      </c>
      <c r="Z27" s="180">
        <v>300</v>
      </c>
      <c r="AB27" s="10" t="e">
        <v>#DIV/0!</v>
      </c>
      <c r="AC27" s="10">
        <v>0.13</v>
      </c>
      <c r="AE27" s="27">
        <v>0</v>
      </c>
      <c r="AF27" s="27">
        <v>3.4164E-2</v>
      </c>
      <c r="AH27" s="27">
        <v>0</v>
      </c>
      <c r="AI27" s="27">
        <v>0.44999999999999996</v>
      </c>
      <c r="AK27" s="1">
        <v>0</v>
      </c>
      <c r="AL27" s="1">
        <v>0.48416399999999993</v>
      </c>
      <c r="AN27" s="10">
        <v>0</v>
      </c>
      <c r="AO27" s="10">
        <f>AF27*(1/(1+$B$22)^($D27-1))</f>
        <v>3.3159241813800047E-2</v>
      </c>
    </row>
    <row r="28" spans="1:45" x14ac:dyDescent="0.3">
      <c r="A28" s="10" t="s">
        <v>457</v>
      </c>
      <c r="B28" s="76">
        <f>SUM(AA74:AA103,AA107:AA136)</f>
        <v>0.46307265784804952</v>
      </c>
      <c r="D28" s="6">
        <v>5</v>
      </c>
      <c r="E28" s="5">
        <v>341.64</v>
      </c>
      <c r="F28" s="174">
        <v>0</v>
      </c>
      <c r="G28" s="5">
        <v>341.64</v>
      </c>
      <c r="I28" s="1">
        <v>0</v>
      </c>
      <c r="J28" s="1">
        <v>0</v>
      </c>
      <c r="K28" s="1">
        <v>341.64</v>
      </c>
      <c r="M28" s="5">
        <v>0</v>
      </c>
      <c r="N28" s="5">
        <v>0</v>
      </c>
      <c r="P28" s="1">
        <v>0</v>
      </c>
      <c r="Q28" s="1">
        <v>0</v>
      </c>
      <c r="S28" s="1"/>
      <c r="T28" s="1"/>
      <c r="V28" s="1">
        <f t="array" ref="V28:W28">P28:Q28+S28:T28</f>
        <v>0</v>
      </c>
      <c r="W28" s="1">
        <v>0</v>
      </c>
      <c r="Y28" s="180">
        <f t="array" ref="Y28:Z28">Y27:Z27+V28:W28+M28:N28</f>
        <v>0</v>
      </c>
      <c r="Z28" s="180">
        <v>300</v>
      </c>
      <c r="AB28" s="10" t="e">
        <v>#DIV/0!</v>
      </c>
      <c r="AC28" s="10">
        <v>0.13</v>
      </c>
      <c r="AE28" s="27">
        <v>0</v>
      </c>
      <c r="AF28" s="27">
        <v>3.4164E-2</v>
      </c>
      <c r="AH28" s="27">
        <v>0</v>
      </c>
      <c r="AI28" s="27">
        <v>0</v>
      </c>
      <c r="AK28" s="1">
        <v>0</v>
      </c>
      <c r="AL28" s="1">
        <v>3.4164E-2</v>
      </c>
      <c r="AN28" s="10">
        <v>0</v>
      </c>
      <c r="AO28" s="10">
        <f t="shared" si="2"/>
        <v>3.2830932488910933E-2</v>
      </c>
    </row>
    <row r="29" spans="1:45" x14ac:dyDescent="0.3">
      <c r="A29" s="10" t="s">
        <v>458</v>
      </c>
      <c r="B29" s="76">
        <f>B27+B28</f>
        <v>0.46307265784804952</v>
      </c>
      <c r="D29" s="6">
        <v>6</v>
      </c>
      <c r="E29" s="5">
        <v>340.95672000000002</v>
      </c>
      <c r="F29" s="174">
        <v>0</v>
      </c>
      <c r="G29" s="5">
        <v>340.95672000000002</v>
      </c>
      <c r="I29" s="1">
        <v>0</v>
      </c>
      <c r="J29" s="1">
        <v>0</v>
      </c>
      <c r="K29" s="1">
        <v>340.95672000000002</v>
      </c>
      <c r="M29" s="5">
        <v>0</v>
      </c>
      <c r="N29" s="5">
        <v>0</v>
      </c>
      <c r="P29" s="1">
        <v>0</v>
      </c>
      <c r="Q29" s="1">
        <v>-0.6</v>
      </c>
      <c r="S29" s="1"/>
      <c r="T29" s="1"/>
      <c r="V29" s="1">
        <f t="array" ref="V29:W29">P29:Q29+S29:T29</f>
        <v>0</v>
      </c>
      <c r="W29" s="1">
        <v>-0.6</v>
      </c>
      <c r="Y29" s="180">
        <f t="array" ref="Y29:Z29">Y28:Z28+V29:W29+M29:N29</f>
        <v>0</v>
      </c>
      <c r="Z29" s="180">
        <v>299.39999999999998</v>
      </c>
      <c r="AB29" s="10" t="e">
        <v>#DIV/0!</v>
      </c>
      <c r="AC29" s="10">
        <v>0.13000000000000003</v>
      </c>
      <c r="AE29" s="27">
        <v>0</v>
      </c>
      <c r="AF29" s="27">
        <v>3.4095672000000007E-2</v>
      </c>
      <c r="AH29" s="27">
        <v>0</v>
      </c>
      <c r="AI29" s="27">
        <v>0</v>
      </c>
      <c r="AK29" s="1">
        <v>0</v>
      </c>
      <c r="AL29" s="1">
        <v>3.4095672000000007E-2</v>
      </c>
      <c r="AN29" s="10">
        <v>0</v>
      </c>
      <c r="AO29" s="10">
        <f t="shared" si="2"/>
        <v>3.2440862003894184E-2</v>
      </c>
    </row>
    <row r="30" spans="1:45" x14ac:dyDescent="0.3">
      <c r="A30" s="10" t="s">
        <v>459</v>
      </c>
      <c r="B30" s="76">
        <f>SUM(AK24:AL43)</f>
        <v>0.67196350799999993</v>
      </c>
      <c r="D30" s="6">
        <v>7</v>
      </c>
      <c r="E30" s="5">
        <v>336.17376000000002</v>
      </c>
      <c r="F30" s="174">
        <v>0</v>
      </c>
      <c r="G30" s="5">
        <v>336.17376000000002</v>
      </c>
      <c r="I30" s="1">
        <v>0</v>
      </c>
      <c r="J30" s="1">
        <v>0</v>
      </c>
      <c r="K30" s="1">
        <v>336.17376000000002</v>
      </c>
      <c r="M30" s="5">
        <v>0</v>
      </c>
      <c r="N30" s="5">
        <v>0</v>
      </c>
      <c r="P30" s="1">
        <v>0</v>
      </c>
      <c r="Q30" s="1">
        <v>-4.2</v>
      </c>
      <c r="S30" s="1"/>
      <c r="T30" s="1"/>
      <c r="V30" s="1">
        <f t="array" ref="V30:W30">P30:Q30+S30:T30</f>
        <v>0</v>
      </c>
      <c r="W30" s="1">
        <v>-4.2</v>
      </c>
      <c r="Y30" s="180">
        <f t="array" ref="Y30:Z30">Y29:Z29+V30:W30+M30:N30</f>
        <v>0</v>
      </c>
      <c r="Z30" s="180">
        <v>295.2</v>
      </c>
      <c r="AB30" s="10" t="e">
        <v>#DIV/0!</v>
      </c>
      <c r="AC30" s="10">
        <v>0.13000000000000003</v>
      </c>
      <c r="AE30" s="27">
        <v>0</v>
      </c>
      <c r="AF30" s="27">
        <v>3.3617376000000004E-2</v>
      </c>
      <c r="AH30" s="27">
        <v>0</v>
      </c>
      <c r="AI30" s="27">
        <v>0</v>
      </c>
      <c r="AK30" s="1">
        <v>0</v>
      </c>
      <c r="AL30" s="1">
        <v>3.3617376000000004E-2</v>
      </c>
      <c r="AN30" s="10">
        <v>0</v>
      </c>
      <c r="AO30" s="10">
        <f t="shared" si="2"/>
        <v>3.1669088882549122E-2</v>
      </c>
    </row>
    <row r="31" spans="1:45" x14ac:dyDescent="0.3">
      <c r="D31" s="6">
        <v>8</v>
      </c>
      <c r="E31" s="5">
        <v>319.09176000000002</v>
      </c>
      <c r="F31" s="174">
        <v>0</v>
      </c>
      <c r="G31" s="5">
        <v>319.09176000000002</v>
      </c>
      <c r="I31" s="1">
        <v>0</v>
      </c>
      <c r="J31" s="1">
        <v>0</v>
      </c>
      <c r="K31" s="1">
        <v>319.09176000000002</v>
      </c>
      <c r="M31" s="5">
        <v>0</v>
      </c>
      <c r="N31" s="5">
        <v>0</v>
      </c>
      <c r="P31" s="1">
        <v>0</v>
      </c>
      <c r="Q31" s="1">
        <v>-15</v>
      </c>
      <c r="S31" s="1"/>
      <c r="T31" s="1"/>
      <c r="V31" s="1">
        <f t="array" ref="V31:W31">P31:Q31+S31:T31</f>
        <v>0</v>
      </c>
      <c r="W31" s="1">
        <v>-15</v>
      </c>
      <c r="Y31" s="180">
        <f t="array" ref="Y31:Z31">Y30:Z30+V31:W31+M31:N31</f>
        <v>0</v>
      </c>
      <c r="Z31" s="180">
        <v>280.2</v>
      </c>
      <c r="AB31" s="10" t="e">
        <v>#DIV/0!</v>
      </c>
      <c r="AC31" s="10">
        <v>0.13000000000000003</v>
      </c>
      <c r="AE31" s="27">
        <v>0</v>
      </c>
      <c r="AF31" s="27">
        <v>3.1909176000000004E-2</v>
      </c>
      <c r="AH31" s="27">
        <v>0</v>
      </c>
      <c r="AI31" s="27">
        <v>0</v>
      </c>
      <c r="AK31" s="1">
        <v>0</v>
      </c>
      <c r="AL31" s="1">
        <v>3.1909176000000004E-2</v>
      </c>
      <c r="AN31" s="10">
        <v>0</v>
      </c>
      <c r="AO31" s="10">
        <f t="shared" si="2"/>
        <v>2.9762264566027621E-2</v>
      </c>
    </row>
    <row r="32" spans="1:45" x14ac:dyDescent="0.3">
      <c r="D32" s="6">
        <v>9</v>
      </c>
      <c r="E32" s="5">
        <v>272.62871999999999</v>
      </c>
      <c r="F32" s="174">
        <v>0</v>
      </c>
      <c r="G32" s="5">
        <v>272.62871999999999</v>
      </c>
      <c r="I32" s="1">
        <v>0</v>
      </c>
      <c r="J32" s="1">
        <v>0</v>
      </c>
      <c r="K32" s="1">
        <v>272.62871999999999</v>
      </c>
      <c r="M32" s="5">
        <v>0</v>
      </c>
      <c r="N32" s="5">
        <v>0</v>
      </c>
      <c r="P32" s="1">
        <v>0</v>
      </c>
      <c r="Q32" s="1">
        <v>-40.800000000000004</v>
      </c>
      <c r="S32" s="1"/>
      <c r="T32" s="1"/>
      <c r="V32" s="1">
        <f t="array" ref="V32:W32">P32:Q32+S32:T32</f>
        <v>0</v>
      </c>
      <c r="W32" s="1">
        <v>-40.800000000000004</v>
      </c>
      <c r="Y32" s="180">
        <f t="array" ref="Y32:Z32">Y31:Z31+V32:W32+M32:N32</f>
        <v>0</v>
      </c>
      <c r="Z32" s="180">
        <v>239.39999999999998</v>
      </c>
      <c r="AB32" s="10" t="e">
        <v>#DIV/0!</v>
      </c>
      <c r="AC32" s="10">
        <v>0.13</v>
      </c>
      <c r="AE32" s="27">
        <v>0</v>
      </c>
      <c r="AF32" s="27">
        <v>2.7262871999999997E-2</v>
      </c>
      <c r="AH32" s="27">
        <v>0</v>
      </c>
      <c r="AI32" s="27">
        <v>0</v>
      </c>
      <c r="AK32" s="1">
        <v>0</v>
      </c>
      <c r="AL32" s="1">
        <v>2.7262871999999997E-2</v>
      </c>
      <c r="AN32" s="10">
        <v>0</v>
      </c>
      <c r="AO32" s="10">
        <f t="shared" si="2"/>
        <v>2.5176804888682798E-2</v>
      </c>
    </row>
    <row r="33" spans="4:41" x14ac:dyDescent="0.3">
      <c r="D33" s="6">
        <v>10</v>
      </c>
      <c r="E33" s="5">
        <v>182.09411999999998</v>
      </c>
      <c r="F33" s="174">
        <v>0</v>
      </c>
      <c r="G33" s="5">
        <v>182.09411999999998</v>
      </c>
      <c r="I33" s="1">
        <v>0</v>
      </c>
      <c r="J33" s="1">
        <v>0</v>
      </c>
      <c r="K33" s="1">
        <v>182.09411999999998</v>
      </c>
      <c r="M33" s="5">
        <v>0</v>
      </c>
      <c r="N33" s="5">
        <v>0</v>
      </c>
      <c r="P33" s="1">
        <v>0</v>
      </c>
      <c r="Q33" s="1">
        <v>-79.5</v>
      </c>
      <c r="S33" s="1"/>
      <c r="T33" s="1"/>
      <c r="V33" s="1">
        <f t="array" ref="V33:W33">P33:Q33+S33:T33</f>
        <v>0</v>
      </c>
      <c r="W33" s="1">
        <v>-79.5</v>
      </c>
      <c r="Y33" s="180">
        <f t="array" ref="Y33:Z33">Y32:Z32+V33:W33+M33:N33</f>
        <v>0</v>
      </c>
      <c r="Z33" s="180">
        <v>159.89999999999998</v>
      </c>
      <c r="AB33" s="10" t="e">
        <v>#DIV/0!</v>
      </c>
      <c r="AC33" s="10">
        <v>0.13</v>
      </c>
      <c r="AE33" s="27">
        <v>0</v>
      </c>
      <c r="AF33" s="27">
        <v>1.8209411999999994E-2</v>
      </c>
      <c r="AH33" s="27">
        <v>0</v>
      </c>
      <c r="AI33" s="27">
        <v>0</v>
      </c>
      <c r="AK33" s="1">
        <v>0</v>
      </c>
      <c r="AL33" s="1">
        <v>1.8209411999999994E-2</v>
      </c>
      <c r="AN33" s="10">
        <v>0</v>
      </c>
      <c r="AO33" s="10">
        <f t="shared" si="2"/>
        <v>1.6649590567592156E-2</v>
      </c>
    </row>
    <row r="34" spans="4:41" x14ac:dyDescent="0.3">
      <c r="D34" s="6">
        <v>11</v>
      </c>
      <c r="E34" s="5">
        <v>72.086039999999983</v>
      </c>
      <c r="F34" s="174">
        <v>0</v>
      </c>
      <c r="G34" s="5">
        <v>72.086039999999983</v>
      </c>
      <c r="I34" s="1">
        <v>0</v>
      </c>
      <c r="J34" s="1">
        <v>0</v>
      </c>
      <c r="K34" s="1">
        <v>72.086039999999983</v>
      </c>
      <c r="M34" s="5">
        <v>0</v>
      </c>
      <c r="N34" s="5">
        <v>0</v>
      </c>
      <c r="P34" s="1">
        <v>0</v>
      </c>
      <c r="Q34" s="1">
        <v>-96.600000000000009</v>
      </c>
      <c r="S34" s="1"/>
      <c r="T34" s="1"/>
      <c r="V34" s="1">
        <f t="array" ref="V34:W34">P34:Q34+S34:T34</f>
        <v>0</v>
      </c>
      <c r="W34" s="1">
        <v>-96.600000000000009</v>
      </c>
      <c r="Y34" s="180">
        <f t="array" ref="Y34:Z34">Y33:Z33+V34:W34+M34:N34</f>
        <v>0</v>
      </c>
      <c r="Z34" s="180">
        <v>63.299999999999969</v>
      </c>
      <c r="AB34" s="10" t="e">
        <v>#DIV/0!</v>
      </c>
      <c r="AC34" s="10">
        <v>0.13000000000000003</v>
      </c>
      <c r="AE34" s="27">
        <v>0</v>
      </c>
      <c r="AF34" s="27">
        <v>7.2086039999999978E-3</v>
      </c>
      <c r="AH34" s="27">
        <v>0</v>
      </c>
      <c r="AI34" s="27">
        <v>0</v>
      </c>
      <c r="AK34" s="1">
        <v>0</v>
      </c>
      <c r="AL34" s="1">
        <v>7.2086039999999978E-3</v>
      </c>
      <c r="AN34" s="10">
        <v>0</v>
      </c>
      <c r="AO34" s="10">
        <f t="shared" si="2"/>
        <v>6.5258551627476553E-3</v>
      </c>
    </row>
    <row r="35" spans="4:41" x14ac:dyDescent="0.3">
      <c r="D35" s="6">
        <v>12</v>
      </c>
      <c r="E35" s="5">
        <v>10.249199999999968</v>
      </c>
      <c r="F35" s="174">
        <v>0</v>
      </c>
      <c r="G35" s="5">
        <v>10.249199999999968</v>
      </c>
      <c r="I35" s="1">
        <v>0</v>
      </c>
      <c r="J35" s="1">
        <v>0</v>
      </c>
      <c r="K35" s="1">
        <v>10.249199999999968</v>
      </c>
      <c r="M35" s="5">
        <v>0</v>
      </c>
      <c r="N35" s="5">
        <v>0</v>
      </c>
      <c r="P35" s="1">
        <v>0</v>
      </c>
      <c r="Q35" s="1">
        <v>-54.3</v>
      </c>
      <c r="S35" s="1"/>
      <c r="T35" s="1"/>
      <c r="V35" s="1">
        <f t="array" ref="V35:W35">P35:Q35+S35:T35</f>
        <v>0</v>
      </c>
      <c r="W35" s="1">
        <v>-54.3</v>
      </c>
      <c r="Y35" s="180">
        <f t="array" ref="Y35:Z35">Y34:Z34+V35:W35+M35:N35</f>
        <v>0</v>
      </c>
      <c r="Z35" s="180">
        <v>8.9999999999999716</v>
      </c>
      <c r="AB35" s="10" t="e">
        <v>#DIV/0!</v>
      </c>
      <c r="AC35" s="10">
        <v>0.13</v>
      </c>
      <c r="AE35" s="27">
        <v>0</v>
      </c>
      <c r="AF35" s="27">
        <v>1.0249199999999969E-3</v>
      </c>
      <c r="AH35" s="27">
        <v>0</v>
      </c>
      <c r="AI35" s="27">
        <v>0</v>
      </c>
      <c r="AK35" s="1">
        <v>0</v>
      </c>
      <c r="AL35" s="1">
        <v>1.0249199999999969E-3</v>
      </c>
      <c r="AN35" s="10">
        <v>0</v>
      </c>
      <c r="AO35" s="10">
        <f t="shared" si="2"/>
        <v>9.1866010455834621E-4</v>
      </c>
    </row>
    <row r="36" spans="4:41" x14ac:dyDescent="0.3">
      <c r="D36" s="6">
        <v>13</v>
      </c>
      <c r="E36" s="5">
        <v>0.68327999999996725</v>
      </c>
      <c r="F36" s="174">
        <v>0</v>
      </c>
      <c r="G36" s="5">
        <v>0.68327999999996725</v>
      </c>
      <c r="I36" s="1">
        <v>0</v>
      </c>
      <c r="J36" s="1">
        <v>0</v>
      </c>
      <c r="K36" s="1">
        <v>0.68327999999996725</v>
      </c>
      <c r="M36" s="5">
        <v>0</v>
      </c>
      <c r="N36" s="5">
        <v>0</v>
      </c>
      <c r="P36" s="1">
        <v>0</v>
      </c>
      <c r="Q36" s="1">
        <v>-8.4</v>
      </c>
      <c r="S36" s="1"/>
      <c r="T36" s="1"/>
      <c r="V36" s="1">
        <f t="array" ref="V36:W36">P36:Q36+S36:T36</f>
        <v>0</v>
      </c>
      <c r="W36" s="1">
        <v>-8.4</v>
      </c>
      <c r="Y36" s="180">
        <f t="array" ref="Y36:Z36">Y35:Z35+V36:W36+M36:N36</f>
        <v>0</v>
      </c>
      <c r="Z36" s="180">
        <v>0.59999999999997122</v>
      </c>
      <c r="AB36" s="10" t="e">
        <v>#DIV/0!</v>
      </c>
      <c r="AC36" s="10">
        <v>0.13</v>
      </c>
      <c r="AE36" s="27">
        <v>0</v>
      </c>
      <c r="AF36" s="27">
        <v>6.8327999999996721E-5</v>
      </c>
      <c r="AH36" s="27">
        <v>0</v>
      </c>
      <c r="AI36" s="27">
        <v>0</v>
      </c>
      <c r="AK36" s="1">
        <v>0</v>
      </c>
      <c r="AL36" s="1">
        <v>6.8327999999996721E-5</v>
      </c>
      <c r="AN36" s="10">
        <v>0</v>
      </c>
      <c r="AO36" s="10">
        <f t="shared" si="2"/>
        <v>6.0637630663914513E-5</v>
      </c>
    </row>
    <row r="37" spans="4:41" x14ac:dyDescent="0.3">
      <c r="D37" s="6">
        <v>14</v>
      </c>
      <c r="E37" s="5">
        <v>0.34163999999996725</v>
      </c>
      <c r="F37" s="174">
        <v>0</v>
      </c>
      <c r="G37" s="5">
        <v>0.34163999999996725</v>
      </c>
      <c r="I37" s="1">
        <v>0</v>
      </c>
      <c r="J37" s="1">
        <v>0</v>
      </c>
      <c r="K37" s="1">
        <v>0.34163999999996725</v>
      </c>
      <c r="M37" s="5">
        <v>0</v>
      </c>
      <c r="N37" s="5">
        <v>0</v>
      </c>
      <c r="P37" s="1">
        <v>0</v>
      </c>
      <c r="Q37" s="1">
        <v>-0.3</v>
      </c>
      <c r="S37" s="1"/>
      <c r="T37" s="1"/>
      <c r="V37" s="1">
        <f t="array" ref="V37:W37">P37:Q37+S37:T37</f>
        <v>0</v>
      </c>
      <c r="W37" s="1">
        <v>-0.3</v>
      </c>
      <c r="Y37" s="180">
        <f t="array" ref="Y37:Z37">Y36:Z36+V37:W37+M37:N37</f>
        <v>0</v>
      </c>
      <c r="Z37" s="180">
        <v>0.29999999999997123</v>
      </c>
      <c r="AB37" s="10" t="e">
        <v>#DIV/0!</v>
      </c>
      <c r="AC37" s="10">
        <v>0.13</v>
      </c>
      <c r="AE37" s="27">
        <v>0</v>
      </c>
      <c r="AF37" s="27">
        <v>3.4163999999996727E-5</v>
      </c>
      <c r="AH37" s="27">
        <v>0</v>
      </c>
      <c r="AI37" s="27">
        <v>0</v>
      </c>
      <c r="AK37" s="1">
        <v>0</v>
      </c>
      <c r="AL37" s="1">
        <v>3.4163999999996727E-5</v>
      </c>
      <c r="AN37" s="10">
        <v>0</v>
      </c>
      <c r="AO37" s="10">
        <f t="shared" si="2"/>
        <v>3.00186290415404E-5</v>
      </c>
    </row>
    <row r="38" spans="4:41" x14ac:dyDescent="0.3">
      <c r="D38" s="6">
        <v>15</v>
      </c>
      <c r="E38" s="5">
        <v>0.34163999999996725</v>
      </c>
      <c r="F38" s="174">
        <v>0</v>
      </c>
      <c r="G38" s="5">
        <v>0.34163999999996725</v>
      </c>
      <c r="I38" s="1">
        <v>0</v>
      </c>
      <c r="J38" s="1">
        <v>0</v>
      </c>
      <c r="K38" s="1">
        <v>0.34163999999996725</v>
      </c>
      <c r="M38" s="5">
        <v>0</v>
      </c>
      <c r="N38" s="5">
        <v>0</v>
      </c>
      <c r="P38" s="1">
        <v>0</v>
      </c>
      <c r="Q38" s="1">
        <v>0</v>
      </c>
      <c r="S38" s="1"/>
      <c r="T38" s="1"/>
      <c r="V38" s="1">
        <f t="array" ref="V38:W38">P38:Q38+S38:T38</f>
        <v>0</v>
      </c>
      <c r="W38" s="1">
        <v>0</v>
      </c>
      <c r="Y38" s="180">
        <f t="array" ref="Y38:Z38">Y37:Z37+V38:W38+M38:N38</f>
        <v>0</v>
      </c>
      <c r="Z38" s="180">
        <v>0.29999999999997123</v>
      </c>
      <c r="AB38" s="10" t="e">
        <v>#DIV/0!</v>
      </c>
      <c r="AC38" s="10">
        <v>0.13</v>
      </c>
      <c r="AE38" s="27">
        <v>0</v>
      </c>
      <c r="AF38" s="27">
        <v>3.4163999999996727E-5</v>
      </c>
      <c r="AH38" s="27">
        <v>0</v>
      </c>
      <c r="AI38" s="27">
        <v>0</v>
      </c>
      <c r="AK38" s="1">
        <v>0</v>
      </c>
      <c r="AL38" s="1">
        <v>3.4163999999996727E-5</v>
      </c>
      <c r="AN38" s="10">
        <v>0</v>
      </c>
      <c r="AO38" s="10">
        <f t="shared" si="2"/>
        <v>2.9721414892614255E-5</v>
      </c>
    </row>
    <row r="39" spans="4:41" x14ac:dyDescent="0.3">
      <c r="D39" s="6">
        <v>16</v>
      </c>
      <c r="E39" s="5">
        <v>0.34163999999996725</v>
      </c>
      <c r="F39" s="174">
        <v>0</v>
      </c>
      <c r="G39" s="5">
        <v>0.34163999999996725</v>
      </c>
      <c r="I39" s="1">
        <v>0</v>
      </c>
      <c r="J39" s="1">
        <v>0</v>
      </c>
      <c r="K39" s="1">
        <v>0.34163999999996725</v>
      </c>
      <c r="M39" s="5">
        <v>0</v>
      </c>
      <c r="N39" s="5">
        <v>0</v>
      </c>
      <c r="P39" s="1">
        <v>0</v>
      </c>
      <c r="Q39" s="1">
        <v>0</v>
      </c>
      <c r="S39" s="1"/>
      <c r="T39" s="1"/>
      <c r="V39" s="1">
        <f t="array" ref="V39:W39">P39:Q39+S39:T39</f>
        <v>0</v>
      </c>
      <c r="W39" s="1">
        <v>0</v>
      </c>
      <c r="Y39" s="180">
        <f t="array" ref="Y39:Z39">Y38:Z38+V39:W39+M39:N39</f>
        <v>0</v>
      </c>
      <c r="Z39" s="180">
        <v>0.29999999999997123</v>
      </c>
      <c r="AB39" s="10" t="e">
        <v>#DIV/0!</v>
      </c>
      <c r="AC39" s="10">
        <v>0.13</v>
      </c>
      <c r="AE39" s="27">
        <v>0</v>
      </c>
      <c r="AF39" s="27">
        <v>3.4163999999996727E-5</v>
      </c>
      <c r="AH39" s="27">
        <v>0</v>
      </c>
      <c r="AI39" s="27">
        <v>0</v>
      </c>
      <c r="AK39" s="1">
        <v>0</v>
      </c>
      <c r="AL39" s="1">
        <v>3.4163999999996727E-5</v>
      </c>
      <c r="AN39" s="10">
        <v>0</v>
      </c>
      <c r="AO39" s="10">
        <f t="shared" si="2"/>
        <v>2.9427143458033926E-5</v>
      </c>
    </row>
    <row r="40" spans="4:41" x14ac:dyDescent="0.3">
      <c r="D40" s="6">
        <v>17</v>
      </c>
      <c r="E40" s="5">
        <v>0.34163999999996725</v>
      </c>
      <c r="F40" s="174">
        <v>0</v>
      </c>
      <c r="G40" s="5">
        <v>0.34163999999996725</v>
      </c>
      <c r="I40" s="1">
        <v>0</v>
      </c>
      <c r="J40" s="1">
        <v>0</v>
      </c>
      <c r="K40" s="1">
        <v>0.34163999999996725</v>
      </c>
      <c r="M40" s="5">
        <v>0</v>
      </c>
      <c r="N40" s="5">
        <v>0</v>
      </c>
      <c r="P40" s="1">
        <v>0</v>
      </c>
      <c r="Q40" s="1">
        <v>0</v>
      </c>
      <c r="S40" s="1"/>
      <c r="T40" s="1"/>
      <c r="V40" s="1">
        <f t="array" ref="V40:W40">P40:Q40+S40:T40</f>
        <v>0</v>
      </c>
      <c r="W40" s="1">
        <v>0</v>
      </c>
      <c r="Y40" s="180">
        <f t="array" ref="Y40:Z40">Y39:Z39+V40:W40+M40:N40</f>
        <v>0</v>
      </c>
      <c r="Z40" s="180">
        <v>0.29999999999997123</v>
      </c>
      <c r="AB40" s="10" t="e">
        <v>#DIV/0!</v>
      </c>
      <c r="AC40" s="10">
        <v>0.13</v>
      </c>
      <c r="AE40" s="27">
        <v>0</v>
      </c>
      <c r="AF40" s="27">
        <v>3.4163999999996727E-5</v>
      </c>
      <c r="AH40" s="27">
        <v>0</v>
      </c>
      <c r="AI40" s="27">
        <v>0</v>
      </c>
      <c r="AK40" s="1">
        <v>0</v>
      </c>
      <c r="AL40" s="1">
        <v>3.4163999999996727E-5</v>
      </c>
      <c r="AN40" s="10">
        <v>0</v>
      </c>
      <c r="AO40" s="10">
        <f t="shared" si="2"/>
        <v>2.9135785602013775E-5</v>
      </c>
    </row>
    <row r="41" spans="4:41" x14ac:dyDescent="0.3">
      <c r="D41" s="6">
        <v>18</v>
      </c>
      <c r="E41" s="5">
        <v>0.34163999999996725</v>
      </c>
      <c r="F41" s="174">
        <v>0</v>
      </c>
      <c r="G41" s="5">
        <v>0.34163999999996725</v>
      </c>
      <c r="I41" s="1">
        <v>0</v>
      </c>
      <c r="J41" s="1">
        <v>0</v>
      </c>
      <c r="K41" s="1">
        <v>0.34163999999996725</v>
      </c>
      <c r="M41" s="5">
        <v>0</v>
      </c>
      <c r="N41" s="5">
        <v>0</v>
      </c>
      <c r="P41" s="1">
        <v>0</v>
      </c>
      <c r="Q41" s="1">
        <v>0</v>
      </c>
      <c r="S41" s="1"/>
      <c r="T41" s="1"/>
      <c r="V41" s="1">
        <f t="array" ref="V41:W41">P41:Q41+S41:T41</f>
        <v>0</v>
      </c>
      <c r="W41" s="1">
        <v>0</v>
      </c>
      <c r="Y41" s="180">
        <f t="array" ref="Y41:Z41">Y40:Z40+V41:W41+M41:N41</f>
        <v>0</v>
      </c>
      <c r="Z41" s="180">
        <v>0.29999999999997123</v>
      </c>
      <c r="AB41" s="10" t="e">
        <v>#DIV/0!</v>
      </c>
      <c r="AC41" s="10">
        <v>0.13</v>
      </c>
      <c r="AE41" s="27">
        <v>0</v>
      </c>
      <c r="AF41" s="27">
        <v>3.4163999999996727E-5</v>
      </c>
      <c r="AH41" s="27">
        <v>0</v>
      </c>
      <c r="AI41" s="27">
        <v>0</v>
      </c>
      <c r="AK41" s="1">
        <v>0</v>
      </c>
      <c r="AL41" s="1">
        <v>3.4163999999996727E-5</v>
      </c>
      <c r="AN41" s="10">
        <v>0</v>
      </c>
      <c r="AO41" s="10">
        <f t="shared" si="2"/>
        <v>2.8847312477241358E-5</v>
      </c>
    </row>
    <row r="42" spans="4:41" x14ac:dyDescent="0.3">
      <c r="D42" s="6">
        <v>19</v>
      </c>
      <c r="E42" s="5">
        <v>0.34163999999996725</v>
      </c>
      <c r="F42" s="174">
        <v>0</v>
      </c>
      <c r="G42" s="5">
        <v>0.34163999999996725</v>
      </c>
      <c r="I42" s="1">
        <v>0</v>
      </c>
      <c r="J42" s="1">
        <v>0</v>
      </c>
      <c r="K42" s="1">
        <v>0.34163999999996725</v>
      </c>
      <c r="M42" s="5">
        <v>0</v>
      </c>
      <c r="N42" s="5">
        <v>0</v>
      </c>
      <c r="P42" s="1">
        <v>0</v>
      </c>
      <c r="Q42" s="1">
        <v>0</v>
      </c>
      <c r="S42" s="1"/>
      <c r="T42" s="1"/>
      <c r="V42" s="1">
        <f t="array" ref="V42:W42">P42:Q42+S42:T42</f>
        <v>0</v>
      </c>
      <c r="W42" s="1">
        <v>0</v>
      </c>
      <c r="Y42" s="180">
        <f t="array" ref="Y42:Z42">Y41:Z41+V42:W42+M42:N42</f>
        <v>0</v>
      </c>
      <c r="Z42" s="180">
        <v>0.29999999999997123</v>
      </c>
      <c r="AB42" s="10" t="e">
        <v>#DIV/0!</v>
      </c>
      <c r="AC42" s="10">
        <v>0.13</v>
      </c>
      <c r="AE42" s="27">
        <v>0</v>
      </c>
      <c r="AF42" s="27">
        <v>3.4163999999996727E-5</v>
      </c>
      <c r="AH42" s="27">
        <v>0</v>
      </c>
      <c r="AI42" s="27">
        <v>0</v>
      </c>
      <c r="AK42" s="1">
        <v>0</v>
      </c>
      <c r="AL42" s="1">
        <v>3.4163999999996727E-5</v>
      </c>
      <c r="AN42" s="10">
        <v>0</v>
      </c>
      <c r="AO42" s="10">
        <f t="shared" si="2"/>
        <v>2.8561695522021148E-5</v>
      </c>
    </row>
    <row r="43" spans="4:41" x14ac:dyDescent="0.3">
      <c r="D43" s="6">
        <v>20</v>
      </c>
      <c r="E43" s="5">
        <v>0.34163999999996725</v>
      </c>
      <c r="F43" s="174">
        <v>0</v>
      </c>
      <c r="G43" s="5">
        <v>0.34163999999996725</v>
      </c>
      <c r="I43" s="1">
        <v>0</v>
      </c>
      <c r="J43" s="1">
        <v>0</v>
      </c>
      <c r="K43" s="1">
        <v>0.34163999999996725</v>
      </c>
      <c r="M43" s="5">
        <v>0</v>
      </c>
      <c r="N43" s="5">
        <v>0</v>
      </c>
      <c r="P43" s="1">
        <v>0</v>
      </c>
      <c r="Q43" s="1">
        <v>0</v>
      </c>
      <c r="S43" s="1"/>
      <c r="T43" s="1"/>
      <c r="V43" s="1">
        <f t="array" ref="V43:W43">P43:Q43+S43:T43</f>
        <v>0</v>
      </c>
      <c r="W43" s="1">
        <v>0</v>
      </c>
      <c r="Y43" s="180">
        <f t="array" ref="Y43:Z43">Y42:Z42+V43:W43+M43:N43</f>
        <v>0</v>
      </c>
      <c r="Z43" s="180">
        <v>0.29999999999997123</v>
      </c>
      <c r="AB43" s="10" t="e">
        <v>#DIV/0!</v>
      </c>
      <c r="AC43" s="10">
        <v>0.13</v>
      </c>
      <c r="AE43" s="27">
        <v>0</v>
      </c>
      <c r="AF43" s="27">
        <v>3.4163999999996727E-5</v>
      </c>
      <c r="AH43" s="27">
        <v>0</v>
      </c>
      <c r="AI43" s="27">
        <v>0</v>
      </c>
      <c r="AK43" s="1">
        <v>0</v>
      </c>
      <c r="AL43" s="1">
        <v>3.4163999999996727E-5</v>
      </c>
      <c r="AN43" s="10">
        <v>0</v>
      </c>
      <c r="AO43" s="10">
        <f t="shared" si="2"/>
        <v>2.8278906457446687E-5</v>
      </c>
    </row>
    <row r="44" spans="4:41" x14ac:dyDescent="0.3">
      <c r="H44" s="11"/>
    </row>
    <row r="45" spans="4:41" x14ac:dyDescent="0.3">
      <c r="H45" s="11"/>
    </row>
    <row r="46" spans="4:41" x14ac:dyDescent="0.3">
      <c r="H46" s="11"/>
    </row>
    <row r="70" spans="4:52" x14ac:dyDescent="0.3">
      <c r="D70" s="14" t="s">
        <v>460</v>
      </c>
      <c r="AD70" s="14" t="s">
        <v>461</v>
      </c>
    </row>
    <row r="72" spans="4:52" x14ac:dyDescent="0.3">
      <c r="D72" s="10" t="s">
        <v>112</v>
      </c>
      <c r="E72" s="201">
        <f t="array" ref="E72:X72">TRANSPOSE(M24:M43)*$F$11*0.000001</f>
        <v>0</v>
      </c>
      <c r="F72" s="201">
        <v>0</v>
      </c>
      <c r="G72" s="201">
        <v>0</v>
      </c>
      <c r="H72" s="201">
        <v>0</v>
      </c>
      <c r="I72" s="201">
        <v>0</v>
      </c>
      <c r="J72" s="201">
        <v>0</v>
      </c>
      <c r="K72" s="201">
        <v>0</v>
      </c>
      <c r="L72" s="201">
        <v>0</v>
      </c>
      <c r="M72" s="201">
        <v>0</v>
      </c>
      <c r="N72" s="201">
        <v>0</v>
      </c>
      <c r="O72" s="201">
        <v>0</v>
      </c>
      <c r="P72" s="201">
        <v>0</v>
      </c>
      <c r="Q72" s="201">
        <v>0</v>
      </c>
      <c r="R72" s="201">
        <v>0</v>
      </c>
      <c r="S72" s="201">
        <v>0</v>
      </c>
      <c r="T72" s="201">
        <v>0</v>
      </c>
      <c r="U72" s="201">
        <v>0</v>
      </c>
      <c r="V72" s="201">
        <v>0</v>
      </c>
      <c r="W72" s="201">
        <v>0</v>
      </c>
      <c r="X72" s="201">
        <v>0</v>
      </c>
      <c r="AD72" s="10" t="s">
        <v>112</v>
      </c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01"/>
      <c r="AW72" s="201"/>
      <c r="AX72" s="201"/>
    </row>
    <row r="73" spans="4:52" x14ac:dyDescent="0.3">
      <c r="D73" s="10" t="s">
        <v>308</v>
      </c>
      <c r="E73" s="2">
        <v>1</v>
      </c>
      <c r="F73" s="2">
        <v>2</v>
      </c>
      <c r="G73" s="2">
        <v>3</v>
      </c>
      <c r="H73" s="2">
        <v>4</v>
      </c>
      <c r="I73" s="2">
        <v>5</v>
      </c>
      <c r="J73" s="2">
        <v>6</v>
      </c>
      <c r="K73" s="2">
        <v>7</v>
      </c>
      <c r="L73" s="2">
        <v>8</v>
      </c>
      <c r="M73" s="2">
        <v>9</v>
      </c>
      <c r="N73" s="2">
        <v>10</v>
      </c>
      <c r="O73" s="2">
        <v>11</v>
      </c>
      <c r="P73" s="2">
        <v>12</v>
      </c>
      <c r="Q73" s="2">
        <v>13</v>
      </c>
      <c r="R73" s="2">
        <v>14</v>
      </c>
      <c r="S73" s="2">
        <v>15</v>
      </c>
      <c r="T73" s="2">
        <v>16</v>
      </c>
      <c r="U73" s="2">
        <v>17</v>
      </c>
      <c r="V73" s="2">
        <v>18</v>
      </c>
      <c r="W73" s="2">
        <v>19</v>
      </c>
      <c r="X73" s="2">
        <v>20</v>
      </c>
      <c r="Z73" s="11" t="s">
        <v>462</v>
      </c>
      <c r="AA73" s="11" t="s">
        <v>463</v>
      </c>
      <c r="AD73" s="10" t="s">
        <v>308</v>
      </c>
      <c r="AE73" s="2">
        <v>1</v>
      </c>
      <c r="AF73" s="2">
        <v>2</v>
      </c>
      <c r="AG73" s="2">
        <v>3</v>
      </c>
      <c r="AH73" s="2">
        <v>4</v>
      </c>
      <c r="AI73" s="2">
        <v>5</v>
      </c>
      <c r="AJ73" s="2">
        <v>6</v>
      </c>
      <c r="AK73" s="2">
        <v>7</v>
      </c>
      <c r="AL73" s="2">
        <v>8</v>
      </c>
      <c r="AM73" s="2">
        <v>9</v>
      </c>
      <c r="AN73" s="2">
        <v>10</v>
      </c>
      <c r="AO73" s="2">
        <v>11</v>
      </c>
      <c r="AP73" s="2">
        <v>12</v>
      </c>
      <c r="AQ73" s="2">
        <v>13</v>
      </c>
      <c r="AR73" s="2">
        <v>14</v>
      </c>
      <c r="AS73" s="2">
        <v>15</v>
      </c>
      <c r="AT73" s="2">
        <v>16</v>
      </c>
      <c r="AU73" s="2">
        <v>17</v>
      </c>
      <c r="AV73" s="2">
        <v>18</v>
      </c>
      <c r="AW73" s="2">
        <v>19</v>
      </c>
      <c r="AX73" s="2">
        <v>20</v>
      </c>
    </row>
    <row r="74" spans="4:52" x14ac:dyDescent="0.3">
      <c r="D74" s="6">
        <v>1</v>
      </c>
      <c r="E74" s="201">
        <f>IF($D74-E$73&lt;$F$17,IF($B$23=0,1/$F$17,($B$23*(1+$B$23)^$F$17)/((1+$B$23)^$F$17-1)),0)</f>
        <v>0.26902704519308257</v>
      </c>
      <c r="F74" s="201">
        <v>0</v>
      </c>
      <c r="G74" s="201">
        <v>0</v>
      </c>
      <c r="H74" s="201">
        <v>0</v>
      </c>
      <c r="I74" s="201">
        <v>0</v>
      </c>
      <c r="J74" s="201">
        <v>0</v>
      </c>
      <c r="K74" s="201">
        <v>0</v>
      </c>
      <c r="L74" s="201">
        <v>0</v>
      </c>
      <c r="M74" s="201">
        <v>0</v>
      </c>
      <c r="N74" s="201">
        <v>0</v>
      </c>
      <c r="O74" s="201">
        <v>0</v>
      </c>
      <c r="P74" s="201">
        <v>0</v>
      </c>
      <c r="Q74" s="201">
        <v>0</v>
      </c>
      <c r="R74" s="201">
        <v>0</v>
      </c>
      <c r="S74" s="201">
        <v>0</v>
      </c>
      <c r="T74" s="201">
        <v>0</v>
      </c>
      <c r="U74" s="201">
        <v>0</v>
      </c>
      <c r="V74" s="201">
        <v>0</v>
      </c>
      <c r="W74" s="201">
        <v>0</v>
      </c>
      <c r="X74" s="201">
        <v>0</v>
      </c>
      <c r="Y74" s="201"/>
      <c r="Z74" s="201">
        <f t="array" ref="Z74:Z103">MMULT(E74:X103,TRANSPOSE(E72:X72))</f>
        <v>0</v>
      </c>
      <c r="AA74" s="201">
        <f>Z74*(1/(1+$B$22)^(D74-1))</f>
        <v>0</v>
      </c>
      <c r="AD74" s="6">
        <v>1</v>
      </c>
      <c r="AE74" s="10">
        <f>ROUND(_xlfn.WEIBULL.DIST(COUNTA($AD$74:$AD74),$B$24,$F$16,FALSE),3)</f>
        <v>0</v>
      </c>
      <c r="AF74" s="201">
        <v>0</v>
      </c>
      <c r="AG74" s="201">
        <v>0</v>
      </c>
      <c r="AH74" s="201">
        <v>0</v>
      </c>
      <c r="AI74" s="201">
        <v>0</v>
      </c>
      <c r="AJ74" s="201">
        <v>0</v>
      </c>
      <c r="AK74" s="201">
        <v>0</v>
      </c>
      <c r="AL74" s="201">
        <v>0</v>
      </c>
      <c r="AM74" s="201">
        <v>0</v>
      </c>
      <c r="AN74" s="201">
        <v>0</v>
      </c>
      <c r="AO74" s="201">
        <v>0</v>
      </c>
      <c r="AP74" s="201">
        <v>0</v>
      </c>
      <c r="AQ74" s="201">
        <v>0</v>
      </c>
      <c r="AR74" s="201">
        <v>0</v>
      </c>
      <c r="AS74" s="201">
        <v>0</v>
      </c>
      <c r="AT74" s="201">
        <v>0</v>
      </c>
      <c r="AU74" s="201">
        <v>0</v>
      </c>
      <c r="AV74" s="201">
        <v>0</v>
      </c>
      <c r="AW74" s="201">
        <v>0</v>
      </c>
      <c r="AX74" s="201">
        <v>0</v>
      </c>
      <c r="AZ74" s="10">
        <f t="array" ref="AZ74:AZ93">_xlfn.WEIBULL.DIST(AD74:AD93,B24,F16,FALSE)</f>
        <v>8.9598853127339991E-5</v>
      </c>
    </row>
    <row r="75" spans="4:52" x14ac:dyDescent="0.3">
      <c r="D75" s="6">
        <v>2</v>
      </c>
      <c r="E75" s="201">
        <f t="shared" ref="E75:O103" si="3">IF($D75-E$73&lt;$F$17,IF($B$23=0,1/$F$17,($B$23*(1+$B$23)^$F$17)/((1+$B$23)^$F$17-1)),0)</f>
        <v>0.26902704519308257</v>
      </c>
      <c r="F75" s="201">
        <f>IF($D75-F$73&lt;$F$17,IF($B$23=0,1/$F$17,($B$23*(1+$B$23)^$F$17)/((1+$B$23)^$F$17-1)),0)</f>
        <v>0.26902704519308257</v>
      </c>
      <c r="G75" s="201">
        <v>0</v>
      </c>
      <c r="H75" s="201">
        <v>0</v>
      </c>
      <c r="I75" s="201">
        <v>0</v>
      </c>
      <c r="J75" s="201">
        <v>0</v>
      </c>
      <c r="K75" s="201">
        <v>0</v>
      </c>
      <c r="L75" s="201">
        <v>0</v>
      </c>
      <c r="M75" s="201">
        <v>0</v>
      </c>
      <c r="N75" s="201">
        <v>0</v>
      </c>
      <c r="O75" s="201">
        <v>0</v>
      </c>
      <c r="P75" s="201">
        <v>0</v>
      </c>
      <c r="Q75" s="201">
        <v>0</v>
      </c>
      <c r="R75" s="201">
        <v>0</v>
      </c>
      <c r="S75" s="201">
        <v>0</v>
      </c>
      <c r="T75" s="201">
        <v>0</v>
      </c>
      <c r="U75" s="201">
        <v>0</v>
      </c>
      <c r="V75" s="201">
        <v>0</v>
      </c>
      <c r="W75" s="201">
        <v>0</v>
      </c>
      <c r="X75" s="201">
        <v>0</v>
      </c>
      <c r="Y75" s="201"/>
      <c r="Z75" s="201">
        <v>0</v>
      </c>
      <c r="AA75" s="201">
        <f t="shared" ref="AA75:AA103" si="4">Z75*(1/(1+$B$22)^(D75-1))</f>
        <v>0</v>
      </c>
      <c r="AD75" s="6">
        <v>2</v>
      </c>
      <c r="AE75" s="10">
        <f>ROUND(_xlfn.WEIBULL.DIST(COUNTA($AD$74:$AD75),$B$24,$F$16,FALSE),3)</f>
        <v>6.0000000000000001E-3</v>
      </c>
      <c r="AF75" s="10">
        <f>ROUND(_xlfn.WEIBULL.DIST(COUNTA($AD$75:$AD75),$B$24,$F$16,FALSE),3)</f>
        <v>0</v>
      </c>
      <c r="AG75" s="201">
        <v>0</v>
      </c>
      <c r="AH75" s="201">
        <v>0</v>
      </c>
      <c r="AI75" s="201">
        <v>0</v>
      </c>
      <c r="AJ75" s="201">
        <v>0</v>
      </c>
      <c r="AK75" s="201">
        <v>0</v>
      </c>
      <c r="AL75" s="201">
        <v>0</v>
      </c>
      <c r="AM75" s="201">
        <v>0</v>
      </c>
      <c r="AN75" s="201">
        <v>0</v>
      </c>
      <c r="AO75" s="201">
        <v>0</v>
      </c>
      <c r="AP75" s="201">
        <v>0</v>
      </c>
      <c r="AQ75" s="201">
        <v>0</v>
      </c>
      <c r="AR75" s="201">
        <v>0</v>
      </c>
      <c r="AS75" s="201">
        <v>0</v>
      </c>
      <c r="AT75" s="201">
        <v>0</v>
      </c>
      <c r="AU75" s="201">
        <v>0</v>
      </c>
      <c r="AV75" s="201">
        <v>0</v>
      </c>
      <c r="AW75" s="201">
        <v>0</v>
      </c>
      <c r="AX75" s="201">
        <v>0</v>
      </c>
      <c r="AZ75" s="10">
        <v>5.7250124514197538E-3</v>
      </c>
    </row>
    <row r="76" spans="4:52" x14ac:dyDescent="0.3">
      <c r="D76" s="6">
        <v>3</v>
      </c>
      <c r="E76" s="201">
        <f t="shared" si="3"/>
        <v>0.26902704519308257</v>
      </c>
      <c r="F76" s="201">
        <f t="shared" si="3"/>
        <v>0.26902704519308257</v>
      </c>
      <c r="G76" s="201">
        <f>IF($D76-G$73&lt;$F$17,IF($B$23=0,1/$F$17,($B$23*(1+$B$23)^$F$17)/((1+$B$23)^$F$17-1)),0)</f>
        <v>0.26902704519308257</v>
      </c>
      <c r="H76" s="201">
        <v>0</v>
      </c>
      <c r="I76" s="201">
        <v>0</v>
      </c>
      <c r="J76" s="201">
        <v>0</v>
      </c>
      <c r="K76" s="201">
        <v>0</v>
      </c>
      <c r="L76" s="201">
        <v>0</v>
      </c>
      <c r="M76" s="201">
        <v>0</v>
      </c>
      <c r="N76" s="201">
        <v>0</v>
      </c>
      <c r="O76" s="201">
        <v>0</v>
      </c>
      <c r="P76" s="201">
        <v>0</v>
      </c>
      <c r="Q76" s="201">
        <v>0</v>
      </c>
      <c r="R76" s="201">
        <v>0</v>
      </c>
      <c r="S76" s="201">
        <v>0</v>
      </c>
      <c r="T76" s="201">
        <v>0</v>
      </c>
      <c r="U76" s="201">
        <v>0</v>
      </c>
      <c r="V76" s="201">
        <v>0</v>
      </c>
      <c r="W76" s="201">
        <v>0</v>
      </c>
      <c r="X76" s="201">
        <v>0</v>
      </c>
      <c r="Y76" s="201"/>
      <c r="Z76" s="201">
        <v>0</v>
      </c>
      <c r="AA76" s="201">
        <f t="shared" si="4"/>
        <v>0</v>
      </c>
      <c r="AD76" s="6">
        <v>3</v>
      </c>
      <c r="AE76" s="10">
        <f>ROUND(_xlfn.WEIBULL.DIST(COUNTA($AD$74:$AD76),$B$24,$F$16,FALSE),3)</f>
        <v>6.4000000000000001E-2</v>
      </c>
      <c r="AF76" s="10">
        <f>ROUND(_xlfn.WEIBULL.DIST(COUNTA($AD$75:$AD76),$B$24,$F$16,FALSE),3)</f>
        <v>6.0000000000000001E-3</v>
      </c>
      <c r="AG76" s="10">
        <f>ROUND(_xlfn.WEIBULL.DIST(COUNTA($AD$76:$AD76),$B$24,$F$16,FALSE),3)</f>
        <v>0</v>
      </c>
      <c r="AH76" s="201">
        <v>0</v>
      </c>
      <c r="AI76" s="201">
        <v>0</v>
      </c>
      <c r="AJ76" s="201">
        <v>0</v>
      </c>
      <c r="AK76" s="201">
        <v>0</v>
      </c>
      <c r="AL76" s="201">
        <v>0</v>
      </c>
      <c r="AM76" s="201">
        <v>0</v>
      </c>
      <c r="AN76" s="201">
        <v>0</v>
      </c>
      <c r="AO76" s="201">
        <v>0</v>
      </c>
      <c r="AP76" s="201">
        <v>0</v>
      </c>
      <c r="AQ76" s="201">
        <v>0</v>
      </c>
      <c r="AR76" s="201">
        <v>0</v>
      </c>
      <c r="AS76" s="201">
        <v>0</v>
      </c>
      <c r="AT76" s="201">
        <v>0</v>
      </c>
      <c r="AU76" s="201">
        <v>0</v>
      </c>
      <c r="AV76" s="201">
        <v>0</v>
      </c>
      <c r="AW76" s="201">
        <v>0</v>
      </c>
      <c r="AX76" s="201">
        <v>0</v>
      </c>
      <c r="AZ76" s="10">
        <v>6.3515258794426072E-2</v>
      </c>
    </row>
    <row r="77" spans="4:52" x14ac:dyDescent="0.3">
      <c r="D77" s="6">
        <v>4</v>
      </c>
      <c r="E77" s="201">
        <f t="shared" si="3"/>
        <v>0.26902704519308257</v>
      </c>
      <c r="F77" s="201">
        <f t="shared" si="3"/>
        <v>0.26902704519308257</v>
      </c>
      <c r="G77" s="201">
        <f t="shared" si="3"/>
        <v>0.26902704519308257</v>
      </c>
      <c r="H77" s="201">
        <f>IF($D77-H$73&lt;$F$17,IF($B$23=0,1/$F$17,($B$23*(1+$B$23)^$F$17)/((1+$B$23)^$F$17-1)),0)</f>
        <v>0.26902704519308257</v>
      </c>
      <c r="I77" s="201">
        <v>0</v>
      </c>
      <c r="J77" s="201">
        <v>0</v>
      </c>
      <c r="K77" s="201">
        <v>0</v>
      </c>
      <c r="L77" s="201">
        <v>0</v>
      </c>
      <c r="M77" s="201">
        <v>0</v>
      </c>
      <c r="N77" s="201">
        <v>0</v>
      </c>
      <c r="O77" s="201">
        <v>0</v>
      </c>
      <c r="P77" s="201">
        <v>0</v>
      </c>
      <c r="Q77" s="201">
        <v>0</v>
      </c>
      <c r="R77" s="201">
        <v>0</v>
      </c>
      <c r="S77" s="201">
        <v>0</v>
      </c>
      <c r="T77" s="201">
        <v>0</v>
      </c>
      <c r="U77" s="201">
        <v>0</v>
      </c>
      <c r="V77" s="201">
        <v>0</v>
      </c>
      <c r="W77" s="201">
        <v>0</v>
      </c>
      <c r="X77" s="201">
        <v>0</v>
      </c>
      <c r="Y77" s="201"/>
      <c r="Z77" s="201">
        <v>0</v>
      </c>
      <c r="AA77" s="201">
        <f t="shared" si="4"/>
        <v>0</v>
      </c>
      <c r="AD77" s="6">
        <v>4</v>
      </c>
      <c r="AE77" s="10">
        <f>ROUND(_xlfn.WEIBULL.DIST(COUNTA($AD$74:$AD77),$B$24,$F$16,FALSE),3)</f>
        <v>0.29799999999999999</v>
      </c>
      <c r="AF77" s="10">
        <f>ROUND(_xlfn.WEIBULL.DIST(COUNTA($AD$75:$AD77),$B$24,$F$16,FALSE),3)</f>
        <v>6.4000000000000001E-2</v>
      </c>
      <c r="AG77" s="10">
        <f>ROUND(_xlfn.WEIBULL.DIST(COUNTA($AD$76:$AD77),$B$24,$F$16,FALSE),3)</f>
        <v>6.0000000000000001E-3</v>
      </c>
      <c r="AH77" s="10">
        <f>ROUND(_xlfn.WEIBULL.DIST(COUNTA($AD$77:$AD77),$B$24,$F$16,FALSE),3)</f>
        <v>0</v>
      </c>
      <c r="AI77" s="201">
        <v>0</v>
      </c>
      <c r="AJ77" s="201">
        <v>0</v>
      </c>
      <c r="AK77" s="201">
        <v>0</v>
      </c>
      <c r="AL77" s="201">
        <v>0</v>
      </c>
      <c r="AM77" s="201">
        <v>0</v>
      </c>
      <c r="AN77" s="201">
        <v>0</v>
      </c>
      <c r="AO77" s="201">
        <v>0</v>
      </c>
      <c r="AP77" s="201">
        <v>0</v>
      </c>
      <c r="AQ77" s="201">
        <v>0</v>
      </c>
      <c r="AR77" s="201">
        <v>0</v>
      </c>
      <c r="AS77" s="201">
        <v>0</v>
      </c>
      <c r="AT77" s="201">
        <v>0</v>
      </c>
      <c r="AU77" s="201">
        <v>0</v>
      </c>
      <c r="AV77" s="201">
        <v>0</v>
      </c>
      <c r="AW77" s="201">
        <v>0</v>
      </c>
      <c r="AX77" s="201">
        <v>0</v>
      </c>
      <c r="AZ77" s="10">
        <v>0.29757045120337589</v>
      </c>
    </row>
    <row r="78" spans="4:52" x14ac:dyDescent="0.3">
      <c r="D78" s="6">
        <v>5</v>
      </c>
      <c r="E78" s="201">
        <f t="shared" si="3"/>
        <v>0</v>
      </c>
      <c r="F78" s="201">
        <f t="shared" si="3"/>
        <v>0.26902704519308257</v>
      </c>
      <c r="G78" s="201">
        <f t="shared" si="3"/>
        <v>0.26902704519308257</v>
      </c>
      <c r="H78" s="201">
        <f t="shared" si="3"/>
        <v>0.26902704519308257</v>
      </c>
      <c r="I78" s="201">
        <f>IF($D78-I$73&lt;$F$17,IF($B$23=0,1/$F$17,($B$23*(1+$B$23)^$F$17)/((1+$B$23)^$F$17-1)),0)</f>
        <v>0.26902704519308257</v>
      </c>
      <c r="J78" s="201">
        <v>0</v>
      </c>
      <c r="K78" s="201">
        <v>0</v>
      </c>
      <c r="L78" s="201">
        <v>0</v>
      </c>
      <c r="M78" s="201">
        <v>0</v>
      </c>
      <c r="N78" s="201">
        <v>0</v>
      </c>
      <c r="O78" s="201">
        <v>0</v>
      </c>
      <c r="P78" s="201">
        <v>0</v>
      </c>
      <c r="Q78" s="201">
        <v>0</v>
      </c>
      <c r="R78" s="201">
        <v>0</v>
      </c>
      <c r="S78" s="201">
        <v>0</v>
      </c>
      <c r="T78" s="201">
        <v>0</v>
      </c>
      <c r="U78" s="201">
        <v>0</v>
      </c>
      <c r="V78" s="201">
        <v>0</v>
      </c>
      <c r="W78" s="201">
        <v>0</v>
      </c>
      <c r="X78" s="201">
        <v>0</v>
      </c>
      <c r="Y78" s="201"/>
      <c r="Z78" s="201">
        <v>0</v>
      </c>
      <c r="AA78" s="201">
        <f t="shared" si="4"/>
        <v>0</v>
      </c>
      <c r="AD78" s="6">
        <v>5</v>
      </c>
      <c r="AE78" s="10">
        <f>ROUND(_xlfn.WEIBULL.DIST(COUNTA($AD$74:$AD78),$B$24,$F$16,FALSE),3)</f>
        <v>0.51500000000000001</v>
      </c>
      <c r="AF78" s="10">
        <f>ROUND(_xlfn.WEIBULL.DIST(COUNTA($AD$75:$AD78),$B$24,$F$16,FALSE),3)</f>
        <v>0.29799999999999999</v>
      </c>
      <c r="AG78" s="10">
        <f>ROUND(_xlfn.WEIBULL.DIST(COUNTA($AD$76:$AD78),$B$24,$F$16,FALSE),3)</f>
        <v>6.4000000000000001E-2</v>
      </c>
      <c r="AH78" s="10">
        <f>ROUND(_xlfn.WEIBULL.DIST(COUNTA($AD$77:$AD78),$B$24,$F$16,FALSE),3)</f>
        <v>6.0000000000000001E-3</v>
      </c>
      <c r="AI78" s="10">
        <f>ROUND(_xlfn.WEIBULL.DIST(COUNTA($AD$78:$AD78),$B$24,$F$16,FALSE),3)</f>
        <v>0</v>
      </c>
      <c r="AJ78" s="201">
        <v>0</v>
      </c>
      <c r="AK78" s="201">
        <v>0</v>
      </c>
      <c r="AL78" s="201">
        <v>0</v>
      </c>
      <c r="AM78" s="201">
        <v>0</v>
      </c>
      <c r="AN78" s="201">
        <v>0</v>
      </c>
      <c r="AO78" s="201">
        <v>0</v>
      </c>
      <c r="AP78" s="201">
        <v>0</v>
      </c>
      <c r="AQ78" s="201">
        <v>0</v>
      </c>
      <c r="AR78" s="201">
        <v>0</v>
      </c>
      <c r="AS78" s="201">
        <v>0</v>
      </c>
      <c r="AT78" s="201">
        <v>0</v>
      </c>
      <c r="AU78" s="201">
        <v>0</v>
      </c>
      <c r="AV78" s="201">
        <v>0</v>
      </c>
      <c r="AW78" s="201">
        <v>0</v>
      </c>
      <c r="AX78" s="201">
        <v>0</v>
      </c>
      <c r="AZ78" s="10">
        <v>0.51503121764001869</v>
      </c>
    </row>
    <row r="79" spans="4:52" x14ac:dyDescent="0.3">
      <c r="D79" s="6">
        <v>6</v>
      </c>
      <c r="E79" s="201">
        <f t="shared" si="3"/>
        <v>0</v>
      </c>
      <c r="F79" s="201">
        <f t="shared" si="3"/>
        <v>0</v>
      </c>
      <c r="G79" s="201">
        <f t="shared" si="3"/>
        <v>0.26902704519308257</v>
      </c>
      <c r="H79" s="201">
        <f t="shared" si="3"/>
        <v>0.26902704519308257</v>
      </c>
      <c r="I79" s="201">
        <f t="shared" si="3"/>
        <v>0.26902704519308257</v>
      </c>
      <c r="J79" s="201">
        <f>IF($D79-J$73&lt;$F$17,IF($B$23=0,1/$F$17,($B$23*(1+$B$23)^$F$17)/((1+$B$23)^$F$17-1)),0)</f>
        <v>0.26902704519308257</v>
      </c>
      <c r="K79" s="201">
        <v>0</v>
      </c>
      <c r="L79" s="201">
        <v>0</v>
      </c>
      <c r="M79" s="201">
        <v>0</v>
      </c>
      <c r="N79" s="201">
        <v>0</v>
      </c>
      <c r="O79" s="201">
        <v>0</v>
      </c>
      <c r="P79" s="201">
        <v>0</v>
      </c>
      <c r="Q79" s="201">
        <v>0</v>
      </c>
      <c r="R79" s="201">
        <v>0</v>
      </c>
      <c r="S79" s="201">
        <v>0</v>
      </c>
      <c r="T79" s="201">
        <v>0</v>
      </c>
      <c r="U79" s="201">
        <v>0</v>
      </c>
      <c r="V79" s="201">
        <v>0</v>
      </c>
      <c r="W79" s="201">
        <v>0</v>
      </c>
      <c r="X79" s="201">
        <v>0</v>
      </c>
      <c r="Y79" s="201"/>
      <c r="Z79" s="201">
        <v>0</v>
      </c>
      <c r="AA79" s="201">
        <f t="shared" si="4"/>
        <v>0</v>
      </c>
      <c r="AD79" s="6">
        <v>6</v>
      </c>
      <c r="AE79" s="10">
        <f>ROUND(_xlfn.WEIBULL.DIST(COUNTA($AD$74:$AD79),$B$24,$F$16,FALSE),3)</f>
        <v>0.11600000000000001</v>
      </c>
      <c r="AF79" s="10">
        <f>ROUND(_xlfn.WEIBULL.DIST(COUNTA($AD$75:$AD79),$B$24,$F$16,FALSE),3)</f>
        <v>0.51500000000000001</v>
      </c>
      <c r="AG79" s="10">
        <f>ROUND(_xlfn.WEIBULL.DIST(COUNTA($AD$76:$AD79),$B$24,$F$16,FALSE),3)</f>
        <v>0.29799999999999999</v>
      </c>
      <c r="AH79" s="10">
        <f>ROUND(_xlfn.WEIBULL.DIST(COUNTA($AD$77:$AD79),$B$24,$F$16,FALSE),3)</f>
        <v>6.4000000000000001E-2</v>
      </c>
      <c r="AI79" s="10">
        <f>ROUND(_xlfn.WEIBULL.DIST(COUNTA($AD$78:$AD79),$B$24,$F$16,FALSE),3)</f>
        <v>6.0000000000000001E-3</v>
      </c>
      <c r="AJ79" s="10">
        <f>ROUND(_xlfn.WEIBULL.DIST(COUNTA($AD$79:$AD79),$B$24,$F$16,FALSE),3)</f>
        <v>0</v>
      </c>
      <c r="AK79" s="201">
        <v>0</v>
      </c>
      <c r="AL79" s="201">
        <v>0</v>
      </c>
      <c r="AM79" s="201">
        <v>0</v>
      </c>
      <c r="AN79" s="201">
        <v>0</v>
      </c>
      <c r="AO79" s="201">
        <v>0</v>
      </c>
      <c r="AP79" s="201">
        <v>0</v>
      </c>
      <c r="AQ79" s="201">
        <v>0</v>
      </c>
      <c r="AR79" s="201">
        <v>0</v>
      </c>
      <c r="AS79" s="201">
        <v>0</v>
      </c>
      <c r="AT79" s="201">
        <v>0</v>
      </c>
      <c r="AU79" s="201">
        <v>0</v>
      </c>
      <c r="AV79" s="201">
        <v>0</v>
      </c>
      <c r="AW79" s="201">
        <v>0</v>
      </c>
      <c r="AX79" s="201">
        <v>0</v>
      </c>
      <c r="AZ79" s="10">
        <v>0.11616087181782697</v>
      </c>
    </row>
    <row r="80" spans="4:52" x14ac:dyDescent="0.3">
      <c r="D80" s="6">
        <v>7</v>
      </c>
      <c r="E80" s="201">
        <f t="shared" si="3"/>
        <v>0</v>
      </c>
      <c r="F80" s="201">
        <f t="shared" si="3"/>
        <v>0</v>
      </c>
      <c r="G80" s="201">
        <f t="shared" si="3"/>
        <v>0</v>
      </c>
      <c r="H80" s="201">
        <f t="shared" si="3"/>
        <v>0.26902704519308257</v>
      </c>
      <c r="I80" s="201">
        <f t="shared" si="3"/>
        <v>0.26902704519308257</v>
      </c>
      <c r="J80" s="201">
        <f t="shared" si="3"/>
        <v>0.26902704519308257</v>
      </c>
      <c r="K80" s="201">
        <f>IF($D80-K$73&lt;$F$17,IF($B$23=0,1/$F$17,($B$23*(1+$B$23)^$F$17)/((1+$B$23)^$F$17-1)),0)</f>
        <v>0.26902704519308257</v>
      </c>
      <c r="L80" s="201">
        <v>0</v>
      </c>
      <c r="M80" s="201">
        <v>0</v>
      </c>
      <c r="N80" s="201">
        <v>0</v>
      </c>
      <c r="O80" s="201">
        <v>0</v>
      </c>
      <c r="P80" s="201">
        <v>0</v>
      </c>
      <c r="Q80" s="201">
        <v>0</v>
      </c>
      <c r="R80" s="201">
        <v>0</v>
      </c>
      <c r="S80" s="201">
        <v>0</v>
      </c>
      <c r="T80" s="201">
        <v>0</v>
      </c>
      <c r="U80" s="201">
        <v>0</v>
      </c>
      <c r="V80" s="201">
        <v>0</v>
      </c>
      <c r="W80" s="201">
        <v>0</v>
      </c>
      <c r="X80" s="201">
        <v>0</v>
      </c>
      <c r="Y80" s="201"/>
      <c r="Z80" s="201">
        <v>0</v>
      </c>
      <c r="AA80" s="201">
        <f t="shared" si="4"/>
        <v>0</v>
      </c>
      <c r="AD80" s="6">
        <v>7</v>
      </c>
      <c r="AE80" s="10">
        <f>ROUND(_xlfn.WEIBULL.DIST(COUNTA($AD$74:$AD80),$B$24,$F$16,FALSE),3)</f>
        <v>0</v>
      </c>
      <c r="AF80" s="10">
        <f>ROUND(_xlfn.WEIBULL.DIST(COUNTA($AD$75:$AD80),$B$24,$F$16,FALSE),3)</f>
        <v>0.11600000000000001</v>
      </c>
      <c r="AG80" s="10">
        <f>ROUND(_xlfn.WEIBULL.DIST(COUNTA($AD$76:$AD80),$B$24,$F$16,FALSE),3)</f>
        <v>0.51500000000000001</v>
      </c>
      <c r="AH80" s="10">
        <f>ROUND(_xlfn.WEIBULL.DIST(COUNTA($AD$77:$AD80),$B$24,$F$16,FALSE),3)</f>
        <v>0.29799999999999999</v>
      </c>
      <c r="AI80" s="10">
        <f>ROUND(_xlfn.WEIBULL.DIST(COUNTA($AD$78:$AD80),$B$24,$F$16,FALSE),3)</f>
        <v>6.4000000000000001E-2</v>
      </c>
      <c r="AJ80" s="10">
        <f>ROUND(_xlfn.WEIBULL.DIST(COUNTA($AD$79:$AD80),$B$24,$F$16,FALSE),3)</f>
        <v>6.0000000000000001E-3</v>
      </c>
      <c r="AK80" s="10">
        <f>ROUND(_xlfn.WEIBULL.DIST(COUNTA($AD$80:$AD80),$B$24,$F$16,FALSE),3)</f>
        <v>0</v>
      </c>
      <c r="AL80" s="201">
        <v>0</v>
      </c>
      <c r="AM80" s="201">
        <v>0</v>
      </c>
      <c r="AN80" s="201">
        <v>0</v>
      </c>
      <c r="AO80" s="201">
        <v>0</v>
      </c>
      <c r="AP80" s="201">
        <v>0</v>
      </c>
      <c r="AQ80" s="201">
        <v>0</v>
      </c>
      <c r="AR80" s="201">
        <v>0</v>
      </c>
      <c r="AS80" s="201">
        <v>0</v>
      </c>
      <c r="AT80" s="201">
        <v>0</v>
      </c>
      <c r="AU80" s="201">
        <v>0</v>
      </c>
      <c r="AV80" s="201">
        <v>0</v>
      </c>
      <c r="AW80" s="201">
        <v>0</v>
      </c>
      <c r="AX80" s="201">
        <v>0</v>
      </c>
      <c r="AZ80" s="10">
        <v>2.7851330006987117E-4</v>
      </c>
    </row>
    <row r="81" spans="4:52" x14ac:dyDescent="0.3">
      <c r="D81" s="6">
        <v>8</v>
      </c>
      <c r="E81" s="201">
        <f t="shared" si="3"/>
        <v>0</v>
      </c>
      <c r="F81" s="201">
        <f t="shared" si="3"/>
        <v>0</v>
      </c>
      <c r="G81" s="201">
        <f t="shared" si="3"/>
        <v>0</v>
      </c>
      <c r="H81" s="201">
        <f t="shared" si="3"/>
        <v>0</v>
      </c>
      <c r="I81" s="201">
        <f t="shared" si="3"/>
        <v>0.26902704519308257</v>
      </c>
      <c r="J81" s="201">
        <f t="shared" si="3"/>
        <v>0.26902704519308257</v>
      </c>
      <c r="K81" s="201">
        <f t="shared" si="3"/>
        <v>0.26902704519308257</v>
      </c>
      <c r="L81" s="201">
        <f>IF($D81-L$73&lt;$F$17,IF($B$23=0,1/$F$17,($B$23*(1+$B$23)^$F$17)/((1+$B$23)^$F$17-1)),0)</f>
        <v>0.26902704519308257</v>
      </c>
      <c r="M81" s="201">
        <v>0</v>
      </c>
      <c r="N81" s="201">
        <v>0</v>
      </c>
      <c r="O81" s="201">
        <v>0</v>
      </c>
      <c r="P81" s="201">
        <v>0</v>
      </c>
      <c r="Q81" s="201">
        <v>0</v>
      </c>
      <c r="R81" s="201">
        <v>0</v>
      </c>
      <c r="S81" s="201">
        <v>0</v>
      </c>
      <c r="T81" s="201">
        <v>0</v>
      </c>
      <c r="U81" s="201">
        <v>0</v>
      </c>
      <c r="V81" s="201">
        <v>0</v>
      </c>
      <c r="W81" s="201">
        <v>0</v>
      </c>
      <c r="X81" s="201">
        <v>0</v>
      </c>
      <c r="Y81" s="201"/>
      <c r="Z81" s="201">
        <v>0</v>
      </c>
      <c r="AA81" s="201">
        <f t="shared" si="4"/>
        <v>0</v>
      </c>
      <c r="AD81" s="6">
        <v>8</v>
      </c>
      <c r="AE81" s="10">
        <f>ROUND(_xlfn.WEIBULL.DIST(COUNTA($AD$74:$AD81),$B$24,$F$16,FALSE),3)</f>
        <v>0</v>
      </c>
      <c r="AF81" s="10">
        <f>ROUND(_xlfn.WEIBULL.DIST(COUNTA($AD$75:$AD81),$B$24,$F$16,FALSE),3)</f>
        <v>0</v>
      </c>
      <c r="AG81" s="10">
        <f>ROUND(_xlfn.WEIBULL.DIST(COUNTA($AD$76:$AD81),$B$24,$F$16,FALSE),3)</f>
        <v>0.11600000000000001</v>
      </c>
      <c r="AH81" s="10">
        <f>ROUND(_xlfn.WEIBULL.DIST(COUNTA($AD$77:$AD81),$B$24,$F$16,FALSE),3)</f>
        <v>0.51500000000000001</v>
      </c>
      <c r="AI81" s="10">
        <f>ROUND(_xlfn.WEIBULL.DIST(COUNTA($AD$78:$AD81),$B$24,$F$16,FALSE),3)</f>
        <v>0.29799999999999999</v>
      </c>
      <c r="AJ81" s="10">
        <f>ROUND(_xlfn.WEIBULL.DIST(COUNTA($AD$79:$AD81),$B$24,$F$16,FALSE),3)</f>
        <v>6.4000000000000001E-2</v>
      </c>
      <c r="AK81" s="10">
        <f>ROUND(_xlfn.WEIBULL.DIST(COUNTA($AD$80:$AD81),$B$24,$F$16,FALSE),3)</f>
        <v>6.0000000000000001E-3</v>
      </c>
      <c r="AL81" s="10">
        <f>ROUND(_xlfn.WEIBULL.DIST(COUNTA($AD$81:$AD81),$B$24,$F$16,FALSE),3)</f>
        <v>0</v>
      </c>
      <c r="AM81" s="201">
        <v>0</v>
      </c>
      <c r="AN81" s="201">
        <v>0</v>
      </c>
      <c r="AO81" s="201">
        <v>0</v>
      </c>
      <c r="AP81" s="201">
        <v>0</v>
      </c>
      <c r="AQ81" s="201">
        <v>0</v>
      </c>
      <c r="AR81" s="201">
        <v>0</v>
      </c>
      <c r="AS81" s="201">
        <v>0</v>
      </c>
      <c r="AT81" s="201">
        <v>0</v>
      </c>
      <c r="AU81" s="201">
        <v>0</v>
      </c>
      <c r="AV81" s="201">
        <v>0</v>
      </c>
      <c r="AW81" s="201">
        <v>0</v>
      </c>
      <c r="AX81" s="201">
        <v>0</v>
      </c>
      <c r="AZ81" s="10">
        <v>5.1623114521287567E-11</v>
      </c>
    </row>
    <row r="82" spans="4:52" x14ac:dyDescent="0.3">
      <c r="D82" s="6">
        <v>9</v>
      </c>
      <c r="E82" s="201">
        <f t="shared" si="3"/>
        <v>0</v>
      </c>
      <c r="F82" s="201">
        <f t="shared" si="3"/>
        <v>0</v>
      </c>
      <c r="G82" s="201">
        <f t="shared" si="3"/>
        <v>0</v>
      </c>
      <c r="H82" s="201">
        <f t="shared" si="3"/>
        <v>0</v>
      </c>
      <c r="I82" s="201">
        <f t="shared" si="3"/>
        <v>0</v>
      </c>
      <c r="J82" s="201">
        <f t="shared" si="3"/>
        <v>0.26902704519308257</v>
      </c>
      <c r="K82" s="201">
        <f t="shared" si="3"/>
        <v>0.26902704519308257</v>
      </c>
      <c r="L82" s="201">
        <f t="shared" si="3"/>
        <v>0.26902704519308257</v>
      </c>
      <c r="M82" s="201">
        <f>IF($D82-M$73&lt;$F$17,IF($B$23=0,1/$F$17,($B$23*(1+$B$23)^$F$17)/((1+$B$23)^$F$17-1)),0)</f>
        <v>0.26902704519308257</v>
      </c>
      <c r="N82" s="201">
        <v>0</v>
      </c>
      <c r="O82" s="201">
        <v>0</v>
      </c>
      <c r="P82" s="201">
        <v>0</v>
      </c>
      <c r="Q82" s="201">
        <v>0</v>
      </c>
      <c r="R82" s="201">
        <v>0</v>
      </c>
      <c r="S82" s="201">
        <v>0</v>
      </c>
      <c r="T82" s="201">
        <v>0</v>
      </c>
      <c r="U82" s="201">
        <v>0</v>
      </c>
      <c r="V82" s="201">
        <v>0</v>
      </c>
      <c r="W82" s="201">
        <v>0</v>
      </c>
      <c r="X82" s="201">
        <v>0</v>
      </c>
      <c r="Y82" s="201"/>
      <c r="Z82" s="201">
        <v>0</v>
      </c>
      <c r="AA82" s="201">
        <f t="shared" si="4"/>
        <v>0</v>
      </c>
      <c r="AD82" s="6">
        <v>9</v>
      </c>
      <c r="AE82" s="10">
        <f>ROUND(_xlfn.WEIBULL.DIST(COUNTA($AD$74:$AD82),$B$24,$F$16,FALSE),3)</f>
        <v>0</v>
      </c>
      <c r="AF82" s="10">
        <f>ROUND(_xlfn.WEIBULL.DIST(COUNTA($AD$75:$AD82),$B$24,$F$16,FALSE),3)</f>
        <v>0</v>
      </c>
      <c r="AG82" s="10">
        <f>ROUND(_xlfn.WEIBULL.DIST(COUNTA($AD$76:$AD82),$B$24,$F$16,FALSE),3)</f>
        <v>0</v>
      </c>
      <c r="AH82" s="10">
        <f>ROUND(_xlfn.WEIBULL.DIST(COUNTA($AD$77:$AD82),$B$24,$F$16,FALSE),3)</f>
        <v>0.11600000000000001</v>
      </c>
      <c r="AI82" s="10">
        <f>ROUND(_xlfn.WEIBULL.DIST(COUNTA($AD$78:$AD82),$B$24,$F$16,FALSE),3)</f>
        <v>0.51500000000000001</v>
      </c>
      <c r="AJ82" s="10">
        <f>ROUND(_xlfn.WEIBULL.DIST(COUNTA($AD$79:$AD82),$B$24,$F$16,FALSE),3)</f>
        <v>0.29799999999999999</v>
      </c>
      <c r="AK82" s="10">
        <f>ROUND(_xlfn.WEIBULL.DIST(COUNTA($AD$80:$AD82),$B$24,$F$16,FALSE),3)</f>
        <v>6.4000000000000001E-2</v>
      </c>
      <c r="AL82" s="10">
        <f>ROUND(_xlfn.WEIBULL.DIST(COUNTA($AD$81:$AD82),$B$24,$F$16,FALSE),3)</f>
        <v>6.0000000000000001E-3</v>
      </c>
      <c r="AM82" s="10">
        <f>ROUND(_xlfn.WEIBULL.DIST(COUNTA($AD$82:$AD82),$B$24,$F$16,FALSE),3)</f>
        <v>0</v>
      </c>
      <c r="AN82" s="201">
        <v>0</v>
      </c>
      <c r="AO82" s="201">
        <v>0</v>
      </c>
      <c r="AP82" s="201">
        <v>0</v>
      </c>
      <c r="AQ82" s="201">
        <v>0</v>
      </c>
      <c r="AR82" s="201">
        <v>0</v>
      </c>
      <c r="AS82" s="201">
        <v>0</v>
      </c>
      <c r="AT82" s="201">
        <v>0</v>
      </c>
      <c r="AU82" s="201">
        <v>0</v>
      </c>
      <c r="AV82" s="201">
        <v>0</v>
      </c>
      <c r="AW82" s="201">
        <v>0</v>
      </c>
      <c r="AX82" s="201">
        <v>0</v>
      </c>
      <c r="AZ82" s="10">
        <v>1.2285275652766747E-25</v>
      </c>
    </row>
    <row r="83" spans="4:52" x14ac:dyDescent="0.3">
      <c r="D83" s="6">
        <v>10</v>
      </c>
      <c r="E83" s="201">
        <f t="shared" si="3"/>
        <v>0</v>
      </c>
      <c r="F83" s="201">
        <f t="shared" si="3"/>
        <v>0</v>
      </c>
      <c r="G83" s="201">
        <f t="shared" si="3"/>
        <v>0</v>
      </c>
      <c r="H83" s="201">
        <f t="shared" si="3"/>
        <v>0</v>
      </c>
      <c r="I83" s="201">
        <f t="shared" si="3"/>
        <v>0</v>
      </c>
      <c r="J83" s="201">
        <f t="shared" si="3"/>
        <v>0</v>
      </c>
      <c r="K83" s="201">
        <f t="shared" si="3"/>
        <v>0.26902704519308257</v>
      </c>
      <c r="L83" s="201">
        <f t="shared" si="3"/>
        <v>0.26902704519308257</v>
      </c>
      <c r="M83" s="201">
        <f t="shared" si="3"/>
        <v>0.26902704519308257</v>
      </c>
      <c r="N83" s="201">
        <f>IF($D83-N$73&lt;$F$17,IF($B$23=0,1/$F$17,($B$23*(1+$B$23)^$F$17)/((1+$B$23)^$F$17-1)),0)</f>
        <v>0.26902704519308257</v>
      </c>
      <c r="O83" s="201">
        <v>0</v>
      </c>
      <c r="P83" s="201">
        <v>0</v>
      </c>
      <c r="Q83" s="201">
        <v>0</v>
      </c>
      <c r="R83" s="201">
        <v>0</v>
      </c>
      <c r="S83" s="201">
        <v>0</v>
      </c>
      <c r="T83" s="201">
        <v>0</v>
      </c>
      <c r="U83" s="201">
        <v>0</v>
      </c>
      <c r="V83" s="201">
        <v>0</v>
      </c>
      <c r="W83" s="201">
        <v>0</v>
      </c>
      <c r="X83" s="201">
        <v>0</v>
      </c>
      <c r="Y83" s="201"/>
      <c r="Z83" s="201">
        <v>0</v>
      </c>
      <c r="AA83" s="201">
        <f t="shared" si="4"/>
        <v>0</v>
      </c>
      <c r="AD83" s="6">
        <v>10</v>
      </c>
      <c r="AE83" s="10">
        <f>ROUND(_xlfn.WEIBULL.DIST(COUNTA($AD$74:$AD83),$B$24,$F$16,FALSE),3)</f>
        <v>0</v>
      </c>
      <c r="AF83" s="10">
        <f>ROUND(_xlfn.WEIBULL.DIST(COUNTA($AD$75:$AD83),$B$24,$F$16,FALSE),3)</f>
        <v>0</v>
      </c>
      <c r="AG83" s="10">
        <f>ROUND(_xlfn.WEIBULL.DIST(COUNTA($AD$76:$AD83),$B$24,$F$16,FALSE),3)</f>
        <v>0</v>
      </c>
      <c r="AH83" s="10">
        <f>ROUND(_xlfn.WEIBULL.DIST(COUNTA($AD$77:$AD83),$B$24,$F$16,FALSE),3)</f>
        <v>0</v>
      </c>
      <c r="AI83" s="10">
        <f>ROUND(_xlfn.WEIBULL.DIST(COUNTA($AD$78:$AD83),$B$24,$F$16,FALSE),3)</f>
        <v>0.11600000000000001</v>
      </c>
      <c r="AJ83" s="10">
        <f>ROUND(_xlfn.WEIBULL.DIST(COUNTA($AD$79:$AD83),$B$24,$F$16,FALSE),3)</f>
        <v>0.51500000000000001</v>
      </c>
      <c r="AK83" s="10">
        <f>ROUND(_xlfn.WEIBULL.DIST(COUNTA($AD$80:$AD83),$B$24,$F$16,FALSE),3)</f>
        <v>0.29799999999999999</v>
      </c>
      <c r="AL83" s="10">
        <f>ROUND(_xlfn.WEIBULL.DIST(COUNTA($AD$81:$AD83),$B$24,$F$16,FALSE),3)</f>
        <v>6.4000000000000001E-2</v>
      </c>
      <c r="AM83" s="10">
        <f>ROUND(_xlfn.WEIBULL.DIST(COUNTA($AD$82:$AD83),$B$24,$F$16,FALSE),3)</f>
        <v>6.0000000000000001E-3</v>
      </c>
      <c r="AN83" s="10">
        <f>ROUND(_xlfn.WEIBULL.DIST(COUNTA($AD$83:$AD83),$B$24,$F$16,FALSE),3)</f>
        <v>0</v>
      </c>
      <c r="AO83" s="201">
        <v>0</v>
      </c>
      <c r="AP83" s="201">
        <v>0</v>
      </c>
      <c r="AQ83" s="201">
        <v>0</v>
      </c>
      <c r="AR83" s="201">
        <v>0</v>
      </c>
      <c r="AS83" s="201">
        <v>0</v>
      </c>
      <c r="AT83" s="201">
        <v>0</v>
      </c>
      <c r="AU83" s="201">
        <v>0</v>
      </c>
      <c r="AV83" s="201">
        <v>0</v>
      </c>
      <c r="AW83" s="201">
        <v>0</v>
      </c>
      <c r="AX83" s="201">
        <v>0</v>
      </c>
      <c r="AZ83" s="10">
        <v>2.3046995978876718E-54</v>
      </c>
    </row>
    <row r="84" spans="4:52" x14ac:dyDescent="0.3">
      <c r="D84" s="6">
        <v>11</v>
      </c>
      <c r="E84" s="201">
        <f t="shared" si="3"/>
        <v>0</v>
      </c>
      <c r="F84" s="201">
        <f t="shared" si="3"/>
        <v>0</v>
      </c>
      <c r="G84" s="201">
        <f t="shared" si="3"/>
        <v>0</v>
      </c>
      <c r="H84" s="201">
        <f t="shared" si="3"/>
        <v>0</v>
      </c>
      <c r="I84" s="201">
        <f t="shared" si="3"/>
        <v>0</v>
      </c>
      <c r="J84" s="201">
        <f t="shared" si="3"/>
        <v>0</v>
      </c>
      <c r="K84" s="201">
        <f t="shared" si="3"/>
        <v>0</v>
      </c>
      <c r="L84" s="201">
        <f t="shared" si="3"/>
        <v>0.26902704519308257</v>
      </c>
      <c r="M84" s="201">
        <f t="shared" si="3"/>
        <v>0.26902704519308257</v>
      </c>
      <c r="N84" s="201">
        <f t="shared" si="3"/>
        <v>0.26902704519308257</v>
      </c>
      <c r="O84" s="201">
        <f>IF($D84-O$73&lt;$F$17,IF($B$23=0,1/$F$17,($B$23*(1+$B$23)^$F$17)/((1+$B$23)^$F$17-1)),0)</f>
        <v>0.26902704519308257</v>
      </c>
      <c r="P84" s="201">
        <v>0</v>
      </c>
      <c r="Q84" s="201">
        <v>0</v>
      </c>
      <c r="R84" s="201">
        <v>0</v>
      </c>
      <c r="S84" s="201">
        <v>0</v>
      </c>
      <c r="T84" s="201">
        <v>0</v>
      </c>
      <c r="U84" s="201">
        <v>0</v>
      </c>
      <c r="V84" s="201">
        <v>0</v>
      </c>
      <c r="W84" s="201">
        <v>0</v>
      </c>
      <c r="X84" s="201">
        <v>0</v>
      </c>
      <c r="Y84" s="201"/>
      <c r="Z84" s="201">
        <v>0</v>
      </c>
      <c r="AA84" s="201">
        <f t="shared" si="4"/>
        <v>0</v>
      </c>
      <c r="AD84" s="6">
        <v>11</v>
      </c>
      <c r="AE84" s="10">
        <f>ROUND(_xlfn.WEIBULL.DIST(COUNTA($AD$74:$AD84),$B$24,$F$16,FALSE),3)</f>
        <v>0</v>
      </c>
      <c r="AF84" s="10">
        <f>ROUND(_xlfn.WEIBULL.DIST(COUNTA($AD$75:$AD84),$B$24,$F$16,FALSE),3)</f>
        <v>0</v>
      </c>
      <c r="AG84" s="10">
        <f>ROUND(_xlfn.WEIBULL.DIST(COUNTA($AD$76:$AD84),$B$24,$F$16,FALSE),3)</f>
        <v>0</v>
      </c>
      <c r="AH84" s="10">
        <f>ROUND(_xlfn.WEIBULL.DIST(COUNTA($AD$77:$AD84),$B$24,$F$16,FALSE),3)</f>
        <v>0</v>
      </c>
      <c r="AI84" s="10">
        <f>ROUND(_xlfn.WEIBULL.DIST(COUNTA($AD$78:$AD84),$B$24,$F$16,FALSE),3)</f>
        <v>0</v>
      </c>
      <c r="AJ84" s="10">
        <f>ROUND(_xlfn.WEIBULL.DIST(COUNTA($AD$79:$AD84),$B$24,$F$16,FALSE),3)</f>
        <v>0.11600000000000001</v>
      </c>
      <c r="AK84" s="10">
        <f>ROUND(_xlfn.WEIBULL.DIST(COUNTA($AD$80:$AD84),$B$24,$F$16,FALSE),3)</f>
        <v>0.51500000000000001</v>
      </c>
      <c r="AL84" s="10">
        <f>ROUND(_xlfn.WEIBULL.DIST(COUNTA($AD$81:$AD84),$B$24,$F$16,FALSE),3)</f>
        <v>0.29799999999999999</v>
      </c>
      <c r="AM84" s="10">
        <f>ROUND(_xlfn.WEIBULL.DIST(COUNTA($AD$82:$AD84),$B$24,$F$16,FALSE),3)</f>
        <v>6.4000000000000001E-2</v>
      </c>
      <c r="AN84" s="10">
        <f>ROUND(_xlfn.WEIBULL.DIST(COUNTA($AD$83:$AD84),$B$24,$F$16,FALSE),3)</f>
        <v>6.0000000000000001E-3</v>
      </c>
      <c r="AO84" s="10">
        <f>ROUND(_xlfn.WEIBULL.DIST(COUNTA($AD$84:$AD84),$B$24,$F$16,FALSE),3)</f>
        <v>0</v>
      </c>
      <c r="AP84" s="201">
        <v>0</v>
      </c>
      <c r="AQ84" s="201">
        <v>0</v>
      </c>
      <c r="AR84" s="201">
        <v>0</v>
      </c>
      <c r="AS84" s="201">
        <v>0</v>
      </c>
      <c r="AT84" s="201">
        <v>0</v>
      </c>
      <c r="AU84" s="201">
        <v>0</v>
      </c>
      <c r="AV84" s="201">
        <v>0</v>
      </c>
      <c r="AW84" s="201">
        <v>0</v>
      </c>
      <c r="AX84" s="201">
        <v>0</v>
      </c>
      <c r="AZ84" s="10">
        <v>7.448648072676202E-107</v>
      </c>
    </row>
    <row r="85" spans="4:52" x14ac:dyDescent="0.3">
      <c r="D85" s="6">
        <v>12</v>
      </c>
      <c r="E85" s="201">
        <f t="shared" si="3"/>
        <v>0</v>
      </c>
      <c r="F85" s="201">
        <f t="shared" si="3"/>
        <v>0</v>
      </c>
      <c r="G85" s="201">
        <f t="shared" si="3"/>
        <v>0</v>
      </c>
      <c r="H85" s="201">
        <f t="shared" si="3"/>
        <v>0</v>
      </c>
      <c r="I85" s="201">
        <f t="shared" si="3"/>
        <v>0</v>
      </c>
      <c r="J85" s="201">
        <f t="shared" si="3"/>
        <v>0</v>
      </c>
      <c r="K85" s="201">
        <f t="shared" si="3"/>
        <v>0</v>
      </c>
      <c r="L85" s="201">
        <f t="shared" si="3"/>
        <v>0</v>
      </c>
      <c r="M85" s="201">
        <f t="shared" si="3"/>
        <v>0.26902704519308257</v>
      </c>
      <c r="N85" s="201">
        <f t="shared" si="3"/>
        <v>0.26902704519308257</v>
      </c>
      <c r="O85" s="201">
        <f t="shared" si="3"/>
        <v>0.26902704519308257</v>
      </c>
      <c r="P85" s="201">
        <f>IF($D85-P$73&lt;$F$17,IF($B$23=0,1/$F$17,($B$23*(1+$B$23)^$F$17)/((1+$B$23)^$F$17-1)),0)</f>
        <v>0.26902704519308257</v>
      </c>
      <c r="Q85" s="201">
        <v>0</v>
      </c>
      <c r="R85" s="201">
        <v>0</v>
      </c>
      <c r="S85" s="201">
        <v>0</v>
      </c>
      <c r="T85" s="201">
        <v>0</v>
      </c>
      <c r="U85" s="201">
        <v>0</v>
      </c>
      <c r="V85" s="201">
        <v>0</v>
      </c>
      <c r="W85" s="201">
        <v>0</v>
      </c>
      <c r="X85" s="201">
        <v>0</v>
      </c>
      <c r="Y85" s="201"/>
      <c r="Z85" s="201">
        <v>0</v>
      </c>
      <c r="AA85" s="201">
        <f t="shared" si="4"/>
        <v>0</v>
      </c>
      <c r="AD85" s="6">
        <v>12</v>
      </c>
      <c r="AE85" s="10">
        <f>ROUND(_xlfn.WEIBULL.DIST(COUNTA($AD$74:$AD85),$B$24,$F$16,FALSE),3)</f>
        <v>0</v>
      </c>
      <c r="AF85" s="10">
        <f>ROUND(_xlfn.WEIBULL.DIST(COUNTA($AD$75:$AD85),$B$24,$F$16,FALSE),3)</f>
        <v>0</v>
      </c>
      <c r="AG85" s="10">
        <f>ROUND(_xlfn.WEIBULL.DIST(COUNTA($AD$76:$AD85),$B$24,$F$16,FALSE),3)</f>
        <v>0</v>
      </c>
      <c r="AH85" s="10">
        <f>ROUND(_xlfn.WEIBULL.DIST(COUNTA($AD$77:$AD85),$B$24,$F$16,FALSE),3)</f>
        <v>0</v>
      </c>
      <c r="AI85" s="10">
        <f>ROUND(_xlfn.WEIBULL.DIST(COUNTA($AD$78:$AD85),$B$24,$F$16,FALSE),3)</f>
        <v>0</v>
      </c>
      <c r="AJ85" s="10">
        <f>ROUND(_xlfn.WEIBULL.DIST(COUNTA($AD$79:$AD85),$B$24,$F$16,FALSE),3)</f>
        <v>0</v>
      </c>
      <c r="AK85" s="10">
        <f>ROUND(_xlfn.WEIBULL.DIST(COUNTA($AD$80:$AD85),$B$24,$F$16,FALSE),3)</f>
        <v>0.11600000000000001</v>
      </c>
      <c r="AL85" s="10">
        <f>ROUND(_xlfn.WEIBULL.DIST(COUNTA($AD$81:$AD85),$B$24,$F$16,FALSE),3)</f>
        <v>0.51500000000000001</v>
      </c>
      <c r="AM85" s="10">
        <f>ROUND(_xlfn.WEIBULL.DIST(COUNTA($AD$82:$AD85),$B$24,$F$16,FALSE),3)</f>
        <v>0.29799999999999999</v>
      </c>
      <c r="AN85" s="10">
        <f>ROUND(_xlfn.WEIBULL.DIST(COUNTA($AD$83:$AD85),$B$24,$F$16,FALSE),3)</f>
        <v>6.4000000000000001E-2</v>
      </c>
      <c r="AO85" s="10">
        <f>ROUND(_xlfn.WEIBULL.DIST(COUNTA($AD$84:$AD85),$B$24,$F$16,FALSE),3)</f>
        <v>6.0000000000000001E-3</v>
      </c>
      <c r="AP85" s="10">
        <f>ROUND(_xlfn.WEIBULL.DIST(COUNTA($AD$85:$AD85),$B$24,$F$16,FALSE),3)</f>
        <v>0</v>
      </c>
      <c r="AQ85" s="201">
        <v>0</v>
      </c>
      <c r="AR85" s="201">
        <v>0</v>
      </c>
      <c r="AS85" s="201">
        <v>0</v>
      </c>
      <c r="AT85" s="201">
        <v>0</v>
      </c>
      <c r="AU85" s="201">
        <v>0</v>
      </c>
      <c r="AV85" s="201">
        <v>0</v>
      </c>
      <c r="AW85" s="201">
        <v>0</v>
      </c>
      <c r="AX85" s="201">
        <v>0</v>
      </c>
      <c r="AZ85" s="10">
        <v>1.7356909575947563E-197</v>
      </c>
    </row>
    <row r="86" spans="4:52" x14ac:dyDescent="0.3">
      <c r="D86" s="6">
        <v>13</v>
      </c>
      <c r="E86" s="201">
        <f t="shared" si="3"/>
        <v>0</v>
      </c>
      <c r="F86" s="201">
        <f t="shared" si="3"/>
        <v>0</v>
      </c>
      <c r="G86" s="201">
        <f t="shared" si="3"/>
        <v>0</v>
      </c>
      <c r="H86" s="201">
        <f t="shared" si="3"/>
        <v>0</v>
      </c>
      <c r="I86" s="201">
        <f t="shared" si="3"/>
        <v>0</v>
      </c>
      <c r="J86" s="201">
        <f t="shared" si="3"/>
        <v>0</v>
      </c>
      <c r="K86" s="201">
        <f t="shared" si="3"/>
        <v>0</v>
      </c>
      <c r="L86" s="201">
        <f t="shared" si="3"/>
        <v>0</v>
      </c>
      <c r="M86" s="201">
        <f t="shared" si="3"/>
        <v>0</v>
      </c>
      <c r="N86" s="201">
        <f t="shared" si="3"/>
        <v>0.26902704519308257</v>
      </c>
      <c r="O86" s="201">
        <f t="shared" si="3"/>
        <v>0.26902704519308257</v>
      </c>
      <c r="P86" s="201">
        <f t="shared" ref="P86:X103" si="5">IF($D86-P$73&lt;$F$17,IF($B$23=0,1/$F$17,($B$23*(1+$B$23)^$F$17)/((1+$B$23)^$F$17-1)),0)</f>
        <v>0.26902704519308257</v>
      </c>
      <c r="Q86" s="201">
        <f>IF($D86-Q$73&lt;$F$17,IF($B$23=0,1/$F$17,($B$23*(1+$B$23)^$F$17)/((1+$B$23)^$F$17-1)),0)</f>
        <v>0.26902704519308257</v>
      </c>
      <c r="R86" s="201">
        <v>0</v>
      </c>
      <c r="S86" s="201">
        <v>0</v>
      </c>
      <c r="T86" s="201">
        <v>0</v>
      </c>
      <c r="U86" s="201">
        <v>0</v>
      </c>
      <c r="V86" s="201">
        <v>0</v>
      </c>
      <c r="W86" s="201">
        <v>0</v>
      </c>
      <c r="X86" s="201">
        <v>0</v>
      </c>
      <c r="Y86" s="201"/>
      <c r="Z86" s="201">
        <v>0</v>
      </c>
      <c r="AA86" s="201">
        <f t="shared" si="4"/>
        <v>0</v>
      </c>
      <c r="AD86" s="6">
        <v>13</v>
      </c>
      <c r="AE86" s="10">
        <f>ROUND(_xlfn.WEIBULL.DIST(COUNTA($AD$74:$AD86),$B$24,$F$16,FALSE),3)</f>
        <v>0</v>
      </c>
      <c r="AF86" s="10">
        <f>ROUND(_xlfn.WEIBULL.DIST(COUNTA($AD$75:$AD86),$B$24,$F$16,FALSE),3)</f>
        <v>0</v>
      </c>
      <c r="AG86" s="10">
        <f>ROUND(_xlfn.WEIBULL.DIST(COUNTA($AD$76:$AD86),$B$24,$F$16,FALSE),3)</f>
        <v>0</v>
      </c>
      <c r="AH86" s="10">
        <f>ROUND(_xlfn.WEIBULL.DIST(COUNTA($AD$77:$AD86),$B$24,$F$16,FALSE),3)</f>
        <v>0</v>
      </c>
      <c r="AI86" s="10">
        <f>ROUND(_xlfn.WEIBULL.DIST(COUNTA($AD$78:$AD86),$B$24,$F$16,FALSE),3)</f>
        <v>0</v>
      </c>
      <c r="AJ86" s="10">
        <f>ROUND(_xlfn.WEIBULL.DIST(COUNTA($AD$79:$AD86),$B$24,$F$16,FALSE),3)</f>
        <v>0</v>
      </c>
      <c r="AK86" s="10">
        <f>ROUND(_xlfn.WEIBULL.DIST(COUNTA($AD$80:$AD86),$B$24,$F$16,FALSE),3)</f>
        <v>0</v>
      </c>
      <c r="AL86" s="10">
        <f>ROUND(_xlfn.WEIBULL.DIST(COUNTA($AD$81:$AD86),$B$24,$F$16,FALSE),3)</f>
        <v>0.11600000000000001</v>
      </c>
      <c r="AM86" s="10">
        <f>ROUND(_xlfn.WEIBULL.DIST(COUNTA($AD$82:$AD86),$B$24,$F$16,FALSE),3)</f>
        <v>0.51500000000000001</v>
      </c>
      <c r="AN86" s="10">
        <f>ROUND(_xlfn.WEIBULL.DIST(COUNTA($AD$83:$AD86),$B$24,$F$16,FALSE),3)</f>
        <v>0.29799999999999999</v>
      </c>
      <c r="AO86" s="10">
        <f>ROUND(_xlfn.WEIBULL.DIST(COUNTA($AD$84:$AD86),$B$24,$F$16,FALSE),3)</f>
        <v>6.4000000000000001E-2</v>
      </c>
      <c r="AP86" s="10">
        <f>ROUND(_xlfn.WEIBULL.DIST(COUNTA($AD$85:$AD86),$B$24,$F$16,FALSE),3)</f>
        <v>6.0000000000000001E-3</v>
      </c>
      <c r="AQ86" s="10">
        <f>ROUND(_xlfn.WEIBULL.DIST(COUNTA($AD$86:$AD86),$B$24,$F$16,FALSE),3)</f>
        <v>0</v>
      </c>
      <c r="AR86" s="201">
        <v>0</v>
      </c>
      <c r="AS86" s="201">
        <v>0</v>
      </c>
      <c r="AT86" s="201">
        <v>0</v>
      </c>
      <c r="AU86" s="201">
        <v>0</v>
      </c>
      <c r="AV86" s="201">
        <v>0</v>
      </c>
      <c r="AW86" s="201">
        <v>0</v>
      </c>
      <c r="AX86" s="201">
        <v>0</v>
      </c>
      <c r="AZ86" s="10">
        <v>0</v>
      </c>
    </row>
    <row r="87" spans="4:52" x14ac:dyDescent="0.3">
      <c r="D87" s="6">
        <v>14</v>
      </c>
      <c r="E87" s="201">
        <f t="shared" si="3"/>
        <v>0</v>
      </c>
      <c r="F87" s="201">
        <f t="shared" si="3"/>
        <v>0</v>
      </c>
      <c r="G87" s="201">
        <f t="shared" si="3"/>
        <v>0</v>
      </c>
      <c r="H87" s="201">
        <f t="shared" si="3"/>
        <v>0</v>
      </c>
      <c r="I87" s="201">
        <f t="shared" si="3"/>
        <v>0</v>
      </c>
      <c r="J87" s="201">
        <f t="shared" si="3"/>
        <v>0</v>
      </c>
      <c r="K87" s="201">
        <f t="shared" si="3"/>
        <v>0</v>
      </c>
      <c r="L87" s="201">
        <f t="shared" si="3"/>
        <v>0</v>
      </c>
      <c r="M87" s="201">
        <f t="shared" si="3"/>
        <v>0</v>
      </c>
      <c r="N87" s="201">
        <f t="shared" si="3"/>
        <v>0</v>
      </c>
      <c r="O87" s="201">
        <f t="shared" si="3"/>
        <v>0.26902704519308257</v>
      </c>
      <c r="P87" s="201">
        <f t="shared" si="5"/>
        <v>0.26902704519308257</v>
      </c>
      <c r="Q87" s="201">
        <f t="shared" si="5"/>
        <v>0.26902704519308257</v>
      </c>
      <c r="R87" s="201">
        <f>IF($D87-R$73&lt;$F$17,IF($B$23=0,1/$F$17,($B$23*(1+$B$23)^$F$17)/((1+$B$23)^$F$17-1)),0)</f>
        <v>0.26902704519308257</v>
      </c>
      <c r="S87" s="201">
        <v>0</v>
      </c>
      <c r="T87" s="201">
        <v>0</v>
      </c>
      <c r="U87" s="201">
        <v>0</v>
      </c>
      <c r="V87" s="201">
        <v>0</v>
      </c>
      <c r="W87" s="201">
        <v>0</v>
      </c>
      <c r="X87" s="201">
        <v>0</v>
      </c>
      <c r="Y87" s="201"/>
      <c r="Z87" s="201">
        <v>0</v>
      </c>
      <c r="AA87" s="201">
        <f t="shared" si="4"/>
        <v>0</v>
      </c>
      <c r="AD87" s="6">
        <v>14</v>
      </c>
      <c r="AE87" s="10">
        <f>ROUND(_xlfn.WEIBULL.DIST(COUNTA($AD$74:$AD87),$B$24,$F$16,FALSE),3)</f>
        <v>0</v>
      </c>
      <c r="AF87" s="10">
        <f>ROUND(_xlfn.WEIBULL.DIST(COUNTA($AD$75:$AD87),$B$24,$F$16,FALSE),3)</f>
        <v>0</v>
      </c>
      <c r="AG87" s="10">
        <f>ROUND(_xlfn.WEIBULL.DIST(COUNTA($AD$76:$AD87),$B$24,$F$16,FALSE),3)</f>
        <v>0</v>
      </c>
      <c r="AH87" s="10">
        <f>ROUND(_xlfn.WEIBULL.DIST(COUNTA($AD$77:$AD87),$B$24,$F$16,FALSE),3)</f>
        <v>0</v>
      </c>
      <c r="AI87" s="10">
        <f>ROUND(_xlfn.WEIBULL.DIST(COUNTA($AD$78:$AD87),$B$24,$F$16,FALSE),3)</f>
        <v>0</v>
      </c>
      <c r="AJ87" s="10">
        <f>ROUND(_xlfn.WEIBULL.DIST(COUNTA($AD$79:$AD87),$B$24,$F$16,FALSE),3)</f>
        <v>0</v>
      </c>
      <c r="AK87" s="10">
        <f>ROUND(_xlfn.WEIBULL.DIST(COUNTA($AD$80:$AD87),$B$24,$F$16,FALSE),3)</f>
        <v>0</v>
      </c>
      <c r="AL87" s="10">
        <f>ROUND(_xlfn.WEIBULL.DIST(COUNTA($AD$81:$AD87),$B$24,$F$16,FALSE),3)</f>
        <v>0</v>
      </c>
      <c r="AM87" s="10">
        <f>ROUND(_xlfn.WEIBULL.DIST(COUNTA($AD$82:$AD87),$B$24,$F$16,FALSE),3)</f>
        <v>0.11600000000000001</v>
      </c>
      <c r="AN87" s="10">
        <f>ROUND(_xlfn.WEIBULL.DIST(COUNTA($AD$83:$AD87),$B$24,$F$16,FALSE),3)</f>
        <v>0.51500000000000001</v>
      </c>
      <c r="AO87" s="10">
        <f>ROUND(_xlfn.WEIBULL.DIST(COUNTA($AD$84:$AD87),$B$24,$F$16,FALSE),3)</f>
        <v>0.29799999999999999</v>
      </c>
      <c r="AP87" s="10">
        <f>ROUND(_xlfn.WEIBULL.DIST(COUNTA($AD$85:$AD87),$B$24,$F$16,FALSE),3)</f>
        <v>6.4000000000000001E-2</v>
      </c>
      <c r="AQ87" s="10">
        <f>ROUND(_xlfn.WEIBULL.DIST(COUNTA($AD$86:$AD87),$B$24,$F$16,FALSE),3)</f>
        <v>6.0000000000000001E-3</v>
      </c>
      <c r="AR87" s="10">
        <f>ROUND(_xlfn.WEIBULL.DIST(COUNTA($AD$87:$AD87),$B$24,$F$16,FALSE),3)</f>
        <v>0</v>
      </c>
      <c r="AS87" s="201">
        <v>0</v>
      </c>
      <c r="AT87" s="201">
        <v>0</v>
      </c>
      <c r="AU87" s="201">
        <v>0</v>
      </c>
      <c r="AV87" s="201">
        <v>0</v>
      </c>
      <c r="AW87" s="201">
        <v>0</v>
      </c>
      <c r="AX87" s="201">
        <v>0</v>
      </c>
      <c r="AZ87" s="10">
        <v>0</v>
      </c>
    </row>
    <row r="88" spans="4:52" x14ac:dyDescent="0.3">
      <c r="D88" s="6">
        <v>15</v>
      </c>
      <c r="E88" s="201">
        <f t="shared" si="3"/>
        <v>0</v>
      </c>
      <c r="F88" s="201">
        <f t="shared" si="3"/>
        <v>0</v>
      </c>
      <c r="G88" s="201">
        <f t="shared" si="3"/>
        <v>0</v>
      </c>
      <c r="H88" s="201">
        <f t="shared" si="3"/>
        <v>0</v>
      </c>
      <c r="I88" s="201">
        <f t="shared" si="3"/>
        <v>0</v>
      </c>
      <c r="J88" s="201">
        <f t="shared" si="3"/>
        <v>0</v>
      </c>
      <c r="K88" s="201">
        <f t="shared" si="3"/>
        <v>0</v>
      </c>
      <c r="L88" s="201">
        <f t="shared" si="3"/>
        <v>0</v>
      </c>
      <c r="M88" s="201">
        <f t="shared" si="3"/>
        <v>0</v>
      </c>
      <c r="N88" s="201">
        <f t="shared" si="3"/>
        <v>0</v>
      </c>
      <c r="O88" s="201">
        <f t="shared" si="3"/>
        <v>0</v>
      </c>
      <c r="P88" s="201">
        <f t="shared" si="5"/>
        <v>0.26902704519308257</v>
      </c>
      <c r="Q88" s="201">
        <f t="shared" si="5"/>
        <v>0.26902704519308257</v>
      </c>
      <c r="R88" s="201">
        <f t="shared" si="5"/>
        <v>0.26902704519308257</v>
      </c>
      <c r="S88" s="201">
        <f>IF($D88-S$73&lt;$F$17,IF($B$23=0,1/$F$17,($B$23*(1+$B$23)^$F$17)/((1+$B$23)^$F$17-1)),0)</f>
        <v>0.26902704519308257</v>
      </c>
      <c r="T88" s="201">
        <v>0</v>
      </c>
      <c r="U88" s="201">
        <v>0</v>
      </c>
      <c r="V88" s="201">
        <v>0</v>
      </c>
      <c r="W88" s="201">
        <v>0</v>
      </c>
      <c r="X88" s="201">
        <v>0</v>
      </c>
      <c r="Y88" s="201"/>
      <c r="Z88" s="201">
        <v>0</v>
      </c>
      <c r="AA88" s="201">
        <f t="shared" si="4"/>
        <v>0</v>
      </c>
      <c r="AD88" s="6">
        <v>15</v>
      </c>
      <c r="AE88" s="10">
        <f>ROUND(_xlfn.WEIBULL.DIST(COUNTA($AD$74:$AD88),$B$24,$F$16,FALSE),3)</f>
        <v>0</v>
      </c>
      <c r="AF88" s="10">
        <f>ROUND(_xlfn.WEIBULL.DIST(COUNTA($AD$75:$AD88),$B$24,$F$16,FALSE),3)</f>
        <v>0</v>
      </c>
      <c r="AG88" s="10">
        <f>ROUND(_xlfn.WEIBULL.DIST(COUNTA($AD$76:$AD88),$B$24,$F$16,FALSE),3)</f>
        <v>0</v>
      </c>
      <c r="AH88" s="10">
        <f>ROUND(_xlfn.WEIBULL.DIST(COUNTA($AD$77:$AD88),$B$24,$F$16,FALSE),3)</f>
        <v>0</v>
      </c>
      <c r="AI88" s="10">
        <f>ROUND(_xlfn.WEIBULL.DIST(COUNTA($AD$78:$AD88),$B$24,$F$16,FALSE),3)</f>
        <v>0</v>
      </c>
      <c r="AJ88" s="10">
        <f>ROUND(_xlfn.WEIBULL.DIST(COUNTA($AD$79:$AD88),$B$24,$F$16,FALSE),3)</f>
        <v>0</v>
      </c>
      <c r="AK88" s="10">
        <f>ROUND(_xlfn.WEIBULL.DIST(COUNTA($AD$80:$AD88),$B$24,$F$16,FALSE),3)</f>
        <v>0</v>
      </c>
      <c r="AL88" s="10">
        <f>ROUND(_xlfn.WEIBULL.DIST(COUNTA($AD$81:$AD88),$B$24,$F$16,FALSE),3)</f>
        <v>0</v>
      </c>
      <c r="AM88" s="10">
        <f>ROUND(_xlfn.WEIBULL.DIST(COUNTA($AD$82:$AD88),$B$24,$F$16,FALSE),3)</f>
        <v>0</v>
      </c>
      <c r="AN88" s="10">
        <f>ROUND(_xlfn.WEIBULL.DIST(COUNTA($AD$83:$AD88),$B$24,$F$16,FALSE),3)</f>
        <v>0.11600000000000001</v>
      </c>
      <c r="AO88" s="10">
        <f>ROUND(_xlfn.WEIBULL.DIST(COUNTA($AD$84:$AD88),$B$24,$F$16,FALSE),3)</f>
        <v>0.51500000000000001</v>
      </c>
      <c r="AP88" s="10">
        <f>ROUND(_xlfn.WEIBULL.DIST(COUNTA($AD$85:$AD88),$B$24,$F$16,FALSE),3)</f>
        <v>0.29799999999999999</v>
      </c>
      <c r="AQ88" s="10">
        <f>ROUND(_xlfn.WEIBULL.DIST(COUNTA($AD$86:$AD88),$B$24,$F$16,FALSE),3)</f>
        <v>6.4000000000000001E-2</v>
      </c>
      <c r="AR88" s="10">
        <f>ROUND(_xlfn.WEIBULL.DIST(COUNTA($AD$87:$AD88),$B$24,$F$16,FALSE),3)</f>
        <v>6.0000000000000001E-3</v>
      </c>
      <c r="AS88" s="10">
        <f>ROUND(_xlfn.WEIBULL.DIST(COUNTA($AD$88:$AD88),$B$24,$F$16,FALSE),3)</f>
        <v>0</v>
      </c>
      <c r="AT88" s="201">
        <v>0</v>
      </c>
      <c r="AU88" s="201">
        <v>0</v>
      </c>
      <c r="AV88" s="201">
        <v>0</v>
      </c>
      <c r="AW88" s="201">
        <v>0</v>
      </c>
      <c r="AX88" s="201">
        <v>0</v>
      </c>
      <c r="AZ88" s="10">
        <v>0</v>
      </c>
    </row>
    <row r="89" spans="4:52" x14ac:dyDescent="0.3">
      <c r="D89" s="6">
        <v>16</v>
      </c>
      <c r="E89" s="201">
        <f t="shared" si="3"/>
        <v>0</v>
      </c>
      <c r="F89" s="201">
        <f t="shared" si="3"/>
        <v>0</v>
      </c>
      <c r="G89" s="201">
        <f t="shared" si="3"/>
        <v>0</v>
      </c>
      <c r="H89" s="201">
        <f t="shared" si="3"/>
        <v>0</v>
      </c>
      <c r="I89" s="201">
        <f t="shared" si="3"/>
        <v>0</v>
      </c>
      <c r="J89" s="201">
        <f t="shared" si="3"/>
        <v>0</v>
      </c>
      <c r="K89" s="201">
        <f t="shared" si="3"/>
        <v>0</v>
      </c>
      <c r="L89" s="201">
        <f t="shared" si="3"/>
        <v>0</v>
      </c>
      <c r="M89" s="201">
        <f t="shared" si="3"/>
        <v>0</v>
      </c>
      <c r="N89" s="201">
        <f t="shared" si="3"/>
        <v>0</v>
      </c>
      <c r="O89" s="201">
        <f t="shared" si="3"/>
        <v>0</v>
      </c>
      <c r="P89" s="201">
        <f t="shared" si="5"/>
        <v>0</v>
      </c>
      <c r="Q89" s="201">
        <f t="shared" si="5"/>
        <v>0.26902704519308257</v>
      </c>
      <c r="R89" s="201">
        <f t="shared" si="5"/>
        <v>0.26902704519308257</v>
      </c>
      <c r="S89" s="201">
        <f t="shared" si="5"/>
        <v>0.26902704519308257</v>
      </c>
      <c r="T89" s="201">
        <f>IF($D89-T$73&lt;$F$17,IF($B$23=0,1/$F$17,($B$23*(1+$B$23)^$F$17)/((1+$B$23)^$F$17-1)),0)</f>
        <v>0.26902704519308257</v>
      </c>
      <c r="U89" s="201">
        <v>0</v>
      </c>
      <c r="V89" s="201">
        <v>0</v>
      </c>
      <c r="W89" s="201">
        <v>0</v>
      </c>
      <c r="X89" s="201">
        <v>0</v>
      </c>
      <c r="Y89" s="201"/>
      <c r="Z89" s="201">
        <v>0</v>
      </c>
      <c r="AA89" s="201">
        <f t="shared" si="4"/>
        <v>0</v>
      </c>
      <c r="AD89" s="6">
        <v>16</v>
      </c>
      <c r="AE89" s="10">
        <f>ROUND(_xlfn.WEIBULL.DIST(COUNTA($AD$74:$AD89),$B$24,$F$16,FALSE),3)</f>
        <v>0</v>
      </c>
      <c r="AF89" s="10">
        <f>ROUND(_xlfn.WEIBULL.DIST(COUNTA($AD$75:$AD89),$B$24,$F$16,FALSE),3)</f>
        <v>0</v>
      </c>
      <c r="AG89" s="10">
        <f>ROUND(_xlfn.WEIBULL.DIST(COUNTA($AD$76:$AD89),$B$24,$F$16,FALSE),3)</f>
        <v>0</v>
      </c>
      <c r="AH89" s="10">
        <f>ROUND(_xlfn.WEIBULL.DIST(COUNTA($AD$77:$AD89),$B$24,$F$16,FALSE),3)</f>
        <v>0</v>
      </c>
      <c r="AI89" s="10">
        <f>ROUND(_xlfn.WEIBULL.DIST(COUNTA($AD$78:$AD89),$B$24,$F$16,FALSE),3)</f>
        <v>0</v>
      </c>
      <c r="AJ89" s="10">
        <f>ROUND(_xlfn.WEIBULL.DIST(COUNTA($AD$79:$AD89),$B$24,$F$16,FALSE),3)</f>
        <v>0</v>
      </c>
      <c r="AK89" s="10">
        <f>ROUND(_xlfn.WEIBULL.DIST(COUNTA($AD$80:$AD89),$B$24,$F$16,FALSE),3)</f>
        <v>0</v>
      </c>
      <c r="AL89" s="10">
        <f>ROUND(_xlfn.WEIBULL.DIST(COUNTA($AD$81:$AD89),$B$24,$F$16,FALSE),3)</f>
        <v>0</v>
      </c>
      <c r="AM89" s="10">
        <f>ROUND(_xlfn.WEIBULL.DIST(COUNTA($AD$82:$AD89),$B$24,$F$16,FALSE),3)</f>
        <v>0</v>
      </c>
      <c r="AN89" s="10">
        <f>ROUND(_xlfn.WEIBULL.DIST(COUNTA($AD$83:$AD89),$B$24,$F$16,FALSE),3)</f>
        <v>0</v>
      </c>
      <c r="AO89" s="10">
        <f>ROUND(_xlfn.WEIBULL.DIST(COUNTA($AD$84:$AD89),$B$24,$F$16,FALSE),3)</f>
        <v>0.11600000000000001</v>
      </c>
      <c r="AP89" s="10">
        <f>ROUND(_xlfn.WEIBULL.DIST(COUNTA($AD$85:$AD89),$B$24,$F$16,FALSE),3)</f>
        <v>0.51500000000000001</v>
      </c>
      <c r="AQ89" s="10">
        <f>ROUND(_xlfn.WEIBULL.DIST(COUNTA($AD$86:$AD89),$B$24,$F$16,FALSE),3)</f>
        <v>0.29799999999999999</v>
      </c>
      <c r="AR89" s="10">
        <f>ROUND(_xlfn.WEIBULL.DIST(COUNTA($AD$87:$AD89),$B$24,$F$16,FALSE),3)</f>
        <v>6.4000000000000001E-2</v>
      </c>
      <c r="AS89" s="10">
        <f>ROUND(_xlfn.WEIBULL.DIST(COUNTA($AD$88:$AD89),$B$24,$F$16,FALSE),3)</f>
        <v>6.0000000000000001E-3</v>
      </c>
      <c r="AT89" s="10">
        <f>ROUND(_xlfn.WEIBULL.DIST(COUNTA($AD$89:$AD89),$B$24,$F$16,FALSE),3)</f>
        <v>0</v>
      </c>
      <c r="AU89" s="201">
        <v>0</v>
      </c>
      <c r="AV89" s="201">
        <v>0</v>
      </c>
      <c r="AW89" s="201">
        <v>0</v>
      </c>
      <c r="AX89" s="201">
        <v>0</v>
      </c>
      <c r="AZ89" s="10">
        <v>0</v>
      </c>
    </row>
    <row r="90" spans="4:52" x14ac:dyDescent="0.3">
      <c r="D90" s="6">
        <v>17</v>
      </c>
      <c r="E90" s="201">
        <f t="shared" si="3"/>
        <v>0</v>
      </c>
      <c r="F90" s="201">
        <f t="shared" si="3"/>
        <v>0</v>
      </c>
      <c r="G90" s="201">
        <f t="shared" si="3"/>
        <v>0</v>
      </c>
      <c r="H90" s="201">
        <f t="shared" si="3"/>
        <v>0</v>
      </c>
      <c r="I90" s="201">
        <f t="shared" si="3"/>
        <v>0</v>
      </c>
      <c r="J90" s="201">
        <f t="shared" si="3"/>
        <v>0</v>
      </c>
      <c r="K90" s="201">
        <f t="shared" si="3"/>
        <v>0</v>
      </c>
      <c r="L90" s="201">
        <f t="shared" si="3"/>
        <v>0</v>
      </c>
      <c r="M90" s="201">
        <f t="shared" si="3"/>
        <v>0</v>
      </c>
      <c r="N90" s="201">
        <f t="shared" si="3"/>
        <v>0</v>
      </c>
      <c r="O90" s="201">
        <f t="shared" si="3"/>
        <v>0</v>
      </c>
      <c r="P90" s="201">
        <f t="shared" si="5"/>
        <v>0</v>
      </c>
      <c r="Q90" s="201">
        <f t="shared" si="5"/>
        <v>0</v>
      </c>
      <c r="R90" s="201">
        <f t="shared" si="5"/>
        <v>0.26902704519308257</v>
      </c>
      <c r="S90" s="201">
        <f t="shared" si="5"/>
        <v>0.26902704519308257</v>
      </c>
      <c r="T90" s="201">
        <f t="shared" si="5"/>
        <v>0.26902704519308257</v>
      </c>
      <c r="U90" s="201">
        <f>IF($D90-U$73&lt;$F$17,IF($B$23=0,1/$F$17,($B$23*(1+$B$23)^$F$17)/((1+$B$23)^$F$17-1)),0)</f>
        <v>0.26902704519308257</v>
      </c>
      <c r="V90" s="201">
        <v>0</v>
      </c>
      <c r="W90" s="201">
        <v>0</v>
      </c>
      <c r="X90" s="201">
        <v>0</v>
      </c>
      <c r="Y90" s="201"/>
      <c r="Z90" s="201">
        <v>0</v>
      </c>
      <c r="AA90" s="201">
        <f t="shared" si="4"/>
        <v>0</v>
      </c>
      <c r="AD90" s="6">
        <v>17</v>
      </c>
      <c r="AE90" s="10">
        <f>ROUND(_xlfn.WEIBULL.DIST(COUNTA($AD$74:$AD90),$B$24,$F$16,FALSE),3)</f>
        <v>0</v>
      </c>
      <c r="AF90" s="10">
        <f>ROUND(_xlfn.WEIBULL.DIST(COUNTA($AD$75:$AD90),$B$24,$F$16,FALSE),3)</f>
        <v>0</v>
      </c>
      <c r="AG90" s="10">
        <f>ROUND(_xlfn.WEIBULL.DIST(COUNTA($AD$76:$AD90),$B$24,$F$16,FALSE),3)</f>
        <v>0</v>
      </c>
      <c r="AH90" s="10">
        <f>ROUND(_xlfn.WEIBULL.DIST(COUNTA($AD$77:$AD90),$B$24,$F$16,FALSE),3)</f>
        <v>0</v>
      </c>
      <c r="AI90" s="10">
        <f>ROUND(_xlfn.WEIBULL.DIST(COUNTA($AD$78:$AD90),$B$24,$F$16,FALSE),3)</f>
        <v>0</v>
      </c>
      <c r="AJ90" s="10">
        <f>ROUND(_xlfn.WEIBULL.DIST(COUNTA($AD$79:$AD90),$B$24,$F$16,FALSE),3)</f>
        <v>0</v>
      </c>
      <c r="AK90" s="10">
        <f>ROUND(_xlfn.WEIBULL.DIST(COUNTA($AD$80:$AD90),$B$24,$F$16,FALSE),3)</f>
        <v>0</v>
      </c>
      <c r="AL90" s="10">
        <f>ROUND(_xlfn.WEIBULL.DIST(COUNTA($AD$81:$AD90),$B$24,$F$16,FALSE),3)</f>
        <v>0</v>
      </c>
      <c r="AM90" s="10">
        <f>ROUND(_xlfn.WEIBULL.DIST(COUNTA($AD$82:$AD90),$B$24,$F$16,FALSE),3)</f>
        <v>0</v>
      </c>
      <c r="AN90" s="10">
        <f>ROUND(_xlfn.WEIBULL.DIST(COUNTA($AD$83:$AD90),$B$24,$F$16,FALSE),3)</f>
        <v>0</v>
      </c>
      <c r="AO90" s="10">
        <f>ROUND(_xlfn.WEIBULL.DIST(COUNTA($AD$84:$AD90),$B$24,$F$16,FALSE),3)</f>
        <v>0</v>
      </c>
      <c r="AP90" s="10">
        <f>ROUND(_xlfn.WEIBULL.DIST(COUNTA($AD$85:$AD90),$B$24,$F$16,FALSE),3)</f>
        <v>0.11600000000000001</v>
      </c>
      <c r="AQ90" s="10">
        <f>ROUND(_xlfn.WEIBULL.DIST(COUNTA($AD$86:$AD90),$B$24,$F$16,FALSE),3)</f>
        <v>0.51500000000000001</v>
      </c>
      <c r="AR90" s="10">
        <f>ROUND(_xlfn.WEIBULL.DIST(COUNTA($AD$87:$AD90),$B$24,$F$16,FALSE),3)</f>
        <v>0.29799999999999999</v>
      </c>
      <c r="AS90" s="10">
        <f>ROUND(_xlfn.WEIBULL.DIST(COUNTA($AD$88:$AD90),$B$24,$F$16,FALSE),3)</f>
        <v>6.4000000000000001E-2</v>
      </c>
      <c r="AT90" s="10">
        <f>ROUND(_xlfn.WEIBULL.DIST(COUNTA($AD$89:$AD90),$B$24,$F$16,FALSE),3)</f>
        <v>6.0000000000000001E-3</v>
      </c>
      <c r="AU90" s="10">
        <f>ROUND(_xlfn.WEIBULL.DIST(COUNTA($AD$90:$AD90),$B$24,$F$16,FALSE),3)</f>
        <v>0</v>
      </c>
      <c r="AV90" s="201">
        <v>0</v>
      </c>
      <c r="AW90" s="201">
        <v>0</v>
      </c>
      <c r="AX90" s="201">
        <v>0</v>
      </c>
      <c r="AZ90" s="10">
        <v>0</v>
      </c>
    </row>
    <row r="91" spans="4:52" x14ac:dyDescent="0.3">
      <c r="D91" s="6">
        <v>18</v>
      </c>
      <c r="E91" s="201">
        <f t="shared" si="3"/>
        <v>0</v>
      </c>
      <c r="F91" s="201">
        <f t="shared" si="3"/>
        <v>0</v>
      </c>
      <c r="G91" s="201">
        <f t="shared" si="3"/>
        <v>0</v>
      </c>
      <c r="H91" s="201">
        <f t="shared" si="3"/>
        <v>0</v>
      </c>
      <c r="I91" s="201">
        <f t="shared" si="3"/>
        <v>0</v>
      </c>
      <c r="J91" s="201">
        <f t="shared" si="3"/>
        <v>0</v>
      </c>
      <c r="K91" s="201">
        <f t="shared" si="3"/>
        <v>0</v>
      </c>
      <c r="L91" s="201">
        <f t="shared" si="3"/>
        <v>0</v>
      </c>
      <c r="M91" s="201">
        <f t="shared" si="3"/>
        <v>0</v>
      </c>
      <c r="N91" s="201">
        <f t="shared" si="3"/>
        <v>0</v>
      </c>
      <c r="O91" s="201">
        <f t="shared" si="3"/>
        <v>0</v>
      </c>
      <c r="P91" s="201">
        <f t="shared" si="5"/>
        <v>0</v>
      </c>
      <c r="Q91" s="201">
        <f t="shared" si="5"/>
        <v>0</v>
      </c>
      <c r="R91" s="201">
        <f t="shared" si="5"/>
        <v>0</v>
      </c>
      <c r="S91" s="201">
        <f t="shared" si="5"/>
        <v>0.26902704519308257</v>
      </c>
      <c r="T91" s="201">
        <f t="shared" si="5"/>
        <v>0.26902704519308257</v>
      </c>
      <c r="U91" s="201">
        <f t="shared" si="5"/>
        <v>0.26902704519308257</v>
      </c>
      <c r="V91" s="201">
        <f>IF($D91-V$73&lt;$F$17,IF($B$23=0,1/$F$17,($B$23*(1+$B$23)^$F$17)/((1+$B$23)^$F$17-1)),0)</f>
        <v>0.26902704519308257</v>
      </c>
      <c r="W91" s="201">
        <v>0</v>
      </c>
      <c r="X91" s="201">
        <v>0</v>
      </c>
      <c r="Y91" s="201"/>
      <c r="Z91" s="201">
        <v>0</v>
      </c>
      <c r="AA91" s="201">
        <f t="shared" si="4"/>
        <v>0</v>
      </c>
      <c r="AD91" s="6">
        <v>18</v>
      </c>
      <c r="AE91" s="10">
        <f>ROUND(_xlfn.WEIBULL.DIST(COUNTA($AD$74:$AD91),$B$24,$F$16,FALSE),3)</f>
        <v>0</v>
      </c>
      <c r="AF91" s="10">
        <f>ROUND(_xlfn.WEIBULL.DIST(COUNTA($AD$75:$AD91),$B$24,$F$16,FALSE),3)</f>
        <v>0</v>
      </c>
      <c r="AG91" s="10">
        <f>ROUND(_xlfn.WEIBULL.DIST(COUNTA($AD$76:$AD91),$B$24,$F$16,FALSE),3)</f>
        <v>0</v>
      </c>
      <c r="AH91" s="10">
        <f>ROUND(_xlfn.WEIBULL.DIST(COUNTA($AD$77:$AD91),$B$24,$F$16,FALSE),3)</f>
        <v>0</v>
      </c>
      <c r="AI91" s="10">
        <f>ROUND(_xlfn.WEIBULL.DIST(COUNTA($AD$78:$AD91),$B$24,$F$16,FALSE),3)</f>
        <v>0</v>
      </c>
      <c r="AJ91" s="10">
        <f>ROUND(_xlfn.WEIBULL.DIST(COUNTA($AD$79:$AD91),$B$24,$F$16,FALSE),3)</f>
        <v>0</v>
      </c>
      <c r="AK91" s="10">
        <f>ROUND(_xlfn.WEIBULL.DIST(COUNTA($AD$80:$AD91),$B$24,$F$16,FALSE),3)</f>
        <v>0</v>
      </c>
      <c r="AL91" s="10">
        <f>ROUND(_xlfn.WEIBULL.DIST(COUNTA($AD$81:$AD91),$B$24,$F$16,FALSE),3)</f>
        <v>0</v>
      </c>
      <c r="AM91" s="10">
        <f>ROUND(_xlfn.WEIBULL.DIST(COUNTA($AD$82:$AD91),$B$24,$F$16,FALSE),3)</f>
        <v>0</v>
      </c>
      <c r="AN91" s="10">
        <f>ROUND(_xlfn.WEIBULL.DIST(COUNTA($AD$83:$AD91),$B$24,$F$16,FALSE),3)</f>
        <v>0</v>
      </c>
      <c r="AO91" s="10">
        <f>ROUND(_xlfn.WEIBULL.DIST(COUNTA($AD$84:$AD91),$B$24,$F$16,FALSE),3)</f>
        <v>0</v>
      </c>
      <c r="AP91" s="10">
        <f>ROUND(_xlfn.WEIBULL.DIST(COUNTA($AD$85:$AD91),$B$24,$F$16,FALSE),3)</f>
        <v>0</v>
      </c>
      <c r="AQ91" s="10">
        <f>ROUND(_xlfn.WEIBULL.DIST(COUNTA($AD$86:$AD91),$B$24,$F$16,FALSE),3)</f>
        <v>0.11600000000000001</v>
      </c>
      <c r="AR91" s="10">
        <f>ROUND(_xlfn.WEIBULL.DIST(COUNTA($AD$87:$AD91),$B$24,$F$16,FALSE),3)</f>
        <v>0.51500000000000001</v>
      </c>
      <c r="AS91" s="10">
        <f>ROUND(_xlfn.WEIBULL.DIST(COUNTA($AD$88:$AD91),$B$24,$F$16,FALSE),3)</f>
        <v>0.29799999999999999</v>
      </c>
      <c r="AT91" s="10">
        <f>ROUND(_xlfn.WEIBULL.DIST(COUNTA($AD$89:$AD91),$B$24,$F$16,FALSE),3)</f>
        <v>6.4000000000000001E-2</v>
      </c>
      <c r="AU91" s="10">
        <f>ROUND(_xlfn.WEIBULL.DIST(COUNTA($AD$90:$AD91),$B$24,$F$16,FALSE),3)</f>
        <v>6.0000000000000001E-3</v>
      </c>
      <c r="AV91" s="10">
        <f>ROUND(_xlfn.WEIBULL.DIST(COUNTA($AD$91:$AD91),$B$24,$F$16,FALSE),3)</f>
        <v>0</v>
      </c>
      <c r="AW91" s="201">
        <v>0</v>
      </c>
      <c r="AX91" s="201">
        <v>0</v>
      </c>
      <c r="AZ91" s="10">
        <v>0</v>
      </c>
    </row>
    <row r="92" spans="4:52" x14ac:dyDescent="0.3">
      <c r="D92" s="6">
        <v>19</v>
      </c>
      <c r="E92" s="201">
        <f t="shared" si="3"/>
        <v>0</v>
      </c>
      <c r="F92" s="201">
        <f t="shared" si="3"/>
        <v>0</v>
      </c>
      <c r="G92" s="201">
        <f t="shared" si="3"/>
        <v>0</v>
      </c>
      <c r="H92" s="201">
        <f t="shared" si="3"/>
        <v>0</v>
      </c>
      <c r="I92" s="201">
        <f t="shared" si="3"/>
        <v>0</v>
      </c>
      <c r="J92" s="201">
        <f t="shared" si="3"/>
        <v>0</v>
      </c>
      <c r="K92" s="201">
        <f t="shared" si="3"/>
        <v>0</v>
      </c>
      <c r="L92" s="201">
        <f t="shared" si="3"/>
        <v>0</v>
      </c>
      <c r="M92" s="201">
        <f t="shared" si="3"/>
        <v>0</v>
      </c>
      <c r="N92" s="201">
        <f t="shared" si="3"/>
        <v>0</v>
      </c>
      <c r="O92" s="201">
        <f t="shared" si="3"/>
        <v>0</v>
      </c>
      <c r="P92" s="201">
        <f t="shared" si="5"/>
        <v>0</v>
      </c>
      <c r="Q92" s="201">
        <f t="shared" si="5"/>
        <v>0</v>
      </c>
      <c r="R92" s="201">
        <f t="shared" si="5"/>
        <v>0</v>
      </c>
      <c r="S92" s="201">
        <f t="shared" si="5"/>
        <v>0</v>
      </c>
      <c r="T92" s="201">
        <f t="shared" si="5"/>
        <v>0.26902704519308257</v>
      </c>
      <c r="U92" s="201">
        <f t="shared" si="5"/>
        <v>0.26902704519308257</v>
      </c>
      <c r="V92" s="201">
        <f t="shared" si="5"/>
        <v>0.26902704519308257</v>
      </c>
      <c r="W92" s="201">
        <f>IF($D92-W$73&lt;$F$17,IF($B$23=0,1/$F$17,($B$23*(1+$B$23)^$F$17)/((1+$B$23)^$F$17-1)),0)</f>
        <v>0.26902704519308257</v>
      </c>
      <c r="X92" s="201">
        <v>0</v>
      </c>
      <c r="Y92" s="201"/>
      <c r="Z92" s="201">
        <v>0</v>
      </c>
      <c r="AA92" s="201">
        <f t="shared" si="4"/>
        <v>0</v>
      </c>
      <c r="AD92" s="6">
        <v>19</v>
      </c>
      <c r="AE92" s="10">
        <f>ROUND(_xlfn.WEIBULL.DIST(COUNTA($AD$74:$AD92),$B$24,$F$16,FALSE),3)</f>
        <v>0</v>
      </c>
      <c r="AF92" s="10">
        <f>ROUND(_xlfn.WEIBULL.DIST(COUNTA($AD$75:$AD92),$B$24,$F$16,FALSE),3)</f>
        <v>0</v>
      </c>
      <c r="AG92" s="10">
        <f>ROUND(_xlfn.WEIBULL.DIST(COUNTA($AD$76:$AD92),$B$24,$F$16,FALSE),3)</f>
        <v>0</v>
      </c>
      <c r="AH92" s="10">
        <f>ROUND(_xlfn.WEIBULL.DIST(COUNTA($AD$77:$AD92),$B$24,$F$16,FALSE),3)</f>
        <v>0</v>
      </c>
      <c r="AI92" s="10">
        <f>ROUND(_xlfn.WEIBULL.DIST(COUNTA($AD$78:$AD92),$B$24,$F$16,FALSE),3)</f>
        <v>0</v>
      </c>
      <c r="AJ92" s="10">
        <f>ROUND(_xlfn.WEIBULL.DIST(COUNTA($AD$79:$AD92),$B$24,$F$16,FALSE),3)</f>
        <v>0</v>
      </c>
      <c r="AK92" s="10">
        <f>ROUND(_xlfn.WEIBULL.DIST(COUNTA($AD$80:$AD92),$B$24,$F$16,FALSE),3)</f>
        <v>0</v>
      </c>
      <c r="AL92" s="10">
        <f>ROUND(_xlfn.WEIBULL.DIST(COUNTA($AD$81:$AD92),$B$24,$F$16,FALSE),3)</f>
        <v>0</v>
      </c>
      <c r="AM92" s="10">
        <f>ROUND(_xlfn.WEIBULL.DIST(COUNTA($AD$82:$AD92),$B$24,$F$16,FALSE),3)</f>
        <v>0</v>
      </c>
      <c r="AN92" s="10">
        <f>ROUND(_xlfn.WEIBULL.DIST(COUNTA($AD$83:$AD92),$B$24,$F$16,FALSE),3)</f>
        <v>0</v>
      </c>
      <c r="AO92" s="10">
        <f>ROUND(_xlfn.WEIBULL.DIST(COUNTA($AD$84:$AD92),$B$24,$F$16,FALSE),3)</f>
        <v>0</v>
      </c>
      <c r="AP92" s="10">
        <f>ROUND(_xlfn.WEIBULL.DIST(COUNTA($AD$85:$AD92),$B$24,$F$16,FALSE),3)</f>
        <v>0</v>
      </c>
      <c r="AQ92" s="10">
        <f>ROUND(_xlfn.WEIBULL.DIST(COUNTA($AD$86:$AD92),$B$24,$F$16,FALSE),3)</f>
        <v>0</v>
      </c>
      <c r="AR92" s="10">
        <f>ROUND(_xlfn.WEIBULL.DIST(COUNTA($AD$87:$AD92),$B$24,$F$16,FALSE),3)</f>
        <v>0.11600000000000001</v>
      </c>
      <c r="AS92" s="10">
        <f>ROUND(_xlfn.WEIBULL.DIST(COUNTA($AD$88:$AD92),$B$24,$F$16,FALSE),3)</f>
        <v>0.51500000000000001</v>
      </c>
      <c r="AT92" s="10">
        <f>ROUND(_xlfn.WEIBULL.DIST(COUNTA($AD$89:$AD92),$B$24,$F$16,FALSE),3)</f>
        <v>0.29799999999999999</v>
      </c>
      <c r="AU92" s="10">
        <f>ROUND(_xlfn.WEIBULL.DIST(COUNTA($AD$90:$AD92),$B$24,$F$16,FALSE),3)</f>
        <v>6.4000000000000001E-2</v>
      </c>
      <c r="AV92" s="10">
        <f>ROUND(_xlfn.WEIBULL.DIST(COUNTA($AD$91:$AD92),$B$24,$F$16,FALSE),3)</f>
        <v>6.0000000000000001E-3</v>
      </c>
      <c r="AW92" s="10">
        <f>ROUND(_xlfn.WEIBULL.DIST(COUNTA($AD$92:$AD92),$B$24,$F$16,FALSE),3)</f>
        <v>0</v>
      </c>
      <c r="AX92" s="201">
        <v>0</v>
      </c>
      <c r="AZ92" s="10">
        <v>0</v>
      </c>
    </row>
    <row r="93" spans="4:52" x14ac:dyDescent="0.3">
      <c r="D93" s="6">
        <v>20</v>
      </c>
      <c r="E93" s="201">
        <f t="shared" si="3"/>
        <v>0</v>
      </c>
      <c r="F93" s="201">
        <f t="shared" si="3"/>
        <v>0</v>
      </c>
      <c r="G93" s="201">
        <f t="shared" si="3"/>
        <v>0</v>
      </c>
      <c r="H93" s="201">
        <f t="shared" si="3"/>
        <v>0</v>
      </c>
      <c r="I93" s="201">
        <f t="shared" si="3"/>
        <v>0</v>
      </c>
      <c r="J93" s="201">
        <f t="shared" si="3"/>
        <v>0</v>
      </c>
      <c r="K93" s="201">
        <f t="shared" si="3"/>
        <v>0</v>
      </c>
      <c r="L93" s="201">
        <f t="shared" si="3"/>
        <v>0</v>
      </c>
      <c r="M93" s="201">
        <f t="shared" si="3"/>
        <v>0</v>
      </c>
      <c r="N93" s="201">
        <f t="shared" si="3"/>
        <v>0</v>
      </c>
      <c r="O93" s="201">
        <f t="shared" si="3"/>
        <v>0</v>
      </c>
      <c r="P93" s="201">
        <f t="shared" si="5"/>
        <v>0</v>
      </c>
      <c r="Q93" s="201">
        <f t="shared" si="5"/>
        <v>0</v>
      </c>
      <c r="R93" s="201">
        <f t="shared" si="5"/>
        <v>0</v>
      </c>
      <c r="S93" s="201">
        <f t="shared" si="5"/>
        <v>0</v>
      </c>
      <c r="T93" s="201">
        <f t="shared" si="5"/>
        <v>0</v>
      </c>
      <c r="U93" s="201">
        <f t="shared" si="5"/>
        <v>0.26902704519308257</v>
      </c>
      <c r="V93" s="201">
        <f t="shared" si="5"/>
        <v>0.26902704519308257</v>
      </c>
      <c r="W93" s="201">
        <f t="shared" si="5"/>
        <v>0.26902704519308257</v>
      </c>
      <c r="X93" s="201">
        <f>IF($D93-X$73&lt;$F$17,IF($B$23=0,1/$F$17,($B$23*(1+$B$23)^$F$17)/((1+$B$23)^$F$17-1)),0)</f>
        <v>0.26902704519308257</v>
      </c>
      <c r="Y93" s="201"/>
      <c r="Z93" s="201">
        <v>0</v>
      </c>
      <c r="AA93" s="201">
        <f t="shared" si="4"/>
        <v>0</v>
      </c>
      <c r="AD93" s="6">
        <v>20</v>
      </c>
      <c r="AE93" s="10">
        <f>ROUND(_xlfn.WEIBULL.DIST(COUNTA($AD$74:$AD93),$B$24,$F$16,FALSE),3)</f>
        <v>0</v>
      </c>
      <c r="AF93" s="10">
        <f>ROUND(_xlfn.WEIBULL.DIST(COUNTA($AD$75:$AD93),$B$24,$F$16,FALSE),3)</f>
        <v>0</v>
      </c>
      <c r="AG93" s="10">
        <f>ROUND(_xlfn.WEIBULL.DIST(COUNTA($AD$76:$AD93),$B$24,$F$16,FALSE),3)</f>
        <v>0</v>
      </c>
      <c r="AH93" s="10">
        <f>ROUND(_xlfn.WEIBULL.DIST(COUNTA($AD$77:$AD93),$B$24,$F$16,FALSE),3)</f>
        <v>0</v>
      </c>
      <c r="AI93" s="10">
        <f>ROUND(_xlfn.WEIBULL.DIST(COUNTA($AD$78:$AD93),$B$24,$F$16,FALSE),3)</f>
        <v>0</v>
      </c>
      <c r="AJ93" s="10">
        <f>ROUND(_xlfn.WEIBULL.DIST(COUNTA($AD$79:$AD93),$B$24,$F$16,FALSE),3)</f>
        <v>0</v>
      </c>
      <c r="AK93" s="10">
        <f>ROUND(_xlfn.WEIBULL.DIST(COUNTA($AD$80:$AD93),$B$24,$F$16,FALSE),3)</f>
        <v>0</v>
      </c>
      <c r="AL93" s="10">
        <f>ROUND(_xlfn.WEIBULL.DIST(COUNTA($AD$81:$AD93),$B$24,$F$16,FALSE),3)</f>
        <v>0</v>
      </c>
      <c r="AM93" s="10">
        <f>ROUND(_xlfn.WEIBULL.DIST(COUNTA($AD$82:$AD93),$B$24,$F$16,FALSE),3)</f>
        <v>0</v>
      </c>
      <c r="AN93" s="10">
        <f>ROUND(_xlfn.WEIBULL.DIST(COUNTA($AD$83:$AD93),$B$24,$F$16,FALSE),3)</f>
        <v>0</v>
      </c>
      <c r="AO93" s="10">
        <f>ROUND(_xlfn.WEIBULL.DIST(COUNTA($AD$84:$AD93),$B$24,$F$16,FALSE),3)</f>
        <v>0</v>
      </c>
      <c r="AP93" s="10">
        <f>ROUND(_xlfn.WEIBULL.DIST(COUNTA($AD$85:$AD93),$B$24,$F$16,FALSE),3)</f>
        <v>0</v>
      </c>
      <c r="AQ93" s="10">
        <f>ROUND(_xlfn.WEIBULL.DIST(COUNTA($AD$86:$AD93),$B$24,$F$16,FALSE),3)</f>
        <v>0</v>
      </c>
      <c r="AR93" s="10">
        <f>ROUND(_xlfn.WEIBULL.DIST(COUNTA($AD$87:$AD93),$B$24,$F$16,FALSE),3)</f>
        <v>0</v>
      </c>
      <c r="AS93" s="10">
        <f>ROUND(_xlfn.WEIBULL.DIST(COUNTA($AD$88:$AD93),$B$24,$F$16,FALSE),3)</f>
        <v>0.11600000000000001</v>
      </c>
      <c r="AT93" s="10">
        <f>ROUND(_xlfn.WEIBULL.DIST(COUNTA($AD$89:$AD93),$B$24,$F$16,FALSE),3)</f>
        <v>0.51500000000000001</v>
      </c>
      <c r="AU93" s="10">
        <f>ROUND(_xlfn.WEIBULL.DIST(COUNTA($AD$90:$AD93),$B$24,$F$16,FALSE),3)</f>
        <v>0.29799999999999999</v>
      </c>
      <c r="AV93" s="10">
        <f>ROUND(_xlfn.WEIBULL.DIST(COUNTA($AD$91:$AD93),$B$24,$F$16,FALSE),3)</f>
        <v>6.4000000000000001E-2</v>
      </c>
      <c r="AW93" s="10">
        <f>ROUND(_xlfn.WEIBULL.DIST(COUNTA($AD$92:$AD93),$B$24,$F$16,FALSE),3)</f>
        <v>6.0000000000000001E-3</v>
      </c>
      <c r="AX93" s="10">
        <f>ROUND(_xlfn.WEIBULL.DIST(COUNTA($AD$93:$AD93),$B$24,$F$16,FALSE),3)</f>
        <v>0</v>
      </c>
      <c r="AZ93" s="10">
        <v>0</v>
      </c>
    </row>
    <row r="94" spans="4:52" x14ac:dyDescent="0.3">
      <c r="D94" s="6">
        <v>21</v>
      </c>
      <c r="E94" s="201">
        <f t="shared" si="3"/>
        <v>0</v>
      </c>
      <c r="F94" s="201">
        <f t="shared" si="3"/>
        <v>0</v>
      </c>
      <c r="G94" s="201">
        <f t="shared" si="3"/>
        <v>0</v>
      </c>
      <c r="H94" s="201">
        <f t="shared" si="3"/>
        <v>0</v>
      </c>
      <c r="I94" s="201">
        <f t="shared" si="3"/>
        <v>0</v>
      </c>
      <c r="J94" s="201">
        <f t="shared" si="3"/>
        <v>0</v>
      </c>
      <c r="K94" s="201">
        <f t="shared" si="3"/>
        <v>0</v>
      </c>
      <c r="L94" s="201">
        <f t="shared" si="3"/>
        <v>0</v>
      </c>
      <c r="M94" s="201">
        <f t="shared" si="3"/>
        <v>0</v>
      </c>
      <c r="N94" s="201">
        <f t="shared" si="3"/>
        <v>0</v>
      </c>
      <c r="O94" s="201">
        <f t="shared" si="3"/>
        <v>0</v>
      </c>
      <c r="P94" s="201">
        <f t="shared" si="5"/>
        <v>0</v>
      </c>
      <c r="Q94" s="201">
        <f t="shared" si="5"/>
        <v>0</v>
      </c>
      <c r="R94" s="201">
        <f t="shared" si="5"/>
        <v>0</v>
      </c>
      <c r="S94" s="201">
        <f t="shared" si="5"/>
        <v>0</v>
      </c>
      <c r="T94" s="201">
        <f t="shared" si="5"/>
        <v>0</v>
      </c>
      <c r="U94" s="201">
        <f t="shared" si="5"/>
        <v>0</v>
      </c>
      <c r="V94" s="201">
        <f t="shared" si="5"/>
        <v>0.26902704519308257</v>
      </c>
      <c r="W94" s="201">
        <f t="shared" si="5"/>
        <v>0.26902704519308257</v>
      </c>
      <c r="X94" s="201">
        <f t="shared" si="5"/>
        <v>0.26902704519308257</v>
      </c>
      <c r="Y94" s="201"/>
      <c r="Z94" s="201">
        <v>0</v>
      </c>
      <c r="AA94" s="201">
        <f t="shared" si="4"/>
        <v>0</v>
      </c>
    </row>
    <row r="95" spans="4:52" x14ac:dyDescent="0.3">
      <c r="D95" s="6">
        <v>22</v>
      </c>
      <c r="E95" s="201">
        <f t="shared" si="3"/>
        <v>0</v>
      </c>
      <c r="F95" s="201">
        <f t="shared" si="3"/>
        <v>0</v>
      </c>
      <c r="G95" s="201">
        <f t="shared" si="3"/>
        <v>0</v>
      </c>
      <c r="H95" s="201">
        <f t="shared" si="3"/>
        <v>0</v>
      </c>
      <c r="I95" s="201">
        <f t="shared" si="3"/>
        <v>0</v>
      </c>
      <c r="J95" s="201">
        <f t="shared" si="3"/>
        <v>0</v>
      </c>
      <c r="K95" s="201">
        <f t="shared" si="3"/>
        <v>0</v>
      </c>
      <c r="L95" s="201">
        <f t="shared" si="3"/>
        <v>0</v>
      </c>
      <c r="M95" s="201">
        <f t="shared" si="3"/>
        <v>0</v>
      </c>
      <c r="N95" s="201">
        <f t="shared" si="3"/>
        <v>0</v>
      </c>
      <c r="O95" s="201">
        <f t="shared" ref="O95:O103" si="6">IF($D95-O$73&lt;$F$17,IF($B$23=0,1/$F$17,($B$23*(1+$B$23)^$F$17)/((1+$B$23)^$F$17-1)),0)</f>
        <v>0</v>
      </c>
      <c r="P95" s="201">
        <f t="shared" si="5"/>
        <v>0</v>
      </c>
      <c r="Q95" s="201">
        <f t="shared" si="5"/>
        <v>0</v>
      </c>
      <c r="R95" s="201">
        <f t="shared" si="5"/>
        <v>0</v>
      </c>
      <c r="S95" s="201">
        <f t="shared" si="5"/>
        <v>0</v>
      </c>
      <c r="T95" s="201">
        <f t="shared" si="5"/>
        <v>0</v>
      </c>
      <c r="U95" s="201">
        <f t="shared" si="5"/>
        <v>0</v>
      </c>
      <c r="V95" s="201">
        <f t="shared" si="5"/>
        <v>0</v>
      </c>
      <c r="W95" s="201">
        <f t="shared" si="5"/>
        <v>0.26902704519308257</v>
      </c>
      <c r="X95" s="201">
        <f t="shared" si="5"/>
        <v>0.26902704519308257</v>
      </c>
      <c r="Y95" s="201"/>
      <c r="Z95" s="201">
        <v>0</v>
      </c>
      <c r="AA95" s="201">
        <f t="shared" si="4"/>
        <v>0</v>
      </c>
    </row>
    <row r="96" spans="4:52" x14ac:dyDescent="0.3">
      <c r="D96" s="6">
        <v>23</v>
      </c>
      <c r="E96" s="201">
        <f t="shared" si="3"/>
        <v>0</v>
      </c>
      <c r="F96" s="201">
        <f t="shared" si="3"/>
        <v>0</v>
      </c>
      <c r="G96" s="201">
        <f t="shared" si="3"/>
        <v>0</v>
      </c>
      <c r="H96" s="201">
        <f t="shared" si="3"/>
        <v>0</v>
      </c>
      <c r="I96" s="201">
        <f t="shared" si="3"/>
        <v>0</v>
      </c>
      <c r="J96" s="201">
        <f t="shared" si="3"/>
        <v>0</v>
      </c>
      <c r="K96" s="201">
        <f t="shared" si="3"/>
        <v>0</v>
      </c>
      <c r="L96" s="201">
        <f t="shared" si="3"/>
        <v>0</v>
      </c>
      <c r="M96" s="201">
        <f t="shared" si="3"/>
        <v>0</v>
      </c>
      <c r="N96" s="201">
        <f t="shared" si="3"/>
        <v>0</v>
      </c>
      <c r="O96" s="201">
        <f t="shared" si="6"/>
        <v>0</v>
      </c>
      <c r="P96" s="201">
        <f t="shared" si="5"/>
        <v>0</v>
      </c>
      <c r="Q96" s="201">
        <f t="shared" si="5"/>
        <v>0</v>
      </c>
      <c r="R96" s="201">
        <f t="shared" si="5"/>
        <v>0</v>
      </c>
      <c r="S96" s="201">
        <f t="shared" si="5"/>
        <v>0</v>
      </c>
      <c r="T96" s="201">
        <f t="shared" si="5"/>
        <v>0</v>
      </c>
      <c r="U96" s="201">
        <f t="shared" si="5"/>
        <v>0</v>
      </c>
      <c r="V96" s="201">
        <f t="shared" si="5"/>
        <v>0</v>
      </c>
      <c r="W96" s="201">
        <f t="shared" si="5"/>
        <v>0</v>
      </c>
      <c r="X96" s="201">
        <f t="shared" si="5"/>
        <v>0.26902704519308257</v>
      </c>
      <c r="Y96" s="201"/>
      <c r="Z96" s="201">
        <v>0</v>
      </c>
      <c r="AA96" s="201">
        <f t="shared" si="4"/>
        <v>0</v>
      </c>
    </row>
    <row r="97" spans="4:50" x14ac:dyDescent="0.3">
      <c r="D97" s="6">
        <v>24</v>
      </c>
      <c r="E97" s="201">
        <f t="shared" si="3"/>
        <v>0</v>
      </c>
      <c r="F97" s="201">
        <f t="shared" si="3"/>
        <v>0</v>
      </c>
      <c r="G97" s="201">
        <f t="shared" si="3"/>
        <v>0</v>
      </c>
      <c r="H97" s="201">
        <f t="shared" si="3"/>
        <v>0</v>
      </c>
      <c r="I97" s="201">
        <f t="shared" si="3"/>
        <v>0</v>
      </c>
      <c r="J97" s="201">
        <f t="shared" si="3"/>
        <v>0</v>
      </c>
      <c r="K97" s="201">
        <f t="shared" si="3"/>
        <v>0</v>
      </c>
      <c r="L97" s="201">
        <f t="shared" si="3"/>
        <v>0</v>
      </c>
      <c r="M97" s="201">
        <f t="shared" si="3"/>
        <v>0</v>
      </c>
      <c r="N97" s="201">
        <f t="shared" si="3"/>
        <v>0</v>
      </c>
      <c r="O97" s="201">
        <f t="shared" si="6"/>
        <v>0</v>
      </c>
      <c r="P97" s="201">
        <f t="shared" si="5"/>
        <v>0</v>
      </c>
      <c r="Q97" s="201">
        <f t="shared" si="5"/>
        <v>0</v>
      </c>
      <c r="R97" s="201">
        <f t="shared" si="5"/>
        <v>0</v>
      </c>
      <c r="S97" s="201">
        <f t="shared" si="5"/>
        <v>0</v>
      </c>
      <c r="T97" s="201">
        <f t="shared" si="5"/>
        <v>0</v>
      </c>
      <c r="U97" s="201">
        <f t="shared" si="5"/>
        <v>0</v>
      </c>
      <c r="V97" s="201">
        <f t="shared" si="5"/>
        <v>0</v>
      </c>
      <c r="W97" s="201">
        <f t="shared" si="5"/>
        <v>0</v>
      </c>
      <c r="X97" s="201">
        <f t="shared" si="5"/>
        <v>0</v>
      </c>
      <c r="Y97" s="201"/>
      <c r="Z97" s="201">
        <v>0</v>
      </c>
      <c r="AA97" s="201">
        <f t="shared" si="4"/>
        <v>0</v>
      </c>
    </row>
    <row r="98" spans="4:50" x14ac:dyDescent="0.3">
      <c r="D98" s="6">
        <v>25</v>
      </c>
      <c r="E98" s="201">
        <f t="shared" si="3"/>
        <v>0</v>
      </c>
      <c r="F98" s="201">
        <f t="shared" si="3"/>
        <v>0</v>
      </c>
      <c r="G98" s="201">
        <f t="shared" si="3"/>
        <v>0</v>
      </c>
      <c r="H98" s="201">
        <f t="shared" si="3"/>
        <v>0</v>
      </c>
      <c r="I98" s="201">
        <f t="shared" si="3"/>
        <v>0</v>
      </c>
      <c r="J98" s="201">
        <f t="shared" si="3"/>
        <v>0</v>
      </c>
      <c r="K98" s="201">
        <f t="shared" si="3"/>
        <v>0</v>
      </c>
      <c r="L98" s="201">
        <f t="shared" si="3"/>
        <v>0</v>
      </c>
      <c r="M98" s="201">
        <f t="shared" si="3"/>
        <v>0</v>
      </c>
      <c r="N98" s="201">
        <f t="shared" si="3"/>
        <v>0</v>
      </c>
      <c r="O98" s="201">
        <f t="shared" si="6"/>
        <v>0</v>
      </c>
      <c r="P98" s="201">
        <f t="shared" si="5"/>
        <v>0</v>
      </c>
      <c r="Q98" s="201">
        <f t="shared" si="5"/>
        <v>0</v>
      </c>
      <c r="R98" s="201">
        <f t="shared" si="5"/>
        <v>0</v>
      </c>
      <c r="S98" s="201">
        <f t="shared" si="5"/>
        <v>0</v>
      </c>
      <c r="T98" s="201">
        <f t="shared" si="5"/>
        <v>0</v>
      </c>
      <c r="U98" s="201">
        <f t="shared" si="5"/>
        <v>0</v>
      </c>
      <c r="V98" s="201">
        <f t="shared" si="5"/>
        <v>0</v>
      </c>
      <c r="W98" s="201">
        <f t="shared" si="5"/>
        <v>0</v>
      </c>
      <c r="X98" s="201">
        <f t="shared" si="5"/>
        <v>0</v>
      </c>
      <c r="Y98" s="201"/>
      <c r="Z98" s="201">
        <v>0</v>
      </c>
      <c r="AA98" s="201">
        <f t="shared" si="4"/>
        <v>0</v>
      </c>
    </row>
    <row r="99" spans="4:50" x14ac:dyDescent="0.3">
      <c r="D99" s="6">
        <v>26</v>
      </c>
      <c r="E99" s="201">
        <f t="shared" si="3"/>
        <v>0</v>
      </c>
      <c r="F99" s="201">
        <f t="shared" si="3"/>
        <v>0</v>
      </c>
      <c r="G99" s="201">
        <f t="shared" si="3"/>
        <v>0</v>
      </c>
      <c r="H99" s="201">
        <f t="shared" si="3"/>
        <v>0</v>
      </c>
      <c r="I99" s="201">
        <f t="shared" si="3"/>
        <v>0</v>
      </c>
      <c r="J99" s="201">
        <f t="shared" si="3"/>
        <v>0</v>
      </c>
      <c r="K99" s="201">
        <f t="shared" si="3"/>
        <v>0</v>
      </c>
      <c r="L99" s="201">
        <f t="shared" si="3"/>
        <v>0</v>
      </c>
      <c r="M99" s="201">
        <f t="shared" si="3"/>
        <v>0</v>
      </c>
      <c r="N99" s="201">
        <f t="shared" si="3"/>
        <v>0</v>
      </c>
      <c r="O99" s="201">
        <f t="shared" si="6"/>
        <v>0</v>
      </c>
      <c r="P99" s="201">
        <f t="shared" si="5"/>
        <v>0</v>
      </c>
      <c r="Q99" s="201">
        <f t="shared" si="5"/>
        <v>0</v>
      </c>
      <c r="R99" s="201">
        <f t="shared" si="5"/>
        <v>0</v>
      </c>
      <c r="S99" s="201">
        <f t="shared" si="5"/>
        <v>0</v>
      </c>
      <c r="T99" s="201">
        <f t="shared" si="5"/>
        <v>0</v>
      </c>
      <c r="U99" s="201">
        <f t="shared" si="5"/>
        <v>0</v>
      </c>
      <c r="V99" s="201">
        <f t="shared" si="5"/>
        <v>0</v>
      </c>
      <c r="W99" s="201">
        <f t="shared" si="5"/>
        <v>0</v>
      </c>
      <c r="X99" s="201">
        <f t="shared" si="5"/>
        <v>0</v>
      </c>
      <c r="Y99" s="201"/>
      <c r="Z99" s="201">
        <v>0</v>
      </c>
      <c r="AA99" s="201">
        <f t="shared" si="4"/>
        <v>0</v>
      </c>
    </row>
    <row r="100" spans="4:50" x14ac:dyDescent="0.3">
      <c r="D100" s="6">
        <v>27</v>
      </c>
      <c r="E100" s="201">
        <f t="shared" si="3"/>
        <v>0</v>
      </c>
      <c r="F100" s="201">
        <f t="shared" si="3"/>
        <v>0</v>
      </c>
      <c r="G100" s="201">
        <f t="shared" si="3"/>
        <v>0</v>
      </c>
      <c r="H100" s="201">
        <f t="shared" si="3"/>
        <v>0</v>
      </c>
      <c r="I100" s="201">
        <f t="shared" si="3"/>
        <v>0</v>
      </c>
      <c r="J100" s="201">
        <f t="shared" si="3"/>
        <v>0</v>
      </c>
      <c r="K100" s="201">
        <f t="shared" si="3"/>
        <v>0</v>
      </c>
      <c r="L100" s="201">
        <f t="shared" si="3"/>
        <v>0</v>
      </c>
      <c r="M100" s="201">
        <f t="shared" si="3"/>
        <v>0</v>
      </c>
      <c r="N100" s="201">
        <f t="shared" si="3"/>
        <v>0</v>
      </c>
      <c r="O100" s="201">
        <f t="shared" si="6"/>
        <v>0</v>
      </c>
      <c r="P100" s="201">
        <f t="shared" si="5"/>
        <v>0</v>
      </c>
      <c r="Q100" s="201">
        <f t="shared" si="5"/>
        <v>0</v>
      </c>
      <c r="R100" s="201">
        <f t="shared" si="5"/>
        <v>0</v>
      </c>
      <c r="S100" s="201">
        <f t="shared" si="5"/>
        <v>0</v>
      </c>
      <c r="T100" s="201">
        <f t="shared" si="5"/>
        <v>0</v>
      </c>
      <c r="U100" s="201">
        <f t="shared" si="5"/>
        <v>0</v>
      </c>
      <c r="V100" s="201">
        <f t="shared" si="5"/>
        <v>0</v>
      </c>
      <c r="W100" s="201">
        <f t="shared" si="5"/>
        <v>0</v>
      </c>
      <c r="X100" s="201">
        <f t="shared" si="5"/>
        <v>0</v>
      </c>
      <c r="Y100" s="201"/>
      <c r="Z100" s="201">
        <v>0</v>
      </c>
      <c r="AA100" s="201">
        <f t="shared" si="4"/>
        <v>0</v>
      </c>
    </row>
    <row r="101" spans="4:50" x14ac:dyDescent="0.3">
      <c r="D101" s="6">
        <v>28</v>
      </c>
      <c r="E101" s="201">
        <f t="shared" si="3"/>
        <v>0</v>
      </c>
      <c r="F101" s="201">
        <f t="shared" si="3"/>
        <v>0</v>
      </c>
      <c r="G101" s="201">
        <f t="shared" si="3"/>
        <v>0</v>
      </c>
      <c r="H101" s="201">
        <f t="shared" si="3"/>
        <v>0</v>
      </c>
      <c r="I101" s="201">
        <f t="shared" si="3"/>
        <v>0</v>
      </c>
      <c r="J101" s="201">
        <f t="shared" si="3"/>
        <v>0</v>
      </c>
      <c r="K101" s="201">
        <f t="shared" si="3"/>
        <v>0</v>
      </c>
      <c r="L101" s="201">
        <f t="shared" si="3"/>
        <v>0</v>
      </c>
      <c r="M101" s="201">
        <f t="shared" si="3"/>
        <v>0</v>
      </c>
      <c r="N101" s="201">
        <f t="shared" si="3"/>
        <v>0</v>
      </c>
      <c r="O101" s="201">
        <f t="shared" si="6"/>
        <v>0</v>
      </c>
      <c r="P101" s="201">
        <f t="shared" si="5"/>
        <v>0</v>
      </c>
      <c r="Q101" s="201">
        <f t="shared" si="5"/>
        <v>0</v>
      </c>
      <c r="R101" s="201">
        <f t="shared" si="5"/>
        <v>0</v>
      </c>
      <c r="S101" s="201">
        <f t="shared" si="5"/>
        <v>0</v>
      </c>
      <c r="T101" s="201">
        <f t="shared" si="5"/>
        <v>0</v>
      </c>
      <c r="U101" s="201">
        <f t="shared" si="5"/>
        <v>0</v>
      </c>
      <c r="V101" s="201">
        <f t="shared" si="5"/>
        <v>0</v>
      </c>
      <c r="W101" s="201">
        <f t="shared" si="5"/>
        <v>0</v>
      </c>
      <c r="X101" s="201">
        <f t="shared" si="5"/>
        <v>0</v>
      </c>
      <c r="Y101" s="201"/>
      <c r="Z101" s="201">
        <v>0</v>
      </c>
      <c r="AA101" s="201">
        <f t="shared" si="4"/>
        <v>0</v>
      </c>
    </row>
    <row r="102" spans="4:50" x14ac:dyDescent="0.3">
      <c r="D102" s="6">
        <v>29</v>
      </c>
      <c r="E102" s="201">
        <f t="shared" si="3"/>
        <v>0</v>
      </c>
      <c r="F102" s="201">
        <f t="shared" si="3"/>
        <v>0</v>
      </c>
      <c r="G102" s="201">
        <f t="shared" si="3"/>
        <v>0</v>
      </c>
      <c r="H102" s="201">
        <f t="shared" si="3"/>
        <v>0</v>
      </c>
      <c r="I102" s="201">
        <f t="shared" si="3"/>
        <v>0</v>
      </c>
      <c r="J102" s="201">
        <f t="shared" si="3"/>
        <v>0</v>
      </c>
      <c r="K102" s="201">
        <f t="shared" si="3"/>
        <v>0</v>
      </c>
      <c r="L102" s="201">
        <f t="shared" si="3"/>
        <v>0</v>
      </c>
      <c r="M102" s="201">
        <f t="shared" si="3"/>
        <v>0</v>
      </c>
      <c r="N102" s="201">
        <f t="shared" si="3"/>
        <v>0</v>
      </c>
      <c r="O102" s="201">
        <f t="shared" si="6"/>
        <v>0</v>
      </c>
      <c r="P102" s="201">
        <f t="shared" si="5"/>
        <v>0</v>
      </c>
      <c r="Q102" s="201">
        <f t="shared" si="5"/>
        <v>0</v>
      </c>
      <c r="R102" s="201">
        <f t="shared" si="5"/>
        <v>0</v>
      </c>
      <c r="S102" s="201">
        <f t="shared" si="5"/>
        <v>0</v>
      </c>
      <c r="T102" s="201">
        <f t="shared" si="5"/>
        <v>0</v>
      </c>
      <c r="U102" s="201">
        <f t="shared" si="5"/>
        <v>0</v>
      </c>
      <c r="V102" s="201">
        <f t="shared" si="5"/>
        <v>0</v>
      </c>
      <c r="W102" s="201">
        <f t="shared" si="5"/>
        <v>0</v>
      </c>
      <c r="X102" s="201">
        <f t="shared" si="5"/>
        <v>0</v>
      </c>
      <c r="Y102" s="201"/>
      <c r="Z102" s="201">
        <v>0</v>
      </c>
      <c r="AA102" s="201">
        <f t="shared" si="4"/>
        <v>0</v>
      </c>
    </row>
    <row r="103" spans="4:50" x14ac:dyDescent="0.3">
      <c r="D103" s="6">
        <v>30</v>
      </c>
      <c r="E103" s="201">
        <f t="shared" si="3"/>
        <v>0</v>
      </c>
      <c r="F103" s="201">
        <f t="shared" si="3"/>
        <v>0</v>
      </c>
      <c r="G103" s="201">
        <f t="shared" si="3"/>
        <v>0</v>
      </c>
      <c r="H103" s="201">
        <f t="shared" si="3"/>
        <v>0</v>
      </c>
      <c r="I103" s="201">
        <f t="shared" si="3"/>
        <v>0</v>
      </c>
      <c r="J103" s="201">
        <f t="shared" si="3"/>
        <v>0</v>
      </c>
      <c r="K103" s="201">
        <f t="shared" si="3"/>
        <v>0</v>
      </c>
      <c r="L103" s="201">
        <f t="shared" si="3"/>
        <v>0</v>
      </c>
      <c r="M103" s="201">
        <f t="shared" si="3"/>
        <v>0</v>
      </c>
      <c r="N103" s="201">
        <f t="shared" si="3"/>
        <v>0</v>
      </c>
      <c r="O103" s="201">
        <f t="shared" si="6"/>
        <v>0</v>
      </c>
      <c r="P103" s="201">
        <f t="shared" si="5"/>
        <v>0</v>
      </c>
      <c r="Q103" s="201">
        <f t="shared" si="5"/>
        <v>0</v>
      </c>
      <c r="R103" s="201">
        <f t="shared" si="5"/>
        <v>0</v>
      </c>
      <c r="S103" s="201">
        <f t="shared" si="5"/>
        <v>0</v>
      </c>
      <c r="T103" s="201">
        <f t="shared" si="5"/>
        <v>0</v>
      </c>
      <c r="U103" s="201">
        <f t="shared" si="5"/>
        <v>0</v>
      </c>
      <c r="V103" s="201">
        <f t="shared" si="5"/>
        <v>0</v>
      </c>
      <c r="W103" s="201">
        <f t="shared" si="5"/>
        <v>0</v>
      </c>
      <c r="X103" s="201">
        <f t="shared" si="5"/>
        <v>0</v>
      </c>
      <c r="Y103" s="201"/>
      <c r="Z103" s="201">
        <v>0</v>
      </c>
      <c r="AA103" s="201">
        <f t="shared" si="4"/>
        <v>0</v>
      </c>
    </row>
    <row r="104" spans="4:50" x14ac:dyDescent="0.3">
      <c r="F104" s="1"/>
      <c r="H104" s="1"/>
      <c r="I104" s="1"/>
    </row>
    <row r="105" spans="4:50" x14ac:dyDescent="0.3">
      <c r="D105" s="10" t="s">
        <v>260</v>
      </c>
      <c r="E105" s="201">
        <f t="array" ref="E105:X105">TRANSPOSE(N24:N43)*$G$11*0.000001</f>
        <v>0</v>
      </c>
      <c r="F105" s="201">
        <v>0</v>
      </c>
      <c r="G105" s="201">
        <v>0</v>
      </c>
      <c r="H105" s="201">
        <v>0.44999999999999996</v>
      </c>
      <c r="I105" s="201">
        <v>0</v>
      </c>
      <c r="J105" s="201">
        <v>0</v>
      </c>
      <c r="K105" s="201">
        <v>0</v>
      </c>
      <c r="L105" s="201">
        <v>0</v>
      </c>
      <c r="M105" s="201">
        <v>0</v>
      </c>
      <c r="N105" s="201">
        <v>0</v>
      </c>
      <c r="O105" s="201">
        <v>0</v>
      </c>
      <c r="P105" s="201">
        <v>0</v>
      </c>
      <c r="Q105" s="201">
        <v>0</v>
      </c>
      <c r="R105" s="201">
        <v>0</v>
      </c>
      <c r="S105" s="201">
        <v>0</v>
      </c>
      <c r="T105" s="201">
        <v>0</v>
      </c>
      <c r="U105" s="201">
        <v>0</v>
      </c>
      <c r="V105" s="201">
        <v>0</v>
      </c>
      <c r="W105" s="201">
        <v>0</v>
      </c>
      <c r="X105" s="201">
        <v>0</v>
      </c>
    </row>
    <row r="106" spans="4:50" x14ac:dyDescent="0.3">
      <c r="D106" s="10" t="s">
        <v>308</v>
      </c>
      <c r="E106" s="2">
        <v>1</v>
      </c>
      <c r="F106" s="2">
        <v>2</v>
      </c>
      <c r="G106" s="2">
        <v>3</v>
      </c>
      <c r="H106" s="2">
        <v>4</v>
      </c>
      <c r="I106" s="2">
        <v>5</v>
      </c>
      <c r="J106" s="2">
        <v>6</v>
      </c>
      <c r="K106" s="2">
        <v>7</v>
      </c>
      <c r="L106" s="2">
        <v>8</v>
      </c>
      <c r="M106" s="2">
        <v>9</v>
      </c>
      <c r="N106" s="2">
        <v>10</v>
      </c>
      <c r="O106" s="2">
        <v>11</v>
      </c>
      <c r="P106" s="2">
        <v>12</v>
      </c>
      <c r="Q106" s="2">
        <v>13</v>
      </c>
      <c r="R106" s="2">
        <v>14</v>
      </c>
      <c r="S106" s="2">
        <v>15</v>
      </c>
      <c r="T106" s="2">
        <v>16</v>
      </c>
      <c r="U106" s="2">
        <v>17</v>
      </c>
      <c r="V106" s="2">
        <v>18</v>
      </c>
      <c r="W106" s="2">
        <v>19</v>
      </c>
      <c r="X106" s="2">
        <v>20</v>
      </c>
      <c r="Z106" s="11" t="s">
        <v>462</v>
      </c>
      <c r="AA106" s="11" t="s">
        <v>463</v>
      </c>
      <c r="AD106" s="10" t="s">
        <v>260</v>
      </c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01"/>
      <c r="AX106" s="201"/>
    </row>
    <row r="107" spans="4:50" x14ac:dyDescent="0.3">
      <c r="D107" s="6">
        <v>1</v>
      </c>
      <c r="E107" s="201">
        <f>IF($D107-E$106&lt;$G$17,IF($B$23=0,1/$G$17,($B$23*(1+$B$23)^$G$17)/((1+$B$23)^$G$17-1)),0)</f>
        <v>0.26902704519308257</v>
      </c>
      <c r="F107" s="201">
        <v>0</v>
      </c>
      <c r="G107" s="201">
        <v>0</v>
      </c>
      <c r="H107" s="201">
        <v>0</v>
      </c>
      <c r="I107" s="201">
        <v>0</v>
      </c>
      <c r="J107" s="201">
        <v>0</v>
      </c>
      <c r="K107" s="201">
        <v>0</v>
      </c>
      <c r="L107" s="201">
        <v>0</v>
      </c>
      <c r="M107" s="201">
        <v>0</v>
      </c>
      <c r="N107" s="201">
        <v>0</v>
      </c>
      <c r="O107" s="201">
        <v>0</v>
      </c>
      <c r="P107" s="201">
        <v>0</v>
      </c>
      <c r="Q107" s="201">
        <v>0</v>
      </c>
      <c r="R107" s="201">
        <v>0</v>
      </c>
      <c r="S107" s="201">
        <v>0</v>
      </c>
      <c r="T107" s="201">
        <v>0</v>
      </c>
      <c r="U107" s="201">
        <v>0</v>
      </c>
      <c r="V107" s="201">
        <v>0</v>
      </c>
      <c r="W107" s="201">
        <v>0</v>
      </c>
      <c r="X107" s="201">
        <v>0</v>
      </c>
      <c r="Y107" s="201"/>
      <c r="Z107" s="201">
        <f t="array" ref="Z107:Z136">MMULT(E107:X136,TRANSPOSE(E105:X105))</f>
        <v>0</v>
      </c>
      <c r="AA107" s="201">
        <f>Z107*(1/(1+$B$22)^(D107-1))</f>
        <v>0</v>
      </c>
      <c r="AD107" s="10" t="s">
        <v>308</v>
      </c>
      <c r="AE107" s="2">
        <v>1</v>
      </c>
      <c r="AF107" s="2">
        <v>2</v>
      </c>
      <c r="AG107" s="2">
        <v>3</v>
      </c>
      <c r="AH107" s="2">
        <v>4</v>
      </c>
      <c r="AI107" s="2">
        <v>5</v>
      </c>
      <c r="AJ107" s="2">
        <v>6</v>
      </c>
      <c r="AK107" s="2">
        <v>7</v>
      </c>
      <c r="AL107" s="2">
        <v>8</v>
      </c>
      <c r="AM107" s="2">
        <v>9</v>
      </c>
      <c r="AN107" s="2">
        <v>10</v>
      </c>
      <c r="AO107" s="2">
        <v>11</v>
      </c>
      <c r="AP107" s="2">
        <v>12</v>
      </c>
      <c r="AQ107" s="2">
        <v>13</v>
      </c>
      <c r="AR107" s="2">
        <v>14</v>
      </c>
      <c r="AS107" s="2">
        <v>15</v>
      </c>
      <c r="AT107" s="2">
        <v>16</v>
      </c>
      <c r="AU107" s="2">
        <v>17</v>
      </c>
      <c r="AV107" s="2">
        <v>18</v>
      </c>
      <c r="AW107" s="2">
        <v>19</v>
      </c>
      <c r="AX107" s="2">
        <v>20</v>
      </c>
    </row>
    <row r="108" spans="4:50" x14ac:dyDescent="0.3">
      <c r="D108" s="6">
        <v>2</v>
      </c>
      <c r="E108" s="201">
        <f t="shared" ref="E108:O136" si="7">IF($D108-E$106&lt;$G$17,IF($B$23=0,1/$G$17,($B$23*(1+$B$23)^$G$17)/((1+$B$23)^$G$17-1)),0)</f>
        <v>0.26902704519308257</v>
      </c>
      <c r="F108" s="201">
        <f>IF($D108-F$106&lt;$G$17,IF($B$23=0,1/$G$17,($B$23*(1+$B$23)^$G$17)/((1+$B$23)^$G$17-1)),0)</f>
        <v>0.26902704519308257</v>
      </c>
      <c r="G108" s="201">
        <v>0</v>
      </c>
      <c r="H108" s="201">
        <v>0</v>
      </c>
      <c r="I108" s="201">
        <v>0</v>
      </c>
      <c r="J108" s="201">
        <v>0</v>
      </c>
      <c r="K108" s="201">
        <v>0</v>
      </c>
      <c r="L108" s="201">
        <v>0</v>
      </c>
      <c r="M108" s="201">
        <v>0</v>
      </c>
      <c r="N108" s="201">
        <v>0</v>
      </c>
      <c r="O108" s="201">
        <v>0</v>
      </c>
      <c r="P108" s="201">
        <v>0</v>
      </c>
      <c r="Q108" s="201">
        <v>0</v>
      </c>
      <c r="R108" s="201">
        <v>0</v>
      </c>
      <c r="S108" s="201">
        <v>0</v>
      </c>
      <c r="T108" s="201">
        <v>0</v>
      </c>
      <c r="U108" s="201">
        <v>0</v>
      </c>
      <c r="V108" s="201">
        <v>0</v>
      </c>
      <c r="W108" s="201">
        <v>0</v>
      </c>
      <c r="X108" s="201">
        <v>0</v>
      </c>
      <c r="Y108" s="201"/>
      <c r="Z108" s="201">
        <v>0</v>
      </c>
      <c r="AA108" s="201">
        <f t="shared" ref="AA108:AA136" si="8">Z108*(1/(1+$B$22)^(D108-1))</f>
        <v>0</v>
      </c>
      <c r="AD108" s="6">
        <v>1</v>
      </c>
      <c r="AE108" s="10">
        <f>ROUND(_xlfn.WEIBULL.DIST(COUNTA($AD$108:$AD108),$B$24,$G$16,FALSE),3)</f>
        <v>0</v>
      </c>
      <c r="AF108" s="201">
        <v>0</v>
      </c>
      <c r="AG108" s="201">
        <v>0</v>
      </c>
      <c r="AH108" s="201">
        <v>0</v>
      </c>
      <c r="AI108" s="201">
        <v>0</v>
      </c>
      <c r="AJ108" s="201">
        <v>0</v>
      </c>
      <c r="AK108" s="201">
        <v>0</v>
      </c>
      <c r="AL108" s="201">
        <v>0</v>
      </c>
      <c r="AM108" s="201">
        <v>0</v>
      </c>
      <c r="AN108" s="201">
        <v>0</v>
      </c>
      <c r="AO108" s="201">
        <v>0</v>
      </c>
      <c r="AP108" s="201">
        <v>0</v>
      </c>
      <c r="AQ108" s="201">
        <v>0</v>
      </c>
      <c r="AR108" s="201">
        <v>0</v>
      </c>
      <c r="AS108" s="201">
        <v>0</v>
      </c>
      <c r="AT108" s="201">
        <v>0</v>
      </c>
      <c r="AU108" s="201">
        <v>0</v>
      </c>
      <c r="AV108" s="201">
        <v>0</v>
      </c>
      <c r="AW108" s="201">
        <v>0</v>
      </c>
      <c r="AX108" s="201">
        <v>0</v>
      </c>
    </row>
    <row r="109" spans="4:50" x14ac:dyDescent="0.3">
      <c r="D109" s="6">
        <v>3</v>
      </c>
      <c r="E109" s="201">
        <f t="shared" si="7"/>
        <v>0.26902704519308257</v>
      </c>
      <c r="F109" s="201">
        <f t="shared" si="7"/>
        <v>0.26902704519308257</v>
      </c>
      <c r="G109" s="201">
        <f>IF($D109-G$106&lt;$G$17,IF($B$23=0,1/$G$17,($B$23*(1+$B$23)^$G$17)/((1+$B$23)^$G$17-1)),0)</f>
        <v>0.26902704519308257</v>
      </c>
      <c r="H109" s="201">
        <v>0</v>
      </c>
      <c r="I109" s="201">
        <v>0</v>
      </c>
      <c r="J109" s="201">
        <v>0</v>
      </c>
      <c r="K109" s="201">
        <v>0</v>
      </c>
      <c r="L109" s="201">
        <v>0</v>
      </c>
      <c r="M109" s="201">
        <v>0</v>
      </c>
      <c r="N109" s="201">
        <v>0</v>
      </c>
      <c r="O109" s="201">
        <v>0</v>
      </c>
      <c r="P109" s="201">
        <v>0</v>
      </c>
      <c r="Q109" s="201">
        <v>0</v>
      </c>
      <c r="R109" s="201">
        <v>0</v>
      </c>
      <c r="S109" s="201">
        <v>0</v>
      </c>
      <c r="T109" s="201">
        <v>0</v>
      </c>
      <c r="U109" s="201">
        <v>0</v>
      </c>
      <c r="V109" s="201">
        <v>0</v>
      </c>
      <c r="W109" s="201">
        <v>0</v>
      </c>
      <c r="X109" s="201">
        <v>0</v>
      </c>
      <c r="Y109" s="201"/>
      <c r="Z109" s="201">
        <v>0</v>
      </c>
      <c r="AA109" s="201">
        <f t="shared" si="8"/>
        <v>0</v>
      </c>
      <c r="AD109" s="6">
        <v>2</v>
      </c>
      <c r="AE109" s="10">
        <f>ROUND(_xlfn.WEIBULL.DIST(COUNTA($AD$108:$AD109),$B$24,$G$16,FALSE),3)</f>
        <v>0</v>
      </c>
      <c r="AF109" s="10">
        <f>ROUND(_xlfn.WEIBULL.DIST(COUNTA($AD$109:$AD109),$B$24,$G$16,FALSE),3)</f>
        <v>0</v>
      </c>
      <c r="AG109" s="201">
        <v>0</v>
      </c>
      <c r="AH109" s="201">
        <v>0</v>
      </c>
      <c r="AI109" s="201">
        <v>0</v>
      </c>
      <c r="AJ109" s="201">
        <v>0</v>
      </c>
      <c r="AK109" s="201">
        <v>0</v>
      </c>
      <c r="AL109" s="201">
        <v>0</v>
      </c>
      <c r="AM109" s="201">
        <v>0</v>
      </c>
      <c r="AN109" s="201">
        <v>0</v>
      </c>
      <c r="AO109" s="201">
        <v>0</v>
      </c>
      <c r="AP109" s="201">
        <v>0</v>
      </c>
      <c r="AQ109" s="201">
        <v>0</v>
      </c>
      <c r="AR109" s="201">
        <v>0</v>
      </c>
      <c r="AS109" s="201">
        <v>0</v>
      </c>
      <c r="AT109" s="201">
        <v>0</v>
      </c>
      <c r="AU109" s="201">
        <v>0</v>
      </c>
      <c r="AV109" s="201">
        <v>0</v>
      </c>
      <c r="AW109" s="201">
        <v>0</v>
      </c>
      <c r="AX109" s="201">
        <v>0</v>
      </c>
    </row>
    <row r="110" spans="4:50" x14ac:dyDescent="0.3">
      <c r="D110" s="6">
        <v>4</v>
      </c>
      <c r="E110" s="201">
        <f t="shared" si="7"/>
        <v>0.26902704519308257</v>
      </c>
      <c r="F110" s="201">
        <f t="shared" si="7"/>
        <v>0.26902704519308257</v>
      </c>
      <c r="G110" s="201">
        <f t="shared" si="7"/>
        <v>0.26902704519308257</v>
      </c>
      <c r="H110" s="201">
        <f>IF($D110-H$106&lt;$G$17,IF($B$23=0,1/$G$17,($B$23*(1+$B$23)^$G$17)/((1+$B$23)^$G$17-1)),0)</f>
        <v>0.26902704519308257</v>
      </c>
      <c r="I110" s="201">
        <v>0</v>
      </c>
      <c r="J110" s="201">
        <v>0</v>
      </c>
      <c r="K110" s="201">
        <v>0</v>
      </c>
      <c r="L110" s="201">
        <v>0</v>
      </c>
      <c r="M110" s="201">
        <v>0</v>
      </c>
      <c r="N110" s="201">
        <v>0</v>
      </c>
      <c r="O110" s="201">
        <v>0</v>
      </c>
      <c r="P110" s="201">
        <v>0</v>
      </c>
      <c r="Q110" s="201">
        <v>0</v>
      </c>
      <c r="R110" s="201">
        <v>0</v>
      </c>
      <c r="S110" s="201">
        <v>0</v>
      </c>
      <c r="T110" s="201">
        <v>0</v>
      </c>
      <c r="U110" s="201">
        <v>0</v>
      </c>
      <c r="V110" s="201">
        <v>0</v>
      </c>
      <c r="W110" s="201">
        <v>0</v>
      </c>
      <c r="X110" s="201">
        <v>0</v>
      </c>
      <c r="Y110" s="201"/>
      <c r="Z110" s="201">
        <v>0.12106217033688714</v>
      </c>
      <c r="AA110" s="201">
        <f t="shared" si="8"/>
        <v>0.11750174981572099</v>
      </c>
      <c r="AD110" s="6">
        <v>3</v>
      </c>
      <c r="AE110" s="10">
        <f>ROUND(_xlfn.WEIBULL.DIST(COUNTA($AD$108:$AD110),$B$24,$G$16,FALSE),3)</f>
        <v>2E-3</v>
      </c>
      <c r="AF110" s="10">
        <f>ROUND(_xlfn.WEIBULL.DIST(COUNTA($AD$109:$AD110),$B$24,$G$16,FALSE),3)</f>
        <v>0</v>
      </c>
      <c r="AG110" s="10">
        <f>ROUND(_xlfn.WEIBULL.DIST(COUNTA($AD$110:$AD110),$B$24,$G$16,FALSE),3)</f>
        <v>0</v>
      </c>
      <c r="AH110" s="201">
        <v>0</v>
      </c>
      <c r="AI110" s="201">
        <v>0</v>
      </c>
      <c r="AJ110" s="201">
        <v>0</v>
      </c>
      <c r="AK110" s="201">
        <v>0</v>
      </c>
      <c r="AL110" s="201">
        <v>0</v>
      </c>
      <c r="AM110" s="201">
        <v>0</v>
      </c>
      <c r="AN110" s="201">
        <v>0</v>
      </c>
      <c r="AO110" s="201">
        <v>0</v>
      </c>
      <c r="AP110" s="201">
        <v>0</v>
      </c>
      <c r="AQ110" s="201">
        <v>0</v>
      </c>
      <c r="AR110" s="201">
        <v>0</v>
      </c>
      <c r="AS110" s="201">
        <v>0</v>
      </c>
      <c r="AT110" s="201">
        <v>0</v>
      </c>
      <c r="AU110" s="201">
        <v>0</v>
      </c>
      <c r="AV110" s="201">
        <v>0</v>
      </c>
      <c r="AW110" s="201">
        <v>0</v>
      </c>
      <c r="AX110" s="201">
        <v>0</v>
      </c>
    </row>
    <row r="111" spans="4:50" x14ac:dyDescent="0.3">
      <c r="D111" s="6">
        <v>5</v>
      </c>
      <c r="E111" s="201">
        <f t="shared" si="7"/>
        <v>0</v>
      </c>
      <c r="F111" s="201">
        <f t="shared" si="7"/>
        <v>0.26902704519308257</v>
      </c>
      <c r="G111" s="201">
        <f t="shared" si="7"/>
        <v>0.26902704519308257</v>
      </c>
      <c r="H111" s="201">
        <f t="shared" si="7"/>
        <v>0.26902704519308257</v>
      </c>
      <c r="I111" s="201">
        <f>IF($D111-I$106&lt;$G$17,IF($B$23=0,1/$G$17,($B$23*(1+$B$23)^$G$17)/((1+$B$23)^$G$17-1)),0)</f>
        <v>0.26902704519308257</v>
      </c>
      <c r="J111" s="201">
        <v>0</v>
      </c>
      <c r="K111" s="201">
        <v>0</v>
      </c>
      <c r="L111" s="201">
        <v>0</v>
      </c>
      <c r="M111" s="201">
        <v>0</v>
      </c>
      <c r="N111" s="201">
        <v>0</v>
      </c>
      <c r="O111" s="201">
        <v>0</v>
      </c>
      <c r="P111" s="201">
        <v>0</v>
      </c>
      <c r="Q111" s="201">
        <v>0</v>
      </c>
      <c r="R111" s="201">
        <v>0</v>
      </c>
      <c r="S111" s="201">
        <v>0</v>
      </c>
      <c r="T111" s="201">
        <v>0</v>
      </c>
      <c r="U111" s="201">
        <v>0</v>
      </c>
      <c r="V111" s="201">
        <v>0</v>
      </c>
      <c r="W111" s="201">
        <v>0</v>
      </c>
      <c r="X111" s="201">
        <v>0</v>
      </c>
      <c r="Y111" s="201"/>
      <c r="Z111" s="201">
        <v>0.12106217033688714</v>
      </c>
      <c r="AA111" s="201">
        <f t="shared" si="8"/>
        <v>0.11633836615417918</v>
      </c>
      <c r="AD111" s="6">
        <v>4</v>
      </c>
      <c r="AE111" s="10">
        <f>ROUND(_xlfn.WEIBULL.DIST(COUNTA($AD$108:$AD111),$B$24,$G$16,FALSE),3)</f>
        <v>1.4E-2</v>
      </c>
      <c r="AF111" s="10">
        <f>ROUND(_xlfn.WEIBULL.DIST(COUNTA($AD$109:$AD111),$B$24,$G$16,FALSE),3)</f>
        <v>2E-3</v>
      </c>
      <c r="AG111" s="10">
        <f>ROUND(_xlfn.WEIBULL.DIST(COUNTA($AD$110:$AD111),$B$24,$G$16,FALSE),3)</f>
        <v>0</v>
      </c>
      <c r="AH111" s="10">
        <f>ROUND(_xlfn.WEIBULL.DIST(COUNTA($AD$111:$AD111),$B$24,$G$16,FALSE),3)</f>
        <v>0</v>
      </c>
      <c r="AI111" s="201">
        <v>0</v>
      </c>
      <c r="AJ111" s="201">
        <v>0</v>
      </c>
      <c r="AK111" s="201">
        <v>0</v>
      </c>
      <c r="AL111" s="201">
        <v>0</v>
      </c>
      <c r="AM111" s="201">
        <v>0</v>
      </c>
      <c r="AN111" s="201">
        <v>0</v>
      </c>
      <c r="AO111" s="201">
        <v>0</v>
      </c>
      <c r="AP111" s="201">
        <v>0</v>
      </c>
      <c r="AQ111" s="201">
        <v>0</v>
      </c>
      <c r="AR111" s="201">
        <v>0</v>
      </c>
      <c r="AS111" s="201">
        <v>0</v>
      </c>
      <c r="AT111" s="201">
        <v>0</v>
      </c>
      <c r="AU111" s="201">
        <v>0</v>
      </c>
      <c r="AV111" s="201">
        <v>0</v>
      </c>
      <c r="AW111" s="201">
        <v>0</v>
      </c>
      <c r="AX111" s="201">
        <v>0</v>
      </c>
    </row>
    <row r="112" spans="4:50" x14ac:dyDescent="0.3">
      <c r="D112" s="6">
        <v>6</v>
      </c>
      <c r="E112" s="201">
        <f t="shared" si="7"/>
        <v>0</v>
      </c>
      <c r="F112" s="201">
        <f t="shared" si="7"/>
        <v>0</v>
      </c>
      <c r="G112" s="201">
        <f t="shared" si="7"/>
        <v>0.26902704519308257</v>
      </c>
      <c r="H112" s="201">
        <f t="shared" si="7"/>
        <v>0.26902704519308257</v>
      </c>
      <c r="I112" s="201">
        <f t="shared" si="7"/>
        <v>0.26902704519308257</v>
      </c>
      <c r="J112" s="201">
        <f>IF($D112-J$106&lt;$G$17,IF($B$23=0,1/$G$17,($B$23*(1+$B$23)^$G$17)/((1+$B$23)^$G$17-1)),0)</f>
        <v>0.26902704519308257</v>
      </c>
      <c r="K112" s="201">
        <v>0</v>
      </c>
      <c r="L112" s="201">
        <v>0</v>
      </c>
      <c r="M112" s="201">
        <v>0</v>
      </c>
      <c r="N112" s="201">
        <v>0</v>
      </c>
      <c r="O112" s="201">
        <v>0</v>
      </c>
      <c r="P112" s="201">
        <v>0</v>
      </c>
      <c r="Q112" s="201">
        <v>0</v>
      </c>
      <c r="R112" s="201">
        <v>0</v>
      </c>
      <c r="S112" s="201">
        <v>0</v>
      </c>
      <c r="T112" s="201">
        <v>0</v>
      </c>
      <c r="U112" s="201">
        <v>0</v>
      </c>
      <c r="V112" s="201">
        <v>0</v>
      </c>
      <c r="W112" s="201">
        <v>0</v>
      </c>
      <c r="X112" s="201">
        <v>0</v>
      </c>
      <c r="Y112" s="201"/>
      <c r="Z112" s="201">
        <v>0.12106217033688714</v>
      </c>
      <c r="AA112" s="201">
        <f t="shared" si="8"/>
        <v>0.11518650114275168</v>
      </c>
      <c r="AD112" s="6">
        <v>5</v>
      </c>
      <c r="AE112" s="10">
        <f>ROUND(_xlfn.WEIBULL.DIST(COUNTA($AD$108:$AD112),$B$24,$G$16,FALSE),3)</f>
        <v>0.05</v>
      </c>
      <c r="AF112" s="10">
        <f>ROUND(_xlfn.WEIBULL.DIST(COUNTA($AD$109:$AD112),$B$24,$G$16,FALSE),3)</f>
        <v>1.4E-2</v>
      </c>
      <c r="AG112" s="10">
        <f>ROUND(_xlfn.WEIBULL.DIST(COUNTA($AD$110:$AD112),$B$24,$G$16,FALSE),3)</f>
        <v>2E-3</v>
      </c>
      <c r="AH112" s="10">
        <f>ROUND(_xlfn.WEIBULL.DIST(COUNTA($AD$111:$AD112),$B$24,$G$16,FALSE),3)</f>
        <v>0</v>
      </c>
      <c r="AI112" s="10">
        <f>ROUND(_xlfn.WEIBULL.DIST(COUNTA($AD$112:$AD112),$B$24,$G$16,FALSE),3)</f>
        <v>0</v>
      </c>
      <c r="AJ112" s="201">
        <v>0</v>
      </c>
      <c r="AK112" s="201">
        <v>0</v>
      </c>
      <c r="AL112" s="201">
        <v>0</v>
      </c>
      <c r="AM112" s="201">
        <v>0</v>
      </c>
      <c r="AN112" s="201">
        <v>0</v>
      </c>
      <c r="AO112" s="201">
        <v>0</v>
      </c>
      <c r="AP112" s="201">
        <v>0</v>
      </c>
      <c r="AQ112" s="201">
        <v>0</v>
      </c>
      <c r="AR112" s="201">
        <v>0</v>
      </c>
      <c r="AS112" s="201">
        <v>0</v>
      </c>
      <c r="AT112" s="201">
        <v>0</v>
      </c>
      <c r="AU112" s="201">
        <v>0</v>
      </c>
      <c r="AV112" s="201">
        <v>0</v>
      </c>
      <c r="AW112" s="201">
        <v>0</v>
      </c>
      <c r="AX112" s="201">
        <v>0</v>
      </c>
    </row>
    <row r="113" spans="4:50" x14ac:dyDescent="0.3">
      <c r="D113" s="6">
        <v>7</v>
      </c>
      <c r="E113" s="201">
        <f t="shared" si="7"/>
        <v>0</v>
      </c>
      <c r="F113" s="201">
        <f t="shared" si="7"/>
        <v>0</v>
      </c>
      <c r="G113" s="201">
        <f t="shared" si="7"/>
        <v>0</v>
      </c>
      <c r="H113" s="201">
        <f t="shared" si="7"/>
        <v>0.26902704519308257</v>
      </c>
      <c r="I113" s="201">
        <f t="shared" si="7"/>
        <v>0.26902704519308257</v>
      </c>
      <c r="J113" s="201">
        <f t="shared" si="7"/>
        <v>0.26902704519308257</v>
      </c>
      <c r="K113" s="201">
        <f>IF($D113-K$106&lt;$G$17,IF($B$23=0,1/$G$17,($B$23*(1+$B$23)^$G$17)/((1+$B$23)^$G$17-1)),0)</f>
        <v>0.26902704519308257</v>
      </c>
      <c r="L113" s="201">
        <v>0</v>
      </c>
      <c r="M113" s="201">
        <v>0</v>
      </c>
      <c r="N113" s="201">
        <v>0</v>
      </c>
      <c r="O113" s="201">
        <v>0</v>
      </c>
      <c r="P113" s="201">
        <v>0</v>
      </c>
      <c r="Q113" s="201">
        <v>0</v>
      </c>
      <c r="R113" s="201">
        <v>0</v>
      </c>
      <c r="S113" s="201">
        <v>0</v>
      </c>
      <c r="T113" s="201">
        <v>0</v>
      </c>
      <c r="U113" s="201">
        <v>0</v>
      </c>
      <c r="V113" s="201">
        <v>0</v>
      </c>
      <c r="W113" s="201">
        <v>0</v>
      </c>
      <c r="X113" s="201">
        <v>0</v>
      </c>
      <c r="Y113" s="201"/>
      <c r="Z113" s="201">
        <v>0.12106217033688714</v>
      </c>
      <c r="AA113" s="201">
        <f t="shared" si="8"/>
        <v>0.11404604073539767</v>
      </c>
      <c r="AD113" s="6">
        <v>6</v>
      </c>
      <c r="AE113" s="10">
        <f>ROUND(_xlfn.WEIBULL.DIST(COUNTA($AD$108:$AD113),$B$24,$G$16,FALSE),3)</f>
        <v>0.13600000000000001</v>
      </c>
      <c r="AF113" s="10">
        <f>ROUND(_xlfn.WEIBULL.DIST(COUNTA($AD$109:$AD113),$B$24,$G$16,FALSE),3)</f>
        <v>0.05</v>
      </c>
      <c r="AG113" s="10">
        <f>ROUND(_xlfn.WEIBULL.DIST(COUNTA($AD$110:$AD113),$B$24,$G$16,FALSE),3)</f>
        <v>1.4E-2</v>
      </c>
      <c r="AH113" s="10">
        <f>ROUND(_xlfn.WEIBULL.DIST(COUNTA($AD$111:$AD113),$B$24,$G$16,FALSE),3)</f>
        <v>2E-3</v>
      </c>
      <c r="AI113" s="10">
        <f>ROUND(_xlfn.WEIBULL.DIST(COUNTA($AD$112:$AD113),$B$24,$G$16,FALSE),3)</f>
        <v>0</v>
      </c>
      <c r="AJ113" s="10">
        <f>ROUND(_xlfn.WEIBULL.DIST(COUNTA($AD$113:$AD113),$B$24,$G$16,FALSE),3)</f>
        <v>0</v>
      </c>
      <c r="AK113" s="201">
        <v>0</v>
      </c>
      <c r="AL113" s="201">
        <v>0</v>
      </c>
      <c r="AM113" s="201">
        <v>0</v>
      </c>
      <c r="AN113" s="201">
        <v>0</v>
      </c>
      <c r="AO113" s="201">
        <v>0</v>
      </c>
      <c r="AP113" s="201">
        <v>0</v>
      </c>
      <c r="AQ113" s="201">
        <v>0</v>
      </c>
      <c r="AR113" s="201">
        <v>0</v>
      </c>
      <c r="AS113" s="201">
        <v>0</v>
      </c>
      <c r="AT113" s="201">
        <v>0</v>
      </c>
      <c r="AU113" s="201">
        <v>0</v>
      </c>
      <c r="AV113" s="201">
        <v>0</v>
      </c>
      <c r="AW113" s="201">
        <v>0</v>
      </c>
      <c r="AX113" s="201">
        <v>0</v>
      </c>
    </row>
    <row r="114" spans="4:50" x14ac:dyDescent="0.3">
      <c r="D114" s="6">
        <v>8</v>
      </c>
      <c r="E114" s="201">
        <f t="shared" si="7"/>
        <v>0</v>
      </c>
      <c r="F114" s="201">
        <f t="shared" si="7"/>
        <v>0</v>
      </c>
      <c r="G114" s="201">
        <f t="shared" si="7"/>
        <v>0</v>
      </c>
      <c r="H114" s="201">
        <f t="shared" si="7"/>
        <v>0</v>
      </c>
      <c r="I114" s="201">
        <f t="shared" si="7"/>
        <v>0.26902704519308257</v>
      </c>
      <c r="J114" s="201">
        <f t="shared" si="7"/>
        <v>0.26902704519308257</v>
      </c>
      <c r="K114" s="201">
        <f t="shared" si="7"/>
        <v>0.26902704519308257</v>
      </c>
      <c r="L114" s="201">
        <f>IF($D114-L$106&lt;$G$17,IF($B$23=0,1/$G$17,($B$23*(1+$B$23)^$G$17)/((1+$B$23)^$G$17-1)),0)</f>
        <v>0.26902704519308257</v>
      </c>
      <c r="M114" s="201">
        <v>0</v>
      </c>
      <c r="N114" s="201">
        <v>0</v>
      </c>
      <c r="O114" s="201">
        <v>0</v>
      </c>
      <c r="P114" s="201">
        <v>0</v>
      </c>
      <c r="Q114" s="201">
        <v>0</v>
      </c>
      <c r="R114" s="201">
        <v>0</v>
      </c>
      <c r="S114" s="201">
        <v>0</v>
      </c>
      <c r="T114" s="201">
        <v>0</v>
      </c>
      <c r="U114" s="201">
        <v>0</v>
      </c>
      <c r="V114" s="201">
        <v>0</v>
      </c>
      <c r="W114" s="201">
        <v>0</v>
      </c>
      <c r="X114" s="201">
        <v>0</v>
      </c>
      <c r="Y114" s="201"/>
      <c r="Z114" s="201">
        <v>0</v>
      </c>
      <c r="AA114" s="201">
        <f t="shared" si="8"/>
        <v>0</v>
      </c>
      <c r="AD114" s="6">
        <v>7</v>
      </c>
      <c r="AE114" s="10">
        <f>ROUND(_xlfn.WEIBULL.DIST(COUNTA($AD$108:$AD114),$B$24,$G$16,FALSE),3)</f>
        <v>0.26500000000000001</v>
      </c>
      <c r="AF114" s="10">
        <f>ROUND(_xlfn.WEIBULL.DIST(COUNTA($AD$109:$AD114),$B$24,$G$16,FALSE),3)</f>
        <v>0.13600000000000001</v>
      </c>
      <c r="AG114" s="10">
        <f>ROUND(_xlfn.WEIBULL.DIST(COUNTA($AD$110:$AD114),$B$24,$G$16,FALSE),3)</f>
        <v>0.05</v>
      </c>
      <c r="AH114" s="10">
        <f>ROUND(_xlfn.WEIBULL.DIST(COUNTA($AD$111:$AD114),$B$24,$G$16,FALSE),3)</f>
        <v>1.4E-2</v>
      </c>
      <c r="AI114" s="10">
        <f>ROUND(_xlfn.WEIBULL.DIST(COUNTA($AD$112:$AD114),$B$24,$G$16,FALSE),3)</f>
        <v>2E-3</v>
      </c>
      <c r="AJ114" s="10">
        <f>ROUND(_xlfn.WEIBULL.DIST(COUNTA($AD$113:$AD114),$B$24,$G$16,FALSE),3)</f>
        <v>0</v>
      </c>
      <c r="AK114" s="10">
        <f>ROUND(_xlfn.WEIBULL.DIST(COUNTA($AD$114:$AD114),$B$24,$G$16,FALSE),3)</f>
        <v>0</v>
      </c>
      <c r="AL114" s="201">
        <v>0</v>
      </c>
      <c r="AM114" s="201">
        <v>0</v>
      </c>
      <c r="AN114" s="201">
        <v>0</v>
      </c>
      <c r="AO114" s="201">
        <v>0</v>
      </c>
      <c r="AP114" s="201">
        <v>0</v>
      </c>
      <c r="AQ114" s="201">
        <v>0</v>
      </c>
      <c r="AR114" s="201">
        <v>0</v>
      </c>
      <c r="AS114" s="201">
        <v>0</v>
      </c>
      <c r="AT114" s="201">
        <v>0</v>
      </c>
      <c r="AU114" s="201">
        <v>0</v>
      </c>
      <c r="AV114" s="201">
        <v>0</v>
      </c>
      <c r="AW114" s="201">
        <v>0</v>
      </c>
      <c r="AX114" s="201">
        <v>0</v>
      </c>
    </row>
    <row r="115" spans="4:50" x14ac:dyDescent="0.3">
      <c r="D115" s="6">
        <v>9</v>
      </c>
      <c r="E115" s="201">
        <f t="shared" si="7"/>
        <v>0</v>
      </c>
      <c r="F115" s="201">
        <f t="shared" si="7"/>
        <v>0</v>
      </c>
      <c r="G115" s="201">
        <f t="shared" si="7"/>
        <v>0</v>
      </c>
      <c r="H115" s="201">
        <f t="shared" si="7"/>
        <v>0</v>
      </c>
      <c r="I115" s="201">
        <f t="shared" si="7"/>
        <v>0</v>
      </c>
      <c r="J115" s="201">
        <f t="shared" si="7"/>
        <v>0.26902704519308257</v>
      </c>
      <c r="K115" s="201">
        <f t="shared" si="7"/>
        <v>0.26902704519308257</v>
      </c>
      <c r="L115" s="201">
        <f t="shared" si="7"/>
        <v>0.26902704519308257</v>
      </c>
      <c r="M115" s="201">
        <f>IF($D115-M$106&lt;$G$17,IF($B$23=0,1/$G$17,($B$23*(1+$B$23)^$G$17)/((1+$B$23)^$G$17-1)),0)</f>
        <v>0.26902704519308257</v>
      </c>
      <c r="N115" s="201">
        <v>0</v>
      </c>
      <c r="O115" s="201">
        <v>0</v>
      </c>
      <c r="P115" s="201">
        <v>0</v>
      </c>
      <c r="Q115" s="201">
        <v>0</v>
      </c>
      <c r="R115" s="201">
        <v>0</v>
      </c>
      <c r="S115" s="201">
        <v>0</v>
      </c>
      <c r="T115" s="201">
        <v>0</v>
      </c>
      <c r="U115" s="201">
        <v>0</v>
      </c>
      <c r="V115" s="201">
        <v>0</v>
      </c>
      <c r="W115" s="201">
        <v>0</v>
      </c>
      <c r="X115" s="201">
        <v>0</v>
      </c>
      <c r="Y115" s="201"/>
      <c r="Z115" s="201">
        <v>0</v>
      </c>
      <c r="AA115" s="201">
        <f t="shared" si="8"/>
        <v>0</v>
      </c>
      <c r="AD115" s="6">
        <v>8</v>
      </c>
      <c r="AE115" s="10">
        <f>ROUND(_xlfn.WEIBULL.DIST(COUNTA($AD$108:$AD115),$B$24,$G$16,FALSE),3)</f>
        <v>0.32200000000000001</v>
      </c>
      <c r="AF115" s="10">
        <f>ROUND(_xlfn.WEIBULL.DIST(COUNTA($AD$109:$AD115),$B$24,$G$16,FALSE),3)</f>
        <v>0.26500000000000001</v>
      </c>
      <c r="AG115" s="10">
        <f>ROUND(_xlfn.WEIBULL.DIST(COUNTA($AD$110:$AD115),$B$24,$G$16,FALSE),3)</f>
        <v>0.13600000000000001</v>
      </c>
      <c r="AH115" s="10">
        <f>ROUND(_xlfn.WEIBULL.DIST(COUNTA($AD$111:$AD115),$B$24,$G$16,FALSE),3)</f>
        <v>0.05</v>
      </c>
      <c r="AI115" s="10">
        <f>ROUND(_xlfn.WEIBULL.DIST(COUNTA($AD$112:$AD115),$B$24,$G$16,FALSE),3)</f>
        <v>1.4E-2</v>
      </c>
      <c r="AJ115" s="10">
        <f>ROUND(_xlfn.WEIBULL.DIST(COUNTA($AD$113:$AD115),$B$24,$G$16,FALSE),3)</f>
        <v>2E-3</v>
      </c>
      <c r="AK115" s="10">
        <f>ROUND(_xlfn.WEIBULL.DIST(COUNTA($AD$114:$AD115),$B$24,$G$16,FALSE),3)</f>
        <v>0</v>
      </c>
      <c r="AL115" s="10">
        <f>ROUND(_xlfn.WEIBULL.DIST(COUNTA($AD$115:$AD115),$B$24,$G$16,FALSE),3)</f>
        <v>0</v>
      </c>
      <c r="AM115" s="201">
        <v>0</v>
      </c>
      <c r="AN115" s="201">
        <v>0</v>
      </c>
      <c r="AO115" s="201">
        <v>0</v>
      </c>
      <c r="AP115" s="201">
        <v>0</v>
      </c>
      <c r="AQ115" s="201">
        <v>0</v>
      </c>
      <c r="AR115" s="201">
        <v>0</v>
      </c>
      <c r="AS115" s="201">
        <v>0</v>
      </c>
      <c r="AT115" s="201">
        <v>0</v>
      </c>
      <c r="AU115" s="201">
        <v>0</v>
      </c>
      <c r="AV115" s="201">
        <v>0</v>
      </c>
      <c r="AW115" s="201">
        <v>0</v>
      </c>
      <c r="AX115" s="201">
        <v>0</v>
      </c>
    </row>
    <row r="116" spans="4:50" x14ac:dyDescent="0.3">
      <c r="D116" s="6">
        <v>10</v>
      </c>
      <c r="E116" s="201">
        <f t="shared" si="7"/>
        <v>0</v>
      </c>
      <c r="F116" s="201">
        <f t="shared" si="7"/>
        <v>0</v>
      </c>
      <c r="G116" s="201">
        <f t="shared" si="7"/>
        <v>0</v>
      </c>
      <c r="H116" s="201">
        <f t="shared" si="7"/>
        <v>0</v>
      </c>
      <c r="I116" s="201">
        <f t="shared" si="7"/>
        <v>0</v>
      </c>
      <c r="J116" s="201">
        <f t="shared" si="7"/>
        <v>0</v>
      </c>
      <c r="K116" s="201">
        <f t="shared" si="7"/>
        <v>0.26902704519308257</v>
      </c>
      <c r="L116" s="201">
        <f t="shared" si="7"/>
        <v>0.26902704519308257</v>
      </c>
      <c r="M116" s="201">
        <f t="shared" si="7"/>
        <v>0.26902704519308257</v>
      </c>
      <c r="N116" s="201">
        <f>IF($D116-N$106&lt;$G$17,IF($B$23=0,1/$G$17,($B$23*(1+$B$23)^$G$17)/((1+$B$23)^$G$17-1)),0)</f>
        <v>0.26902704519308257</v>
      </c>
      <c r="O116" s="201">
        <v>0</v>
      </c>
      <c r="P116" s="201">
        <v>0</v>
      </c>
      <c r="Q116" s="201">
        <v>0</v>
      </c>
      <c r="R116" s="201">
        <v>0</v>
      </c>
      <c r="S116" s="201">
        <v>0</v>
      </c>
      <c r="T116" s="201">
        <v>0</v>
      </c>
      <c r="U116" s="201">
        <v>0</v>
      </c>
      <c r="V116" s="201">
        <v>0</v>
      </c>
      <c r="W116" s="201">
        <v>0</v>
      </c>
      <c r="X116" s="201">
        <v>0</v>
      </c>
      <c r="Y116" s="201"/>
      <c r="Z116" s="201">
        <v>0</v>
      </c>
      <c r="AA116" s="201">
        <f t="shared" si="8"/>
        <v>0</v>
      </c>
      <c r="AD116" s="6">
        <v>9</v>
      </c>
      <c r="AE116" s="10">
        <f>ROUND(_xlfn.WEIBULL.DIST(COUNTA($AD$108:$AD116),$B$24,$G$16,FALSE),3)</f>
        <v>0.18099999999999999</v>
      </c>
      <c r="AF116" s="10">
        <f>ROUND(_xlfn.WEIBULL.DIST(COUNTA($AD$109:$AD116),$B$24,$G$16,FALSE),3)</f>
        <v>0.32200000000000001</v>
      </c>
      <c r="AG116" s="10">
        <f>ROUND(_xlfn.WEIBULL.DIST(COUNTA($AD$110:$AD116),$B$24,$G$16,FALSE),3)</f>
        <v>0.26500000000000001</v>
      </c>
      <c r="AH116" s="10">
        <f>ROUND(_xlfn.WEIBULL.DIST(COUNTA($AD$111:$AD116),$B$24,$G$16,FALSE),3)</f>
        <v>0.13600000000000001</v>
      </c>
      <c r="AI116" s="10">
        <f>ROUND(_xlfn.WEIBULL.DIST(COUNTA($AD$112:$AD116),$B$24,$G$16,FALSE),3)</f>
        <v>0.05</v>
      </c>
      <c r="AJ116" s="10">
        <f>ROUND(_xlfn.WEIBULL.DIST(COUNTA($AD$113:$AD116),$B$24,$G$16,FALSE),3)</f>
        <v>1.4E-2</v>
      </c>
      <c r="AK116" s="10">
        <f>ROUND(_xlfn.WEIBULL.DIST(COUNTA($AD$114:$AD116),$B$24,$G$16,FALSE),3)</f>
        <v>2E-3</v>
      </c>
      <c r="AL116" s="10">
        <f>ROUND(_xlfn.WEIBULL.DIST(COUNTA($AD$115:$AD116),$B$24,$G$16,FALSE),3)</f>
        <v>0</v>
      </c>
      <c r="AM116" s="10">
        <f>ROUND(_xlfn.WEIBULL.DIST(COUNTA($AD$116:$AD116),$B$24,$G$16,FALSE),3)</f>
        <v>0</v>
      </c>
      <c r="AN116" s="201">
        <v>0</v>
      </c>
      <c r="AO116" s="201">
        <v>0</v>
      </c>
      <c r="AP116" s="201">
        <v>0</v>
      </c>
      <c r="AQ116" s="201">
        <v>0</v>
      </c>
      <c r="AR116" s="201">
        <v>0</v>
      </c>
      <c r="AS116" s="201">
        <v>0</v>
      </c>
      <c r="AT116" s="201">
        <v>0</v>
      </c>
      <c r="AU116" s="201">
        <v>0</v>
      </c>
      <c r="AV116" s="201">
        <v>0</v>
      </c>
      <c r="AW116" s="201">
        <v>0</v>
      </c>
      <c r="AX116" s="201">
        <v>0</v>
      </c>
    </row>
    <row r="117" spans="4:50" x14ac:dyDescent="0.3">
      <c r="D117" s="6">
        <v>11</v>
      </c>
      <c r="E117" s="201">
        <f t="shared" si="7"/>
        <v>0</v>
      </c>
      <c r="F117" s="201">
        <f t="shared" si="7"/>
        <v>0</v>
      </c>
      <c r="G117" s="201">
        <f t="shared" si="7"/>
        <v>0</v>
      </c>
      <c r="H117" s="201">
        <f t="shared" si="7"/>
        <v>0</v>
      </c>
      <c r="I117" s="201">
        <f t="shared" si="7"/>
        <v>0</v>
      </c>
      <c r="J117" s="201">
        <f t="shared" si="7"/>
        <v>0</v>
      </c>
      <c r="K117" s="201">
        <f t="shared" si="7"/>
        <v>0</v>
      </c>
      <c r="L117" s="201">
        <f t="shared" si="7"/>
        <v>0.26902704519308257</v>
      </c>
      <c r="M117" s="201">
        <f t="shared" si="7"/>
        <v>0.26902704519308257</v>
      </c>
      <c r="N117" s="201">
        <f t="shared" si="7"/>
        <v>0.26902704519308257</v>
      </c>
      <c r="O117" s="201">
        <f>IF($D117-O$106&lt;$G$17,IF($B$23=0,1/$G$17,($B$23*(1+$B$23)^$G$17)/((1+$B$23)^$G$17-1)),0)</f>
        <v>0.26902704519308257</v>
      </c>
      <c r="P117" s="201">
        <v>0</v>
      </c>
      <c r="Q117" s="201">
        <v>0</v>
      </c>
      <c r="R117" s="201">
        <v>0</v>
      </c>
      <c r="S117" s="201">
        <v>0</v>
      </c>
      <c r="T117" s="201">
        <v>0</v>
      </c>
      <c r="U117" s="201">
        <v>0</v>
      </c>
      <c r="V117" s="201">
        <v>0</v>
      </c>
      <c r="W117" s="201">
        <v>0</v>
      </c>
      <c r="X117" s="201">
        <v>0</v>
      </c>
      <c r="Y117" s="201"/>
      <c r="Z117" s="201">
        <v>0</v>
      </c>
      <c r="AA117" s="201">
        <f t="shared" si="8"/>
        <v>0</v>
      </c>
      <c r="AD117" s="6">
        <v>10</v>
      </c>
      <c r="AE117" s="10">
        <f>ROUND(_xlfn.WEIBULL.DIST(COUNTA($AD$108:$AD117),$B$24,$G$16,FALSE),3)</f>
        <v>2.8000000000000001E-2</v>
      </c>
      <c r="AF117" s="10">
        <f>ROUND(_xlfn.WEIBULL.DIST(COUNTA($AD$109:$AD117),$B$24,$G$16,FALSE),3)</f>
        <v>0.18099999999999999</v>
      </c>
      <c r="AG117" s="10">
        <f>ROUND(_xlfn.WEIBULL.DIST(COUNTA($AD$110:$AD117),$B$24,$G$16,FALSE),3)</f>
        <v>0.32200000000000001</v>
      </c>
      <c r="AH117" s="10">
        <f>ROUND(_xlfn.WEIBULL.DIST(COUNTA($AD$111:$AD117),$B$24,$G$16,FALSE),3)</f>
        <v>0.26500000000000001</v>
      </c>
      <c r="AI117" s="10">
        <f>ROUND(_xlfn.WEIBULL.DIST(COUNTA($AD$112:$AD117),$B$24,$G$16,FALSE),3)</f>
        <v>0.13600000000000001</v>
      </c>
      <c r="AJ117" s="10">
        <f>ROUND(_xlfn.WEIBULL.DIST(COUNTA($AD$113:$AD117),$B$24,$G$16,FALSE),3)</f>
        <v>0.05</v>
      </c>
      <c r="AK117" s="10">
        <f>ROUND(_xlfn.WEIBULL.DIST(COUNTA($AD$114:$AD117),$B$24,$G$16,FALSE),3)</f>
        <v>1.4E-2</v>
      </c>
      <c r="AL117" s="10">
        <f>ROUND(_xlfn.WEIBULL.DIST(COUNTA($AD$115:$AD117),$B$24,$G$16,FALSE),3)</f>
        <v>2E-3</v>
      </c>
      <c r="AM117" s="10">
        <f>ROUND(_xlfn.WEIBULL.DIST(COUNTA($AD$116:$AD117),$B$24,$G$16,FALSE),3)</f>
        <v>0</v>
      </c>
      <c r="AN117" s="10">
        <f>ROUND(_xlfn.WEIBULL.DIST(COUNTA($AD$117:$AD117),$B$24,$G$16,FALSE),3)</f>
        <v>0</v>
      </c>
      <c r="AO117" s="201">
        <v>0</v>
      </c>
      <c r="AP117" s="201">
        <v>0</v>
      </c>
      <c r="AQ117" s="201">
        <v>0</v>
      </c>
      <c r="AR117" s="201">
        <v>0</v>
      </c>
      <c r="AS117" s="201">
        <v>0</v>
      </c>
      <c r="AT117" s="201">
        <v>0</v>
      </c>
      <c r="AU117" s="201">
        <v>0</v>
      </c>
      <c r="AV117" s="201">
        <v>0</v>
      </c>
      <c r="AW117" s="201">
        <v>0</v>
      </c>
      <c r="AX117" s="201">
        <v>0</v>
      </c>
    </row>
    <row r="118" spans="4:50" x14ac:dyDescent="0.3">
      <c r="D118" s="6">
        <v>12</v>
      </c>
      <c r="E118" s="201">
        <f t="shared" si="7"/>
        <v>0</v>
      </c>
      <c r="F118" s="201">
        <f t="shared" si="7"/>
        <v>0</v>
      </c>
      <c r="G118" s="201">
        <f t="shared" si="7"/>
        <v>0</v>
      </c>
      <c r="H118" s="201">
        <f t="shared" si="7"/>
        <v>0</v>
      </c>
      <c r="I118" s="201">
        <f t="shared" si="7"/>
        <v>0</v>
      </c>
      <c r="J118" s="201">
        <f t="shared" si="7"/>
        <v>0</v>
      </c>
      <c r="K118" s="201">
        <f t="shared" si="7"/>
        <v>0</v>
      </c>
      <c r="L118" s="201">
        <f t="shared" si="7"/>
        <v>0</v>
      </c>
      <c r="M118" s="201">
        <f t="shared" si="7"/>
        <v>0.26902704519308257</v>
      </c>
      <c r="N118" s="201">
        <f t="shared" si="7"/>
        <v>0.26902704519308257</v>
      </c>
      <c r="O118" s="201">
        <f t="shared" si="7"/>
        <v>0.26902704519308257</v>
      </c>
      <c r="P118" s="201">
        <f>IF($D118-P$106&lt;$G$17,IF($B$23=0,1/$G$17,($B$23*(1+$B$23)^$G$17)/((1+$B$23)^$G$17-1)),0)</f>
        <v>0.26902704519308257</v>
      </c>
      <c r="Q118" s="201">
        <v>0</v>
      </c>
      <c r="R118" s="201">
        <v>0</v>
      </c>
      <c r="S118" s="201">
        <v>0</v>
      </c>
      <c r="T118" s="201">
        <v>0</v>
      </c>
      <c r="U118" s="201">
        <v>0</v>
      </c>
      <c r="V118" s="201">
        <v>0</v>
      </c>
      <c r="W118" s="201">
        <v>0</v>
      </c>
      <c r="X118" s="201">
        <v>0</v>
      </c>
      <c r="Y118" s="201"/>
      <c r="Z118" s="201">
        <v>0</v>
      </c>
      <c r="AA118" s="201">
        <f t="shared" si="8"/>
        <v>0</v>
      </c>
      <c r="AD118" s="6">
        <v>11</v>
      </c>
      <c r="AE118" s="10">
        <f>ROUND(_xlfn.WEIBULL.DIST(COUNTA($AD$108:$AD118),$B$24,$G$16,FALSE),3)</f>
        <v>1E-3</v>
      </c>
      <c r="AF118" s="10">
        <f>ROUND(_xlfn.WEIBULL.DIST(COUNTA($AD$109:$AD118),$B$24,$G$16,FALSE),3)</f>
        <v>2.8000000000000001E-2</v>
      </c>
      <c r="AG118" s="10">
        <f>ROUND(_xlfn.WEIBULL.DIST(COUNTA($AD$110:$AD118),$B$24,$G$16,FALSE),3)</f>
        <v>0.18099999999999999</v>
      </c>
      <c r="AH118" s="10">
        <f>ROUND(_xlfn.WEIBULL.DIST(COUNTA($AD$111:$AD118),$B$24,$G$16,FALSE),3)</f>
        <v>0.32200000000000001</v>
      </c>
      <c r="AI118" s="10">
        <f>ROUND(_xlfn.WEIBULL.DIST(COUNTA($AD$112:$AD118),$B$24,$G$16,FALSE),3)</f>
        <v>0.26500000000000001</v>
      </c>
      <c r="AJ118" s="10">
        <f>ROUND(_xlfn.WEIBULL.DIST(COUNTA($AD$113:$AD118),$B$24,$G$16,FALSE),3)</f>
        <v>0.13600000000000001</v>
      </c>
      <c r="AK118" s="10">
        <f>ROUND(_xlfn.WEIBULL.DIST(COUNTA($AD$114:$AD118),$B$24,$G$16,FALSE),3)</f>
        <v>0.05</v>
      </c>
      <c r="AL118" s="10">
        <f>ROUND(_xlfn.WEIBULL.DIST(COUNTA($AD$115:$AD118),$B$24,$G$16,FALSE),3)</f>
        <v>1.4E-2</v>
      </c>
      <c r="AM118" s="10">
        <f>ROUND(_xlfn.WEIBULL.DIST(COUNTA($AD$116:$AD118),$B$24,$G$16,FALSE),3)</f>
        <v>2E-3</v>
      </c>
      <c r="AN118" s="10">
        <f>ROUND(_xlfn.WEIBULL.DIST(COUNTA($AD$117:$AD118),$B$24,$G$16,FALSE),3)</f>
        <v>0</v>
      </c>
      <c r="AO118" s="10">
        <f>ROUND(_xlfn.WEIBULL.DIST(COUNTA($AD$118:$AD118),$B$24,$G$16,FALSE),3)</f>
        <v>0</v>
      </c>
      <c r="AP118" s="201">
        <v>0</v>
      </c>
      <c r="AQ118" s="201">
        <v>0</v>
      </c>
      <c r="AR118" s="201">
        <v>0</v>
      </c>
      <c r="AS118" s="201">
        <v>0</v>
      </c>
      <c r="AT118" s="201">
        <v>0</v>
      </c>
      <c r="AU118" s="201">
        <v>0</v>
      </c>
      <c r="AV118" s="201">
        <v>0</v>
      </c>
      <c r="AW118" s="201">
        <v>0</v>
      </c>
      <c r="AX118" s="201">
        <v>0</v>
      </c>
    </row>
    <row r="119" spans="4:50" x14ac:dyDescent="0.3">
      <c r="D119" s="6">
        <v>13</v>
      </c>
      <c r="E119" s="201">
        <f t="shared" si="7"/>
        <v>0</v>
      </c>
      <c r="F119" s="201">
        <f t="shared" si="7"/>
        <v>0</v>
      </c>
      <c r="G119" s="201">
        <f t="shared" si="7"/>
        <v>0</v>
      </c>
      <c r="H119" s="201">
        <f t="shared" si="7"/>
        <v>0</v>
      </c>
      <c r="I119" s="201">
        <f t="shared" si="7"/>
        <v>0</v>
      </c>
      <c r="J119" s="201">
        <f t="shared" si="7"/>
        <v>0</v>
      </c>
      <c r="K119" s="201">
        <f t="shared" si="7"/>
        <v>0</v>
      </c>
      <c r="L119" s="201">
        <f t="shared" si="7"/>
        <v>0</v>
      </c>
      <c r="M119" s="201">
        <f t="shared" si="7"/>
        <v>0</v>
      </c>
      <c r="N119" s="201">
        <f t="shared" si="7"/>
        <v>0.26902704519308257</v>
      </c>
      <c r="O119" s="201">
        <f t="shared" si="7"/>
        <v>0.26902704519308257</v>
      </c>
      <c r="P119" s="201">
        <f t="shared" ref="P119:X136" si="9">IF($D119-P$106&lt;$G$17,IF($B$23=0,1/$G$17,($B$23*(1+$B$23)^$G$17)/((1+$B$23)^$G$17-1)),0)</f>
        <v>0.26902704519308257</v>
      </c>
      <c r="Q119" s="201">
        <f>IF($D119-Q$106&lt;$G$17,IF($B$23=0,1/$G$17,($B$23*(1+$B$23)^$G$17)/((1+$B$23)^$G$17-1)),0)</f>
        <v>0.26902704519308257</v>
      </c>
      <c r="R119" s="201">
        <v>0</v>
      </c>
      <c r="S119" s="201">
        <v>0</v>
      </c>
      <c r="T119" s="201">
        <v>0</v>
      </c>
      <c r="U119" s="201">
        <v>0</v>
      </c>
      <c r="V119" s="201">
        <v>0</v>
      </c>
      <c r="W119" s="201">
        <v>0</v>
      </c>
      <c r="X119" s="201">
        <v>0</v>
      </c>
      <c r="Y119" s="201"/>
      <c r="Z119" s="201">
        <v>0</v>
      </c>
      <c r="AA119" s="201">
        <f t="shared" si="8"/>
        <v>0</v>
      </c>
      <c r="AD119" s="6">
        <v>12</v>
      </c>
      <c r="AE119" s="10">
        <f>ROUND(_xlfn.WEIBULL.DIST(COUNTA($AD$108:$AD119),$B$24,$G$16,FALSE),3)</f>
        <v>0</v>
      </c>
      <c r="AF119" s="10">
        <f>ROUND(_xlfn.WEIBULL.DIST(COUNTA($AD$109:$AD119),$B$24,$G$16,FALSE),3)</f>
        <v>1E-3</v>
      </c>
      <c r="AG119" s="10">
        <f>ROUND(_xlfn.WEIBULL.DIST(COUNTA($AD$110:$AD119),$B$24,$G$16,FALSE),3)</f>
        <v>2.8000000000000001E-2</v>
      </c>
      <c r="AH119" s="10">
        <f>ROUND(_xlfn.WEIBULL.DIST(COUNTA($AD$111:$AD119),$B$24,$G$16,FALSE),3)</f>
        <v>0.18099999999999999</v>
      </c>
      <c r="AI119" s="10">
        <f>ROUND(_xlfn.WEIBULL.DIST(COUNTA($AD$112:$AD119),$B$24,$G$16,FALSE),3)</f>
        <v>0.32200000000000001</v>
      </c>
      <c r="AJ119" s="10">
        <f>ROUND(_xlfn.WEIBULL.DIST(COUNTA($AD$113:$AD119),$B$24,$G$16,FALSE),3)</f>
        <v>0.26500000000000001</v>
      </c>
      <c r="AK119" s="10">
        <f>ROUND(_xlfn.WEIBULL.DIST(COUNTA($AD$114:$AD119),$B$24,$G$16,FALSE),3)</f>
        <v>0.13600000000000001</v>
      </c>
      <c r="AL119" s="10">
        <f>ROUND(_xlfn.WEIBULL.DIST(COUNTA($AD$115:$AD119),$B$24,$G$16,FALSE),3)</f>
        <v>0.05</v>
      </c>
      <c r="AM119" s="10">
        <f>ROUND(_xlfn.WEIBULL.DIST(COUNTA($AD$116:$AD119),$B$24,$G$16,FALSE),3)</f>
        <v>1.4E-2</v>
      </c>
      <c r="AN119" s="10">
        <f>ROUND(_xlfn.WEIBULL.DIST(COUNTA($AD$117:$AD119),$B$24,$G$16,FALSE),3)</f>
        <v>2E-3</v>
      </c>
      <c r="AO119" s="10">
        <f>ROUND(_xlfn.WEIBULL.DIST(COUNTA($AD$118:$AD119),$B$24,$G$16,FALSE),3)</f>
        <v>0</v>
      </c>
      <c r="AP119" s="10">
        <f>ROUND(_xlfn.WEIBULL.DIST(COUNTA($AD$119:$AD119),$B$24,$G$16,FALSE),3)</f>
        <v>0</v>
      </c>
      <c r="AQ119" s="201">
        <v>0</v>
      </c>
      <c r="AR119" s="201">
        <v>0</v>
      </c>
      <c r="AS119" s="201">
        <v>0</v>
      </c>
      <c r="AT119" s="201">
        <v>0</v>
      </c>
      <c r="AU119" s="201">
        <v>0</v>
      </c>
      <c r="AV119" s="201">
        <v>0</v>
      </c>
      <c r="AW119" s="201">
        <v>0</v>
      </c>
      <c r="AX119" s="201">
        <v>0</v>
      </c>
    </row>
    <row r="120" spans="4:50" x14ac:dyDescent="0.3">
      <c r="D120" s="6">
        <v>14</v>
      </c>
      <c r="E120" s="201">
        <f t="shared" si="7"/>
        <v>0</v>
      </c>
      <c r="F120" s="201">
        <f t="shared" si="7"/>
        <v>0</v>
      </c>
      <c r="G120" s="201">
        <f t="shared" si="7"/>
        <v>0</v>
      </c>
      <c r="H120" s="201">
        <f t="shared" si="7"/>
        <v>0</v>
      </c>
      <c r="I120" s="201">
        <f t="shared" si="7"/>
        <v>0</v>
      </c>
      <c r="J120" s="201">
        <f t="shared" si="7"/>
        <v>0</v>
      </c>
      <c r="K120" s="201">
        <f t="shared" si="7"/>
        <v>0</v>
      </c>
      <c r="L120" s="201">
        <f t="shared" si="7"/>
        <v>0</v>
      </c>
      <c r="M120" s="201">
        <f t="shared" si="7"/>
        <v>0</v>
      </c>
      <c r="N120" s="201">
        <f t="shared" si="7"/>
        <v>0</v>
      </c>
      <c r="O120" s="201">
        <f t="shared" si="7"/>
        <v>0.26902704519308257</v>
      </c>
      <c r="P120" s="201">
        <f t="shared" si="9"/>
        <v>0.26902704519308257</v>
      </c>
      <c r="Q120" s="201">
        <f t="shared" si="9"/>
        <v>0.26902704519308257</v>
      </c>
      <c r="R120" s="201">
        <f>IF($D120-R$106&lt;$G$17,IF($B$23=0,1/$G$17,($B$23*(1+$B$23)^$G$17)/((1+$B$23)^$G$17-1)),0)</f>
        <v>0.26902704519308257</v>
      </c>
      <c r="S120" s="201">
        <v>0</v>
      </c>
      <c r="T120" s="201">
        <v>0</v>
      </c>
      <c r="U120" s="201">
        <v>0</v>
      </c>
      <c r="V120" s="201">
        <v>0</v>
      </c>
      <c r="W120" s="201">
        <v>0</v>
      </c>
      <c r="X120" s="201">
        <v>0</v>
      </c>
      <c r="Y120" s="201"/>
      <c r="Z120" s="201">
        <v>0</v>
      </c>
      <c r="AA120" s="201">
        <f t="shared" si="8"/>
        <v>0</v>
      </c>
      <c r="AD120" s="6">
        <v>13</v>
      </c>
      <c r="AE120" s="10">
        <f>ROUND(_xlfn.WEIBULL.DIST(COUNTA($AD$108:$AD120),$B$24,$G$16,FALSE),3)</f>
        <v>0</v>
      </c>
      <c r="AF120" s="10">
        <f>ROUND(_xlfn.WEIBULL.DIST(COUNTA($AD$109:$AD120),$B$24,$G$16,FALSE),3)</f>
        <v>0</v>
      </c>
      <c r="AG120" s="10">
        <f>ROUND(_xlfn.WEIBULL.DIST(COUNTA($AD$110:$AD120),$B$24,$G$16,FALSE),3)</f>
        <v>1E-3</v>
      </c>
      <c r="AH120" s="10">
        <f>ROUND(_xlfn.WEIBULL.DIST(COUNTA($AD$111:$AD120),$B$24,$G$16,FALSE),3)</f>
        <v>2.8000000000000001E-2</v>
      </c>
      <c r="AI120" s="10">
        <f>ROUND(_xlfn.WEIBULL.DIST(COUNTA($AD$112:$AD120),$B$24,$G$16,FALSE),3)</f>
        <v>0.18099999999999999</v>
      </c>
      <c r="AJ120" s="10">
        <f>ROUND(_xlfn.WEIBULL.DIST(COUNTA($AD$113:$AD120),$B$24,$G$16,FALSE),3)</f>
        <v>0.32200000000000001</v>
      </c>
      <c r="AK120" s="10">
        <f>ROUND(_xlfn.WEIBULL.DIST(COUNTA($AD$114:$AD120),$B$24,$G$16,FALSE),3)</f>
        <v>0.26500000000000001</v>
      </c>
      <c r="AL120" s="10">
        <f>ROUND(_xlfn.WEIBULL.DIST(COUNTA($AD$115:$AD120),$B$24,$G$16,FALSE),3)</f>
        <v>0.13600000000000001</v>
      </c>
      <c r="AM120" s="10">
        <f>ROUND(_xlfn.WEIBULL.DIST(COUNTA($AD$116:$AD120),$B$24,$G$16,FALSE),3)</f>
        <v>0.05</v>
      </c>
      <c r="AN120" s="10">
        <f>ROUND(_xlfn.WEIBULL.DIST(COUNTA($AD$117:$AD120),$B$24,$G$16,FALSE),3)</f>
        <v>1.4E-2</v>
      </c>
      <c r="AO120" s="10">
        <f>ROUND(_xlfn.WEIBULL.DIST(COUNTA($AD$118:$AD120),$B$24,$G$16,FALSE),3)</f>
        <v>2E-3</v>
      </c>
      <c r="AP120" s="10">
        <f>ROUND(_xlfn.WEIBULL.DIST(COUNTA($AD$119:$AD120),$B$24,$G$16,FALSE),3)</f>
        <v>0</v>
      </c>
      <c r="AQ120" s="10">
        <f>ROUND(_xlfn.WEIBULL.DIST(COUNTA($AD$120:$AD120),$B$24,$G$16,FALSE),3)</f>
        <v>0</v>
      </c>
      <c r="AR120" s="201">
        <v>0</v>
      </c>
      <c r="AS120" s="201">
        <v>0</v>
      </c>
      <c r="AT120" s="201">
        <v>0</v>
      </c>
      <c r="AU120" s="201">
        <v>0</v>
      </c>
      <c r="AV120" s="201">
        <v>0</v>
      </c>
      <c r="AW120" s="201">
        <v>0</v>
      </c>
      <c r="AX120" s="201">
        <v>0</v>
      </c>
    </row>
    <row r="121" spans="4:50" x14ac:dyDescent="0.3">
      <c r="D121" s="6">
        <v>15</v>
      </c>
      <c r="E121" s="201">
        <f t="shared" si="7"/>
        <v>0</v>
      </c>
      <c r="F121" s="201">
        <f t="shared" si="7"/>
        <v>0</v>
      </c>
      <c r="G121" s="201">
        <f t="shared" si="7"/>
        <v>0</v>
      </c>
      <c r="H121" s="201">
        <f t="shared" si="7"/>
        <v>0</v>
      </c>
      <c r="I121" s="201">
        <f t="shared" si="7"/>
        <v>0</v>
      </c>
      <c r="J121" s="201">
        <f t="shared" si="7"/>
        <v>0</v>
      </c>
      <c r="K121" s="201">
        <f t="shared" si="7"/>
        <v>0</v>
      </c>
      <c r="L121" s="201">
        <f t="shared" si="7"/>
        <v>0</v>
      </c>
      <c r="M121" s="201">
        <f t="shared" si="7"/>
        <v>0</v>
      </c>
      <c r="N121" s="201">
        <f t="shared" si="7"/>
        <v>0</v>
      </c>
      <c r="O121" s="201">
        <f t="shared" si="7"/>
        <v>0</v>
      </c>
      <c r="P121" s="201">
        <f t="shared" si="9"/>
        <v>0.26902704519308257</v>
      </c>
      <c r="Q121" s="201">
        <f t="shared" si="9"/>
        <v>0.26902704519308257</v>
      </c>
      <c r="R121" s="201">
        <f t="shared" si="9"/>
        <v>0.26902704519308257</v>
      </c>
      <c r="S121" s="201">
        <f>IF($D121-S$106&lt;$G$17,IF($B$23=0,1/$G$17,($B$23*(1+$B$23)^$G$17)/((1+$B$23)^$G$17-1)),0)</f>
        <v>0.26902704519308257</v>
      </c>
      <c r="T121" s="201">
        <v>0</v>
      </c>
      <c r="U121" s="201">
        <v>0</v>
      </c>
      <c r="V121" s="201">
        <v>0</v>
      </c>
      <c r="W121" s="201">
        <v>0</v>
      </c>
      <c r="X121" s="201">
        <v>0</v>
      </c>
      <c r="Y121" s="201"/>
      <c r="Z121" s="201">
        <v>0</v>
      </c>
      <c r="AA121" s="201">
        <f t="shared" si="8"/>
        <v>0</v>
      </c>
      <c r="AD121" s="6">
        <v>14</v>
      </c>
      <c r="AE121" s="10">
        <f>ROUND(_xlfn.WEIBULL.DIST(COUNTA($AD$108:$AD121),$B$24,$G$16,FALSE),3)</f>
        <v>0</v>
      </c>
      <c r="AF121" s="10">
        <f>ROUND(_xlfn.WEIBULL.DIST(COUNTA($AD$109:$AD121),$B$24,$G$16,FALSE),3)</f>
        <v>0</v>
      </c>
      <c r="AG121" s="10">
        <f>ROUND(_xlfn.WEIBULL.DIST(COUNTA($AD$110:$AD121),$B$24,$G$16,FALSE),3)</f>
        <v>0</v>
      </c>
      <c r="AH121" s="10">
        <f>ROUND(_xlfn.WEIBULL.DIST(COUNTA($AD$111:$AD121),$B$24,$G$16,FALSE),3)</f>
        <v>1E-3</v>
      </c>
      <c r="AI121" s="10">
        <f>ROUND(_xlfn.WEIBULL.DIST(COUNTA($AD$112:$AD121),$B$24,$G$16,FALSE),3)</f>
        <v>2.8000000000000001E-2</v>
      </c>
      <c r="AJ121" s="10">
        <f>ROUND(_xlfn.WEIBULL.DIST(COUNTA($AD$113:$AD121),$B$24,$G$16,FALSE),3)</f>
        <v>0.18099999999999999</v>
      </c>
      <c r="AK121" s="10">
        <f>ROUND(_xlfn.WEIBULL.DIST(COUNTA($AD$114:$AD121),$B$24,$G$16,FALSE),3)</f>
        <v>0.32200000000000001</v>
      </c>
      <c r="AL121" s="10">
        <f>ROUND(_xlfn.WEIBULL.DIST(COUNTA($AD$115:$AD121),$B$24,$G$16,FALSE),3)</f>
        <v>0.26500000000000001</v>
      </c>
      <c r="AM121" s="10">
        <f>ROUND(_xlfn.WEIBULL.DIST(COUNTA($AD$116:$AD121),$B$24,$G$16,FALSE),3)</f>
        <v>0.13600000000000001</v>
      </c>
      <c r="AN121" s="10">
        <f>ROUND(_xlfn.WEIBULL.DIST(COUNTA($AD$117:$AD121),$B$24,$G$16,FALSE),3)</f>
        <v>0.05</v>
      </c>
      <c r="AO121" s="10">
        <f>ROUND(_xlfn.WEIBULL.DIST(COUNTA($AD$118:$AD121),$B$24,$G$16,FALSE),3)</f>
        <v>1.4E-2</v>
      </c>
      <c r="AP121" s="10">
        <f>ROUND(_xlfn.WEIBULL.DIST(COUNTA($AD$119:$AD121),$B$24,$G$16,FALSE),3)</f>
        <v>2E-3</v>
      </c>
      <c r="AQ121" s="10">
        <f>ROUND(_xlfn.WEIBULL.DIST(COUNTA($AD$120:$AD121),$B$24,$G$16,FALSE),3)</f>
        <v>0</v>
      </c>
      <c r="AR121" s="10">
        <f>ROUND(_xlfn.WEIBULL.DIST(COUNTA($AD$121:$AD121),$B$24,$G$16,FALSE),3)</f>
        <v>0</v>
      </c>
      <c r="AS121" s="201">
        <v>0</v>
      </c>
      <c r="AT121" s="201">
        <v>0</v>
      </c>
      <c r="AU121" s="201">
        <v>0</v>
      </c>
      <c r="AV121" s="201">
        <v>0</v>
      </c>
      <c r="AW121" s="201">
        <v>0</v>
      </c>
      <c r="AX121" s="201">
        <v>0</v>
      </c>
    </row>
    <row r="122" spans="4:50" x14ac:dyDescent="0.3">
      <c r="D122" s="6">
        <v>16</v>
      </c>
      <c r="E122" s="201">
        <f t="shared" si="7"/>
        <v>0</v>
      </c>
      <c r="F122" s="201">
        <f t="shared" si="7"/>
        <v>0</v>
      </c>
      <c r="G122" s="201">
        <f t="shared" si="7"/>
        <v>0</v>
      </c>
      <c r="H122" s="201">
        <f t="shared" si="7"/>
        <v>0</v>
      </c>
      <c r="I122" s="201">
        <f t="shared" si="7"/>
        <v>0</v>
      </c>
      <c r="J122" s="201">
        <f t="shared" si="7"/>
        <v>0</v>
      </c>
      <c r="K122" s="201">
        <f t="shared" si="7"/>
        <v>0</v>
      </c>
      <c r="L122" s="201">
        <f t="shared" si="7"/>
        <v>0</v>
      </c>
      <c r="M122" s="201">
        <f t="shared" si="7"/>
        <v>0</v>
      </c>
      <c r="N122" s="201">
        <f t="shared" si="7"/>
        <v>0</v>
      </c>
      <c r="O122" s="201">
        <f t="shared" si="7"/>
        <v>0</v>
      </c>
      <c r="P122" s="201">
        <f t="shared" si="9"/>
        <v>0</v>
      </c>
      <c r="Q122" s="201">
        <f t="shared" si="9"/>
        <v>0.26902704519308257</v>
      </c>
      <c r="R122" s="201">
        <f t="shared" si="9"/>
        <v>0.26902704519308257</v>
      </c>
      <c r="S122" s="201">
        <f t="shared" si="9"/>
        <v>0.26902704519308257</v>
      </c>
      <c r="T122" s="201">
        <f>IF($D122-T$106&lt;$G$17,IF($B$23=0,1/$G$17,($B$23*(1+$B$23)^$G$17)/((1+$B$23)^$G$17-1)),0)</f>
        <v>0.26902704519308257</v>
      </c>
      <c r="U122" s="201">
        <v>0</v>
      </c>
      <c r="V122" s="201">
        <v>0</v>
      </c>
      <c r="W122" s="201">
        <v>0</v>
      </c>
      <c r="X122" s="201">
        <v>0</v>
      </c>
      <c r="Y122" s="201"/>
      <c r="Z122" s="201">
        <v>0</v>
      </c>
      <c r="AA122" s="201">
        <f t="shared" si="8"/>
        <v>0</v>
      </c>
      <c r="AD122" s="6">
        <v>15</v>
      </c>
      <c r="AE122" s="10">
        <f>ROUND(_xlfn.WEIBULL.DIST(COUNTA($AD$108:$AD122),$B$24,$G$16,FALSE),3)</f>
        <v>0</v>
      </c>
      <c r="AF122" s="10">
        <f>ROUND(_xlfn.WEIBULL.DIST(COUNTA($AD$109:$AD122),$B$24,$G$16,FALSE),3)</f>
        <v>0</v>
      </c>
      <c r="AG122" s="10">
        <f>ROUND(_xlfn.WEIBULL.DIST(COUNTA($AD$110:$AD122),$B$24,$G$16,FALSE),3)</f>
        <v>0</v>
      </c>
      <c r="AH122" s="10">
        <f>ROUND(_xlfn.WEIBULL.DIST(COUNTA($AD$111:$AD122),$B$24,$G$16,FALSE),3)</f>
        <v>0</v>
      </c>
      <c r="AI122" s="10">
        <f>ROUND(_xlfn.WEIBULL.DIST(COUNTA($AD$112:$AD122),$B$24,$G$16,FALSE),3)</f>
        <v>1E-3</v>
      </c>
      <c r="AJ122" s="10">
        <f>ROUND(_xlfn.WEIBULL.DIST(COUNTA($AD$113:$AD122),$B$24,$G$16,FALSE),3)</f>
        <v>2.8000000000000001E-2</v>
      </c>
      <c r="AK122" s="10">
        <f>ROUND(_xlfn.WEIBULL.DIST(COUNTA($AD$114:$AD122),$B$24,$G$16,FALSE),3)</f>
        <v>0.18099999999999999</v>
      </c>
      <c r="AL122" s="10">
        <f>ROUND(_xlfn.WEIBULL.DIST(COUNTA($AD$115:$AD122),$B$24,$G$16,FALSE),3)</f>
        <v>0.32200000000000001</v>
      </c>
      <c r="AM122" s="10">
        <f>ROUND(_xlfn.WEIBULL.DIST(COUNTA($AD$116:$AD122),$B$24,$G$16,FALSE),3)</f>
        <v>0.26500000000000001</v>
      </c>
      <c r="AN122" s="10">
        <f>ROUND(_xlfn.WEIBULL.DIST(COUNTA($AD$117:$AD122),$B$24,$G$16,FALSE),3)</f>
        <v>0.13600000000000001</v>
      </c>
      <c r="AO122" s="10">
        <f>ROUND(_xlfn.WEIBULL.DIST(COUNTA($AD$118:$AD122),$B$24,$G$16,FALSE),3)</f>
        <v>0.05</v>
      </c>
      <c r="AP122" s="10">
        <f>ROUND(_xlfn.WEIBULL.DIST(COUNTA($AD$119:$AD122),$B$24,$G$16,FALSE),3)</f>
        <v>1.4E-2</v>
      </c>
      <c r="AQ122" s="10">
        <f>ROUND(_xlfn.WEIBULL.DIST(COUNTA($AD$120:$AD122),$B$24,$G$16,FALSE),3)</f>
        <v>2E-3</v>
      </c>
      <c r="AR122" s="10">
        <f>ROUND(_xlfn.WEIBULL.DIST(COUNTA($AD$121:$AD122),$B$24,$G$16,FALSE),3)</f>
        <v>0</v>
      </c>
      <c r="AS122" s="10">
        <f>ROUND(_xlfn.WEIBULL.DIST(COUNTA($AD$122:$AD122),$B$24,$G$16,FALSE),3)</f>
        <v>0</v>
      </c>
      <c r="AT122" s="201">
        <v>0</v>
      </c>
      <c r="AU122" s="201">
        <v>0</v>
      </c>
      <c r="AV122" s="201">
        <v>0</v>
      </c>
      <c r="AW122" s="201">
        <v>0</v>
      </c>
      <c r="AX122" s="201">
        <v>0</v>
      </c>
    </row>
    <row r="123" spans="4:50" x14ac:dyDescent="0.3">
      <c r="D123" s="6">
        <v>17</v>
      </c>
      <c r="E123" s="201">
        <f t="shared" si="7"/>
        <v>0</v>
      </c>
      <c r="F123" s="201">
        <f t="shared" si="7"/>
        <v>0</v>
      </c>
      <c r="G123" s="201">
        <f t="shared" si="7"/>
        <v>0</v>
      </c>
      <c r="H123" s="201">
        <f t="shared" si="7"/>
        <v>0</v>
      </c>
      <c r="I123" s="201">
        <f t="shared" si="7"/>
        <v>0</v>
      </c>
      <c r="J123" s="201">
        <f t="shared" si="7"/>
        <v>0</v>
      </c>
      <c r="K123" s="201">
        <f t="shared" si="7"/>
        <v>0</v>
      </c>
      <c r="L123" s="201">
        <f t="shared" si="7"/>
        <v>0</v>
      </c>
      <c r="M123" s="201">
        <f t="shared" si="7"/>
        <v>0</v>
      </c>
      <c r="N123" s="201">
        <f t="shared" si="7"/>
        <v>0</v>
      </c>
      <c r="O123" s="201">
        <f t="shared" si="7"/>
        <v>0</v>
      </c>
      <c r="P123" s="201">
        <f t="shared" si="9"/>
        <v>0</v>
      </c>
      <c r="Q123" s="201">
        <f t="shared" si="9"/>
        <v>0</v>
      </c>
      <c r="R123" s="201">
        <f t="shared" si="9"/>
        <v>0.26902704519308257</v>
      </c>
      <c r="S123" s="201">
        <f t="shared" si="9"/>
        <v>0.26902704519308257</v>
      </c>
      <c r="T123" s="201">
        <f t="shared" si="9"/>
        <v>0.26902704519308257</v>
      </c>
      <c r="U123" s="201">
        <f>IF($D123-U$106&lt;$G$17,IF($B$23=0,1/$G$17,($B$23*(1+$B$23)^$G$17)/((1+$B$23)^$G$17-1)),0)</f>
        <v>0.26902704519308257</v>
      </c>
      <c r="V123" s="201">
        <v>0</v>
      </c>
      <c r="W123" s="201">
        <v>0</v>
      </c>
      <c r="X123" s="201">
        <v>0</v>
      </c>
      <c r="Y123" s="201"/>
      <c r="Z123" s="201">
        <v>0</v>
      </c>
      <c r="AA123" s="201">
        <f t="shared" si="8"/>
        <v>0</v>
      </c>
      <c r="AD123" s="6">
        <v>16</v>
      </c>
      <c r="AE123" s="10">
        <f>ROUND(_xlfn.WEIBULL.DIST(COUNTA($AD$108:$AD123),$B$24,$G$16,FALSE),3)</f>
        <v>0</v>
      </c>
      <c r="AF123" s="10">
        <f>ROUND(_xlfn.WEIBULL.DIST(COUNTA($AD$109:$AD123),$B$24,$G$16,FALSE),3)</f>
        <v>0</v>
      </c>
      <c r="AG123" s="10">
        <f>ROUND(_xlfn.WEIBULL.DIST(COUNTA($AD$110:$AD123),$B$24,$G$16,FALSE),3)</f>
        <v>0</v>
      </c>
      <c r="AH123" s="10">
        <f>ROUND(_xlfn.WEIBULL.DIST(COUNTA($AD$111:$AD123),$B$24,$G$16,FALSE),3)</f>
        <v>0</v>
      </c>
      <c r="AI123" s="10">
        <f>ROUND(_xlfn.WEIBULL.DIST(COUNTA($AD$112:$AD123),$B$24,$G$16,FALSE),3)</f>
        <v>0</v>
      </c>
      <c r="AJ123" s="10">
        <f>ROUND(_xlfn.WEIBULL.DIST(COUNTA($AD$113:$AD123),$B$24,$G$16,FALSE),3)</f>
        <v>1E-3</v>
      </c>
      <c r="AK123" s="10">
        <f>ROUND(_xlfn.WEIBULL.DIST(COUNTA($AD$114:$AD123),$B$24,$G$16,FALSE),3)</f>
        <v>2.8000000000000001E-2</v>
      </c>
      <c r="AL123" s="10">
        <f>ROUND(_xlfn.WEIBULL.DIST(COUNTA($AD$115:$AD123),$B$24,$G$16,FALSE),3)</f>
        <v>0.18099999999999999</v>
      </c>
      <c r="AM123" s="10">
        <f>ROUND(_xlfn.WEIBULL.DIST(COUNTA($AD$116:$AD123),$B$24,$G$16,FALSE),3)</f>
        <v>0.32200000000000001</v>
      </c>
      <c r="AN123" s="10">
        <f>ROUND(_xlfn.WEIBULL.DIST(COUNTA($AD$117:$AD123),$B$24,$G$16,FALSE),3)</f>
        <v>0.26500000000000001</v>
      </c>
      <c r="AO123" s="10">
        <f>ROUND(_xlfn.WEIBULL.DIST(COUNTA($AD$118:$AD123),$B$24,$G$16,FALSE),3)</f>
        <v>0.13600000000000001</v>
      </c>
      <c r="AP123" s="10">
        <f>ROUND(_xlfn.WEIBULL.DIST(COUNTA($AD$119:$AD123),$B$24,$G$16,FALSE),3)</f>
        <v>0.05</v>
      </c>
      <c r="AQ123" s="10">
        <f>ROUND(_xlfn.WEIBULL.DIST(COUNTA($AD$120:$AD123),$B$24,$G$16,FALSE),3)</f>
        <v>1.4E-2</v>
      </c>
      <c r="AR123" s="10">
        <f>ROUND(_xlfn.WEIBULL.DIST(COUNTA($AD$121:$AD123),$B$24,$G$16,FALSE),3)</f>
        <v>2E-3</v>
      </c>
      <c r="AS123" s="10">
        <f>ROUND(_xlfn.WEIBULL.DIST(COUNTA($AD$122:$AD123),$B$24,$G$16,FALSE),3)</f>
        <v>0</v>
      </c>
      <c r="AT123" s="10">
        <f>ROUND(_xlfn.WEIBULL.DIST(COUNTA($AD$123:$AD123),$B$24,$G$16,FALSE),3)</f>
        <v>0</v>
      </c>
      <c r="AU123" s="201">
        <v>0</v>
      </c>
      <c r="AV123" s="201">
        <v>0</v>
      </c>
      <c r="AW123" s="201">
        <v>0</v>
      </c>
      <c r="AX123" s="201">
        <v>0</v>
      </c>
    </row>
    <row r="124" spans="4:50" x14ac:dyDescent="0.3">
      <c r="D124" s="6">
        <v>18</v>
      </c>
      <c r="E124" s="201">
        <f t="shared" si="7"/>
        <v>0</v>
      </c>
      <c r="F124" s="201">
        <f t="shared" si="7"/>
        <v>0</v>
      </c>
      <c r="G124" s="201">
        <f t="shared" si="7"/>
        <v>0</v>
      </c>
      <c r="H124" s="201">
        <f t="shared" si="7"/>
        <v>0</v>
      </c>
      <c r="I124" s="201">
        <f t="shared" si="7"/>
        <v>0</v>
      </c>
      <c r="J124" s="201">
        <f t="shared" si="7"/>
        <v>0</v>
      </c>
      <c r="K124" s="201">
        <f t="shared" si="7"/>
        <v>0</v>
      </c>
      <c r="L124" s="201">
        <f t="shared" si="7"/>
        <v>0</v>
      </c>
      <c r="M124" s="201">
        <f t="shared" si="7"/>
        <v>0</v>
      </c>
      <c r="N124" s="201">
        <f t="shared" si="7"/>
        <v>0</v>
      </c>
      <c r="O124" s="201">
        <f t="shared" si="7"/>
        <v>0</v>
      </c>
      <c r="P124" s="201">
        <f t="shared" si="9"/>
        <v>0</v>
      </c>
      <c r="Q124" s="201">
        <f t="shared" si="9"/>
        <v>0</v>
      </c>
      <c r="R124" s="201">
        <f t="shared" si="9"/>
        <v>0</v>
      </c>
      <c r="S124" s="201">
        <f t="shared" si="9"/>
        <v>0.26902704519308257</v>
      </c>
      <c r="T124" s="201">
        <f t="shared" si="9"/>
        <v>0.26902704519308257</v>
      </c>
      <c r="U124" s="201">
        <f t="shared" si="9"/>
        <v>0.26902704519308257</v>
      </c>
      <c r="V124" s="201">
        <f>IF($D124-V$106&lt;$G$17,IF($B$23=0,1/$G$17,($B$23*(1+$B$23)^$G$17)/((1+$B$23)^$G$17-1)),0)</f>
        <v>0.26902704519308257</v>
      </c>
      <c r="W124" s="201">
        <v>0</v>
      </c>
      <c r="X124" s="201">
        <v>0</v>
      </c>
      <c r="Y124" s="201"/>
      <c r="Z124" s="201">
        <v>0</v>
      </c>
      <c r="AA124" s="201">
        <f t="shared" si="8"/>
        <v>0</v>
      </c>
      <c r="AD124" s="6">
        <v>17</v>
      </c>
      <c r="AE124" s="10">
        <f>ROUND(_xlfn.WEIBULL.DIST(COUNTA($AD$108:$AD124),$B$24,$G$16,FALSE),3)</f>
        <v>0</v>
      </c>
      <c r="AF124" s="10">
        <f>ROUND(_xlfn.WEIBULL.DIST(COUNTA($AD$109:$AD124),$B$24,$G$16,FALSE),3)</f>
        <v>0</v>
      </c>
      <c r="AG124" s="10">
        <f>ROUND(_xlfn.WEIBULL.DIST(COUNTA($AD$110:$AD124),$B$24,$G$16,FALSE),3)</f>
        <v>0</v>
      </c>
      <c r="AH124" s="10">
        <f>ROUND(_xlfn.WEIBULL.DIST(COUNTA($AD$111:$AD124),$B$24,$G$16,FALSE),3)</f>
        <v>0</v>
      </c>
      <c r="AI124" s="10">
        <f>ROUND(_xlfn.WEIBULL.DIST(COUNTA($AD$112:$AD124),$B$24,$G$16,FALSE),3)</f>
        <v>0</v>
      </c>
      <c r="AJ124" s="10">
        <f>ROUND(_xlfn.WEIBULL.DIST(COUNTA($AD$113:$AD124),$B$24,$G$16,FALSE),3)</f>
        <v>0</v>
      </c>
      <c r="AK124" s="10">
        <f>ROUND(_xlfn.WEIBULL.DIST(COUNTA($AD$114:$AD124),$B$24,$G$16,FALSE),3)</f>
        <v>1E-3</v>
      </c>
      <c r="AL124" s="10">
        <f>ROUND(_xlfn.WEIBULL.DIST(COUNTA($AD$115:$AD124),$B$24,$G$16,FALSE),3)</f>
        <v>2.8000000000000001E-2</v>
      </c>
      <c r="AM124" s="10">
        <f>ROUND(_xlfn.WEIBULL.DIST(COUNTA($AD$116:$AD124),$B$24,$G$16,FALSE),3)</f>
        <v>0.18099999999999999</v>
      </c>
      <c r="AN124" s="10">
        <f>ROUND(_xlfn.WEIBULL.DIST(COUNTA($AD$117:$AD124),$B$24,$G$16,FALSE),3)</f>
        <v>0.32200000000000001</v>
      </c>
      <c r="AO124" s="10">
        <f>ROUND(_xlfn.WEIBULL.DIST(COUNTA($AD$118:$AD124),$B$24,$G$16,FALSE),3)</f>
        <v>0.26500000000000001</v>
      </c>
      <c r="AP124" s="10">
        <f>ROUND(_xlfn.WEIBULL.DIST(COUNTA($AD$119:$AD124),$B$24,$G$16,FALSE),3)</f>
        <v>0.13600000000000001</v>
      </c>
      <c r="AQ124" s="10">
        <f>ROUND(_xlfn.WEIBULL.DIST(COUNTA($AD$120:$AD124),$B$24,$G$16,FALSE),3)</f>
        <v>0.05</v>
      </c>
      <c r="AR124" s="10">
        <f>ROUND(_xlfn.WEIBULL.DIST(COUNTA($AD$121:$AD124),$B$24,$G$16,FALSE),3)</f>
        <v>1.4E-2</v>
      </c>
      <c r="AS124" s="10">
        <f>ROUND(_xlfn.WEIBULL.DIST(COUNTA($AD$122:$AD124),$B$24,$G$16,FALSE),3)</f>
        <v>2E-3</v>
      </c>
      <c r="AT124" s="10">
        <f>ROUND(_xlfn.WEIBULL.DIST(COUNTA($AD$123:$AD124),$B$24,$G$16,FALSE),3)</f>
        <v>0</v>
      </c>
      <c r="AU124" s="10">
        <f>ROUND(_xlfn.WEIBULL.DIST(COUNTA($AD$124:$AD124),$B$24,$G$16,FALSE),3)</f>
        <v>0</v>
      </c>
      <c r="AV124" s="201">
        <v>0</v>
      </c>
      <c r="AW124" s="201">
        <v>0</v>
      </c>
      <c r="AX124" s="201">
        <v>0</v>
      </c>
    </row>
    <row r="125" spans="4:50" x14ac:dyDescent="0.3">
      <c r="D125" s="6">
        <v>19</v>
      </c>
      <c r="E125" s="201">
        <f t="shared" si="7"/>
        <v>0</v>
      </c>
      <c r="F125" s="201">
        <f t="shared" si="7"/>
        <v>0</v>
      </c>
      <c r="G125" s="201">
        <f t="shared" si="7"/>
        <v>0</v>
      </c>
      <c r="H125" s="201">
        <f t="shared" si="7"/>
        <v>0</v>
      </c>
      <c r="I125" s="201">
        <f t="shared" si="7"/>
        <v>0</v>
      </c>
      <c r="J125" s="201">
        <f t="shared" si="7"/>
        <v>0</v>
      </c>
      <c r="K125" s="201">
        <f t="shared" si="7"/>
        <v>0</v>
      </c>
      <c r="L125" s="201">
        <f t="shared" si="7"/>
        <v>0</v>
      </c>
      <c r="M125" s="201">
        <f t="shared" si="7"/>
        <v>0</v>
      </c>
      <c r="N125" s="201">
        <f t="shared" si="7"/>
        <v>0</v>
      </c>
      <c r="O125" s="201">
        <f t="shared" si="7"/>
        <v>0</v>
      </c>
      <c r="P125" s="201">
        <f t="shared" si="9"/>
        <v>0</v>
      </c>
      <c r="Q125" s="201">
        <f t="shared" si="9"/>
        <v>0</v>
      </c>
      <c r="R125" s="201">
        <f t="shared" si="9"/>
        <v>0</v>
      </c>
      <c r="S125" s="201">
        <f t="shared" si="9"/>
        <v>0</v>
      </c>
      <c r="T125" s="201">
        <f t="shared" si="9"/>
        <v>0.26902704519308257</v>
      </c>
      <c r="U125" s="201">
        <f t="shared" si="9"/>
        <v>0.26902704519308257</v>
      </c>
      <c r="V125" s="201">
        <f t="shared" si="9"/>
        <v>0.26902704519308257</v>
      </c>
      <c r="W125" s="201">
        <f>IF($D125-W$106&lt;$G$17,IF($B$23=0,1/$G$17,($B$23*(1+$B$23)^$G$17)/((1+$B$23)^$G$17-1)),0)</f>
        <v>0.26902704519308257</v>
      </c>
      <c r="X125" s="201">
        <v>0</v>
      </c>
      <c r="Y125" s="201"/>
      <c r="Z125" s="201">
        <v>0</v>
      </c>
      <c r="AA125" s="201">
        <f t="shared" si="8"/>
        <v>0</v>
      </c>
      <c r="AD125" s="6">
        <v>18</v>
      </c>
      <c r="AE125" s="10">
        <f>ROUND(_xlfn.WEIBULL.DIST(COUNTA($AD$108:$AD125),$B$24,$G$16,FALSE),3)</f>
        <v>0</v>
      </c>
      <c r="AF125" s="10">
        <f>ROUND(_xlfn.WEIBULL.DIST(COUNTA($AD$109:$AD125),$B$24,$G$16,FALSE),3)</f>
        <v>0</v>
      </c>
      <c r="AG125" s="10">
        <f>ROUND(_xlfn.WEIBULL.DIST(COUNTA($AD$110:$AD125),$B$24,$G$16,FALSE),3)</f>
        <v>0</v>
      </c>
      <c r="AH125" s="10">
        <f>ROUND(_xlfn.WEIBULL.DIST(COUNTA($AD$111:$AD125),$B$24,$G$16,FALSE),3)</f>
        <v>0</v>
      </c>
      <c r="AI125" s="10">
        <f>ROUND(_xlfn.WEIBULL.DIST(COUNTA($AD$112:$AD125),$B$24,$G$16,FALSE),3)</f>
        <v>0</v>
      </c>
      <c r="AJ125" s="10">
        <f>ROUND(_xlfn.WEIBULL.DIST(COUNTA($AD$113:$AD125),$B$24,$G$16,FALSE),3)</f>
        <v>0</v>
      </c>
      <c r="AK125" s="10">
        <f>ROUND(_xlfn.WEIBULL.DIST(COUNTA($AD$114:$AD125),$B$24,$G$16,FALSE),3)</f>
        <v>0</v>
      </c>
      <c r="AL125" s="10">
        <f>ROUND(_xlfn.WEIBULL.DIST(COUNTA($AD$115:$AD125),$B$24,$G$16,FALSE),3)</f>
        <v>1E-3</v>
      </c>
      <c r="AM125" s="10">
        <f>ROUND(_xlfn.WEIBULL.DIST(COUNTA($AD$116:$AD125),$B$24,$G$16,FALSE),3)</f>
        <v>2.8000000000000001E-2</v>
      </c>
      <c r="AN125" s="10">
        <f>ROUND(_xlfn.WEIBULL.DIST(COUNTA($AD$117:$AD125),$B$24,$G$16,FALSE),3)</f>
        <v>0.18099999999999999</v>
      </c>
      <c r="AO125" s="10">
        <f>ROUND(_xlfn.WEIBULL.DIST(COUNTA($AD$118:$AD125),$B$24,$G$16,FALSE),3)</f>
        <v>0.32200000000000001</v>
      </c>
      <c r="AP125" s="10">
        <f>ROUND(_xlfn.WEIBULL.DIST(COUNTA($AD$119:$AD125),$B$24,$G$16,FALSE),3)</f>
        <v>0.26500000000000001</v>
      </c>
      <c r="AQ125" s="10">
        <f>ROUND(_xlfn.WEIBULL.DIST(COUNTA($AD$120:$AD125),$B$24,$G$16,FALSE),3)</f>
        <v>0.13600000000000001</v>
      </c>
      <c r="AR125" s="10">
        <f>ROUND(_xlfn.WEIBULL.DIST(COUNTA($AD$121:$AD125),$B$24,$G$16,FALSE),3)</f>
        <v>0.05</v>
      </c>
      <c r="AS125" s="10">
        <f>ROUND(_xlfn.WEIBULL.DIST(COUNTA($AD$122:$AD125),$B$24,$G$16,FALSE),3)</f>
        <v>1.4E-2</v>
      </c>
      <c r="AT125" s="10">
        <f>ROUND(_xlfn.WEIBULL.DIST(COUNTA($AD$123:$AD125),$B$24,$G$16,FALSE),3)</f>
        <v>2E-3</v>
      </c>
      <c r="AU125" s="10">
        <f>ROUND(_xlfn.WEIBULL.DIST(COUNTA($AD$124:$AD125),$B$24,$G$16,FALSE),3)</f>
        <v>0</v>
      </c>
      <c r="AV125" s="10">
        <f>ROUND(_xlfn.WEIBULL.DIST(COUNTA($AD$125:$AD125),$B$24,$G$16,FALSE),3)</f>
        <v>0</v>
      </c>
      <c r="AW125" s="201">
        <v>0</v>
      </c>
      <c r="AX125" s="201">
        <v>0</v>
      </c>
    </row>
    <row r="126" spans="4:50" x14ac:dyDescent="0.3">
      <c r="D126" s="6">
        <v>20</v>
      </c>
      <c r="E126" s="201">
        <f t="shared" si="7"/>
        <v>0</v>
      </c>
      <c r="F126" s="201">
        <f t="shared" si="7"/>
        <v>0</v>
      </c>
      <c r="G126" s="201">
        <f t="shared" si="7"/>
        <v>0</v>
      </c>
      <c r="H126" s="201">
        <f t="shared" si="7"/>
        <v>0</v>
      </c>
      <c r="I126" s="201">
        <f t="shared" si="7"/>
        <v>0</v>
      </c>
      <c r="J126" s="201">
        <f t="shared" si="7"/>
        <v>0</v>
      </c>
      <c r="K126" s="201">
        <f t="shared" si="7"/>
        <v>0</v>
      </c>
      <c r="L126" s="201">
        <f t="shared" si="7"/>
        <v>0</v>
      </c>
      <c r="M126" s="201">
        <f t="shared" si="7"/>
        <v>0</v>
      </c>
      <c r="N126" s="201">
        <f t="shared" si="7"/>
        <v>0</v>
      </c>
      <c r="O126" s="201">
        <f t="shared" si="7"/>
        <v>0</v>
      </c>
      <c r="P126" s="201">
        <f t="shared" si="9"/>
        <v>0</v>
      </c>
      <c r="Q126" s="201">
        <f t="shared" si="9"/>
        <v>0</v>
      </c>
      <c r="R126" s="201">
        <f t="shared" si="9"/>
        <v>0</v>
      </c>
      <c r="S126" s="201">
        <f t="shared" si="9"/>
        <v>0</v>
      </c>
      <c r="T126" s="201">
        <f t="shared" si="9"/>
        <v>0</v>
      </c>
      <c r="U126" s="201">
        <f t="shared" si="9"/>
        <v>0.26902704519308257</v>
      </c>
      <c r="V126" s="201">
        <f t="shared" si="9"/>
        <v>0.26902704519308257</v>
      </c>
      <c r="W126" s="201">
        <f t="shared" si="9"/>
        <v>0.26902704519308257</v>
      </c>
      <c r="X126" s="201">
        <f>IF($D126-X$106&lt;$G$17,IF($B$23=0,1/$G$17,($B$23*(1+$B$23)^$G$17)/((1+$B$23)^$G$17-1)),0)</f>
        <v>0.26902704519308257</v>
      </c>
      <c r="Y126" s="201"/>
      <c r="Z126" s="201">
        <v>0</v>
      </c>
      <c r="AA126" s="201">
        <f t="shared" si="8"/>
        <v>0</v>
      </c>
      <c r="AD126" s="6">
        <v>19</v>
      </c>
      <c r="AE126" s="10">
        <f>ROUND(_xlfn.WEIBULL.DIST(COUNTA($AD$108:$AD126),$B$24,$G$16,FALSE),3)</f>
        <v>0</v>
      </c>
      <c r="AF126" s="10">
        <f>ROUND(_xlfn.WEIBULL.DIST(COUNTA($AD$109:$AD126),$B$24,$G$16,FALSE),3)</f>
        <v>0</v>
      </c>
      <c r="AG126" s="10">
        <f>ROUND(_xlfn.WEIBULL.DIST(COUNTA($AD$110:$AD126),$B$24,$G$16,FALSE),3)</f>
        <v>0</v>
      </c>
      <c r="AH126" s="10">
        <f>ROUND(_xlfn.WEIBULL.DIST(COUNTA($AD$111:$AD126),$B$24,$G$16,FALSE),3)</f>
        <v>0</v>
      </c>
      <c r="AI126" s="10">
        <f>ROUND(_xlfn.WEIBULL.DIST(COUNTA($AD$112:$AD126),$B$24,$G$16,FALSE),3)</f>
        <v>0</v>
      </c>
      <c r="AJ126" s="10">
        <f>ROUND(_xlfn.WEIBULL.DIST(COUNTA($AD$113:$AD126),$B$24,$G$16,FALSE),3)</f>
        <v>0</v>
      </c>
      <c r="AK126" s="10">
        <f>ROUND(_xlfn.WEIBULL.DIST(COUNTA($AD$114:$AD126),$B$24,$G$16,FALSE),3)</f>
        <v>0</v>
      </c>
      <c r="AL126" s="10">
        <f>ROUND(_xlfn.WEIBULL.DIST(COUNTA($AD$115:$AD126),$B$24,$G$16,FALSE),3)</f>
        <v>0</v>
      </c>
      <c r="AM126" s="10">
        <f>ROUND(_xlfn.WEIBULL.DIST(COUNTA($AD$116:$AD126),$B$24,$G$16,FALSE),3)</f>
        <v>1E-3</v>
      </c>
      <c r="AN126" s="10">
        <f>ROUND(_xlfn.WEIBULL.DIST(COUNTA($AD$117:$AD126),$B$24,$G$16,FALSE),3)</f>
        <v>2.8000000000000001E-2</v>
      </c>
      <c r="AO126" s="10">
        <f>ROUND(_xlfn.WEIBULL.DIST(COUNTA($AD$118:$AD126),$B$24,$G$16,FALSE),3)</f>
        <v>0.18099999999999999</v>
      </c>
      <c r="AP126" s="10">
        <f>ROUND(_xlfn.WEIBULL.DIST(COUNTA($AD$119:$AD126),$B$24,$G$16,FALSE),3)</f>
        <v>0.32200000000000001</v>
      </c>
      <c r="AQ126" s="10">
        <f>ROUND(_xlfn.WEIBULL.DIST(COUNTA($AD$120:$AD126),$B$24,$G$16,FALSE),3)</f>
        <v>0.26500000000000001</v>
      </c>
      <c r="AR126" s="10">
        <f>ROUND(_xlfn.WEIBULL.DIST(COUNTA($AD$121:$AD126),$B$24,$G$16,FALSE),3)</f>
        <v>0.13600000000000001</v>
      </c>
      <c r="AS126" s="10">
        <f>ROUND(_xlfn.WEIBULL.DIST(COUNTA($AD$122:$AD126),$B$24,$G$16,FALSE),3)</f>
        <v>0.05</v>
      </c>
      <c r="AT126" s="10">
        <f>ROUND(_xlfn.WEIBULL.DIST(COUNTA($AD$123:$AD126),$B$24,$G$16,FALSE),3)</f>
        <v>1.4E-2</v>
      </c>
      <c r="AU126" s="10">
        <f>ROUND(_xlfn.WEIBULL.DIST(COUNTA($AD$124:$AD126),$B$24,$G$16,FALSE),3)</f>
        <v>2E-3</v>
      </c>
      <c r="AV126" s="10">
        <f>ROUND(_xlfn.WEIBULL.DIST(COUNTA($AD$125:$AD126),$B$24,$G$16,FALSE),3)</f>
        <v>0</v>
      </c>
      <c r="AW126" s="10">
        <f>ROUND(_xlfn.WEIBULL.DIST(COUNTA($AD$126:$AD126),$B$24,$G$16,FALSE),3)</f>
        <v>0</v>
      </c>
      <c r="AX126" s="201">
        <v>0</v>
      </c>
    </row>
    <row r="127" spans="4:50" x14ac:dyDescent="0.3">
      <c r="D127" s="6">
        <v>21</v>
      </c>
      <c r="E127" s="201">
        <f t="shared" si="7"/>
        <v>0</v>
      </c>
      <c r="F127" s="201">
        <f t="shared" si="7"/>
        <v>0</v>
      </c>
      <c r="G127" s="201">
        <f t="shared" si="7"/>
        <v>0</v>
      </c>
      <c r="H127" s="201">
        <f t="shared" si="7"/>
        <v>0</v>
      </c>
      <c r="I127" s="201">
        <f t="shared" si="7"/>
        <v>0</v>
      </c>
      <c r="J127" s="201">
        <f t="shared" si="7"/>
        <v>0</v>
      </c>
      <c r="K127" s="201">
        <f t="shared" si="7"/>
        <v>0</v>
      </c>
      <c r="L127" s="201">
        <f t="shared" si="7"/>
        <v>0</v>
      </c>
      <c r="M127" s="201">
        <f t="shared" si="7"/>
        <v>0</v>
      </c>
      <c r="N127" s="201">
        <f t="shared" si="7"/>
        <v>0</v>
      </c>
      <c r="O127" s="201">
        <f t="shared" si="7"/>
        <v>0</v>
      </c>
      <c r="P127" s="201">
        <f t="shared" si="9"/>
        <v>0</v>
      </c>
      <c r="Q127" s="201">
        <f t="shared" si="9"/>
        <v>0</v>
      </c>
      <c r="R127" s="201">
        <f t="shared" si="9"/>
        <v>0</v>
      </c>
      <c r="S127" s="201">
        <f t="shared" si="9"/>
        <v>0</v>
      </c>
      <c r="T127" s="201">
        <f t="shared" si="9"/>
        <v>0</v>
      </c>
      <c r="U127" s="201">
        <f t="shared" si="9"/>
        <v>0</v>
      </c>
      <c r="V127" s="201">
        <f t="shared" si="9"/>
        <v>0.26902704519308257</v>
      </c>
      <c r="W127" s="201">
        <f t="shared" si="9"/>
        <v>0.26902704519308257</v>
      </c>
      <c r="X127" s="201">
        <f t="shared" si="9"/>
        <v>0.26902704519308257</v>
      </c>
      <c r="Y127" s="201"/>
      <c r="Z127" s="201">
        <v>0</v>
      </c>
      <c r="AA127" s="201">
        <f t="shared" si="8"/>
        <v>0</v>
      </c>
      <c r="AD127" s="6">
        <v>20</v>
      </c>
      <c r="AE127" s="10">
        <f>ROUND(_xlfn.WEIBULL.DIST(COUNTA($AD$108:$AD127),$B$24,$G$16,FALSE),3)</f>
        <v>0</v>
      </c>
      <c r="AF127" s="10">
        <f>ROUND(_xlfn.WEIBULL.DIST(COUNTA($AD$109:$AD127),$B$24,$G$16,FALSE),3)</f>
        <v>0</v>
      </c>
      <c r="AG127" s="10">
        <f>ROUND(_xlfn.WEIBULL.DIST(COUNTA($AD$110:$AD127),$B$24,$G$16,FALSE),3)</f>
        <v>0</v>
      </c>
      <c r="AH127" s="10">
        <f>ROUND(_xlfn.WEIBULL.DIST(COUNTA($AD$111:$AD127),$B$24,$G$16,FALSE),3)</f>
        <v>0</v>
      </c>
      <c r="AI127" s="10">
        <f>ROUND(_xlfn.WEIBULL.DIST(COUNTA($AD$112:$AD127),$B$24,$G$16,FALSE),3)</f>
        <v>0</v>
      </c>
      <c r="AJ127" s="10">
        <f>ROUND(_xlfn.WEIBULL.DIST(COUNTA($AD$113:$AD127),$B$24,$G$16,FALSE),3)</f>
        <v>0</v>
      </c>
      <c r="AK127" s="10">
        <f>ROUND(_xlfn.WEIBULL.DIST(COUNTA($AD$114:$AD127),$B$24,$G$16,FALSE),3)</f>
        <v>0</v>
      </c>
      <c r="AL127" s="10">
        <f>ROUND(_xlfn.WEIBULL.DIST(COUNTA($AD$115:$AD127),$B$24,$G$16,FALSE),3)</f>
        <v>0</v>
      </c>
      <c r="AM127" s="10">
        <f>ROUND(_xlfn.WEIBULL.DIST(COUNTA($AD$116:$AD127),$B$24,$G$16,FALSE),3)</f>
        <v>0</v>
      </c>
      <c r="AN127" s="10">
        <f>ROUND(_xlfn.WEIBULL.DIST(COUNTA($AD$117:$AD127),$B$24,$G$16,FALSE),3)</f>
        <v>1E-3</v>
      </c>
      <c r="AO127" s="10">
        <f>ROUND(_xlfn.WEIBULL.DIST(COUNTA($AD$118:$AD127),$B$24,$G$16,FALSE),3)</f>
        <v>2.8000000000000001E-2</v>
      </c>
      <c r="AP127" s="10">
        <f>ROUND(_xlfn.WEIBULL.DIST(COUNTA($AD$119:$AD127),$B$24,$G$16,FALSE),3)</f>
        <v>0.18099999999999999</v>
      </c>
      <c r="AQ127" s="10">
        <f>ROUND(_xlfn.WEIBULL.DIST(COUNTA($AD$120:$AD127),$B$24,$G$16,FALSE),3)</f>
        <v>0.32200000000000001</v>
      </c>
      <c r="AR127" s="10">
        <f>ROUND(_xlfn.WEIBULL.DIST(COUNTA($AD$121:$AD127),$B$24,$G$16,FALSE),3)</f>
        <v>0.26500000000000001</v>
      </c>
      <c r="AS127" s="10">
        <f>ROUND(_xlfn.WEIBULL.DIST(COUNTA($AD$122:$AD127),$B$24,$G$16,FALSE),3)</f>
        <v>0.13600000000000001</v>
      </c>
      <c r="AT127" s="10">
        <f>ROUND(_xlfn.WEIBULL.DIST(COUNTA($AD$123:$AD127),$B$24,$G$16,FALSE),3)</f>
        <v>0.05</v>
      </c>
      <c r="AU127" s="10">
        <f>ROUND(_xlfn.WEIBULL.DIST(COUNTA($AD$124:$AD127),$B$24,$G$16,FALSE),3)</f>
        <v>1.4E-2</v>
      </c>
      <c r="AV127" s="10">
        <f>ROUND(_xlfn.WEIBULL.DIST(COUNTA($AD$125:$AD127),$B$24,$G$16,FALSE),3)</f>
        <v>2E-3</v>
      </c>
      <c r="AW127" s="10">
        <f>ROUND(_xlfn.WEIBULL.DIST(COUNTA($AD$126:$AD127),$B$24,$G$16,FALSE),3)</f>
        <v>0</v>
      </c>
      <c r="AX127" s="10">
        <f>ROUND(_xlfn.WEIBULL.DIST(COUNTA($AD$127:$AD127),$B$24,$G$16,FALSE),3)</f>
        <v>0</v>
      </c>
    </row>
    <row r="128" spans="4:50" x14ac:dyDescent="0.3">
      <c r="D128" s="6">
        <v>22</v>
      </c>
      <c r="E128" s="201">
        <f t="shared" si="7"/>
        <v>0</v>
      </c>
      <c r="F128" s="201">
        <f t="shared" si="7"/>
        <v>0</v>
      </c>
      <c r="G128" s="201">
        <f t="shared" si="7"/>
        <v>0</v>
      </c>
      <c r="H128" s="201">
        <f t="shared" si="7"/>
        <v>0</v>
      </c>
      <c r="I128" s="201">
        <f t="shared" si="7"/>
        <v>0</v>
      </c>
      <c r="J128" s="201">
        <f t="shared" si="7"/>
        <v>0</v>
      </c>
      <c r="K128" s="201">
        <f t="shared" si="7"/>
        <v>0</v>
      </c>
      <c r="L128" s="201">
        <f t="shared" si="7"/>
        <v>0</v>
      </c>
      <c r="M128" s="201">
        <f t="shared" si="7"/>
        <v>0</v>
      </c>
      <c r="N128" s="201">
        <f t="shared" si="7"/>
        <v>0</v>
      </c>
      <c r="O128" s="201">
        <f t="shared" ref="O128:O136" si="10">IF($D128-O$106&lt;$G$17,IF($B$23=0,1/$G$17,($B$23*(1+$B$23)^$G$17)/((1+$B$23)^$G$17-1)),0)</f>
        <v>0</v>
      </c>
      <c r="P128" s="201">
        <f t="shared" si="9"/>
        <v>0</v>
      </c>
      <c r="Q128" s="201">
        <f t="shared" si="9"/>
        <v>0</v>
      </c>
      <c r="R128" s="201">
        <f t="shared" si="9"/>
        <v>0</v>
      </c>
      <c r="S128" s="201">
        <f t="shared" si="9"/>
        <v>0</v>
      </c>
      <c r="T128" s="201">
        <f t="shared" si="9"/>
        <v>0</v>
      </c>
      <c r="U128" s="201">
        <f t="shared" si="9"/>
        <v>0</v>
      </c>
      <c r="V128" s="201">
        <f t="shared" si="9"/>
        <v>0</v>
      </c>
      <c r="W128" s="201">
        <f t="shared" si="9"/>
        <v>0.26902704519308257</v>
      </c>
      <c r="X128" s="201">
        <f t="shared" si="9"/>
        <v>0.26902704519308257</v>
      </c>
      <c r="Y128" s="201"/>
      <c r="Z128" s="201">
        <v>0</v>
      </c>
      <c r="AA128" s="201">
        <f t="shared" si="8"/>
        <v>0</v>
      </c>
    </row>
    <row r="129" spans="4:27" x14ac:dyDescent="0.3">
      <c r="D129" s="6">
        <v>23</v>
      </c>
      <c r="E129" s="201">
        <f t="shared" si="7"/>
        <v>0</v>
      </c>
      <c r="F129" s="201">
        <f t="shared" si="7"/>
        <v>0</v>
      </c>
      <c r="G129" s="201">
        <f t="shared" si="7"/>
        <v>0</v>
      </c>
      <c r="H129" s="201">
        <f t="shared" si="7"/>
        <v>0</v>
      </c>
      <c r="I129" s="201">
        <f t="shared" si="7"/>
        <v>0</v>
      </c>
      <c r="J129" s="201">
        <f t="shared" si="7"/>
        <v>0</v>
      </c>
      <c r="K129" s="201">
        <f t="shared" si="7"/>
        <v>0</v>
      </c>
      <c r="L129" s="201">
        <f t="shared" si="7"/>
        <v>0</v>
      </c>
      <c r="M129" s="201">
        <f t="shared" si="7"/>
        <v>0</v>
      </c>
      <c r="N129" s="201">
        <f t="shared" si="7"/>
        <v>0</v>
      </c>
      <c r="O129" s="201">
        <f t="shared" si="10"/>
        <v>0</v>
      </c>
      <c r="P129" s="201">
        <f t="shared" si="9"/>
        <v>0</v>
      </c>
      <c r="Q129" s="201">
        <f t="shared" si="9"/>
        <v>0</v>
      </c>
      <c r="R129" s="201">
        <f t="shared" si="9"/>
        <v>0</v>
      </c>
      <c r="S129" s="201">
        <f t="shared" si="9"/>
        <v>0</v>
      </c>
      <c r="T129" s="201">
        <f t="shared" si="9"/>
        <v>0</v>
      </c>
      <c r="U129" s="201">
        <f t="shared" si="9"/>
        <v>0</v>
      </c>
      <c r="V129" s="201">
        <f t="shared" si="9"/>
        <v>0</v>
      </c>
      <c r="W129" s="201">
        <f t="shared" si="9"/>
        <v>0</v>
      </c>
      <c r="X129" s="201">
        <f t="shared" si="9"/>
        <v>0.26902704519308257</v>
      </c>
      <c r="Y129" s="201"/>
      <c r="Z129" s="201">
        <v>0</v>
      </c>
      <c r="AA129" s="201">
        <f t="shared" si="8"/>
        <v>0</v>
      </c>
    </row>
    <row r="130" spans="4:27" x14ac:dyDescent="0.3">
      <c r="D130" s="6">
        <v>24</v>
      </c>
      <c r="E130" s="201">
        <f t="shared" si="7"/>
        <v>0</v>
      </c>
      <c r="F130" s="201">
        <f t="shared" si="7"/>
        <v>0</v>
      </c>
      <c r="G130" s="201">
        <f t="shared" si="7"/>
        <v>0</v>
      </c>
      <c r="H130" s="201">
        <f t="shared" si="7"/>
        <v>0</v>
      </c>
      <c r="I130" s="201">
        <f t="shared" si="7"/>
        <v>0</v>
      </c>
      <c r="J130" s="201">
        <f t="shared" si="7"/>
        <v>0</v>
      </c>
      <c r="K130" s="201">
        <f t="shared" si="7"/>
        <v>0</v>
      </c>
      <c r="L130" s="201">
        <f t="shared" si="7"/>
        <v>0</v>
      </c>
      <c r="M130" s="201">
        <f t="shared" si="7"/>
        <v>0</v>
      </c>
      <c r="N130" s="201">
        <f t="shared" si="7"/>
        <v>0</v>
      </c>
      <c r="O130" s="201">
        <f t="shared" si="10"/>
        <v>0</v>
      </c>
      <c r="P130" s="201">
        <f t="shared" si="9"/>
        <v>0</v>
      </c>
      <c r="Q130" s="201">
        <f t="shared" si="9"/>
        <v>0</v>
      </c>
      <c r="R130" s="201">
        <f t="shared" si="9"/>
        <v>0</v>
      </c>
      <c r="S130" s="201">
        <f t="shared" si="9"/>
        <v>0</v>
      </c>
      <c r="T130" s="201">
        <f t="shared" si="9"/>
        <v>0</v>
      </c>
      <c r="U130" s="201">
        <f t="shared" si="9"/>
        <v>0</v>
      </c>
      <c r="V130" s="201">
        <f t="shared" si="9"/>
        <v>0</v>
      </c>
      <c r="W130" s="201">
        <f t="shared" si="9"/>
        <v>0</v>
      </c>
      <c r="X130" s="201">
        <f t="shared" si="9"/>
        <v>0</v>
      </c>
      <c r="Y130" s="201"/>
      <c r="Z130" s="201">
        <v>0</v>
      </c>
      <c r="AA130" s="201">
        <f t="shared" si="8"/>
        <v>0</v>
      </c>
    </row>
    <row r="131" spans="4:27" x14ac:dyDescent="0.3">
      <c r="D131" s="6">
        <v>25</v>
      </c>
      <c r="E131" s="201">
        <f t="shared" si="7"/>
        <v>0</v>
      </c>
      <c r="F131" s="201">
        <f t="shared" si="7"/>
        <v>0</v>
      </c>
      <c r="G131" s="201">
        <f t="shared" si="7"/>
        <v>0</v>
      </c>
      <c r="H131" s="201">
        <f t="shared" si="7"/>
        <v>0</v>
      </c>
      <c r="I131" s="201">
        <f t="shared" si="7"/>
        <v>0</v>
      </c>
      <c r="J131" s="201">
        <f t="shared" si="7"/>
        <v>0</v>
      </c>
      <c r="K131" s="201">
        <f t="shared" si="7"/>
        <v>0</v>
      </c>
      <c r="L131" s="201">
        <f t="shared" si="7"/>
        <v>0</v>
      </c>
      <c r="M131" s="201">
        <f t="shared" si="7"/>
        <v>0</v>
      </c>
      <c r="N131" s="201">
        <f t="shared" si="7"/>
        <v>0</v>
      </c>
      <c r="O131" s="201">
        <f t="shared" si="10"/>
        <v>0</v>
      </c>
      <c r="P131" s="201">
        <f t="shared" si="9"/>
        <v>0</v>
      </c>
      <c r="Q131" s="201">
        <f t="shared" si="9"/>
        <v>0</v>
      </c>
      <c r="R131" s="201">
        <f t="shared" si="9"/>
        <v>0</v>
      </c>
      <c r="S131" s="201">
        <f t="shared" si="9"/>
        <v>0</v>
      </c>
      <c r="T131" s="201">
        <f t="shared" si="9"/>
        <v>0</v>
      </c>
      <c r="U131" s="201">
        <f t="shared" si="9"/>
        <v>0</v>
      </c>
      <c r="V131" s="201">
        <f t="shared" si="9"/>
        <v>0</v>
      </c>
      <c r="W131" s="201">
        <f t="shared" si="9"/>
        <v>0</v>
      </c>
      <c r="X131" s="201">
        <f t="shared" si="9"/>
        <v>0</v>
      </c>
      <c r="Y131" s="201"/>
      <c r="Z131" s="201">
        <v>0</v>
      </c>
      <c r="AA131" s="201">
        <f t="shared" si="8"/>
        <v>0</v>
      </c>
    </row>
    <row r="132" spans="4:27" x14ac:dyDescent="0.3">
      <c r="D132" s="6">
        <v>26</v>
      </c>
      <c r="E132" s="201">
        <f t="shared" si="7"/>
        <v>0</v>
      </c>
      <c r="F132" s="201">
        <f t="shared" si="7"/>
        <v>0</v>
      </c>
      <c r="G132" s="201">
        <f t="shared" si="7"/>
        <v>0</v>
      </c>
      <c r="H132" s="201">
        <f t="shared" si="7"/>
        <v>0</v>
      </c>
      <c r="I132" s="201">
        <f t="shared" si="7"/>
        <v>0</v>
      </c>
      <c r="J132" s="201">
        <f t="shared" si="7"/>
        <v>0</v>
      </c>
      <c r="K132" s="201">
        <f t="shared" si="7"/>
        <v>0</v>
      </c>
      <c r="L132" s="201">
        <f t="shared" si="7"/>
        <v>0</v>
      </c>
      <c r="M132" s="201">
        <f t="shared" si="7"/>
        <v>0</v>
      </c>
      <c r="N132" s="201">
        <f t="shared" si="7"/>
        <v>0</v>
      </c>
      <c r="O132" s="201">
        <f t="shared" si="10"/>
        <v>0</v>
      </c>
      <c r="P132" s="201">
        <f t="shared" si="9"/>
        <v>0</v>
      </c>
      <c r="Q132" s="201">
        <f t="shared" si="9"/>
        <v>0</v>
      </c>
      <c r="R132" s="201">
        <f t="shared" si="9"/>
        <v>0</v>
      </c>
      <c r="S132" s="201">
        <f t="shared" si="9"/>
        <v>0</v>
      </c>
      <c r="T132" s="201">
        <f t="shared" si="9"/>
        <v>0</v>
      </c>
      <c r="U132" s="201">
        <f t="shared" si="9"/>
        <v>0</v>
      </c>
      <c r="V132" s="201">
        <f t="shared" si="9"/>
        <v>0</v>
      </c>
      <c r="W132" s="201">
        <f t="shared" si="9"/>
        <v>0</v>
      </c>
      <c r="X132" s="201">
        <f t="shared" si="9"/>
        <v>0</v>
      </c>
      <c r="Y132" s="201"/>
      <c r="Z132" s="201">
        <v>0</v>
      </c>
      <c r="AA132" s="201">
        <f t="shared" si="8"/>
        <v>0</v>
      </c>
    </row>
    <row r="133" spans="4:27" x14ac:dyDescent="0.3">
      <c r="D133" s="6">
        <v>27</v>
      </c>
      <c r="E133" s="201">
        <f t="shared" si="7"/>
        <v>0</v>
      </c>
      <c r="F133" s="201">
        <f t="shared" si="7"/>
        <v>0</v>
      </c>
      <c r="G133" s="201">
        <f t="shared" si="7"/>
        <v>0</v>
      </c>
      <c r="H133" s="201">
        <f t="shared" si="7"/>
        <v>0</v>
      </c>
      <c r="I133" s="201">
        <f t="shared" si="7"/>
        <v>0</v>
      </c>
      <c r="J133" s="201">
        <f t="shared" si="7"/>
        <v>0</v>
      </c>
      <c r="K133" s="201">
        <f t="shared" si="7"/>
        <v>0</v>
      </c>
      <c r="L133" s="201">
        <f t="shared" si="7"/>
        <v>0</v>
      </c>
      <c r="M133" s="201">
        <f t="shared" si="7"/>
        <v>0</v>
      </c>
      <c r="N133" s="201">
        <f t="shared" si="7"/>
        <v>0</v>
      </c>
      <c r="O133" s="201">
        <f t="shared" si="10"/>
        <v>0</v>
      </c>
      <c r="P133" s="201">
        <f t="shared" si="9"/>
        <v>0</v>
      </c>
      <c r="Q133" s="201">
        <f t="shared" si="9"/>
        <v>0</v>
      </c>
      <c r="R133" s="201">
        <f t="shared" si="9"/>
        <v>0</v>
      </c>
      <c r="S133" s="201">
        <f t="shared" si="9"/>
        <v>0</v>
      </c>
      <c r="T133" s="201">
        <f t="shared" si="9"/>
        <v>0</v>
      </c>
      <c r="U133" s="201">
        <f t="shared" si="9"/>
        <v>0</v>
      </c>
      <c r="V133" s="201">
        <f t="shared" si="9"/>
        <v>0</v>
      </c>
      <c r="W133" s="201">
        <f t="shared" si="9"/>
        <v>0</v>
      </c>
      <c r="X133" s="201">
        <f t="shared" si="9"/>
        <v>0</v>
      </c>
      <c r="Y133" s="201"/>
      <c r="Z133" s="201">
        <v>0</v>
      </c>
      <c r="AA133" s="201">
        <f t="shared" si="8"/>
        <v>0</v>
      </c>
    </row>
    <row r="134" spans="4:27" x14ac:dyDescent="0.3">
      <c r="D134" s="6">
        <v>28</v>
      </c>
      <c r="E134" s="201">
        <f t="shared" si="7"/>
        <v>0</v>
      </c>
      <c r="F134" s="201">
        <f t="shared" si="7"/>
        <v>0</v>
      </c>
      <c r="G134" s="201">
        <f t="shared" si="7"/>
        <v>0</v>
      </c>
      <c r="H134" s="201">
        <f t="shared" si="7"/>
        <v>0</v>
      </c>
      <c r="I134" s="201">
        <f t="shared" si="7"/>
        <v>0</v>
      </c>
      <c r="J134" s="201">
        <f t="shared" si="7"/>
        <v>0</v>
      </c>
      <c r="K134" s="201">
        <f t="shared" si="7"/>
        <v>0</v>
      </c>
      <c r="L134" s="201">
        <f t="shared" si="7"/>
        <v>0</v>
      </c>
      <c r="M134" s="201">
        <f t="shared" si="7"/>
        <v>0</v>
      </c>
      <c r="N134" s="201">
        <f t="shared" si="7"/>
        <v>0</v>
      </c>
      <c r="O134" s="201">
        <f t="shared" si="10"/>
        <v>0</v>
      </c>
      <c r="P134" s="201">
        <f t="shared" si="9"/>
        <v>0</v>
      </c>
      <c r="Q134" s="201">
        <f t="shared" si="9"/>
        <v>0</v>
      </c>
      <c r="R134" s="201">
        <f t="shared" si="9"/>
        <v>0</v>
      </c>
      <c r="S134" s="201">
        <f t="shared" si="9"/>
        <v>0</v>
      </c>
      <c r="T134" s="201">
        <f t="shared" si="9"/>
        <v>0</v>
      </c>
      <c r="U134" s="201">
        <f t="shared" si="9"/>
        <v>0</v>
      </c>
      <c r="V134" s="201">
        <f t="shared" si="9"/>
        <v>0</v>
      </c>
      <c r="W134" s="201">
        <f t="shared" si="9"/>
        <v>0</v>
      </c>
      <c r="X134" s="201">
        <f t="shared" si="9"/>
        <v>0</v>
      </c>
      <c r="Y134" s="201"/>
      <c r="Z134" s="201">
        <v>0</v>
      </c>
      <c r="AA134" s="201">
        <f t="shared" si="8"/>
        <v>0</v>
      </c>
    </row>
    <row r="135" spans="4:27" x14ac:dyDescent="0.3">
      <c r="D135" s="6">
        <v>29</v>
      </c>
      <c r="E135" s="201">
        <f t="shared" si="7"/>
        <v>0</v>
      </c>
      <c r="F135" s="201">
        <f t="shared" si="7"/>
        <v>0</v>
      </c>
      <c r="G135" s="201">
        <f t="shared" si="7"/>
        <v>0</v>
      </c>
      <c r="H135" s="201">
        <f t="shared" si="7"/>
        <v>0</v>
      </c>
      <c r="I135" s="201">
        <f t="shared" si="7"/>
        <v>0</v>
      </c>
      <c r="J135" s="201">
        <f t="shared" si="7"/>
        <v>0</v>
      </c>
      <c r="K135" s="201">
        <f t="shared" si="7"/>
        <v>0</v>
      </c>
      <c r="L135" s="201">
        <f t="shared" si="7"/>
        <v>0</v>
      </c>
      <c r="M135" s="201">
        <f t="shared" si="7"/>
        <v>0</v>
      </c>
      <c r="N135" s="201">
        <f t="shared" si="7"/>
        <v>0</v>
      </c>
      <c r="O135" s="201">
        <f t="shared" si="10"/>
        <v>0</v>
      </c>
      <c r="P135" s="201">
        <f t="shared" si="9"/>
        <v>0</v>
      </c>
      <c r="Q135" s="201">
        <f t="shared" si="9"/>
        <v>0</v>
      </c>
      <c r="R135" s="201">
        <f t="shared" si="9"/>
        <v>0</v>
      </c>
      <c r="S135" s="201">
        <f t="shared" si="9"/>
        <v>0</v>
      </c>
      <c r="T135" s="201">
        <f t="shared" si="9"/>
        <v>0</v>
      </c>
      <c r="U135" s="201">
        <f t="shared" si="9"/>
        <v>0</v>
      </c>
      <c r="V135" s="201">
        <f t="shared" si="9"/>
        <v>0</v>
      </c>
      <c r="W135" s="201">
        <f t="shared" si="9"/>
        <v>0</v>
      </c>
      <c r="X135" s="201">
        <f t="shared" si="9"/>
        <v>0</v>
      </c>
      <c r="Y135" s="201"/>
      <c r="Z135" s="201">
        <v>0</v>
      </c>
      <c r="AA135" s="201">
        <f t="shared" si="8"/>
        <v>0</v>
      </c>
    </row>
    <row r="136" spans="4:27" x14ac:dyDescent="0.3">
      <c r="D136" s="6">
        <v>30</v>
      </c>
      <c r="E136" s="201">
        <f t="shared" si="7"/>
        <v>0</v>
      </c>
      <c r="F136" s="201">
        <f t="shared" si="7"/>
        <v>0</v>
      </c>
      <c r="G136" s="201">
        <f t="shared" si="7"/>
        <v>0</v>
      </c>
      <c r="H136" s="201">
        <f t="shared" si="7"/>
        <v>0</v>
      </c>
      <c r="I136" s="201">
        <f t="shared" si="7"/>
        <v>0</v>
      </c>
      <c r="J136" s="201">
        <f t="shared" si="7"/>
        <v>0</v>
      </c>
      <c r="K136" s="201">
        <f t="shared" si="7"/>
        <v>0</v>
      </c>
      <c r="L136" s="201">
        <f t="shared" si="7"/>
        <v>0</v>
      </c>
      <c r="M136" s="201">
        <f t="shared" si="7"/>
        <v>0</v>
      </c>
      <c r="N136" s="201">
        <f t="shared" si="7"/>
        <v>0</v>
      </c>
      <c r="O136" s="201">
        <f t="shared" si="10"/>
        <v>0</v>
      </c>
      <c r="P136" s="201">
        <f t="shared" si="9"/>
        <v>0</v>
      </c>
      <c r="Q136" s="201">
        <f t="shared" si="9"/>
        <v>0</v>
      </c>
      <c r="R136" s="201">
        <f t="shared" si="9"/>
        <v>0</v>
      </c>
      <c r="S136" s="201">
        <f t="shared" si="9"/>
        <v>0</v>
      </c>
      <c r="T136" s="201">
        <f t="shared" si="9"/>
        <v>0</v>
      </c>
      <c r="U136" s="201">
        <f t="shared" si="9"/>
        <v>0</v>
      </c>
      <c r="V136" s="201">
        <f t="shared" si="9"/>
        <v>0</v>
      </c>
      <c r="W136" s="201">
        <f t="shared" si="9"/>
        <v>0</v>
      </c>
      <c r="X136" s="201">
        <f t="shared" si="9"/>
        <v>0</v>
      </c>
      <c r="Y136" s="201"/>
      <c r="Z136" s="201">
        <v>0</v>
      </c>
      <c r="AA136" s="201">
        <f t="shared" si="8"/>
        <v>0</v>
      </c>
    </row>
  </sheetData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651C-670F-4A34-931D-1E6CBBE5BD5B}">
  <sheetPr>
    <tabColor theme="5" tint="-0.249977111117893"/>
  </sheetPr>
  <dimension ref="A1:AJ133"/>
  <sheetViews>
    <sheetView workbookViewId="0"/>
  </sheetViews>
  <sheetFormatPr defaultColWidth="9.21875" defaultRowHeight="14.4" x14ac:dyDescent="0.3"/>
  <cols>
    <col min="1" max="1" width="17.21875" style="10" customWidth="1"/>
    <col min="2" max="2" width="20.77734375" style="10" customWidth="1"/>
    <col min="3" max="3" width="8.44140625" style="10" customWidth="1"/>
    <col min="4" max="4" width="8.21875" style="10" customWidth="1"/>
    <col min="5" max="50" width="7.44140625" style="10" customWidth="1"/>
    <col min="51" max="16384" width="9.21875" style="10"/>
  </cols>
  <sheetData>
    <row r="1" spans="1:28" x14ac:dyDescent="0.3">
      <c r="E1" s="11"/>
      <c r="F1" s="11" t="s">
        <v>112</v>
      </c>
      <c r="G1" s="11" t="s">
        <v>260</v>
      </c>
      <c r="I1" s="10" t="s">
        <v>426</v>
      </c>
    </row>
    <row r="2" spans="1:28" x14ac:dyDescent="0.3">
      <c r="D2" s="10" t="s">
        <v>2</v>
      </c>
      <c r="E2" s="11" t="s">
        <v>36</v>
      </c>
      <c r="F2" s="11" t="s">
        <v>126</v>
      </c>
      <c r="G2" s="11" t="s">
        <v>213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268</v>
      </c>
      <c r="O2" s="11" t="s">
        <v>269</v>
      </c>
      <c r="P2" s="11" t="s">
        <v>270</v>
      </c>
      <c r="Q2" s="11" t="s">
        <v>271</v>
      </c>
      <c r="R2" s="11" t="s">
        <v>272</v>
      </c>
      <c r="S2" s="11" t="s">
        <v>273</v>
      </c>
      <c r="T2" s="11" t="s">
        <v>274</v>
      </c>
      <c r="U2" s="11" t="s">
        <v>275</v>
      </c>
      <c r="V2" s="11" t="s">
        <v>276</v>
      </c>
      <c r="W2" s="11" t="s">
        <v>277</v>
      </c>
      <c r="X2" s="11" t="s">
        <v>278</v>
      </c>
      <c r="Y2" s="11" t="s">
        <v>279</v>
      </c>
      <c r="Z2" s="11" t="s">
        <v>280</v>
      </c>
      <c r="AA2" s="11" t="s">
        <v>281</v>
      </c>
      <c r="AB2" s="11" t="s">
        <v>282</v>
      </c>
    </row>
    <row r="3" spans="1:28" x14ac:dyDescent="0.3">
      <c r="A3" s="10" t="s">
        <v>14</v>
      </c>
      <c r="B3" s="10" t="s">
        <v>17</v>
      </c>
      <c r="C3" s="10" t="s">
        <v>427</v>
      </c>
      <c r="D3" s="10" t="s">
        <v>36</v>
      </c>
      <c r="E3" s="10">
        <v>0</v>
      </c>
      <c r="F3" s="9">
        <v>0</v>
      </c>
      <c r="G3" s="9">
        <v>0</v>
      </c>
      <c r="I3" s="3">
        <v>2000</v>
      </c>
      <c r="J3" s="3">
        <f t="shared" ref="J3:AB3" si="0">I3*(1+$B$20)</f>
        <v>2400</v>
      </c>
      <c r="K3" s="3">
        <f t="shared" si="0"/>
        <v>2880</v>
      </c>
      <c r="L3" s="3">
        <f t="shared" si="0"/>
        <v>3456</v>
      </c>
      <c r="M3" s="3">
        <f t="shared" si="0"/>
        <v>4147.2</v>
      </c>
      <c r="N3" s="3">
        <f t="shared" si="0"/>
        <v>4976.6399999999994</v>
      </c>
      <c r="O3" s="3">
        <f t="shared" si="0"/>
        <v>5971.9679999999989</v>
      </c>
      <c r="P3" s="3">
        <f t="shared" si="0"/>
        <v>7166.3615999999984</v>
      </c>
      <c r="Q3" s="3">
        <f t="shared" si="0"/>
        <v>8599.6339199999984</v>
      </c>
      <c r="R3" s="3">
        <f t="shared" si="0"/>
        <v>10319.560703999998</v>
      </c>
      <c r="S3" s="3">
        <f t="shared" si="0"/>
        <v>12383.472844799997</v>
      </c>
      <c r="T3" s="3">
        <f t="shared" si="0"/>
        <v>14860.167413759995</v>
      </c>
      <c r="U3" s="3">
        <f t="shared" si="0"/>
        <v>17832.200896511993</v>
      </c>
      <c r="V3" s="3">
        <f t="shared" si="0"/>
        <v>21398.64107581439</v>
      </c>
      <c r="W3" s="3">
        <f t="shared" si="0"/>
        <v>25678.369290977269</v>
      </c>
      <c r="X3" s="3">
        <f t="shared" si="0"/>
        <v>30814.043149172721</v>
      </c>
      <c r="Y3" s="3">
        <f t="shared" si="0"/>
        <v>36976.851779007266</v>
      </c>
      <c r="Z3" s="3">
        <f t="shared" si="0"/>
        <v>44372.222134808719</v>
      </c>
      <c r="AA3" s="3">
        <f t="shared" si="0"/>
        <v>53246.666561770464</v>
      </c>
      <c r="AB3" s="3">
        <f t="shared" si="0"/>
        <v>63895.999874124551</v>
      </c>
    </row>
    <row r="4" spans="1:28" x14ac:dyDescent="0.3">
      <c r="A4" s="10" t="s">
        <v>19</v>
      </c>
      <c r="B4" s="10" t="s">
        <v>120</v>
      </c>
      <c r="D4" s="10" t="s">
        <v>7</v>
      </c>
      <c r="E4" s="9">
        <v>1</v>
      </c>
      <c r="F4" s="10">
        <v>0</v>
      </c>
      <c r="G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</row>
    <row r="6" spans="1:28" x14ac:dyDescent="0.3">
      <c r="D6" s="10" t="s">
        <v>49</v>
      </c>
      <c r="E6" s="11" t="s">
        <v>36</v>
      </c>
      <c r="F6" s="11" t="s">
        <v>126</v>
      </c>
      <c r="G6" s="11" t="s">
        <v>213</v>
      </c>
      <c r="I6" s="10" t="s">
        <v>11</v>
      </c>
    </row>
    <row r="7" spans="1:28" x14ac:dyDescent="0.3">
      <c r="A7" s="10" t="s">
        <v>14</v>
      </c>
      <c r="B7" s="10" t="s">
        <v>17</v>
      </c>
      <c r="D7" s="10" t="s">
        <v>36</v>
      </c>
      <c r="E7" s="10">
        <v>1</v>
      </c>
      <c r="F7" s="9">
        <v>0</v>
      </c>
      <c r="G7" s="9">
        <v>0</v>
      </c>
      <c r="I7" s="3">
        <f t="array" ref="I7:AB8">MMULT(E7:G8-E3:G4,TRANSPOSE(E23:G42))</f>
        <v>2000</v>
      </c>
      <c r="J7" s="3">
        <v>2400</v>
      </c>
      <c r="K7" s="3">
        <v>2880</v>
      </c>
      <c r="L7" s="3">
        <v>3456</v>
      </c>
      <c r="M7" s="3">
        <v>4147.2</v>
      </c>
      <c r="N7" s="3">
        <v>4976.6400000000003</v>
      </c>
      <c r="O7" s="3">
        <v>5971.9679999999998</v>
      </c>
      <c r="P7" s="3">
        <v>7166.3616000000002</v>
      </c>
      <c r="Q7" s="3">
        <v>8599.6339200000002</v>
      </c>
      <c r="R7" s="3">
        <v>10319.560704</v>
      </c>
      <c r="S7" s="3">
        <v>12383.472844800001</v>
      </c>
      <c r="T7" s="3">
        <v>14860.16741376</v>
      </c>
      <c r="U7" s="3">
        <v>17832.200896512</v>
      </c>
      <c r="V7" s="3">
        <v>21398.641075814401</v>
      </c>
      <c r="W7" s="3">
        <v>25678.369290977302</v>
      </c>
      <c r="X7" s="3">
        <v>30814.043149172699</v>
      </c>
      <c r="Y7" s="3">
        <v>36976.851779007302</v>
      </c>
      <c r="Z7" s="3">
        <v>44372.222134808697</v>
      </c>
      <c r="AA7" s="3">
        <v>53246.6665617705</v>
      </c>
      <c r="AB7" s="3">
        <v>63895.999874124602</v>
      </c>
    </row>
    <row r="8" spans="1:28" x14ac:dyDescent="0.3">
      <c r="A8" s="10" t="s">
        <v>19</v>
      </c>
      <c r="B8" s="10" t="s">
        <v>120</v>
      </c>
      <c r="D8" s="10" t="s">
        <v>7</v>
      </c>
      <c r="E8" s="9">
        <v>0</v>
      </c>
      <c r="F8" s="10">
        <v>1</v>
      </c>
      <c r="G8" s="10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4.5474735088646412E-13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-1.3642420526593924E-12</v>
      </c>
      <c r="V8" s="1">
        <v>0</v>
      </c>
      <c r="W8" s="1">
        <v>1.3642420526593924E-12</v>
      </c>
      <c r="X8" s="1">
        <v>-9.0949470177292824E-13</v>
      </c>
      <c r="Y8" s="1">
        <v>-2.7284841053187847E-12</v>
      </c>
      <c r="Z8" s="1">
        <v>2.7284841053187847E-12</v>
      </c>
      <c r="AA8" s="1">
        <v>1.3642420526593924E-12</v>
      </c>
      <c r="AB8" s="1">
        <v>-2.7284841053187847E-12</v>
      </c>
    </row>
    <row r="10" spans="1:28" x14ac:dyDescent="0.3">
      <c r="A10" s="10" t="s">
        <v>14</v>
      </c>
      <c r="B10" s="10" t="s">
        <v>428</v>
      </c>
      <c r="C10" s="10" t="s">
        <v>64</v>
      </c>
      <c r="D10" s="10" t="s">
        <v>45</v>
      </c>
      <c r="F10" s="9">
        <v>0.1</v>
      </c>
      <c r="G10" s="9">
        <v>0</v>
      </c>
    </row>
    <row r="11" spans="1:28" x14ac:dyDescent="0.3">
      <c r="B11" s="10" t="s">
        <v>429</v>
      </c>
      <c r="C11" s="10" t="s">
        <v>258</v>
      </c>
      <c r="D11" s="10" t="s">
        <v>46</v>
      </c>
      <c r="F11" s="3">
        <v>600</v>
      </c>
      <c r="G11" s="3">
        <v>1500</v>
      </c>
    </row>
    <row r="13" spans="1:28" x14ac:dyDescent="0.3">
      <c r="A13" s="10" t="s">
        <v>221</v>
      </c>
      <c r="B13" s="10" t="s">
        <v>430</v>
      </c>
      <c r="D13" s="10" t="s">
        <v>223</v>
      </c>
      <c r="F13" s="9">
        <v>0</v>
      </c>
      <c r="G13" s="9">
        <v>0.13</v>
      </c>
    </row>
    <row r="14" spans="1:28" x14ac:dyDescent="0.3">
      <c r="B14" s="10" t="s">
        <v>431</v>
      </c>
      <c r="D14" s="10" t="s">
        <v>225</v>
      </c>
      <c r="F14" s="9">
        <v>0.9</v>
      </c>
      <c r="G14" s="9">
        <v>0</v>
      </c>
    </row>
    <row r="15" spans="1:28" x14ac:dyDescent="0.3">
      <c r="B15" s="10" t="s">
        <v>432</v>
      </c>
      <c r="D15" s="10" t="s">
        <v>370</v>
      </c>
      <c r="F15" s="9">
        <v>0.9</v>
      </c>
      <c r="G15" s="9">
        <v>0</v>
      </c>
    </row>
    <row r="16" spans="1:28" x14ac:dyDescent="0.3">
      <c r="B16" s="10" t="s">
        <v>434</v>
      </c>
      <c r="D16" s="10" t="s">
        <v>372</v>
      </c>
      <c r="F16" s="3">
        <v>10</v>
      </c>
      <c r="G16" s="3">
        <v>20</v>
      </c>
    </row>
    <row r="20" spans="1:36" x14ac:dyDescent="0.3">
      <c r="A20" s="10" t="s">
        <v>435</v>
      </c>
      <c r="B20" s="200">
        <v>0.2</v>
      </c>
      <c r="E20" s="198" t="s">
        <v>436</v>
      </c>
      <c r="F20" s="9"/>
      <c r="G20" s="9"/>
      <c r="H20" s="9"/>
      <c r="I20" s="9" t="s">
        <v>427</v>
      </c>
      <c r="J20" s="9"/>
      <c r="K20" s="9"/>
      <c r="M20" s="198" t="s">
        <v>437</v>
      </c>
      <c r="N20" s="9"/>
      <c r="O20" s="9"/>
      <c r="P20" s="9"/>
      <c r="Q20" s="9"/>
      <c r="S20" s="198" t="s">
        <v>438</v>
      </c>
      <c r="T20" s="9"/>
      <c r="V20" s="198" t="s">
        <v>439</v>
      </c>
      <c r="W20" s="9"/>
      <c r="X20" s="9"/>
      <c r="Y20" s="9"/>
      <c r="Z20" s="9"/>
      <c r="AA20" s="9"/>
      <c r="AB20" s="9"/>
      <c r="AC20" s="9"/>
      <c r="AE20" s="198" t="s">
        <v>440</v>
      </c>
      <c r="AF20" s="9"/>
      <c r="AG20" s="9"/>
      <c r="AH20" s="9"/>
      <c r="AI20" s="9"/>
      <c r="AJ20" s="9"/>
    </row>
    <row r="21" spans="1:36" x14ac:dyDescent="0.3">
      <c r="A21" s="10" t="s">
        <v>261</v>
      </c>
      <c r="B21" s="202">
        <v>0</v>
      </c>
      <c r="E21" s="10" t="s">
        <v>441</v>
      </c>
      <c r="I21" s="11" t="s">
        <v>442</v>
      </c>
      <c r="J21" s="11" t="s">
        <v>229</v>
      </c>
      <c r="K21" s="11" t="s">
        <v>443</v>
      </c>
      <c r="M21" s="10" t="s">
        <v>444</v>
      </c>
      <c r="P21" s="10" t="s">
        <v>448</v>
      </c>
      <c r="S21" s="10" t="s">
        <v>449</v>
      </c>
      <c r="V21" s="10" t="s">
        <v>450</v>
      </c>
      <c r="Y21" s="10" t="s">
        <v>451</v>
      </c>
      <c r="AB21" s="10" t="s">
        <v>452</v>
      </c>
      <c r="AE21" s="10" t="s">
        <v>450</v>
      </c>
      <c r="AH21" s="10" t="s">
        <v>451</v>
      </c>
    </row>
    <row r="22" spans="1:36" x14ac:dyDescent="0.3">
      <c r="A22" s="10" t="s">
        <v>453</v>
      </c>
      <c r="B22" s="202">
        <v>0</v>
      </c>
      <c r="E22" s="11" t="s">
        <v>36</v>
      </c>
      <c r="F22" s="199" t="s">
        <v>126</v>
      </c>
      <c r="G22" s="11" t="s">
        <v>213</v>
      </c>
      <c r="I22" s="11" t="s">
        <v>126</v>
      </c>
      <c r="J22" s="11" t="s">
        <v>126</v>
      </c>
      <c r="K22" s="11" t="s">
        <v>213</v>
      </c>
      <c r="M22" s="11" t="s">
        <v>126</v>
      </c>
      <c r="N22" s="11" t="s">
        <v>213</v>
      </c>
      <c r="P22" s="11" t="s">
        <v>126</v>
      </c>
      <c r="Q22" s="11" t="s">
        <v>213</v>
      </c>
      <c r="S22" s="11" t="s">
        <v>126</v>
      </c>
      <c r="T22" s="11" t="s">
        <v>213</v>
      </c>
      <c r="V22" s="11" t="s">
        <v>126</v>
      </c>
      <c r="W22" s="11" t="s">
        <v>213</v>
      </c>
      <c r="Y22" s="11" t="s">
        <v>126</v>
      </c>
      <c r="Z22" s="11" t="s">
        <v>213</v>
      </c>
      <c r="AB22" s="11" t="s">
        <v>126</v>
      </c>
      <c r="AC22" s="11" t="s">
        <v>213</v>
      </c>
      <c r="AE22" s="11" t="s">
        <v>126</v>
      </c>
      <c r="AF22" s="11" t="s">
        <v>213</v>
      </c>
    </row>
    <row r="23" spans="1:36" x14ac:dyDescent="0.3">
      <c r="D23" s="6">
        <v>1</v>
      </c>
      <c r="E23" s="5">
        <v>2000</v>
      </c>
      <c r="F23" s="174">
        <v>2000</v>
      </c>
      <c r="G23" s="5">
        <v>0</v>
      </c>
      <c r="I23" s="1">
        <f t="array" ref="I23:I42">P23:P42*8760*F14/1000</f>
        <v>1999.9999999999998</v>
      </c>
      <c r="J23" s="1">
        <f t="array" ref="J23:J42">P23:P42*8760*F15/1000</f>
        <v>1999.9999999999998</v>
      </c>
      <c r="K23" s="1">
        <f t="array" ref="K23:K42">Q23:Q42*8760*G13/1000</f>
        <v>0</v>
      </c>
      <c r="M23" s="1">
        <v>0</v>
      </c>
      <c r="N23" s="1">
        <v>0</v>
      </c>
      <c r="P23" s="1">
        <f>I3/(F15*0.001*8760)</f>
        <v>253.67833587011668</v>
      </c>
      <c r="Q23" s="1">
        <v>0</v>
      </c>
      <c r="S23" s="10">
        <f t="array" ref="S23">F23*1000/P23/8760</f>
        <v>0.9</v>
      </c>
      <c r="V23" s="27">
        <f t="array" ref="V23:W42">MMULT(F23:G42*1000,F10:G10*_xlfn.MUNIT(2))*0.000001</f>
        <v>0.19999999999999998</v>
      </c>
      <c r="W23" s="27">
        <v>0</v>
      </c>
      <c r="Y23" s="27">
        <f t="array" ref="Y23:Z42">MMULT(M23:N42,F11:G11*_xlfn.MUNIT(2))*0.000001</f>
        <v>0</v>
      </c>
      <c r="Z23" s="27">
        <v>0</v>
      </c>
      <c r="AB23" s="1">
        <f t="array" ref="AB23:AC42">V23:W42+Y23:Z42</f>
        <v>0.19999999999999998</v>
      </c>
      <c r="AC23" s="1">
        <v>0</v>
      </c>
      <c r="AE23" s="10">
        <f>V23*(1/(1+$B$21)^($D23-1))</f>
        <v>0.19999999999999998</v>
      </c>
      <c r="AF23" s="10">
        <f>W23*(1/(1+$B$21)^($D23-1))</f>
        <v>0</v>
      </c>
    </row>
    <row r="24" spans="1:36" x14ac:dyDescent="0.3">
      <c r="A24" s="10" t="s">
        <v>459</v>
      </c>
      <c r="B24" s="76">
        <f>SUM(AB23:AC42)</f>
        <v>40.882645975075505</v>
      </c>
      <c r="D24" s="6">
        <v>2</v>
      </c>
      <c r="E24" s="5">
        <v>2400</v>
      </c>
      <c r="F24" s="174">
        <v>2000</v>
      </c>
      <c r="G24" s="5">
        <v>400</v>
      </c>
      <c r="I24" s="1">
        <v>1999.9999999999998</v>
      </c>
      <c r="J24" s="1">
        <v>1999.9999999999998</v>
      </c>
      <c r="K24" s="1">
        <v>400</v>
      </c>
      <c r="M24" s="5">
        <v>0</v>
      </c>
      <c r="N24" s="5">
        <v>351.24692658939233</v>
      </c>
      <c r="P24" s="180">
        <f t="array" ref="P24:Q24">P23:Q23+M24:N24</f>
        <v>253.67833587011668</v>
      </c>
      <c r="Q24" s="180">
        <v>351.24692658939233</v>
      </c>
      <c r="S24" s="10">
        <f t="array" ref="S24:T42">F24:G42*1000/P24:Q42/8760</f>
        <v>0.9</v>
      </c>
      <c r="T24" s="10">
        <v>0.13</v>
      </c>
      <c r="V24" s="27">
        <v>0.19999999999999998</v>
      </c>
      <c r="W24" s="27">
        <v>0</v>
      </c>
      <c r="Y24" s="27">
        <v>0</v>
      </c>
      <c r="Z24" s="27">
        <v>0.52687038988408852</v>
      </c>
      <c r="AB24" s="1">
        <v>0.19999999999999998</v>
      </c>
      <c r="AC24" s="1">
        <v>0.52687038988408852</v>
      </c>
      <c r="AE24" s="10">
        <f t="shared" ref="AE24:AF42" si="1">V24*(1/(1+$B$21)^($D24-1))</f>
        <v>0.19999999999999998</v>
      </c>
      <c r="AF24" s="10">
        <f t="shared" si="1"/>
        <v>0</v>
      </c>
    </row>
    <row r="25" spans="1:36" x14ac:dyDescent="0.3">
      <c r="D25" s="6">
        <v>3</v>
      </c>
      <c r="E25" s="5">
        <v>2880</v>
      </c>
      <c r="F25" s="174">
        <v>2000</v>
      </c>
      <c r="G25" s="5">
        <v>880</v>
      </c>
      <c r="I25" s="1">
        <v>1999.9999999999998</v>
      </c>
      <c r="J25" s="1">
        <v>1999.9999999999998</v>
      </c>
      <c r="K25" s="1">
        <v>880</v>
      </c>
      <c r="M25" s="5">
        <v>0</v>
      </c>
      <c r="N25" s="5">
        <v>421.49631190727081</v>
      </c>
      <c r="P25" s="180">
        <f t="array" ref="P25:Q25">P24:Q24+M25:N25</f>
        <v>253.67833587011668</v>
      </c>
      <c r="Q25" s="180">
        <v>772.74323849666314</v>
      </c>
      <c r="S25" s="10">
        <v>0.9</v>
      </c>
      <c r="T25" s="10">
        <v>0.13</v>
      </c>
      <c r="V25" s="27">
        <v>0.19999999999999998</v>
      </c>
      <c r="W25" s="27">
        <v>0</v>
      </c>
      <c r="Y25" s="27">
        <v>0</v>
      </c>
      <c r="Z25" s="27">
        <v>0.63224446786090627</v>
      </c>
      <c r="AB25" s="1">
        <v>0.19999999999999998</v>
      </c>
      <c r="AC25" s="1">
        <v>0.63224446786090627</v>
      </c>
      <c r="AE25" s="10">
        <f t="shared" si="1"/>
        <v>0.19999999999999998</v>
      </c>
      <c r="AF25" s="10">
        <f t="shared" si="1"/>
        <v>0</v>
      </c>
    </row>
    <row r="26" spans="1:36" x14ac:dyDescent="0.3">
      <c r="A26" s="10" t="s">
        <v>455</v>
      </c>
      <c r="B26" s="10" t="s">
        <v>353</v>
      </c>
      <c r="D26" s="6">
        <v>4</v>
      </c>
      <c r="E26" s="5">
        <v>3456</v>
      </c>
      <c r="F26" s="174">
        <v>2576</v>
      </c>
      <c r="G26" s="5">
        <v>880</v>
      </c>
      <c r="I26" s="1">
        <v>2575.9999999999991</v>
      </c>
      <c r="J26" s="1">
        <v>2575.9999999999991</v>
      </c>
      <c r="K26" s="1">
        <v>880</v>
      </c>
      <c r="M26" s="5">
        <v>73.059360730593511</v>
      </c>
      <c r="N26" s="5">
        <v>0</v>
      </c>
      <c r="P26" s="180">
        <f t="array" ref="P26:Q26">P25:Q25+M26:N26</f>
        <v>326.73769660071019</v>
      </c>
      <c r="Q26" s="180">
        <v>772.74323849666314</v>
      </c>
      <c r="S26" s="10">
        <v>0.90000000000000036</v>
      </c>
      <c r="T26" s="10">
        <v>0.13</v>
      </c>
      <c r="V26" s="27">
        <v>0.2576</v>
      </c>
      <c r="W26" s="27">
        <v>0</v>
      </c>
      <c r="Y26" s="27">
        <v>4.3835616438356102E-2</v>
      </c>
      <c r="Z26" s="27">
        <v>0</v>
      </c>
      <c r="AB26" s="1">
        <v>0.30143561643835609</v>
      </c>
      <c r="AC26" s="1">
        <v>0</v>
      </c>
      <c r="AE26" s="10">
        <f t="shared" si="1"/>
        <v>0.2576</v>
      </c>
      <c r="AF26" s="10">
        <f t="shared" si="1"/>
        <v>0</v>
      </c>
    </row>
    <row r="27" spans="1:36" x14ac:dyDescent="0.3">
      <c r="A27" s="10" t="s">
        <v>456</v>
      </c>
      <c r="B27" s="76">
        <f>SUM(AE23:AE37)</f>
        <v>13.223021574586372</v>
      </c>
      <c r="D27" s="6">
        <v>5</v>
      </c>
      <c r="E27" s="5">
        <v>4147.2</v>
      </c>
      <c r="F27" s="174">
        <v>3267.2</v>
      </c>
      <c r="G27" s="5">
        <v>880</v>
      </c>
      <c r="I27" s="1">
        <v>3267.1999999999975</v>
      </c>
      <c r="J27" s="1">
        <v>3267.1999999999975</v>
      </c>
      <c r="K27" s="1">
        <v>880</v>
      </c>
      <c r="M27" s="5">
        <v>87.671232876712196</v>
      </c>
      <c r="N27" s="5">
        <v>0</v>
      </c>
      <c r="P27" s="180">
        <f t="array" ref="P27:Q27">P26:Q26+M27:N27</f>
        <v>414.40892947742236</v>
      </c>
      <c r="Q27" s="180">
        <v>772.74323849666314</v>
      </c>
      <c r="S27" s="10">
        <v>0.90000000000000058</v>
      </c>
      <c r="T27" s="10">
        <v>0.13</v>
      </c>
      <c r="V27" s="27">
        <v>0.32672000000000001</v>
      </c>
      <c r="W27" s="27">
        <v>0</v>
      </c>
      <c r="Y27" s="27">
        <v>5.2602739726027317E-2</v>
      </c>
      <c r="Z27" s="27">
        <v>0</v>
      </c>
      <c r="AB27" s="1">
        <v>0.37932273972602731</v>
      </c>
      <c r="AC27" s="1">
        <v>0</v>
      </c>
      <c r="AE27" s="10">
        <f t="shared" si="1"/>
        <v>0.32672000000000001</v>
      </c>
      <c r="AF27" s="10">
        <f t="shared" si="1"/>
        <v>0</v>
      </c>
    </row>
    <row r="28" spans="1:36" x14ac:dyDescent="0.3">
      <c r="A28" s="10" t="s">
        <v>457</v>
      </c>
      <c r="B28" s="76">
        <f>SUM(AA71:AA95,AA104:AA128)</f>
        <v>5.1163886999786925</v>
      </c>
      <c r="D28" s="6">
        <v>6</v>
      </c>
      <c r="E28" s="5">
        <v>4976.6400000000003</v>
      </c>
      <c r="F28" s="174">
        <v>4096.6400000000003</v>
      </c>
      <c r="G28" s="5">
        <v>880</v>
      </c>
      <c r="I28" s="1">
        <v>4096.6399999999976</v>
      </c>
      <c r="J28" s="1">
        <v>4096.6399999999976</v>
      </c>
      <c r="K28" s="1">
        <v>880</v>
      </c>
      <c r="M28" s="5">
        <v>105.20547945205472</v>
      </c>
      <c r="N28" s="5">
        <v>0</v>
      </c>
      <c r="P28" s="180">
        <f t="array" ref="P28:Q28">P27:Q27+M28:N28</f>
        <v>519.61440892947712</v>
      </c>
      <c r="Q28" s="180">
        <v>772.74323849666314</v>
      </c>
      <c r="S28" s="10">
        <v>0.90000000000000058</v>
      </c>
      <c r="T28" s="10">
        <v>0.13</v>
      </c>
      <c r="V28" s="27">
        <v>0.40966400000000003</v>
      </c>
      <c r="W28" s="27">
        <v>0</v>
      </c>
      <c r="Y28" s="27">
        <v>6.3123287671232819E-2</v>
      </c>
      <c r="Z28" s="27">
        <v>0</v>
      </c>
      <c r="AB28" s="1">
        <v>0.47278728767123285</v>
      </c>
      <c r="AC28" s="1">
        <v>0</v>
      </c>
      <c r="AE28" s="10">
        <f t="shared" si="1"/>
        <v>0.40966400000000003</v>
      </c>
      <c r="AF28" s="10">
        <f t="shared" si="1"/>
        <v>0</v>
      </c>
    </row>
    <row r="29" spans="1:36" x14ac:dyDescent="0.3">
      <c r="A29" s="10" t="s">
        <v>458</v>
      </c>
      <c r="B29" s="76">
        <f>B27+B28</f>
        <v>18.339410274565065</v>
      </c>
      <c r="D29" s="6">
        <v>7</v>
      </c>
      <c r="E29" s="5">
        <v>5971.9679999999998</v>
      </c>
      <c r="F29" s="174">
        <v>5091.968000000008</v>
      </c>
      <c r="G29" s="5">
        <v>879.99999999999227</v>
      </c>
      <c r="I29" s="1">
        <v>5091.9680000000035</v>
      </c>
      <c r="J29" s="1">
        <v>5091.9680000000035</v>
      </c>
      <c r="K29" s="1">
        <v>880</v>
      </c>
      <c r="M29" s="5">
        <v>126.24657534246657</v>
      </c>
      <c r="N29" s="5">
        <v>0</v>
      </c>
      <c r="P29" s="180">
        <f t="array" ref="P29:Q29">P28:Q28+M29:N29</f>
        <v>645.86098427194372</v>
      </c>
      <c r="Q29" s="180">
        <v>772.74323849666314</v>
      </c>
      <c r="S29" s="10">
        <v>0.90000000000000069</v>
      </c>
      <c r="T29" s="10">
        <v>0.12999999999999887</v>
      </c>
      <c r="V29" s="27">
        <v>0.50919680000000089</v>
      </c>
      <c r="W29" s="27">
        <v>0</v>
      </c>
      <c r="Y29" s="27">
        <v>7.574794520547995E-2</v>
      </c>
      <c r="Z29" s="27">
        <v>0</v>
      </c>
      <c r="AB29" s="1">
        <v>0.58494474520548079</v>
      </c>
      <c r="AC29" s="1">
        <v>0</v>
      </c>
      <c r="AE29" s="10">
        <f t="shared" si="1"/>
        <v>0.50919680000000089</v>
      </c>
      <c r="AF29" s="10">
        <f t="shared" si="1"/>
        <v>0</v>
      </c>
    </row>
    <row r="30" spans="1:36" x14ac:dyDescent="0.3">
      <c r="D30" s="6">
        <v>8</v>
      </c>
      <c r="E30" s="5">
        <v>7166.3616000000002</v>
      </c>
      <c r="F30" s="174">
        <v>6286.3616000000002</v>
      </c>
      <c r="G30" s="5">
        <v>880</v>
      </c>
      <c r="I30" s="1">
        <v>6286.3615999999947</v>
      </c>
      <c r="J30" s="1">
        <v>6286.3615999999947</v>
      </c>
      <c r="K30" s="1">
        <v>880</v>
      </c>
      <c r="M30" s="5">
        <v>151.49589041095771</v>
      </c>
      <c r="N30" s="5">
        <v>0</v>
      </c>
      <c r="P30" s="180">
        <f t="array" ref="P30:Q30">P29:Q29+M30:N30</f>
        <v>797.35687468290143</v>
      </c>
      <c r="Q30" s="180">
        <v>772.74323849666314</v>
      </c>
      <c r="S30" s="10">
        <v>0.9000000000000008</v>
      </c>
      <c r="T30" s="10">
        <v>0.13</v>
      </c>
      <c r="V30" s="27">
        <v>0.62863616000000011</v>
      </c>
      <c r="W30" s="27">
        <v>0</v>
      </c>
      <c r="Y30" s="27">
        <v>9.0897534246574624E-2</v>
      </c>
      <c r="Z30" s="27">
        <v>0</v>
      </c>
      <c r="AB30" s="1">
        <v>0.71953369424657476</v>
      </c>
      <c r="AC30" s="1">
        <v>0</v>
      </c>
      <c r="AE30" s="10">
        <f t="shared" si="1"/>
        <v>0.62863616000000011</v>
      </c>
      <c r="AF30" s="10">
        <f t="shared" si="1"/>
        <v>0</v>
      </c>
    </row>
    <row r="31" spans="1:36" x14ac:dyDescent="0.3">
      <c r="D31" s="6">
        <v>9</v>
      </c>
      <c r="E31" s="5">
        <v>8599.6339200000002</v>
      </c>
      <c r="F31" s="174">
        <v>7719.6339200000002</v>
      </c>
      <c r="G31" s="5">
        <v>880</v>
      </c>
      <c r="I31" s="1">
        <v>7719.6339199999948</v>
      </c>
      <c r="J31" s="1">
        <v>7719.6339199999948</v>
      </c>
      <c r="K31" s="1">
        <v>880</v>
      </c>
      <c r="M31" s="5">
        <v>181.79506849315047</v>
      </c>
      <c r="N31" s="5">
        <v>0</v>
      </c>
      <c r="P31" s="180">
        <f t="array" ref="P31:Q31">P30:Q30+M31:N31</f>
        <v>979.15194317605187</v>
      </c>
      <c r="Q31" s="180">
        <v>772.74323849666314</v>
      </c>
      <c r="S31" s="10">
        <v>0.9000000000000008</v>
      </c>
      <c r="T31" s="10">
        <v>0.13</v>
      </c>
      <c r="V31" s="27">
        <v>0.77196339199999997</v>
      </c>
      <c r="W31" s="27">
        <v>0</v>
      </c>
      <c r="Y31" s="27">
        <v>0.10907704109589027</v>
      </c>
      <c r="Z31" s="27">
        <v>0</v>
      </c>
      <c r="AB31" s="1">
        <v>0.8810404330958902</v>
      </c>
      <c r="AC31" s="1">
        <v>0</v>
      </c>
      <c r="AE31" s="10">
        <f t="shared" si="1"/>
        <v>0.77196339199999997</v>
      </c>
      <c r="AF31" s="10">
        <f t="shared" si="1"/>
        <v>0</v>
      </c>
    </row>
    <row r="32" spans="1:36" x14ac:dyDescent="0.3">
      <c r="D32" s="6">
        <v>10</v>
      </c>
      <c r="E32" s="5">
        <v>10319.560704</v>
      </c>
      <c r="F32" s="174">
        <v>9439.5607039999995</v>
      </c>
      <c r="G32" s="5">
        <v>880</v>
      </c>
      <c r="I32" s="1">
        <v>9439.5607039999904</v>
      </c>
      <c r="J32" s="1">
        <v>9439.5607039999904</v>
      </c>
      <c r="K32" s="1">
        <v>880</v>
      </c>
      <c r="M32" s="5">
        <v>218.15408219178045</v>
      </c>
      <c r="N32" s="5">
        <v>0</v>
      </c>
      <c r="P32" s="180">
        <f t="array" ref="P32:Q32">P31:Q31+M32:N32</f>
        <v>1197.3060253678323</v>
      </c>
      <c r="Q32" s="180">
        <v>772.74323849666314</v>
      </c>
      <c r="S32" s="10">
        <v>0.90000000000000102</v>
      </c>
      <c r="T32" s="10">
        <v>0.13</v>
      </c>
      <c r="V32" s="27">
        <v>0.94395607040000007</v>
      </c>
      <c r="W32" s="27">
        <v>0</v>
      </c>
      <c r="Y32" s="27">
        <v>0.13089244931506827</v>
      </c>
      <c r="Z32" s="27">
        <v>0</v>
      </c>
      <c r="AB32" s="1">
        <v>1.0748485197150683</v>
      </c>
      <c r="AC32" s="1">
        <v>0</v>
      </c>
      <c r="AE32" s="10">
        <f t="shared" si="1"/>
        <v>0.94395607040000007</v>
      </c>
      <c r="AF32" s="10">
        <f t="shared" si="1"/>
        <v>0</v>
      </c>
    </row>
    <row r="33" spans="4:32" x14ac:dyDescent="0.3">
      <c r="D33" s="6">
        <v>11</v>
      </c>
      <c r="E33" s="5">
        <v>12383.472844800001</v>
      </c>
      <c r="F33" s="174">
        <v>11503.472844800001</v>
      </c>
      <c r="G33" s="5">
        <v>880</v>
      </c>
      <c r="I33" s="1">
        <v>11503.47284479999</v>
      </c>
      <c r="J33" s="1">
        <v>11503.47284479999</v>
      </c>
      <c r="K33" s="1">
        <v>880</v>
      </c>
      <c r="M33" s="5">
        <v>261.78489863013687</v>
      </c>
      <c r="N33" s="5">
        <v>0</v>
      </c>
      <c r="P33" s="180">
        <f t="array" ref="P33:Q33">P32:Q32+M33:N33</f>
        <v>1459.0909239979692</v>
      </c>
      <c r="Q33" s="180">
        <v>772.74323849666314</v>
      </c>
      <c r="S33" s="10">
        <v>0.90000000000000091</v>
      </c>
      <c r="T33" s="10">
        <v>0.13</v>
      </c>
      <c r="V33" s="27">
        <v>1.15034728448</v>
      </c>
      <c r="W33" s="27">
        <v>0</v>
      </c>
      <c r="Y33" s="27">
        <v>0.15707093917808213</v>
      </c>
      <c r="Z33" s="27">
        <v>0</v>
      </c>
      <c r="AB33" s="1">
        <v>1.307418223658082</v>
      </c>
      <c r="AC33" s="1">
        <v>0</v>
      </c>
      <c r="AE33" s="10">
        <f t="shared" si="1"/>
        <v>1.15034728448</v>
      </c>
      <c r="AF33" s="10">
        <f t="shared" si="1"/>
        <v>0</v>
      </c>
    </row>
    <row r="34" spans="4:32" x14ac:dyDescent="0.3">
      <c r="D34" s="6">
        <v>12</v>
      </c>
      <c r="E34" s="5">
        <v>14860.16741376</v>
      </c>
      <c r="F34" s="174">
        <v>13980.16741376</v>
      </c>
      <c r="G34" s="5">
        <v>880</v>
      </c>
      <c r="I34" s="1">
        <v>13980.167413759986</v>
      </c>
      <c r="J34" s="1">
        <v>13980.167413759986</v>
      </c>
      <c r="K34" s="1">
        <v>880</v>
      </c>
      <c r="M34" s="5">
        <v>314.14187835616406</v>
      </c>
      <c r="N34" s="5">
        <v>0</v>
      </c>
      <c r="P34" s="180">
        <f t="array" ref="P34:Q34">P33:Q33+M34:N34</f>
        <v>1773.2328023541331</v>
      </c>
      <c r="Q34" s="180">
        <v>772.74323849666314</v>
      </c>
      <c r="S34" s="10">
        <v>0.90000000000000091</v>
      </c>
      <c r="T34" s="10">
        <v>0.13</v>
      </c>
      <c r="V34" s="27">
        <v>1.3980167413760001</v>
      </c>
      <c r="W34" s="27">
        <v>0</v>
      </c>
      <c r="Y34" s="27">
        <v>0.18848512701369841</v>
      </c>
      <c r="Z34" s="27">
        <v>0</v>
      </c>
      <c r="AB34" s="1">
        <v>1.5865018683896985</v>
      </c>
      <c r="AC34" s="1">
        <v>0</v>
      </c>
      <c r="AE34" s="10">
        <f t="shared" si="1"/>
        <v>1.3980167413760001</v>
      </c>
      <c r="AF34" s="10">
        <f t="shared" si="1"/>
        <v>0</v>
      </c>
    </row>
    <row r="35" spans="4:32" x14ac:dyDescent="0.3">
      <c r="D35" s="6">
        <v>13</v>
      </c>
      <c r="E35" s="5">
        <v>17832.200896512</v>
      </c>
      <c r="F35" s="174">
        <v>16952.200896512022</v>
      </c>
      <c r="G35" s="5">
        <v>879.99999999997681</v>
      </c>
      <c r="I35" s="1">
        <v>16952.200896512</v>
      </c>
      <c r="J35" s="1">
        <v>16952.200896512</v>
      </c>
      <c r="K35" s="1">
        <v>880</v>
      </c>
      <c r="M35" s="5">
        <v>376.97025402739933</v>
      </c>
      <c r="N35" s="5">
        <v>0</v>
      </c>
      <c r="P35" s="180">
        <f t="array" ref="P35:Q35">P34:Q34+M35:N35</f>
        <v>2150.2030563815324</v>
      </c>
      <c r="Q35" s="180">
        <v>772.74323849666314</v>
      </c>
      <c r="S35" s="10">
        <v>0.90000000000000102</v>
      </c>
      <c r="T35" s="10">
        <v>0.12999999999999656</v>
      </c>
      <c r="V35" s="27">
        <v>1.695220089651202</v>
      </c>
      <c r="W35" s="27">
        <v>0</v>
      </c>
      <c r="Y35" s="27">
        <v>0.2261821524164396</v>
      </c>
      <c r="Z35" s="27">
        <v>0</v>
      </c>
      <c r="AB35" s="1">
        <v>1.9214022420676415</v>
      </c>
      <c r="AC35" s="1">
        <v>0</v>
      </c>
      <c r="AE35" s="10">
        <f t="shared" si="1"/>
        <v>1.695220089651202</v>
      </c>
      <c r="AF35" s="10">
        <f t="shared" si="1"/>
        <v>0</v>
      </c>
    </row>
    <row r="36" spans="4:32" x14ac:dyDescent="0.3">
      <c r="D36" s="6">
        <v>14</v>
      </c>
      <c r="E36" s="5">
        <v>21398.641075814401</v>
      </c>
      <c r="F36" s="174">
        <v>20518.641075814401</v>
      </c>
      <c r="G36" s="5">
        <v>880</v>
      </c>
      <c r="I36" s="1">
        <v>20518.641075814372</v>
      </c>
      <c r="J36" s="1">
        <v>20518.641075814372</v>
      </c>
      <c r="K36" s="1">
        <v>880</v>
      </c>
      <c r="M36" s="5">
        <v>452.3643048328729</v>
      </c>
      <c r="N36" s="5">
        <v>0</v>
      </c>
      <c r="P36" s="180">
        <f t="array" ref="P36:Q36">P35:Q35+M36:N36</f>
        <v>2602.5673612144055</v>
      </c>
      <c r="Q36" s="180">
        <v>772.74323849666314</v>
      </c>
      <c r="S36" s="10">
        <v>0.90000000000000113</v>
      </c>
      <c r="T36" s="10">
        <v>0.13</v>
      </c>
      <c r="V36" s="27">
        <v>2.0518641075814399</v>
      </c>
      <c r="W36" s="27">
        <v>0</v>
      </c>
      <c r="Y36" s="27">
        <v>0.2714185828997237</v>
      </c>
      <c r="Z36" s="27">
        <v>0</v>
      </c>
      <c r="AB36" s="1">
        <v>2.3232826904811636</v>
      </c>
      <c r="AC36" s="1">
        <v>0</v>
      </c>
      <c r="AE36" s="10">
        <f t="shared" si="1"/>
        <v>2.0518641075814399</v>
      </c>
      <c r="AF36" s="10">
        <f t="shared" si="1"/>
        <v>0</v>
      </c>
    </row>
    <row r="37" spans="4:32" x14ac:dyDescent="0.3">
      <c r="D37" s="6">
        <v>15</v>
      </c>
      <c r="E37" s="5">
        <v>25678.369290977302</v>
      </c>
      <c r="F37" s="174">
        <v>24798.36929097728</v>
      </c>
      <c r="G37" s="5">
        <v>880.00000000002319</v>
      </c>
      <c r="I37" s="1">
        <v>24798.369290977251</v>
      </c>
      <c r="J37" s="1">
        <v>24798.369290977251</v>
      </c>
      <c r="K37" s="1">
        <v>880</v>
      </c>
      <c r="M37" s="5">
        <v>542.83716579945178</v>
      </c>
      <c r="N37" s="5">
        <v>0</v>
      </c>
      <c r="P37" s="180">
        <f t="array" ref="P37:Q37">P36:Q36+M37:N37</f>
        <v>3145.4045270138572</v>
      </c>
      <c r="Q37" s="180">
        <v>772.74323849666314</v>
      </c>
      <c r="S37" s="10">
        <v>0.90000000000000113</v>
      </c>
      <c r="T37" s="10">
        <v>0.13000000000000342</v>
      </c>
      <c r="V37" s="27">
        <v>2.4798369290977282</v>
      </c>
      <c r="W37" s="27">
        <v>0</v>
      </c>
      <c r="Y37" s="27">
        <v>0.32570229947967105</v>
      </c>
      <c r="Z37" s="27">
        <v>0</v>
      </c>
      <c r="AB37" s="1">
        <v>2.8055392285773992</v>
      </c>
      <c r="AC37" s="1">
        <v>0</v>
      </c>
      <c r="AE37" s="10">
        <f t="shared" si="1"/>
        <v>2.4798369290977282</v>
      </c>
      <c r="AF37" s="10">
        <f t="shared" si="1"/>
        <v>0</v>
      </c>
    </row>
    <row r="38" spans="4:32" x14ac:dyDescent="0.3">
      <c r="D38" s="203">
        <v>16</v>
      </c>
      <c r="E38" s="204">
        <v>30814.043149172699</v>
      </c>
      <c r="F38" s="205">
        <v>28666.843149172699</v>
      </c>
      <c r="G38" s="204">
        <v>2147.1999999999998</v>
      </c>
      <c r="H38" s="206"/>
      <c r="I38" s="204">
        <v>29934.043149172703</v>
      </c>
      <c r="J38" s="204">
        <v>29934.043149172703</v>
      </c>
      <c r="K38" s="204">
        <v>880</v>
      </c>
      <c r="L38" s="206"/>
      <c r="M38" s="204">
        <v>651.40459895934168</v>
      </c>
      <c r="N38" s="204">
        <v>0</v>
      </c>
      <c r="O38" s="206"/>
      <c r="P38" s="204">
        <f t="array" ref="P38:Q38">P37:Q37+M38:N38</f>
        <v>3796.8091259731991</v>
      </c>
      <c r="Q38" s="204">
        <v>772.74323849666314</v>
      </c>
      <c r="R38" s="206"/>
      <c r="S38" s="206">
        <v>0.86190023531680771</v>
      </c>
      <c r="T38" s="206">
        <v>0.31719999999999998</v>
      </c>
      <c r="U38" s="206"/>
      <c r="V38" s="207">
        <v>2.8666843149172698</v>
      </c>
      <c r="W38" s="207">
        <v>0</v>
      </c>
      <c r="X38" s="206"/>
      <c r="Y38" s="207">
        <v>0.39084275937560503</v>
      </c>
      <c r="Z38" s="207">
        <v>0</v>
      </c>
      <c r="AA38" s="206"/>
      <c r="AB38" s="204">
        <v>3.257527074292875</v>
      </c>
      <c r="AC38" s="204">
        <v>0</v>
      </c>
      <c r="AD38" s="206"/>
      <c r="AE38" s="206">
        <f t="shared" si="1"/>
        <v>2.8666843149172698</v>
      </c>
      <c r="AF38" s="206">
        <f t="shared" si="1"/>
        <v>0</v>
      </c>
    </row>
    <row r="39" spans="4:32" x14ac:dyDescent="0.3">
      <c r="D39" s="203">
        <v>17</v>
      </c>
      <c r="E39" s="204">
        <v>36976.851779007302</v>
      </c>
      <c r="F39" s="205">
        <v>34829.651779007356</v>
      </c>
      <c r="G39" s="204">
        <v>2147.1999999999434</v>
      </c>
      <c r="H39" s="206"/>
      <c r="I39" s="204">
        <v>36096.851779007353</v>
      </c>
      <c r="J39" s="204">
        <v>36096.851779007353</v>
      </c>
      <c r="K39" s="204">
        <v>880</v>
      </c>
      <c r="L39" s="206"/>
      <c r="M39" s="204">
        <v>781.68551875122341</v>
      </c>
      <c r="N39" s="204">
        <v>0</v>
      </c>
      <c r="O39" s="206"/>
      <c r="P39" s="204">
        <f t="array" ref="P39:Q39">P38:Q38+M39:N39</f>
        <v>4578.4946447244229</v>
      </c>
      <c r="Q39" s="204">
        <v>772.74323849666314</v>
      </c>
      <c r="R39" s="206"/>
      <c r="S39" s="206">
        <v>0.86840500088533312</v>
      </c>
      <c r="T39" s="206">
        <v>0.31719999999999171</v>
      </c>
      <c r="U39" s="206"/>
      <c r="V39" s="207">
        <v>3.4829651779007351</v>
      </c>
      <c r="W39" s="207">
        <v>0</v>
      </c>
      <c r="X39" s="206"/>
      <c r="Y39" s="207">
        <v>0.46901131125073403</v>
      </c>
      <c r="Z39" s="207">
        <v>0</v>
      </c>
      <c r="AA39" s="206"/>
      <c r="AB39" s="204">
        <v>3.9519764891514693</v>
      </c>
      <c r="AC39" s="204">
        <v>0</v>
      </c>
      <c r="AD39" s="206"/>
      <c r="AE39" s="206">
        <f t="shared" si="1"/>
        <v>3.4829651779007351</v>
      </c>
      <c r="AF39" s="206">
        <f t="shared" si="1"/>
        <v>0</v>
      </c>
    </row>
    <row r="40" spans="4:32" x14ac:dyDescent="0.3">
      <c r="D40" s="203">
        <v>18</v>
      </c>
      <c r="E40" s="204">
        <v>44372.222134808697</v>
      </c>
      <c r="F40" s="205">
        <v>42225.0221348087</v>
      </c>
      <c r="G40" s="204">
        <v>2147.1999999999998</v>
      </c>
      <c r="H40" s="206"/>
      <c r="I40" s="204">
        <v>43492.22213480869</v>
      </c>
      <c r="J40" s="204">
        <v>43492.22213480869</v>
      </c>
      <c r="K40" s="204">
        <v>880</v>
      </c>
      <c r="L40" s="206"/>
      <c r="M40" s="204">
        <v>938.0226225014386</v>
      </c>
      <c r="N40" s="204">
        <v>0</v>
      </c>
      <c r="O40" s="206"/>
      <c r="P40" s="204">
        <f t="array" ref="P40:Q40">P39:Q39+M40:N40</f>
        <v>5516.5172672258614</v>
      </c>
      <c r="Q40" s="204">
        <v>772.74323849666314</v>
      </c>
      <c r="R40" s="206"/>
      <c r="S40" s="206">
        <v>0.8737773803218204</v>
      </c>
      <c r="T40" s="206">
        <v>0.31719999999999998</v>
      </c>
      <c r="U40" s="206"/>
      <c r="V40" s="207">
        <v>4.2225022134808698</v>
      </c>
      <c r="W40" s="207">
        <v>0</v>
      </c>
      <c r="X40" s="206"/>
      <c r="Y40" s="207">
        <v>0.56281357350086314</v>
      </c>
      <c r="Z40" s="207">
        <v>0</v>
      </c>
      <c r="AA40" s="206"/>
      <c r="AB40" s="204">
        <v>4.7853157869817329</v>
      </c>
      <c r="AC40" s="204">
        <v>0</v>
      </c>
      <c r="AD40" s="206"/>
      <c r="AE40" s="206">
        <f t="shared" si="1"/>
        <v>4.2225022134808698</v>
      </c>
      <c r="AF40" s="206">
        <f t="shared" si="1"/>
        <v>0</v>
      </c>
    </row>
    <row r="41" spans="4:32" x14ac:dyDescent="0.3">
      <c r="D41" s="203">
        <v>19</v>
      </c>
      <c r="E41" s="204">
        <v>53246.6665617705</v>
      </c>
      <c r="F41" s="205">
        <v>51099.466561770445</v>
      </c>
      <c r="G41" s="204">
        <v>2147.2000000000567</v>
      </c>
      <c r="H41" s="206"/>
      <c r="I41" s="204">
        <v>52366.666561770435</v>
      </c>
      <c r="J41" s="204">
        <v>52366.666561770435</v>
      </c>
      <c r="K41" s="204">
        <v>880</v>
      </c>
      <c r="L41" s="206"/>
      <c r="M41" s="204">
        <v>1125.627147001743</v>
      </c>
      <c r="N41" s="204">
        <v>0</v>
      </c>
      <c r="O41" s="206"/>
      <c r="P41" s="204">
        <f t="array" ref="P41:Q41">P40:Q40+M41:N41</f>
        <v>6642.1444142276041</v>
      </c>
      <c r="Q41" s="204">
        <v>772.74323849666314</v>
      </c>
      <c r="R41" s="206"/>
      <c r="S41" s="206">
        <v>0.87822126030010517</v>
      </c>
      <c r="T41" s="206">
        <v>0.31720000000000842</v>
      </c>
      <c r="U41" s="206"/>
      <c r="V41" s="207">
        <v>5.109946656177045</v>
      </c>
      <c r="W41" s="207">
        <v>0</v>
      </c>
      <c r="X41" s="206"/>
      <c r="Y41" s="207">
        <v>0.67537628820104578</v>
      </c>
      <c r="Z41" s="207">
        <v>0</v>
      </c>
      <c r="AA41" s="206"/>
      <c r="AB41" s="204">
        <v>5.7853229443780911</v>
      </c>
      <c r="AC41" s="204">
        <v>0</v>
      </c>
      <c r="AD41" s="206"/>
      <c r="AE41" s="206">
        <f t="shared" si="1"/>
        <v>5.109946656177045</v>
      </c>
      <c r="AF41" s="206">
        <f t="shared" si="1"/>
        <v>0</v>
      </c>
    </row>
    <row r="42" spans="4:32" x14ac:dyDescent="0.3">
      <c r="D42" s="203">
        <v>20</v>
      </c>
      <c r="E42" s="204">
        <v>63895.999874124602</v>
      </c>
      <c r="F42" s="205">
        <v>61748.799874124656</v>
      </c>
      <c r="G42" s="204">
        <v>2147.1999999999434</v>
      </c>
      <c r="H42" s="206"/>
      <c r="I42" s="204">
        <v>63015.999874124616</v>
      </c>
      <c r="J42" s="204">
        <v>63015.999874124616</v>
      </c>
      <c r="K42" s="204">
        <v>880</v>
      </c>
      <c r="L42" s="206"/>
      <c r="M42" s="204">
        <v>1350.7525764021043</v>
      </c>
      <c r="N42" s="204">
        <v>0</v>
      </c>
      <c r="O42" s="206"/>
      <c r="P42" s="204">
        <f t="array" ref="P42:Q42">P41:Q41+M42:N42</f>
        <v>7992.8969906297079</v>
      </c>
      <c r="Q42" s="204">
        <v>772.74323849666314</v>
      </c>
      <c r="R42" s="206"/>
      <c r="S42" s="206">
        <v>0.88190173920467674</v>
      </c>
      <c r="T42" s="206">
        <v>0.31719999999999171</v>
      </c>
      <c r="U42" s="206"/>
      <c r="V42" s="207">
        <v>6.1748799874124654</v>
      </c>
      <c r="W42" s="207">
        <v>0</v>
      </c>
      <c r="X42" s="206"/>
      <c r="Y42" s="207">
        <v>0.81045154584126256</v>
      </c>
      <c r="Z42" s="207">
        <v>0</v>
      </c>
      <c r="AA42" s="206"/>
      <c r="AB42" s="204">
        <v>6.9853315332537278</v>
      </c>
      <c r="AC42" s="204">
        <v>0</v>
      </c>
      <c r="AD42" s="206"/>
      <c r="AE42" s="206">
        <f t="shared" si="1"/>
        <v>6.1748799874124654</v>
      </c>
      <c r="AF42" s="206">
        <f t="shared" si="1"/>
        <v>0</v>
      </c>
    </row>
    <row r="43" spans="4:32" x14ac:dyDescent="0.3">
      <c r="H43" s="11"/>
    </row>
    <row r="44" spans="4:32" x14ac:dyDescent="0.3">
      <c r="H44" s="11"/>
    </row>
    <row r="45" spans="4:32" x14ac:dyDescent="0.3">
      <c r="H45" s="11"/>
    </row>
    <row r="69" spans="4:27" x14ac:dyDescent="0.3">
      <c r="D69" s="10" t="s">
        <v>112</v>
      </c>
      <c r="E69" s="201">
        <f t="array" ref="E69:X69">TRANSPOSE(M23:M42)*$F$11*0.000001/$F$16</f>
        <v>0</v>
      </c>
      <c r="F69" s="201">
        <v>0</v>
      </c>
      <c r="G69" s="201">
        <v>0</v>
      </c>
      <c r="H69" s="201">
        <v>4.3835616438356101E-3</v>
      </c>
      <c r="I69" s="201">
        <v>5.2602739726027321E-3</v>
      </c>
      <c r="J69" s="201">
        <v>6.3123287671232823E-3</v>
      </c>
      <c r="K69" s="201">
        <v>7.5747945205479946E-3</v>
      </c>
      <c r="L69" s="201">
        <v>9.0897534246574627E-3</v>
      </c>
      <c r="M69" s="201">
        <v>1.0907704109589026E-2</v>
      </c>
      <c r="N69" s="201">
        <v>1.3089244931506826E-2</v>
      </c>
      <c r="O69" s="201">
        <v>1.5707093917808213E-2</v>
      </c>
      <c r="P69" s="201">
        <v>1.8848512701369842E-2</v>
      </c>
      <c r="Q69" s="201">
        <v>2.2618215241643959E-2</v>
      </c>
      <c r="R69" s="201">
        <v>2.714185828997237E-2</v>
      </c>
      <c r="S69" s="201">
        <v>3.2570229947967107E-2</v>
      </c>
      <c r="T69" s="201">
        <v>3.9084275937560503E-2</v>
      </c>
      <c r="U69" s="201">
        <v>4.6901131125073402E-2</v>
      </c>
      <c r="V69" s="201">
        <v>5.6281357350086311E-2</v>
      </c>
      <c r="W69" s="201">
        <v>6.7537628820104584E-2</v>
      </c>
      <c r="X69" s="201">
        <v>8.1045154584126256E-2</v>
      </c>
    </row>
    <row r="70" spans="4:27" x14ac:dyDescent="0.3">
      <c r="D70" s="10" t="s">
        <v>308</v>
      </c>
      <c r="E70" s="2">
        <v>1</v>
      </c>
      <c r="F70" s="2">
        <v>2</v>
      </c>
      <c r="G70" s="2">
        <v>3</v>
      </c>
      <c r="H70" s="2">
        <v>4</v>
      </c>
      <c r="I70" s="2">
        <v>5</v>
      </c>
      <c r="J70" s="2">
        <v>6</v>
      </c>
      <c r="K70" s="2">
        <v>7</v>
      </c>
      <c r="L70" s="2">
        <v>8</v>
      </c>
      <c r="M70" s="2">
        <v>9</v>
      </c>
      <c r="N70" s="2">
        <v>10</v>
      </c>
      <c r="O70" s="2">
        <v>11</v>
      </c>
      <c r="P70" s="2">
        <v>12</v>
      </c>
      <c r="Q70" s="2">
        <v>13</v>
      </c>
      <c r="R70" s="2">
        <v>14</v>
      </c>
      <c r="S70" s="2">
        <v>15</v>
      </c>
      <c r="T70" s="2">
        <v>16</v>
      </c>
      <c r="U70" s="2">
        <v>17</v>
      </c>
      <c r="V70" s="2">
        <v>18</v>
      </c>
      <c r="W70" s="2">
        <v>19</v>
      </c>
      <c r="X70" s="2">
        <v>20</v>
      </c>
      <c r="Z70" s="11" t="s">
        <v>462</v>
      </c>
      <c r="AA70" s="11" t="s">
        <v>463</v>
      </c>
    </row>
    <row r="71" spans="4:27" x14ac:dyDescent="0.3">
      <c r="D71" s="6">
        <v>1</v>
      </c>
      <c r="E71" s="201">
        <f t="shared" ref="E71:T94" si="2">IF($D71-E$70&lt;$F$16,IF($B$22=0,E$69,VLOOKUP(E$70,$D$23:$N$42,10,FALSE)*$F$11*0.000001*($B$22*(1+$B$22)^$F$16)/((1+$B$22)^$F$16-1)),0)</f>
        <v>0</v>
      </c>
      <c r="F71" s="201">
        <v>0</v>
      </c>
      <c r="G71" s="201">
        <v>0</v>
      </c>
      <c r="H71" s="201">
        <v>0</v>
      </c>
      <c r="I71" s="201">
        <v>0</v>
      </c>
      <c r="J71" s="201">
        <v>0</v>
      </c>
      <c r="K71" s="201">
        <v>0</v>
      </c>
      <c r="L71" s="201">
        <v>0</v>
      </c>
      <c r="M71" s="201">
        <v>0</v>
      </c>
      <c r="N71" s="201">
        <v>0</v>
      </c>
      <c r="O71" s="201">
        <v>0</v>
      </c>
      <c r="P71" s="201">
        <v>0</v>
      </c>
      <c r="Q71" s="201">
        <v>0</v>
      </c>
      <c r="R71" s="201">
        <v>0</v>
      </c>
      <c r="S71" s="201">
        <v>0</v>
      </c>
      <c r="T71" s="201">
        <v>0</v>
      </c>
      <c r="U71" s="201">
        <v>0</v>
      </c>
      <c r="V71" s="201">
        <v>0</v>
      </c>
      <c r="W71" s="201">
        <v>0</v>
      </c>
      <c r="X71" s="201">
        <v>0</v>
      </c>
      <c r="Y71" s="201"/>
      <c r="Z71" s="201">
        <f>SUM(E71:X71)</f>
        <v>0</v>
      </c>
      <c r="AA71" s="201">
        <f>Z71*(1/(1+$B$21)^(D71-1))</f>
        <v>0</v>
      </c>
    </row>
    <row r="72" spans="4:27" x14ac:dyDescent="0.3">
      <c r="D72" s="6">
        <v>2</v>
      </c>
      <c r="E72" s="201">
        <f t="shared" si="2"/>
        <v>0</v>
      </c>
      <c r="F72" s="201">
        <f t="shared" si="2"/>
        <v>0</v>
      </c>
      <c r="G72" s="201">
        <v>0</v>
      </c>
      <c r="H72" s="201">
        <v>0</v>
      </c>
      <c r="I72" s="201">
        <v>0</v>
      </c>
      <c r="J72" s="201">
        <v>0</v>
      </c>
      <c r="K72" s="201">
        <v>0</v>
      </c>
      <c r="L72" s="201">
        <v>0</v>
      </c>
      <c r="M72" s="201">
        <v>0</v>
      </c>
      <c r="N72" s="201">
        <v>0</v>
      </c>
      <c r="O72" s="201">
        <v>0</v>
      </c>
      <c r="P72" s="201">
        <v>0</v>
      </c>
      <c r="Q72" s="201">
        <v>0</v>
      </c>
      <c r="R72" s="201">
        <v>0</v>
      </c>
      <c r="S72" s="201">
        <v>0</v>
      </c>
      <c r="T72" s="201">
        <v>0</v>
      </c>
      <c r="U72" s="201">
        <v>0</v>
      </c>
      <c r="V72" s="201">
        <v>0</v>
      </c>
      <c r="W72" s="201">
        <v>0</v>
      </c>
      <c r="X72" s="201">
        <v>0</v>
      </c>
      <c r="Y72" s="201"/>
      <c r="Z72" s="201">
        <f t="shared" ref="Z72:Z100" si="3">SUM(E72:X72)</f>
        <v>0</v>
      </c>
      <c r="AA72" s="201">
        <f t="shared" ref="AA72:AA100" si="4">Z72*(1/(1+$B$21)^(D72-1))</f>
        <v>0</v>
      </c>
    </row>
    <row r="73" spans="4:27" x14ac:dyDescent="0.3">
      <c r="D73" s="6">
        <v>3</v>
      </c>
      <c r="E73" s="201">
        <f t="shared" si="2"/>
        <v>0</v>
      </c>
      <c r="F73" s="201">
        <f t="shared" si="2"/>
        <v>0</v>
      </c>
      <c r="G73" s="201">
        <f t="shared" si="2"/>
        <v>0</v>
      </c>
      <c r="H73" s="201">
        <v>0</v>
      </c>
      <c r="I73" s="201">
        <v>0</v>
      </c>
      <c r="J73" s="201">
        <v>0</v>
      </c>
      <c r="K73" s="201">
        <v>0</v>
      </c>
      <c r="L73" s="201">
        <v>0</v>
      </c>
      <c r="M73" s="201">
        <v>0</v>
      </c>
      <c r="N73" s="201">
        <v>0</v>
      </c>
      <c r="O73" s="201">
        <v>0</v>
      </c>
      <c r="P73" s="201">
        <v>0</v>
      </c>
      <c r="Q73" s="201">
        <v>0</v>
      </c>
      <c r="R73" s="201">
        <v>0</v>
      </c>
      <c r="S73" s="201">
        <v>0</v>
      </c>
      <c r="T73" s="201">
        <v>0</v>
      </c>
      <c r="U73" s="201">
        <v>0</v>
      </c>
      <c r="V73" s="201">
        <v>0</v>
      </c>
      <c r="W73" s="201">
        <v>0</v>
      </c>
      <c r="X73" s="201">
        <v>0</v>
      </c>
      <c r="Y73" s="201"/>
      <c r="Z73" s="201">
        <f t="shared" si="3"/>
        <v>0</v>
      </c>
      <c r="AA73" s="201">
        <f t="shared" si="4"/>
        <v>0</v>
      </c>
    </row>
    <row r="74" spans="4:27" x14ac:dyDescent="0.3">
      <c r="D74" s="6">
        <v>4</v>
      </c>
      <c r="E74" s="201">
        <f t="shared" si="2"/>
        <v>0</v>
      </c>
      <c r="F74" s="201">
        <f t="shared" si="2"/>
        <v>0</v>
      </c>
      <c r="G74" s="201">
        <f t="shared" si="2"/>
        <v>0</v>
      </c>
      <c r="H74" s="201">
        <f t="shared" si="2"/>
        <v>4.3835616438356101E-3</v>
      </c>
      <c r="I74" s="201">
        <v>0</v>
      </c>
      <c r="J74" s="201">
        <v>0</v>
      </c>
      <c r="K74" s="201">
        <v>0</v>
      </c>
      <c r="L74" s="201">
        <v>0</v>
      </c>
      <c r="M74" s="201">
        <v>0</v>
      </c>
      <c r="N74" s="201">
        <v>0</v>
      </c>
      <c r="O74" s="201">
        <v>0</v>
      </c>
      <c r="P74" s="201">
        <v>0</v>
      </c>
      <c r="Q74" s="201">
        <v>0</v>
      </c>
      <c r="R74" s="201">
        <v>0</v>
      </c>
      <c r="S74" s="201">
        <v>0</v>
      </c>
      <c r="T74" s="201">
        <v>0</v>
      </c>
      <c r="U74" s="201">
        <v>0</v>
      </c>
      <c r="V74" s="201">
        <v>0</v>
      </c>
      <c r="W74" s="201">
        <v>0</v>
      </c>
      <c r="X74" s="201">
        <v>0</v>
      </c>
      <c r="Y74" s="201"/>
      <c r="Z74" s="201">
        <f t="shared" si="3"/>
        <v>4.3835616438356101E-3</v>
      </c>
      <c r="AA74" s="201">
        <f t="shared" si="4"/>
        <v>4.3835616438356101E-3</v>
      </c>
    </row>
    <row r="75" spans="4:27" x14ac:dyDescent="0.3">
      <c r="D75" s="6">
        <v>5</v>
      </c>
      <c r="E75" s="201">
        <f t="shared" si="2"/>
        <v>0</v>
      </c>
      <c r="F75" s="201">
        <f t="shared" si="2"/>
        <v>0</v>
      </c>
      <c r="G75" s="201">
        <f t="shared" si="2"/>
        <v>0</v>
      </c>
      <c r="H75" s="201">
        <f t="shared" si="2"/>
        <v>4.3835616438356101E-3</v>
      </c>
      <c r="I75" s="201">
        <f t="shared" si="2"/>
        <v>5.2602739726027321E-3</v>
      </c>
      <c r="J75" s="201">
        <v>0</v>
      </c>
      <c r="K75" s="201">
        <v>0</v>
      </c>
      <c r="L75" s="201">
        <v>0</v>
      </c>
      <c r="M75" s="201">
        <v>0</v>
      </c>
      <c r="N75" s="201">
        <v>0</v>
      </c>
      <c r="O75" s="201">
        <v>0</v>
      </c>
      <c r="P75" s="201">
        <v>0</v>
      </c>
      <c r="Q75" s="201">
        <v>0</v>
      </c>
      <c r="R75" s="201">
        <v>0</v>
      </c>
      <c r="S75" s="201">
        <v>0</v>
      </c>
      <c r="T75" s="201">
        <v>0</v>
      </c>
      <c r="U75" s="201">
        <v>0</v>
      </c>
      <c r="V75" s="201">
        <v>0</v>
      </c>
      <c r="W75" s="201">
        <v>0</v>
      </c>
      <c r="X75" s="201">
        <v>0</v>
      </c>
      <c r="Y75" s="201"/>
      <c r="Z75" s="201">
        <f t="shared" si="3"/>
        <v>9.6438356164383413E-3</v>
      </c>
      <c r="AA75" s="201">
        <f t="shared" si="4"/>
        <v>9.6438356164383413E-3</v>
      </c>
    </row>
    <row r="76" spans="4:27" x14ac:dyDescent="0.3">
      <c r="D76" s="6">
        <v>6</v>
      </c>
      <c r="E76" s="201">
        <f t="shared" si="2"/>
        <v>0</v>
      </c>
      <c r="F76" s="201">
        <f t="shared" si="2"/>
        <v>0</v>
      </c>
      <c r="G76" s="201">
        <f t="shared" si="2"/>
        <v>0</v>
      </c>
      <c r="H76" s="201">
        <f t="shared" si="2"/>
        <v>4.3835616438356101E-3</v>
      </c>
      <c r="I76" s="201">
        <f t="shared" si="2"/>
        <v>5.2602739726027321E-3</v>
      </c>
      <c r="J76" s="201">
        <f t="shared" si="2"/>
        <v>6.3123287671232823E-3</v>
      </c>
      <c r="K76" s="201">
        <v>0</v>
      </c>
      <c r="L76" s="201">
        <v>0</v>
      </c>
      <c r="M76" s="201">
        <v>0</v>
      </c>
      <c r="N76" s="201">
        <v>0</v>
      </c>
      <c r="O76" s="201">
        <v>0</v>
      </c>
      <c r="P76" s="201">
        <v>0</v>
      </c>
      <c r="Q76" s="201">
        <v>0</v>
      </c>
      <c r="R76" s="201">
        <v>0</v>
      </c>
      <c r="S76" s="201">
        <v>0</v>
      </c>
      <c r="T76" s="201">
        <v>0</v>
      </c>
      <c r="U76" s="201">
        <v>0</v>
      </c>
      <c r="V76" s="201">
        <v>0</v>
      </c>
      <c r="W76" s="201">
        <v>0</v>
      </c>
      <c r="X76" s="201">
        <v>0</v>
      </c>
      <c r="Y76" s="201"/>
      <c r="Z76" s="201">
        <f t="shared" si="3"/>
        <v>1.5956164383561622E-2</v>
      </c>
      <c r="AA76" s="201">
        <f t="shared" si="4"/>
        <v>1.5956164383561622E-2</v>
      </c>
    </row>
    <row r="77" spans="4:27" x14ac:dyDescent="0.3">
      <c r="D77" s="6">
        <v>7</v>
      </c>
      <c r="E77" s="201">
        <f t="shared" si="2"/>
        <v>0</v>
      </c>
      <c r="F77" s="201">
        <f t="shared" si="2"/>
        <v>0</v>
      </c>
      <c r="G77" s="201">
        <f t="shared" si="2"/>
        <v>0</v>
      </c>
      <c r="H77" s="201">
        <f t="shared" si="2"/>
        <v>4.3835616438356101E-3</v>
      </c>
      <c r="I77" s="201">
        <f t="shared" si="2"/>
        <v>5.2602739726027321E-3</v>
      </c>
      <c r="J77" s="201">
        <f t="shared" si="2"/>
        <v>6.3123287671232823E-3</v>
      </c>
      <c r="K77" s="201">
        <f t="shared" si="2"/>
        <v>7.5747945205479946E-3</v>
      </c>
      <c r="L77" s="201">
        <v>0</v>
      </c>
      <c r="M77" s="201">
        <v>0</v>
      </c>
      <c r="N77" s="201">
        <v>0</v>
      </c>
      <c r="O77" s="201">
        <v>0</v>
      </c>
      <c r="P77" s="201">
        <v>0</v>
      </c>
      <c r="Q77" s="201">
        <v>0</v>
      </c>
      <c r="R77" s="201">
        <v>0</v>
      </c>
      <c r="S77" s="201">
        <v>0</v>
      </c>
      <c r="T77" s="201">
        <v>0</v>
      </c>
      <c r="U77" s="201">
        <v>0</v>
      </c>
      <c r="V77" s="201">
        <v>0</v>
      </c>
      <c r="W77" s="201">
        <v>0</v>
      </c>
      <c r="X77" s="201">
        <v>0</v>
      </c>
      <c r="Y77" s="201"/>
      <c r="Z77" s="201">
        <f t="shared" si="3"/>
        <v>2.3530958904109618E-2</v>
      </c>
      <c r="AA77" s="201">
        <f t="shared" si="4"/>
        <v>2.3530958904109618E-2</v>
      </c>
    </row>
    <row r="78" spans="4:27" x14ac:dyDescent="0.3">
      <c r="D78" s="6">
        <v>8</v>
      </c>
      <c r="E78" s="201">
        <f t="shared" si="2"/>
        <v>0</v>
      </c>
      <c r="F78" s="201">
        <f t="shared" si="2"/>
        <v>0</v>
      </c>
      <c r="G78" s="201">
        <f t="shared" si="2"/>
        <v>0</v>
      </c>
      <c r="H78" s="201">
        <f t="shared" si="2"/>
        <v>4.3835616438356101E-3</v>
      </c>
      <c r="I78" s="201">
        <f t="shared" si="2"/>
        <v>5.2602739726027321E-3</v>
      </c>
      <c r="J78" s="201">
        <f t="shared" si="2"/>
        <v>6.3123287671232823E-3</v>
      </c>
      <c r="K78" s="201">
        <f t="shared" si="2"/>
        <v>7.5747945205479946E-3</v>
      </c>
      <c r="L78" s="201">
        <f t="shared" si="2"/>
        <v>9.0897534246574627E-3</v>
      </c>
      <c r="M78" s="201">
        <v>0</v>
      </c>
      <c r="N78" s="201">
        <v>0</v>
      </c>
      <c r="O78" s="201">
        <v>0</v>
      </c>
      <c r="P78" s="201">
        <v>0</v>
      </c>
      <c r="Q78" s="201">
        <v>0</v>
      </c>
      <c r="R78" s="201">
        <v>0</v>
      </c>
      <c r="S78" s="201">
        <v>0</v>
      </c>
      <c r="T78" s="201">
        <v>0</v>
      </c>
      <c r="U78" s="201">
        <v>0</v>
      </c>
      <c r="V78" s="201">
        <v>0</v>
      </c>
      <c r="W78" s="201">
        <v>0</v>
      </c>
      <c r="X78" s="201">
        <v>0</v>
      </c>
      <c r="Y78" s="201"/>
      <c r="Z78" s="201">
        <f t="shared" si="3"/>
        <v>3.2620712328767079E-2</v>
      </c>
      <c r="AA78" s="201">
        <f t="shared" si="4"/>
        <v>3.2620712328767079E-2</v>
      </c>
    </row>
    <row r="79" spans="4:27" x14ac:dyDescent="0.3">
      <c r="D79" s="6">
        <v>9</v>
      </c>
      <c r="E79" s="201">
        <f t="shared" si="2"/>
        <v>0</v>
      </c>
      <c r="F79" s="201">
        <f t="shared" si="2"/>
        <v>0</v>
      </c>
      <c r="G79" s="201">
        <f t="shared" si="2"/>
        <v>0</v>
      </c>
      <c r="H79" s="201">
        <f t="shared" si="2"/>
        <v>4.3835616438356101E-3</v>
      </c>
      <c r="I79" s="201">
        <f t="shared" si="2"/>
        <v>5.2602739726027321E-3</v>
      </c>
      <c r="J79" s="201">
        <f t="shared" si="2"/>
        <v>6.3123287671232823E-3</v>
      </c>
      <c r="K79" s="201">
        <f t="shared" si="2"/>
        <v>7.5747945205479946E-3</v>
      </c>
      <c r="L79" s="201">
        <f t="shared" si="2"/>
        <v>9.0897534246574627E-3</v>
      </c>
      <c r="M79" s="201">
        <f t="shared" si="2"/>
        <v>1.0907704109589026E-2</v>
      </c>
      <c r="N79" s="201">
        <v>0</v>
      </c>
      <c r="O79" s="201">
        <v>0</v>
      </c>
      <c r="P79" s="201">
        <v>0</v>
      </c>
      <c r="Q79" s="201">
        <v>0</v>
      </c>
      <c r="R79" s="201">
        <v>0</v>
      </c>
      <c r="S79" s="201">
        <v>0</v>
      </c>
      <c r="T79" s="201">
        <v>0</v>
      </c>
      <c r="U79" s="201">
        <v>0</v>
      </c>
      <c r="V79" s="201">
        <v>0</v>
      </c>
      <c r="W79" s="201">
        <v>0</v>
      </c>
      <c r="X79" s="201">
        <v>0</v>
      </c>
      <c r="Y79" s="201"/>
      <c r="Z79" s="201">
        <f t="shared" si="3"/>
        <v>4.3528416438356102E-2</v>
      </c>
      <c r="AA79" s="201">
        <f t="shared" si="4"/>
        <v>4.3528416438356102E-2</v>
      </c>
    </row>
    <row r="80" spans="4:27" x14ac:dyDescent="0.3">
      <c r="D80" s="6">
        <v>10</v>
      </c>
      <c r="E80" s="201">
        <f t="shared" si="2"/>
        <v>0</v>
      </c>
      <c r="F80" s="201">
        <f t="shared" si="2"/>
        <v>0</v>
      </c>
      <c r="G80" s="201">
        <f t="shared" si="2"/>
        <v>0</v>
      </c>
      <c r="H80" s="201">
        <f t="shared" si="2"/>
        <v>4.3835616438356101E-3</v>
      </c>
      <c r="I80" s="201">
        <f t="shared" si="2"/>
        <v>5.2602739726027321E-3</v>
      </c>
      <c r="J80" s="201">
        <f t="shared" si="2"/>
        <v>6.3123287671232823E-3</v>
      </c>
      <c r="K80" s="201">
        <f t="shared" si="2"/>
        <v>7.5747945205479946E-3</v>
      </c>
      <c r="L80" s="201">
        <f t="shared" si="2"/>
        <v>9.0897534246574627E-3</v>
      </c>
      <c r="M80" s="201">
        <f t="shared" si="2"/>
        <v>1.0907704109589026E-2</v>
      </c>
      <c r="N80" s="201">
        <f t="shared" si="2"/>
        <v>1.3089244931506826E-2</v>
      </c>
      <c r="O80" s="201">
        <v>0</v>
      </c>
      <c r="P80" s="201">
        <v>0</v>
      </c>
      <c r="Q80" s="201">
        <v>0</v>
      </c>
      <c r="R80" s="201">
        <v>0</v>
      </c>
      <c r="S80" s="201">
        <v>0</v>
      </c>
      <c r="T80" s="201">
        <v>0</v>
      </c>
      <c r="U80" s="201">
        <v>0</v>
      </c>
      <c r="V80" s="201">
        <v>0</v>
      </c>
      <c r="W80" s="201">
        <v>0</v>
      </c>
      <c r="X80" s="201">
        <v>0</v>
      </c>
      <c r="Y80" s="201"/>
      <c r="Z80" s="201">
        <f t="shared" si="3"/>
        <v>5.6617661369862932E-2</v>
      </c>
      <c r="AA80" s="201">
        <f t="shared" si="4"/>
        <v>5.6617661369862932E-2</v>
      </c>
    </row>
    <row r="81" spans="4:27" x14ac:dyDescent="0.3">
      <c r="D81" s="6">
        <v>11</v>
      </c>
      <c r="E81" s="201">
        <f t="shared" si="2"/>
        <v>0</v>
      </c>
      <c r="F81" s="201">
        <f t="shared" si="2"/>
        <v>0</v>
      </c>
      <c r="G81" s="201">
        <f t="shared" si="2"/>
        <v>0</v>
      </c>
      <c r="H81" s="201">
        <f t="shared" si="2"/>
        <v>4.3835616438356101E-3</v>
      </c>
      <c r="I81" s="201">
        <f t="shared" si="2"/>
        <v>5.2602739726027321E-3</v>
      </c>
      <c r="J81" s="201">
        <f t="shared" si="2"/>
        <v>6.3123287671232823E-3</v>
      </c>
      <c r="K81" s="201">
        <f t="shared" si="2"/>
        <v>7.5747945205479946E-3</v>
      </c>
      <c r="L81" s="201">
        <f t="shared" si="2"/>
        <v>9.0897534246574627E-3</v>
      </c>
      <c r="M81" s="201">
        <f t="shared" si="2"/>
        <v>1.0907704109589026E-2</v>
      </c>
      <c r="N81" s="201">
        <f t="shared" si="2"/>
        <v>1.3089244931506826E-2</v>
      </c>
      <c r="O81" s="201">
        <f t="shared" si="2"/>
        <v>1.5707093917808213E-2</v>
      </c>
      <c r="P81" s="201">
        <v>0</v>
      </c>
      <c r="Q81" s="201">
        <v>0</v>
      </c>
      <c r="R81" s="201">
        <v>0</v>
      </c>
      <c r="S81" s="201">
        <v>0</v>
      </c>
      <c r="T81" s="201">
        <v>0</v>
      </c>
      <c r="U81" s="201">
        <v>0</v>
      </c>
      <c r="V81" s="201">
        <v>0</v>
      </c>
      <c r="W81" s="201">
        <v>0</v>
      </c>
      <c r="X81" s="201">
        <v>0</v>
      </c>
      <c r="Y81" s="201"/>
      <c r="Z81" s="201">
        <f t="shared" si="3"/>
        <v>7.2324755287671141E-2</v>
      </c>
      <c r="AA81" s="201">
        <f t="shared" si="4"/>
        <v>7.2324755287671141E-2</v>
      </c>
    </row>
    <row r="82" spans="4:27" x14ac:dyDescent="0.3">
      <c r="D82" s="6">
        <v>12</v>
      </c>
      <c r="E82" s="201">
        <f t="shared" si="2"/>
        <v>0</v>
      </c>
      <c r="F82" s="201">
        <f t="shared" si="2"/>
        <v>0</v>
      </c>
      <c r="G82" s="201">
        <f t="shared" si="2"/>
        <v>0</v>
      </c>
      <c r="H82" s="201">
        <f t="shared" si="2"/>
        <v>4.3835616438356101E-3</v>
      </c>
      <c r="I82" s="201">
        <f t="shared" si="2"/>
        <v>5.2602739726027321E-3</v>
      </c>
      <c r="J82" s="201">
        <f t="shared" si="2"/>
        <v>6.3123287671232823E-3</v>
      </c>
      <c r="K82" s="201">
        <f t="shared" si="2"/>
        <v>7.5747945205479946E-3</v>
      </c>
      <c r="L82" s="201">
        <f t="shared" si="2"/>
        <v>9.0897534246574627E-3</v>
      </c>
      <c r="M82" s="201">
        <f t="shared" si="2"/>
        <v>1.0907704109589026E-2</v>
      </c>
      <c r="N82" s="201">
        <f t="shared" si="2"/>
        <v>1.3089244931506826E-2</v>
      </c>
      <c r="O82" s="201">
        <f t="shared" si="2"/>
        <v>1.5707093917808213E-2</v>
      </c>
      <c r="P82" s="201">
        <f t="shared" si="2"/>
        <v>1.8848512701369842E-2</v>
      </c>
      <c r="Q82" s="201">
        <v>0</v>
      </c>
      <c r="R82" s="201">
        <v>0</v>
      </c>
      <c r="S82" s="201">
        <v>0</v>
      </c>
      <c r="T82" s="201">
        <v>0</v>
      </c>
      <c r="U82" s="201">
        <v>0</v>
      </c>
      <c r="V82" s="201">
        <v>0</v>
      </c>
      <c r="W82" s="201">
        <v>0</v>
      </c>
      <c r="X82" s="201">
        <v>0</v>
      </c>
      <c r="Y82" s="201"/>
      <c r="Z82" s="201">
        <f t="shared" si="3"/>
        <v>9.117326798904099E-2</v>
      </c>
      <c r="AA82" s="201">
        <f t="shared" si="4"/>
        <v>9.117326798904099E-2</v>
      </c>
    </row>
    <row r="83" spans="4:27" x14ac:dyDescent="0.3">
      <c r="D83" s="6">
        <v>13</v>
      </c>
      <c r="E83" s="201">
        <f t="shared" si="2"/>
        <v>0</v>
      </c>
      <c r="F83" s="201">
        <f t="shared" si="2"/>
        <v>0</v>
      </c>
      <c r="G83" s="201">
        <f t="shared" si="2"/>
        <v>0</v>
      </c>
      <c r="H83" s="201">
        <f t="shared" si="2"/>
        <v>4.3835616438356101E-3</v>
      </c>
      <c r="I83" s="201">
        <f t="shared" si="2"/>
        <v>5.2602739726027321E-3</v>
      </c>
      <c r="J83" s="201">
        <f t="shared" si="2"/>
        <v>6.3123287671232823E-3</v>
      </c>
      <c r="K83" s="201">
        <f t="shared" si="2"/>
        <v>7.5747945205479946E-3</v>
      </c>
      <c r="L83" s="201">
        <f t="shared" si="2"/>
        <v>9.0897534246574627E-3</v>
      </c>
      <c r="M83" s="201">
        <f t="shared" si="2"/>
        <v>1.0907704109589026E-2</v>
      </c>
      <c r="N83" s="201">
        <f t="shared" si="2"/>
        <v>1.3089244931506826E-2</v>
      </c>
      <c r="O83" s="201">
        <f t="shared" si="2"/>
        <v>1.5707093917808213E-2</v>
      </c>
      <c r="P83" s="201">
        <f t="shared" si="2"/>
        <v>1.8848512701369842E-2</v>
      </c>
      <c r="Q83" s="201">
        <f t="shared" si="2"/>
        <v>2.2618215241643959E-2</v>
      </c>
      <c r="R83" s="201">
        <v>0</v>
      </c>
      <c r="S83" s="201">
        <v>0</v>
      </c>
      <c r="T83" s="201">
        <v>0</v>
      </c>
      <c r="U83" s="201">
        <v>0</v>
      </c>
      <c r="V83" s="201">
        <v>0</v>
      </c>
      <c r="W83" s="201">
        <v>0</v>
      </c>
      <c r="X83" s="201">
        <v>0</v>
      </c>
      <c r="Y83" s="201"/>
      <c r="Z83" s="201">
        <f t="shared" si="3"/>
        <v>0.11379148323068494</v>
      </c>
      <c r="AA83" s="201">
        <f t="shared" si="4"/>
        <v>0.11379148323068494</v>
      </c>
    </row>
    <row r="84" spans="4:27" x14ac:dyDescent="0.3">
      <c r="D84" s="6">
        <v>14</v>
      </c>
      <c r="E84" s="201">
        <f t="shared" si="2"/>
        <v>0</v>
      </c>
      <c r="F84" s="201">
        <f t="shared" si="2"/>
        <v>0</v>
      </c>
      <c r="G84" s="201">
        <f t="shared" si="2"/>
        <v>0</v>
      </c>
      <c r="H84" s="201">
        <f t="shared" si="2"/>
        <v>0</v>
      </c>
      <c r="I84" s="201">
        <f t="shared" si="2"/>
        <v>5.2602739726027321E-3</v>
      </c>
      <c r="J84" s="201">
        <f t="shared" si="2"/>
        <v>6.3123287671232823E-3</v>
      </c>
      <c r="K84" s="201">
        <f t="shared" si="2"/>
        <v>7.5747945205479946E-3</v>
      </c>
      <c r="L84" s="201">
        <f t="shared" si="2"/>
        <v>9.0897534246574627E-3</v>
      </c>
      <c r="M84" s="201">
        <f t="shared" si="2"/>
        <v>1.0907704109589026E-2</v>
      </c>
      <c r="N84" s="201">
        <f t="shared" si="2"/>
        <v>1.3089244931506826E-2</v>
      </c>
      <c r="O84" s="201">
        <f t="shared" si="2"/>
        <v>1.5707093917808213E-2</v>
      </c>
      <c r="P84" s="201">
        <f t="shared" si="2"/>
        <v>1.8848512701369842E-2</v>
      </c>
      <c r="Q84" s="201">
        <f t="shared" si="2"/>
        <v>2.2618215241643959E-2</v>
      </c>
      <c r="R84" s="201">
        <f t="shared" si="2"/>
        <v>2.714185828997237E-2</v>
      </c>
      <c r="S84" s="201">
        <v>0</v>
      </c>
      <c r="T84" s="201">
        <v>0</v>
      </c>
      <c r="U84" s="201">
        <v>0</v>
      </c>
      <c r="V84" s="201">
        <v>0</v>
      </c>
      <c r="W84" s="201">
        <v>0</v>
      </c>
      <c r="X84" s="201">
        <v>0</v>
      </c>
      <c r="Y84" s="201"/>
      <c r="Z84" s="201">
        <f t="shared" si="3"/>
        <v>0.13654977987682171</v>
      </c>
      <c r="AA84" s="201">
        <f t="shared" si="4"/>
        <v>0.13654977987682171</v>
      </c>
    </row>
    <row r="85" spans="4:27" x14ac:dyDescent="0.3">
      <c r="D85" s="6">
        <v>15</v>
      </c>
      <c r="E85" s="201">
        <f t="shared" si="2"/>
        <v>0</v>
      </c>
      <c r="F85" s="201">
        <f t="shared" si="2"/>
        <v>0</v>
      </c>
      <c r="G85" s="201">
        <f t="shared" si="2"/>
        <v>0</v>
      </c>
      <c r="H85" s="201">
        <f t="shared" si="2"/>
        <v>0</v>
      </c>
      <c r="I85" s="201">
        <f t="shared" si="2"/>
        <v>0</v>
      </c>
      <c r="J85" s="201">
        <f t="shared" si="2"/>
        <v>6.3123287671232823E-3</v>
      </c>
      <c r="K85" s="201">
        <f t="shared" si="2"/>
        <v>7.5747945205479946E-3</v>
      </c>
      <c r="L85" s="201">
        <f t="shared" si="2"/>
        <v>9.0897534246574627E-3</v>
      </c>
      <c r="M85" s="201">
        <f t="shared" si="2"/>
        <v>1.0907704109589026E-2</v>
      </c>
      <c r="N85" s="201">
        <f t="shared" si="2"/>
        <v>1.3089244931506826E-2</v>
      </c>
      <c r="O85" s="201">
        <f t="shared" si="2"/>
        <v>1.5707093917808213E-2</v>
      </c>
      <c r="P85" s="201">
        <f t="shared" si="2"/>
        <v>1.8848512701369842E-2</v>
      </c>
      <c r="Q85" s="201">
        <f t="shared" si="2"/>
        <v>2.2618215241643959E-2</v>
      </c>
      <c r="R85" s="201">
        <f t="shared" si="2"/>
        <v>2.714185828997237E-2</v>
      </c>
      <c r="S85" s="201">
        <f t="shared" si="2"/>
        <v>3.2570229947967107E-2</v>
      </c>
      <c r="T85" s="201">
        <v>0</v>
      </c>
      <c r="U85" s="201">
        <v>0</v>
      </c>
      <c r="V85" s="201">
        <v>0</v>
      </c>
      <c r="W85" s="201">
        <v>0</v>
      </c>
      <c r="X85" s="201">
        <v>0</v>
      </c>
      <c r="Y85" s="201"/>
      <c r="Z85" s="201">
        <f t="shared" si="3"/>
        <v>0.16385973585218608</v>
      </c>
      <c r="AA85" s="201">
        <f t="shared" si="4"/>
        <v>0.16385973585218608</v>
      </c>
    </row>
    <row r="86" spans="4:27" x14ac:dyDescent="0.3">
      <c r="D86" s="6">
        <v>16</v>
      </c>
      <c r="E86" s="201">
        <f t="shared" si="2"/>
        <v>0</v>
      </c>
      <c r="F86" s="201">
        <f t="shared" si="2"/>
        <v>0</v>
      </c>
      <c r="G86" s="201">
        <f t="shared" si="2"/>
        <v>0</v>
      </c>
      <c r="H86" s="201">
        <f t="shared" si="2"/>
        <v>0</v>
      </c>
      <c r="I86" s="201">
        <f t="shared" si="2"/>
        <v>0</v>
      </c>
      <c r="J86" s="201">
        <f t="shared" si="2"/>
        <v>0</v>
      </c>
      <c r="K86" s="201">
        <f t="shared" si="2"/>
        <v>7.5747945205479946E-3</v>
      </c>
      <c r="L86" s="201">
        <f t="shared" si="2"/>
        <v>9.0897534246574627E-3</v>
      </c>
      <c r="M86" s="201">
        <f t="shared" si="2"/>
        <v>1.0907704109589026E-2</v>
      </c>
      <c r="N86" s="201">
        <f t="shared" si="2"/>
        <v>1.3089244931506826E-2</v>
      </c>
      <c r="O86" s="201">
        <f t="shared" si="2"/>
        <v>1.5707093917808213E-2</v>
      </c>
      <c r="P86" s="201">
        <f t="shared" si="2"/>
        <v>1.8848512701369842E-2</v>
      </c>
      <c r="Q86" s="201">
        <f t="shared" si="2"/>
        <v>2.2618215241643959E-2</v>
      </c>
      <c r="R86" s="201">
        <f t="shared" si="2"/>
        <v>2.714185828997237E-2</v>
      </c>
      <c r="S86" s="201">
        <f t="shared" si="2"/>
        <v>3.2570229947967107E-2</v>
      </c>
      <c r="T86" s="201">
        <f t="shared" si="2"/>
        <v>3.9084275937560503E-2</v>
      </c>
      <c r="U86" s="201">
        <v>0</v>
      </c>
      <c r="V86" s="201">
        <v>0</v>
      </c>
      <c r="W86" s="201">
        <v>0</v>
      </c>
      <c r="X86" s="201">
        <v>0</v>
      </c>
      <c r="Y86" s="201"/>
      <c r="Z86" s="201">
        <f t="shared" si="3"/>
        <v>0.19663168302262329</v>
      </c>
      <c r="AA86" s="201">
        <f t="shared" si="4"/>
        <v>0.19663168302262329</v>
      </c>
    </row>
    <row r="87" spans="4:27" x14ac:dyDescent="0.3">
      <c r="D87" s="6">
        <v>17</v>
      </c>
      <c r="E87" s="201">
        <f t="shared" si="2"/>
        <v>0</v>
      </c>
      <c r="F87" s="201">
        <f t="shared" si="2"/>
        <v>0</v>
      </c>
      <c r="G87" s="201">
        <f t="shared" si="2"/>
        <v>0</v>
      </c>
      <c r="H87" s="201">
        <f t="shared" si="2"/>
        <v>0</v>
      </c>
      <c r="I87" s="201">
        <f t="shared" si="2"/>
        <v>0</v>
      </c>
      <c r="J87" s="201">
        <f t="shared" si="2"/>
        <v>0</v>
      </c>
      <c r="K87" s="201">
        <f t="shared" si="2"/>
        <v>0</v>
      </c>
      <c r="L87" s="201">
        <f t="shared" si="2"/>
        <v>9.0897534246574627E-3</v>
      </c>
      <c r="M87" s="201">
        <f t="shared" si="2"/>
        <v>1.0907704109589026E-2</v>
      </c>
      <c r="N87" s="201">
        <f t="shared" si="2"/>
        <v>1.3089244931506826E-2</v>
      </c>
      <c r="O87" s="201">
        <f t="shared" si="2"/>
        <v>1.5707093917808213E-2</v>
      </c>
      <c r="P87" s="201">
        <f t="shared" si="2"/>
        <v>1.8848512701369842E-2</v>
      </c>
      <c r="Q87" s="201">
        <f t="shared" si="2"/>
        <v>2.2618215241643959E-2</v>
      </c>
      <c r="R87" s="201">
        <f t="shared" si="2"/>
        <v>2.714185828997237E-2</v>
      </c>
      <c r="S87" s="201">
        <f t="shared" si="2"/>
        <v>3.2570229947967107E-2</v>
      </c>
      <c r="T87" s="201">
        <f t="shared" si="2"/>
        <v>3.9084275937560503E-2</v>
      </c>
      <c r="U87" s="201">
        <f t="shared" ref="U87:X100" si="5">IF($D87-U$70&lt;$F$16,IF($B$22=0,U$69,VLOOKUP(U$70,$D$23:$N$42,10,FALSE)*$F$11*0.000001*($B$22*(1+$B$22)^$F$16)/((1+$B$22)^$F$16-1)),0)</f>
        <v>4.6901131125073402E-2</v>
      </c>
      <c r="V87" s="201">
        <v>0</v>
      </c>
      <c r="W87" s="201">
        <v>0</v>
      </c>
      <c r="X87" s="201">
        <v>0</v>
      </c>
      <c r="Y87" s="201"/>
      <c r="Z87" s="201">
        <f t="shared" si="3"/>
        <v>0.23595801962714871</v>
      </c>
      <c r="AA87" s="201">
        <f t="shared" si="4"/>
        <v>0.23595801962714871</v>
      </c>
    </row>
    <row r="88" spans="4:27" x14ac:dyDescent="0.3">
      <c r="D88" s="6">
        <v>18</v>
      </c>
      <c r="E88" s="201">
        <f t="shared" si="2"/>
        <v>0</v>
      </c>
      <c r="F88" s="201">
        <f t="shared" si="2"/>
        <v>0</v>
      </c>
      <c r="G88" s="201">
        <f t="shared" si="2"/>
        <v>0</v>
      </c>
      <c r="H88" s="201">
        <f t="shared" si="2"/>
        <v>0</v>
      </c>
      <c r="I88" s="201">
        <f t="shared" si="2"/>
        <v>0</v>
      </c>
      <c r="J88" s="201">
        <f t="shared" si="2"/>
        <v>0</v>
      </c>
      <c r="K88" s="201">
        <f t="shared" si="2"/>
        <v>0</v>
      </c>
      <c r="L88" s="201">
        <f t="shared" si="2"/>
        <v>0</v>
      </c>
      <c r="M88" s="201">
        <f t="shared" si="2"/>
        <v>1.0907704109589026E-2</v>
      </c>
      <c r="N88" s="201">
        <f t="shared" si="2"/>
        <v>1.3089244931506826E-2</v>
      </c>
      <c r="O88" s="201">
        <f t="shared" si="2"/>
        <v>1.5707093917808213E-2</v>
      </c>
      <c r="P88" s="201">
        <f t="shared" si="2"/>
        <v>1.8848512701369842E-2</v>
      </c>
      <c r="Q88" s="201">
        <f t="shared" si="2"/>
        <v>2.2618215241643959E-2</v>
      </c>
      <c r="R88" s="201">
        <f t="shared" si="2"/>
        <v>2.714185828997237E-2</v>
      </c>
      <c r="S88" s="201">
        <f t="shared" si="2"/>
        <v>3.2570229947967107E-2</v>
      </c>
      <c r="T88" s="201">
        <f t="shared" si="2"/>
        <v>3.9084275937560503E-2</v>
      </c>
      <c r="U88" s="201">
        <f t="shared" si="5"/>
        <v>4.6901131125073402E-2</v>
      </c>
      <c r="V88" s="201">
        <f t="shared" si="5"/>
        <v>5.6281357350086311E-2</v>
      </c>
      <c r="W88" s="201">
        <v>0</v>
      </c>
      <c r="X88" s="201">
        <v>0</v>
      </c>
      <c r="Y88" s="201"/>
      <c r="Z88" s="201">
        <f t="shared" si="3"/>
        <v>0.28314962355257756</v>
      </c>
      <c r="AA88" s="201">
        <f t="shared" si="4"/>
        <v>0.28314962355257756</v>
      </c>
    </row>
    <row r="89" spans="4:27" x14ac:dyDescent="0.3">
      <c r="D89" s="6">
        <v>19</v>
      </c>
      <c r="E89" s="201">
        <f t="shared" si="2"/>
        <v>0</v>
      </c>
      <c r="F89" s="201">
        <f t="shared" si="2"/>
        <v>0</v>
      </c>
      <c r="G89" s="201">
        <f t="shared" si="2"/>
        <v>0</v>
      </c>
      <c r="H89" s="201">
        <f t="shared" si="2"/>
        <v>0</v>
      </c>
      <c r="I89" s="201">
        <f t="shared" si="2"/>
        <v>0</v>
      </c>
      <c r="J89" s="201">
        <f t="shared" si="2"/>
        <v>0</v>
      </c>
      <c r="K89" s="201">
        <f t="shared" si="2"/>
        <v>0</v>
      </c>
      <c r="L89" s="201">
        <f t="shared" si="2"/>
        <v>0</v>
      </c>
      <c r="M89" s="201">
        <f t="shared" si="2"/>
        <v>0</v>
      </c>
      <c r="N89" s="201">
        <f t="shared" si="2"/>
        <v>1.3089244931506826E-2</v>
      </c>
      <c r="O89" s="201">
        <f t="shared" si="2"/>
        <v>1.5707093917808213E-2</v>
      </c>
      <c r="P89" s="201">
        <f t="shared" si="2"/>
        <v>1.8848512701369842E-2</v>
      </c>
      <c r="Q89" s="201">
        <f t="shared" si="2"/>
        <v>2.2618215241643959E-2</v>
      </c>
      <c r="R89" s="201">
        <f t="shared" si="2"/>
        <v>2.714185828997237E-2</v>
      </c>
      <c r="S89" s="201">
        <f t="shared" si="2"/>
        <v>3.2570229947967107E-2</v>
      </c>
      <c r="T89" s="201">
        <f t="shared" si="2"/>
        <v>3.9084275937560503E-2</v>
      </c>
      <c r="U89" s="201">
        <f t="shared" si="5"/>
        <v>4.6901131125073402E-2</v>
      </c>
      <c r="V89" s="201">
        <f t="shared" si="5"/>
        <v>5.6281357350086311E-2</v>
      </c>
      <c r="W89" s="201">
        <f t="shared" si="5"/>
        <v>6.7537628820104584E-2</v>
      </c>
      <c r="X89" s="201">
        <v>0</v>
      </c>
      <c r="Y89" s="201"/>
      <c r="Z89" s="201">
        <f t="shared" si="3"/>
        <v>0.33977954826309309</v>
      </c>
      <c r="AA89" s="201">
        <f t="shared" si="4"/>
        <v>0.33977954826309309</v>
      </c>
    </row>
    <row r="90" spans="4:27" x14ac:dyDescent="0.3">
      <c r="D90" s="6">
        <v>20</v>
      </c>
      <c r="E90" s="201">
        <f t="shared" si="2"/>
        <v>0</v>
      </c>
      <c r="F90" s="201">
        <f t="shared" si="2"/>
        <v>0</v>
      </c>
      <c r="G90" s="201">
        <f t="shared" si="2"/>
        <v>0</v>
      </c>
      <c r="H90" s="201">
        <f t="shared" si="2"/>
        <v>0</v>
      </c>
      <c r="I90" s="201">
        <f t="shared" si="2"/>
        <v>0</v>
      </c>
      <c r="J90" s="201">
        <f t="shared" si="2"/>
        <v>0</v>
      </c>
      <c r="K90" s="201">
        <f t="shared" si="2"/>
        <v>0</v>
      </c>
      <c r="L90" s="201">
        <f t="shared" si="2"/>
        <v>0</v>
      </c>
      <c r="M90" s="201">
        <f t="shared" si="2"/>
        <v>0</v>
      </c>
      <c r="N90" s="201">
        <f t="shared" si="2"/>
        <v>0</v>
      </c>
      <c r="O90" s="201">
        <f t="shared" si="2"/>
        <v>1.5707093917808213E-2</v>
      </c>
      <c r="P90" s="201">
        <f t="shared" si="2"/>
        <v>1.8848512701369842E-2</v>
      </c>
      <c r="Q90" s="201">
        <f t="shared" si="2"/>
        <v>2.2618215241643959E-2</v>
      </c>
      <c r="R90" s="201">
        <f t="shared" si="2"/>
        <v>2.714185828997237E-2</v>
      </c>
      <c r="S90" s="201">
        <f t="shared" si="2"/>
        <v>3.2570229947967107E-2</v>
      </c>
      <c r="T90" s="201">
        <f t="shared" si="2"/>
        <v>3.9084275937560503E-2</v>
      </c>
      <c r="U90" s="201">
        <f t="shared" si="5"/>
        <v>4.6901131125073402E-2</v>
      </c>
      <c r="V90" s="201">
        <f t="shared" si="5"/>
        <v>5.6281357350086311E-2</v>
      </c>
      <c r="W90" s="201">
        <f t="shared" si="5"/>
        <v>6.7537628820104584E-2</v>
      </c>
      <c r="X90" s="201">
        <f t="shared" si="5"/>
        <v>8.1045154584126256E-2</v>
      </c>
      <c r="Y90" s="201"/>
      <c r="Z90" s="201">
        <f t="shared" si="3"/>
        <v>0.40773545791571258</v>
      </c>
      <c r="AA90" s="201">
        <f t="shared" si="4"/>
        <v>0.40773545791571258</v>
      </c>
    </row>
    <row r="91" spans="4:27" x14ac:dyDescent="0.3">
      <c r="D91" s="6">
        <v>21</v>
      </c>
      <c r="E91" s="201">
        <f t="shared" si="2"/>
        <v>0</v>
      </c>
      <c r="F91" s="201">
        <f t="shared" si="2"/>
        <v>0</v>
      </c>
      <c r="G91" s="201">
        <f t="shared" si="2"/>
        <v>0</v>
      </c>
      <c r="H91" s="201">
        <f t="shared" si="2"/>
        <v>0</v>
      </c>
      <c r="I91" s="201">
        <f t="shared" si="2"/>
        <v>0</v>
      </c>
      <c r="J91" s="201">
        <f t="shared" si="2"/>
        <v>0</v>
      </c>
      <c r="K91" s="201">
        <f t="shared" si="2"/>
        <v>0</v>
      </c>
      <c r="L91" s="201">
        <f t="shared" si="2"/>
        <v>0</v>
      </c>
      <c r="M91" s="201">
        <f t="shared" si="2"/>
        <v>0</v>
      </c>
      <c r="N91" s="201">
        <f t="shared" si="2"/>
        <v>0</v>
      </c>
      <c r="O91" s="201">
        <f t="shared" si="2"/>
        <v>0</v>
      </c>
      <c r="P91" s="201">
        <f t="shared" si="2"/>
        <v>1.8848512701369842E-2</v>
      </c>
      <c r="Q91" s="201">
        <f t="shared" si="2"/>
        <v>2.2618215241643959E-2</v>
      </c>
      <c r="R91" s="201">
        <f t="shared" si="2"/>
        <v>2.714185828997237E-2</v>
      </c>
      <c r="S91" s="201">
        <f t="shared" si="2"/>
        <v>3.2570229947967107E-2</v>
      </c>
      <c r="T91" s="201">
        <f t="shared" si="2"/>
        <v>3.9084275937560503E-2</v>
      </c>
      <c r="U91" s="201">
        <f t="shared" si="5"/>
        <v>4.6901131125073402E-2</v>
      </c>
      <c r="V91" s="201">
        <f t="shared" si="5"/>
        <v>5.6281357350086311E-2</v>
      </c>
      <c r="W91" s="201">
        <f t="shared" si="5"/>
        <v>6.7537628820104584E-2</v>
      </c>
      <c r="X91" s="201">
        <f t="shared" si="5"/>
        <v>8.1045154584126256E-2</v>
      </c>
      <c r="Y91" s="201"/>
      <c r="Z91" s="201">
        <f t="shared" si="3"/>
        <v>0.39202836399790436</v>
      </c>
      <c r="AA91" s="201">
        <f t="shared" si="4"/>
        <v>0.39202836399790436</v>
      </c>
    </row>
    <row r="92" spans="4:27" x14ac:dyDescent="0.3">
      <c r="D92" s="6">
        <v>22</v>
      </c>
      <c r="E92" s="201">
        <f t="shared" si="2"/>
        <v>0</v>
      </c>
      <c r="F92" s="201">
        <f t="shared" si="2"/>
        <v>0</v>
      </c>
      <c r="G92" s="201">
        <f t="shared" si="2"/>
        <v>0</v>
      </c>
      <c r="H92" s="201">
        <f t="shared" si="2"/>
        <v>0</v>
      </c>
      <c r="I92" s="201">
        <f t="shared" si="2"/>
        <v>0</v>
      </c>
      <c r="J92" s="201">
        <f t="shared" si="2"/>
        <v>0</v>
      </c>
      <c r="K92" s="201">
        <f t="shared" si="2"/>
        <v>0</v>
      </c>
      <c r="L92" s="201">
        <f t="shared" si="2"/>
        <v>0</v>
      </c>
      <c r="M92" s="201">
        <f t="shared" si="2"/>
        <v>0</v>
      </c>
      <c r="N92" s="201">
        <f t="shared" si="2"/>
        <v>0</v>
      </c>
      <c r="O92" s="201">
        <f t="shared" si="2"/>
        <v>0</v>
      </c>
      <c r="P92" s="201">
        <f t="shared" si="2"/>
        <v>0</v>
      </c>
      <c r="Q92" s="201">
        <f t="shared" si="2"/>
        <v>2.2618215241643959E-2</v>
      </c>
      <c r="R92" s="201">
        <f t="shared" si="2"/>
        <v>2.714185828997237E-2</v>
      </c>
      <c r="S92" s="201">
        <f t="shared" si="2"/>
        <v>3.2570229947967107E-2</v>
      </c>
      <c r="T92" s="201">
        <f t="shared" si="2"/>
        <v>3.9084275937560503E-2</v>
      </c>
      <c r="U92" s="201">
        <f t="shared" si="5"/>
        <v>4.6901131125073402E-2</v>
      </c>
      <c r="V92" s="201">
        <f t="shared" si="5"/>
        <v>5.6281357350086311E-2</v>
      </c>
      <c r="W92" s="201">
        <f t="shared" si="5"/>
        <v>6.7537628820104584E-2</v>
      </c>
      <c r="X92" s="201">
        <f t="shared" si="5"/>
        <v>8.1045154584126256E-2</v>
      </c>
      <c r="Y92" s="201"/>
      <c r="Z92" s="201">
        <f t="shared" si="3"/>
        <v>0.37317985129653447</v>
      </c>
      <c r="AA92" s="201">
        <f t="shared" si="4"/>
        <v>0.37317985129653447</v>
      </c>
    </row>
    <row r="93" spans="4:27" x14ac:dyDescent="0.3">
      <c r="D93" s="6">
        <v>23</v>
      </c>
      <c r="E93" s="201">
        <f t="shared" si="2"/>
        <v>0</v>
      </c>
      <c r="F93" s="201">
        <f t="shared" si="2"/>
        <v>0</v>
      </c>
      <c r="G93" s="201">
        <f t="shared" si="2"/>
        <v>0</v>
      </c>
      <c r="H93" s="201">
        <f t="shared" si="2"/>
        <v>0</v>
      </c>
      <c r="I93" s="201">
        <f t="shared" si="2"/>
        <v>0</v>
      </c>
      <c r="J93" s="201">
        <f t="shared" si="2"/>
        <v>0</v>
      </c>
      <c r="K93" s="201">
        <f t="shared" si="2"/>
        <v>0</v>
      </c>
      <c r="L93" s="201">
        <f t="shared" si="2"/>
        <v>0</v>
      </c>
      <c r="M93" s="201">
        <f t="shared" si="2"/>
        <v>0</v>
      </c>
      <c r="N93" s="201">
        <f t="shared" si="2"/>
        <v>0</v>
      </c>
      <c r="O93" s="201">
        <f t="shared" si="2"/>
        <v>0</v>
      </c>
      <c r="P93" s="201">
        <f t="shared" si="2"/>
        <v>0</v>
      </c>
      <c r="Q93" s="201">
        <f t="shared" si="2"/>
        <v>0</v>
      </c>
      <c r="R93" s="201">
        <f t="shared" si="2"/>
        <v>2.714185828997237E-2</v>
      </c>
      <c r="S93" s="201">
        <f t="shared" si="2"/>
        <v>3.2570229947967107E-2</v>
      </c>
      <c r="T93" s="201">
        <f t="shared" si="2"/>
        <v>3.9084275937560503E-2</v>
      </c>
      <c r="U93" s="201">
        <f t="shared" si="5"/>
        <v>4.6901131125073402E-2</v>
      </c>
      <c r="V93" s="201">
        <f t="shared" si="5"/>
        <v>5.6281357350086311E-2</v>
      </c>
      <c r="W93" s="201">
        <f t="shared" si="5"/>
        <v>6.7537628820104584E-2</v>
      </c>
      <c r="X93" s="201">
        <f t="shared" si="5"/>
        <v>8.1045154584126256E-2</v>
      </c>
      <c r="Y93" s="201"/>
      <c r="Z93" s="201">
        <f t="shared" si="3"/>
        <v>0.35056163605489049</v>
      </c>
      <c r="AA93" s="201">
        <f t="shared" si="4"/>
        <v>0.35056163605489049</v>
      </c>
    </row>
    <row r="94" spans="4:27" x14ac:dyDescent="0.3">
      <c r="D94" s="6">
        <v>24</v>
      </c>
      <c r="E94" s="201">
        <f t="shared" si="2"/>
        <v>0</v>
      </c>
      <c r="F94" s="201">
        <f t="shared" si="2"/>
        <v>0</v>
      </c>
      <c r="G94" s="201">
        <f t="shared" si="2"/>
        <v>0</v>
      </c>
      <c r="H94" s="201">
        <f t="shared" si="2"/>
        <v>0</v>
      </c>
      <c r="I94" s="201">
        <f t="shared" si="2"/>
        <v>0</v>
      </c>
      <c r="J94" s="201">
        <f t="shared" si="2"/>
        <v>0</v>
      </c>
      <c r="K94" s="201">
        <f t="shared" si="2"/>
        <v>0</v>
      </c>
      <c r="L94" s="201">
        <f t="shared" ref="L94:T100" si="6">IF($D94-L$70&lt;$F$16,IF($B$22=0,L$69,VLOOKUP(L$70,$D$23:$N$42,10,FALSE)*$F$11*0.000001*($B$22*(1+$B$22)^$F$16)/((1+$B$22)^$F$16-1)),0)</f>
        <v>0</v>
      </c>
      <c r="M94" s="201">
        <f t="shared" si="6"/>
        <v>0</v>
      </c>
      <c r="N94" s="201">
        <f t="shared" si="6"/>
        <v>0</v>
      </c>
      <c r="O94" s="201">
        <f t="shared" si="6"/>
        <v>0</v>
      </c>
      <c r="P94" s="201">
        <f t="shared" si="6"/>
        <v>0</v>
      </c>
      <c r="Q94" s="201">
        <f t="shared" si="6"/>
        <v>0</v>
      </c>
      <c r="R94" s="201">
        <f t="shared" si="6"/>
        <v>0</v>
      </c>
      <c r="S94" s="201">
        <f t="shared" si="6"/>
        <v>3.2570229947967107E-2</v>
      </c>
      <c r="T94" s="201">
        <f t="shared" si="6"/>
        <v>3.9084275937560503E-2</v>
      </c>
      <c r="U94" s="201">
        <f t="shared" si="5"/>
        <v>4.6901131125073402E-2</v>
      </c>
      <c r="V94" s="201">
        <f t="shared" si="5"/>
        <v>5.6281357350086311E-2</v>
      </c>
      <c r="W94" s="201">
        <f t="shared" si="5"/>
        <v>6.7537628820104584E-2</v>
      </c>
      <c r="X94" s="201">
        <f t="shared" si="5"/>
        <v>8.1045154584126256E-2</v>
      </c>
      <c r="Y94" s="201"/>
      <c r="Z94" s="201">
        <f t="shared" si="3"/>
        <v>0.32341977776491815</v>
      </c>
      <c r="AA94" s="201">
        <f t="shared" si="4"/>
        <v>0.32341977776491815</v>
      </c>
    </row>
    <row r="95" spans="4:27" x14ac:dyDescent="0.3">
      <c r="D95" s="6">
        <v>25</v>
      </c>
      <c r="E95" s="201">
        <f t="shared" ref="E95:K100" si="7">IF($D95-E$70&lt;$F$16,IF($B$22=0,E$69,VLOOKUP(E$70,$D$23:$N$42,10,FALSE)*$F$11*0.000001*($B$22*(1+$B$22)^$F$16)/((1+$B$22)^$F$16-1)),0)</f>
        <v>0</v>
      </c>
      <c r="F95" s="201">
        <f t="shared" si="7"/>
        <v>0</v>
      </c>
      <c r="G95" s="201">
        <f t="shared" si="7"/>
        <v>0</v>
      </c>
      <c r="H95" s="201">
        <f t="shared" si="7"/>
        <v>0</v>
      </c>
      <c r="I95" s="201">
        <f t="shared" si="7"/>
        <v>0</v>
      </c>
      <c r="J95" s="201">
        <f t="shared" si="7"/>
        <v>0</v>
      </c>
      <c r="K95" s="201">
        <f t="shared" si="7"/>
        <v>0</v>
      </c>
      <c r="L95" s="201">
        <f t="shared" si="6"/>
        <v>0</v>
      </c>
      <c r="M95" s="201">
        <f t="shared" si="6"/>
        <v>0</v>
      </c>
      <c r="N95" s="201">
        <f t="shared" si="6"/>
        <v>0</v>
      </c>
      <c r="O95" s="201">
        <f t="shared" si="6"/>
        <v>0</v>
      </c>
      <c r="P95" s="201">
        <f t="shared" si="6"/>
        <v>0</v>
      </c>
      <c r="Q95" s="201">
        <f t="shared" si="6"/>
        <v>0</v>
      </c>
      <c r="R95" s="201">
        <f t="shared" si="6"/>
        <v>0</v>
      </c>
      <c r="S95" s="201">
        <f t="shared" si="6"/>
        <v>0</v>
      </c>
      <c r="T95" s="201">
        <f t="shared" si="6"/>
        <v>3.9084275937560503E-2</v>
      </c>
      <c r="U95" s="201">
        <f t="shared" si="5"/>
        <v>4.6901131125073402E-2</v>
      </c>
      <c r="V95" s="201">
        <f t="shared" si="5"/>
        <v>5.6281357350086311E-2</v>
      </c>
      <c r="W95" s="201">
        <f t="shared" si="5"/>
        <v>6.7537628820104584E-2</v>
      </c>
      <c r="X95" s="201">
        <f t="shared" si="5"/>
        <v>8.1045154584126256E-2</v>
      </c>
      <c r="Y95" s="201"/>
      <c r="Z95" s="201">
        <f t="shared" si="3"/>
        <v>0.29084954781695105</v>
      </c>
      <c r="AA95" s="201">
        <f t="shared" si="4"/>
        <v>0.29084954781695105</v>
      </c>
    </row>
    <row r="96" spans="4:27" x14ac:dyDescent="0.3">
      <c r="D96" s="6">
        <v>26</v>
      </c>
      <c r="E96" s="201">
        <f t="shared" si="7"/>
        <v>0</v>
      </c>
      <c r="F96" s="201">
        <f t="shared" si="7"/>
        <v>0</v>
      </c>
      <c r="G96" s="201">
        <f t="shared" si="7"/>
        <v>0</v>
      </c>
      <c r="H96" s="201">
        <f t="shared" si="7"/>
        <v>0</v>
      </c>
      <c r="I96" s="201">
        <f t="shared" si="7"/>
        <v>0</v>
      </c>
      <c r="J96" s="201">
        <f t="shared" si="7"/>
        <v>0</v>
      </c>
      <c r="K96" s="201">
        <f t="shared" si="7"/>
        <v>0</v>
      </c>
      <c r="L96" s="201">
        <f t="shared" si="6"/>
        <v>0</v>
      </c>
      <c r="M96" s="201">
        <f t="shared" si="6"/>
        <v>0</v>
      </c>
      <c r="N96" s="201">
        <f t="shared" si="6"/>
        <v>0</v>
      </c>
      <c r="O96" s="201">
        <f t="shared" si="6"/>
        <v>0</v>
      </c>
      <c r="P96" s="201">
        <f t="shared" si="6"/>
        <v>0</v>
      </c>
      <c r="Q96" s="201">
        <f t="shared" si="6"/>
        <v>0</v>
      </c>
      <c r="R96" s="201">
        <f t="shared" si="6"/>
        <v>0</v>
      </c>
      <c r="S96" s="201">
        <f t="shared" si="6"/>
        <v>0</v>
      </c>
      <c r="T96" s="201">
        <f t="shared" si="6"/>
        <v>0</v>
      </c>
      <c r="U96" s="201">
        <f t="shared" si="5"/>
        <v>4.6901131125073402E-2</v>
      </c>
      <c r="V96" s="201">
        <f t="shared" si="5"/>
        <v>5.6281357350086311E-2</v>
      </c>
      <c r="W96" s="201">
        <f t="shared" si="5"/>
        <v>6.7537628820104584E-2</v>
      </c>
      <c r="X96" s="201">
        <f t="shared" si="5"/>
        <v>8.1045154584126256E-2</v>
      </c>
      <c r="Y96" s="201"/>
      <c r="Z96" s="201">
        <f t="shared" si="3"/>
        <v>0.25176527187939057</v>
      </c>
      <c r="AA96" s="201">
        <f t="shared" si="4"/>
        <v>0.25176527187939057</v>
      </c>
    </row>
    <row r="97" spans="4:27" x14ac:dyDescent="0.3">
      <c r="D97" s="6">
        <v>27</v>
      </c>
      <c r="E97" s="201">
        <f t="shared" si="7"/>
        <v>0</v>
      </c>
      <c r="F97" s="201">
        <f t="shared" si="7"/>
        <v>0</v>
      </c>
      <c r="G97" s="201">
        <f t="shared" si="7"/>
        <v>0</v>
      </c>
      <c r="H97" s="201">
        <f t="shared" si="7"/>
        <v>0</v>
      </c>
      <c r="I97" s="201">
        <f t="shared" si="7"/>
        <v>0</v>
      </c>
      <c r="J97" s="201">
        <f t="shared" si="7"/>
        <v>0</v>
      </c>
      <c r="K97" s="201">
        <f t="shared" si="7"/>
        <v>0</v>
      </c>
      <c r="L97" s="201">
        <f t="shared" si="6"/>
        <v>0</v>
      </c>
      <c r="M97" s="201">
        <f t="shared" si="6"/>
        <v>0</v>
      </c>
      <c r="N97" s="201">
        <f t="shared" si="6"/>
        <v>0</v>
      </c>
      <c r="O97" s="201">
        <f t="shared" si="6"/>
        <v>0</v>
      </c>
      <c r="P97" s="201">
        <f t="shared" si="6"/>
        <v>0</v>
      </c>
      <c r="Q97" s="201">
        <f t="shared" si="6"/>
        <v>0</v>
      </c>
      <c r="R97" s="201">
        <f t="shared" si="6"/>
        <v>0</v>
      </c>
      <c r="S97" s="201">
        <f t="shared" si="6"/>
        <v>0</v>
      </c>
      <c r="T97" s="201">
        <f t="shared" si="6"/>
        <v>0</v>
      </c>
      <c r="U97" s="201">
        <f t="shared" si="5"/>
        <v>0</v>
      </c>
      <c r="V97" s="201">
        <f t="shared" si="5"/>
        <v>5.6281357350086311E-2</v>
      </c>
      <c r="W97" s="201">
        <f t="shared" si="5"/>
        <v>6.7537628820104584E-2</v>
      </c>
      <c r="X97" s="201">
        <f t="shared" si="5"/>
        <v>8.1045154584126256E-2</v>
      </c>
      <c r="Y97" s="201"/>
      <c r="Z97" s="201">
        <f t="shared" si="3"/>
        <v>0.20486414075431714</v>
      </c>
      <c r="AA97" s="201">
        <f t="shared" si="4"/>
        <v>0.20486414075431714</v>
      </c>
    </row>
    <row r="98" spans="4:27" x14ac:dyDescent="0.3">
      <c r="D98" s="6">
        <v>28</v>
      </c>
      <c r="E98" s="201">
        <f t="shared" si="7"/>
        <v>0</v>
      </c>
      <c r="F98" s="201">
        <f t="shared" si="7"/>
        <v>0</v>
      </c>
      <c r="G98" s="201">
        <f t="shared" si="7"/>
        <v>0</v>
      </c>
      <c r="H98" s="201">
        <f t="shared" si="7"/>
        <v>0</v>
      </c>
      <c r="I98" s="201">
        <f t="shared" si="7"/>
        <v>0</v>
      </c>
      <c r="J98" s="201">
        <f t="shared" si="7"/>
        <v>0</v>
      </c>
      <c r="K98" s="201">
        <f t="shared" si="7"/>
        <v>0</v>
      </c>
      <c r="L98" s="201">
        <f t="shared" si="6"/>
        <v>0</v>
      </c>
      <c r="M98" s="201">
        <f t="shared" si="6"/>
        <v>0</v>
      </c>
      <c r="N98" s="201">
        <f t="shared" si="6"/>
        <v>0</v>
      </c>
      <c r="O98" s="201">
        <f t="shared" si="6"/>
        <v>0</v>
      </c>
      <c r="P98" s="201">
        <f t="shared" si="6"/>
        <v>0</v>
      </c>
      <c r="Q98" s="201">
        <f t="shared" si="6"/>
        <v>0</v>
      </c>
      <c r="R98" s="201">
        <f t="shared" si="6"/>
        <v>0</v>
      </c>
      <c r="S98" s="201">
        <f t="shared" si="6"/>
        <v>0</v>
      </c>
      <c r="T98" s="201">
        <f t="shared" si="6"/>
        <v>0</v>
      </c>
      <c r="U98" s="201">
        <f t="shared" si="5"/>
        <v>0</v>
      </c>
      <c r="V98" s="201">
        <f t="shared" si="5"/>
        <v>0</v>
      </c>
      <c r="W98" s="201">
        <f t="shared" si="5"/>
        <v>6.7537628820104584E-2</v>
      </c>
      <c r="X98" s="201">
        <f t="shared" si="5"/>
        <v>8.1045154584126256E-2</v>
      </c>
      <c r="Y98" s="201"/>
      <c r="Z98" s="201">
        <f t="shared" si="3"/>
        <v>0.14858278340423084</v>
      </c>
      <c r="AA98" s="201">
        <f t="shared" si="4"/>
        <v>0.14858278340423084</v>
      </c>
    </row>
    <row r="99" spans="4:27" x14ac:dyDescent="0.3">
      <c r="D99" s="6">
        <v>29</v>
      </c>
      <c r="E99" s="201">
        <f t="shared" si="7"/>
        <v>0</v>
      </c>
      <c r="F99" s="201">
        <f t="shared" si="7"/>
        <v>0</v>
      </c>
      <c r="G99" s="201">
        <f t="shared" si="7"/>
        <v>0</v>
      </c>
      <c r="H99" s="201">
        <f t="shared" si="7"/>
        <v>0</v>
      </c>
      <c r="I99" s="201">
        <f t="shared" si="7"/>
        <v>0</v>
      </c>
      <c r="J99" s="201">
        <f t="shared" si="7"/>
        <v>0</v>
      </c>
      <c r="K99" s="201">
        <f t="shared" si="7"/>
        <v>0</v>
      </c>
      <c r="L99" s="201">
        <f t="shared" si="6"/>
        <v>0</v>
      </c>
      <c r="M99" s="201">
        <f t="shared" si="6"/>
        <v>0</v>
      </c>
      <c r="N99" s="201">
        <f t="shared" si="6"/>
        <v>0</v>
      </c>
      <c r="O99" s="201">
        <f t="shared" si="6"/>
        <v>0</v>
      </c>
      <c r="P99" s="201">
        <f t="shared" si="6"/>
        <v>0</v>
      </c>
      <c r="Q99" s="201">
        <f t="shared" si="6"/>
        <v>0</v>
      </c>
      <c r="R99" s="201">
        <f t="shared" si="6"/>
        <v>0</v>
      </c>
      <c r="S99" s="201">
        <f t="shared" si="6"/>
        <v>0</v>
      </c>
      <c r="T99" s="201">
        <f t="shared" si="6"/>
        <v>0</v>
      </c>
      <c r="U99" s="201">
        <f t="shared" si="5"/>
        <v>0</v>
      </c>
      <c r="V99" s="201">
        <f t="shared" si="5"/>
        <v>0</v>
      </c>
      <c r="W99" s="201">
        <f t="shared" si="5"/>
        <v>0</v>
      </c>
      <c r="X99" s="201">
        <f t="shared" si="5"/>
        <v>8.1045154584126256E-2</v>
      </c>
      <c r="Y99" s="201"/>
      <c r="Z99" s="201">
        <f t="shared" si="3"/>
        <v>8.1045154584126256E-2</v>
      </c>
      <c r="AA99" s="201">
        <f t="shared" si="4"/>
        <v>8.1045154584126256E-2</v>
      </c>
    </row>
    <row r="100" spans="4:27" x14ac:dyDescent="0.3">
      <c r="D100" s="6">
        <v>30</v>
      </c>
      <c r="E100" s="201">
        <f t="shared" si="7"/>
        <v>0</v>
      </c>
      <c r="F100" s="201">
        <f t="shared" si="7"/>
        <v>0</v>
      </c>
      <c r="G100" s="201">
        <f t="shared" si="7"/>
        <v>0</v>
      </c>
      <c r="H100" s="201">
        <f t="shared" si="7"/>
        <v>0</v>
      </c>
      <c r="I100" s="201">
        <f t="shared" si="7"/>
        <v>0</v>
      </c>
      <c r="J100" s="201">
        <f t="shared" si="7"/>
        <v>0</v>
      </c>
      <c r="K100" s="201">
        <f t="shared" si="7"/>
        <v>0</v>
      </c>
      <c r="L100" s="201">
        <f t="shared" si="6"/>
        <v>0</v>
      </c>
      <c r="M100" s="201">
        <f t="shared" si="6"/>
        <v>0</v>
      </c>
      <c r="N100" s="201">
        <f t="shared" si="6"/>
        <v>0</v>
      </c>
      <c r="O100" s="201">
        <f t="shared" si="6"/>
        <v>0</v>
      </c>
      <c r="P100" s="201">
        <f t="shared" si="6"/>
        <v>0</v>
      </c>
      <c r="Q100" s="201">
        <f t="shared" si="6"/>
        <v>0</v>
      </c>
      <c r="R100" s="201">
        <f t="shared" si="6"/>
        <v>0</v>
      </c>
      <c r="S100" s="201">
        <f t="shared" si="6"/>
        <v>0</v>
      </c>
      <c r="T100" s="201">
        <f t="shared" si="6"/>
        <v>0</v>
      </c>
      <c r="U100" s="201">
        <f t="shared" si="5"/>
        <v>0</v>
      </c>
      <c r="V100" s="201">
        <f t="shared" si="5"/>
        <v>0</v>
      </c>
      <c r="W100" s="201">
        <f t="shared" si="5"/>
        <v>0</v>
      </c>
      <c r="X100" s="201">
        <f t="shared" si="5"/>
        <v>0</v>
      </c>
      <c r="Y100" s="201"/>
      <c r="Z100" s="201">
        <f t="shared" si="3"/>
        <v>0</v>
      </c>
      <c r="AA100" s="201">
        <f t="shared" si="4"/>
        <v>0</v>
      </c>
    </row>
    <row r="101" spans="4:27" x14ac:dyDescent="0.3">
      <c r="F101" s="1"/>
      <c r="H101" s="1"/>
      <c r="I101" s="1"/>
    </row>
    <row r="102" spans="4:27" x14ac:dyDescent="0.3">
      <c r="D102" s="10" t="s">
        <v>260</v>
      </c>
      <c r="E102" s="201">
        <f t="array" ref="E102:X102">TRANSPOSE(N23:N42)*$G$11*0.000001/$G$16</f>
        <v>0</v>
      </c>
      <c r="F102" s="201">
        <v>2.6343519494204427E-2</v>
      </c>
      <c r="G102" s="201">
        <v>3.1612223393045313E-2</v>
      </c>
      <c r="H102" s="201">
        <v>0</v>
      </c>
      <c r="I102" s="201">
        <v>0</v>
      </c>
      <c r="J102" s="201">
        <v>0</v>
      </c>
      <c r="K102" s="201">
        <v>0</v>
      </c>
      <c r="L102" s="201">
        <v>0</v>
      </c>
      <c r="M102" s="201">
        <v>0</v>
      </c>
      <c r="N102" s="201">
        <v>0</v>
      </c>
      <c r="O102" s="201">
        <v>0</v>
      </c>
      <c r="P102" s="201">
        <v>0</v>
      </c>
      <c r="Q102" s="201">
        <v>0</v>
      </c>
      <c r="R102" s="201">
        <v>0</v>
      </c>
      <c r="S102" s="201">
        <v>0</v>
      </c>
      <c r="T102" s="201">
        <v>0</v>
      </c>
      <c r="U102" s="201">
        <v>0</v>
      </c>
      <c r="V102" s="201">
        <v>0</v>
      </c>
      <c r="W102" s="201">
        <v>0</v>
      </c>
      <c r="X102" s="201">
        <v>0</v>
      </c>
    </row>
    <row r="103" spans="4:27" x14ac:dyDescent="0.3">
      <c r="D103" s="10" t="s">
        <v>308</v>
      </c>
      <c r="E103" s="2">
        <v>1</v>
      </c>
      <c r="F103" s="2">
        <v>2</v>
      </c>
      <c r="G103" s="2">
        <v>3</v>
      </c>
      <c r="H103" s="2">
        <v>4</v>
      </c>
      <c r="I103" s="2">
        <v>5</v>
      </c>
      <c r="J103" s="2">
        <v>6</v>
      </c>
      <c r="K103" s="2">
        <v>7</v>
      </c>
      <c r="L103" s="2">
        <v>8</v>
      </c>
      <c r="M103" s="2">
        <v>9</v>
      </c>
      <c r="N103" s="2">
        <v>10</v>
      </c>
      <c r="O103" s="2">
        <v>11</v>
      </c>
      <c r="P103" s="2">
        <v>12</v>
      </c>
      <c r="Q103" s="2">
        <v>13</v>
      </c>
      <c r="R103" s="2">
        <v>14</v>
      </c>
      <c r="S103" s="2">
        <v>15</v>
      </c>
      <c r="T103" s="2">
        <v>16</v>
      </c>
      <c r="U103" s="2">
        <v>17</v>
      </c>
      <c r="V103" s="2">
        <v>18</v>
      </c>
      <c r="W103" s="2">
        <v>19</v>
      </c>
      <c r="X103" s="2">
        <v>20</v>
      </c>
      <c r="Z103" s="11" t="s">
        <v>462</v>
      </c>
      <c r="AA103" s="11" t="s">
        <v>463</v>
      </c>
    </row>
    <row r="104" spans="4:27" x14ac:dyDescent="0.3">
      <c r="D104" s="6">
        <v>1</v>
      </c>
      <c r="E104" s="201">
        <f t="shared" ref="E104:T127" si="8">IF($D104-E$103&lt;$G$16,IF($B$22=0,E$102,VLOOKUP(E$103,$D$23:$N$42,11,FALSE)*$G$11*0.000001*($B$22*(1+$B$22)^$G$16)/((1+$B$22)^$G$16-1)),0)</f>
        <v>0</v>
      </c>
      <c r="F104" s="201">
        <v>0</v>
      </c>
      <c r="G104" s="201">
        <v>0</v>
      </c>
      <c r="H104" s="201">
        <v>0</v>
      </c>
      <c r="I104" s="201">
        <v>0</v>
      </c>
      <c r="J104" s="201">
        <v>0</v>
      </c>
      <c r="K104" s="201">
        <v>0</v>
      </c>
      <c r="L104" s="201">
        <v>0</v>
      </c>
      <c r="M104" s="201">
        <v>0</v>
      </c>
      <c r="N104" s="201">
        <v>0</v>
      </c>
      <c r="O104" s="201">
        <v>0</v>
      </c>
      <c r="P104" s="201">
        <v>0</v>
      </c>
      <c r="Q104" s="201">
        <v>0</v>
      </c>
      <c r="R104" s="201">
        <v>0</v>
      </c>
      <c r="S104" s="201">
        <v>0</v>
      </c>
      <c r="T104" s="201">
        <v>0</v>
      </c>
      <c r="U104" s="201">
        <v>0</v>
      </c>
      <c r="V104" s="201">
        <v>0</v>
      </c>
      <c r="W104" s="201">
        <v>0</v>
      </c>
      <c r="X104" s="201">
        <v>0</v>
      </c>
      <c r="Y104" s="201"/>
      <c r="Z104" s="201">
        <f>SUM(E104:X104)</f>
        <v>0</v>
      </c>
      <c r="AA104" s="201">
        <f>Z104*(1/(1+$B$21)^(D104-1))</f>
        <v>0</v>
      </c>
    </row>
    <row r="105" spans="4:27" x14ac:dyDescent="0.3">
      <c r="D105" s="6">
        <v>2</v>
      </c>
      <c r="E105" s="201">
        <f t="shared" si="8"/>
        <v>0</v>
      </c>
      <c r="F105" s="201">
        <f t="shared" si="8"/>
        <v>2.6343519494204427E-2</v>
      </c>
      <c r="G105" s="201">
        <v>0</v>
      </c>
      <c r="H105" s="201">
        <v>0</v>
      </c>
      <c r="I105" s="201">
        <v>0</v>
      </c>
      <c r="J105" s="201">
        <v>0</v>
      </c>
      <c r="K105" s="201">
        <v>0</v>
      </c>
      <c r="L105" s="201">
        <v>0</v>
      </c>
      <c r="M105" s="201">
        <v>0</v>
      </c>
      <c r="N105" s="201">
        <v>0</v>
      </c>
      <c r="O105" s="201">
        <v>0</v>
      </c>
      <c r="P105" s="201">
        <v>0</v>
      </c>
      <c r="Q105" s="201">
        <v>0</v>
      </c>
      <c r="R105" s="201">
        <v>0</v>
      </c>
      <c r="S105" s="201">
        <v>0</v>
      </c>
      <c r="T105" s="201">
        <v>0</v>
      </c>
      <c r="U105" s="201">
        <v>0</v>
      </c>
      <c r="V105" s="201">
        <v>0</v>
      </c>
      <c r="W105" s="201">
        <v>0</v>
      </c>
      <c r="X105" s="201">
        <v>0</v>
      </c>
      <c r="Y105" s="201"/>
      <c r="Z105" s="201">
        <f t="shared" ref="Z105:Z133" si="9">SUM(E105:X105)</f>
        <v>2.6343519494204427E-2</v>
      </c>
      <c r="AA105" s="201">
        <f t="shared" ref="AA105:AA133" si="10">Z105*(1/(1+$B$21)^(D105-1))</f>
        <v>2.6343519494204427E-2</v>
      </c>
    </row>
    <row r="106" spans="4:27" x14ac:dyDescent="0.3">
      <c r="D106" s="6">
        <v>3</v>
      </c>
      <c r="E106" s="201">
        <f t="shared" si="8"/>
        <v>0</v>
      </c>
      <c r="F106" s="201">
        <f t="shared" si="8"/>
        <v>2.6343519494204427E-2</v>
      </c>
      <c r="G106" s="201">
        <f t="shared" si="8"/>
        <v>3.1612223393045313E-2</v>
      </c>
      <c r="H106" s="201">
        <v>0</v>
      </c>
      <c r="I106" s="201">
        <v>0</v>
      </c>
      <c r="J106" s="201">
        <v>0</v>
      </c>
      <c r="K106" s="201">
        <v>0</v>
      </c>
      <c r="L106" s="201">
        <v>0</v>
      </c>
      <c r="M106" s="201">
        <v>0</v>
      </c>
      <c r="N106" s="201">
        <v>0</v>
      </c>
      <c r="O106" s="201">
        <v>0</v>
      </c>
      <c r="P106" s="201">
        <v>0</v>
      </c>
      <c r="Q106" s="201">
        <v>0</v>
      </c>
      <c r="R106" s="201">
        <v>0</v>
      </c>
      <c r="S106" s="201">
        <v>0</v>
      </c>
      <c r="T106" s="201">
        <v>0</v>
      </c>
      <c r="U106" s="201">
        <v>0</v>
      </c>
      <c r="V106" s="201">
        <v>0</v>
      </c>
      <c r="W106" s="201">
        <v>0</v>
      </c>
      <c r="X106" s="201">
        <v>0</v>
      </c>
      <c r="Y106" s="201"/>
      <c r="Z106" s="201">
        <f t="shared" si="9"/>
        <v>5.7955742887249737E-2</v>
      </c>
      <c r="AA106" s="201">
        <f t="shared" si="10"/>
        <v>5.7955742887249737E-2</v>
      </c>
    </row>
    <row r="107" spans="4:27" x14ac:dyDescent="0.3">
      <c r="D107" s="6">
        <v>4</v>
      </c>
      <c r="E107" s="201">
        <f t="shared" si="8"/>
        <v>0</v>
      </c>
      <c r="F107" s="201">
        <f t="shared" si="8"/>
        <v>2.6343519494204427E-2</v>
      </c>
      <c r="G107" s="201">
        <f t="shared" si="8"/>
        <v>3.1612223393045313E-2</v>
      </c>
      <c r="H107" s="201">
        <f t="shared" si="8"/>
        <v>0</v>
      </c>
      <c r="I107" s="201">
        <v>0</v>
      </c>
      <c r="J107" s="201">
        <v>0</v>
      </c>
      <c r="K107" s="201">
        <v>0</v>
      </c>
      <c r="L107" s="201">
        <v>0</v>
      </c>
      <c r="M107" s="201">
        <v>0</v>
      </c>
      <c r="N107" s="201">
        <v>0</v>
      </c>
      <c r="O107" s="201">
        <v>0</v>
      </c>
      <c r="P107" s="201">
        <v>0</v>
      </c>
      <c r="Q107" s="201">
        <v>0</v>
      </c>
      <c r="R107" s="201">
        <v>0</v>
      </c>
      <c r="S107" s="201">
        <v>0</v>
      </c>
      <c r="T107" s="201">
        <v>0</v>
      </c>
      <c r="U107" s="201">
        <v>0</v>
      </c>
      <c r="V107" s="201">
        <v>0</v>
      </c>
      <c r="W107" s="201">
        <v>0</v>
      </c>
      <c r="X107" s="201">
        <v>0</v>
      </c>
      <c r="Y107" s="201"/>
      <c r="Z107" s="201">
        <f t="shared" si="9"/>
        <v>5.7955742887249737E-2</v>
      </c>
      <c r="AA107" s="201">
        <f t="shared" si="10"/>
        <v>5.7955742887249737E-2</v>
      </c>
    </row>
    <row r="108" spans="4:27" x14ac:dyDescent="0.3">
      <c r="D108" s="6">
        <v>5</v>
      </c>
      <c r="E108" s="201">
        <f t="shared" si="8"/>
        <v>0</v>
      </c>
      <c r="F108" s="201">
        <f t="shared" si="8"/>
        <v>2.6343519494204427E-2</v>
      </c>
      <c r="G108" s="201">
        <f t="shared" si="8"/>
        <v>3.1612223393045313E-2</v>
      </c>
      <c r="H108" s="201">
        <f t="shared" si="8"/>
        <v>0</v>
      </c>
      <c r="I108" s="201">
        <f t="shared" si="8"/>
        <v>0</v>
      </c>
      <c r="J108" s="201">
        <v>0</v>
      </c>
      <c r="K108" s="201">
        <v>0</v>
      </c>
      <c r="L108" s="201">
        <v>0</v>
      </c>
      <c r="M108" s="201">
        <v>0</v>
      </c>
      <c r="N108" s="201">
        <v>0</v>
      </c>
      <c r="O108" s="201">
        <v>0</v>
      </c>
      <c r="P108" s="201">
        <v>0</v>
      </c>
      <c r="Q108" s="201">
        <v>0</v>
      </c>
      <c r="R108" s="201">
        <v>0</v>
      </c>
      <c r="S108" s="201">
        <v>0</v>
      </c>
      <c r="T108" s="201">
        <v>0</v>
      </c>
      <c r="U108" s="201">
        <v>0</v>
      </c>
      <c r="V108" s="201">
        <v>0</v>
      </c>
      <c r="W108" s="201">
        <v>0</v>
      </c>
      <c r="X108" s="201">
        <v>0</v>
      </c>
      <c r="Y108" s="201"/>
      <c r="Z108" s="201">
        <f t="shared" si="9"/>
        <v>5.7955742887249737E-2</v>
      </c>
      <c r="AA108" s="201">
        <f t="shared" si="10"/>
        <v>5.7955742887249737E-2</v>
      </c>
    </row>
    <row r="109" spans="4:27" x14ac:dyDescent="0.3">
      <c r="D109" s="6">
        <v>6</v>
      </c>
      <c r="E109" s="201">
        <f t="shared" si="8"/>
        <v>0</v>
      </c>
      <c r="F109" s="201">
        <f t="shared" si="8"/>
        <v>2.6343519494204427E-2</v>
      </c>
      <c r="G109" s="201">
        <f t="shared" si="8"/>
        <v>3.1612223393045313E-2</v>
      </c>
      <c r="H109" s="201">
        <f t="shared" si="8"/>
        <v>0</v>
      </c>
      <c r="I109" s="201">
        <f t="shared" si="8"/>
        <v>0</v>
      </c>
      <c r="J109" s="201">
        <f t="shared" si="8"/>
        <v>0</v>
      </c>
      <c r="K109" s="201">
        <v>0</v>
      </c>
      <c r="L109" s="201">
        <v>0</v>
      </c>
      <c r="M109" s="201">
        <v>0</v>
      </c>
      <c r="N109" s="201">
        <v>0</v>
      </c>
      <c r="O109" s="201">
        <v>0</v>
      </c>
      <c r="P109" s="201">
        <v>0</v>
      </c>
      <c r="Q109" s="201">
        <v>0</v>
      </c>
      <c r="R109" s="201">
        <v>0</v>
      </c>
      <c r="S109" s="201">
        <v>0</v>
      </c>
      <c r="T109" s="201">
        <v>0</v>
      </c>
      <c r="U109" s="201">
        <v>0</v>
      </c>
      <c r="V109" s="201">
        <v>0</v>
      </c>
      <c r="W109" s="201">
        <v>0</v>
      </c>
      <c r="X109" s="201">
        <v>0</v>
      </c>
      <c r="Y109" s="201"/>
      <c r="Z109" s="201">
        <f t="shared" si="9"/>
        <v>5.7955742887249737E-2</v>
      </c>
      <c r="AA109" s="201">
        <f t="shared" si="10"/>
        <v>5.7955742887249737E-2</v>
      </c>
    </row>
    <row r="110" spans="4:27" x14ac:dyDescent="0.3">
      <c r="D110" s="6">
        <v>7</v>
      </c>
      <c r="E110" s="201">
        <f t="shared" si="8"/>
        <v>0</v>
      </c>
      <c r="F110" s="201">
        <f t="shared" si="8"/>
        <v>2.6343519494204427E-2</v>
      </c>
      <c r="G110" s="201">
        <f t="shared" si="8"/>
        <v>3.1612223393045313E-2</v>
      </c>
      <c r="H110" s="201">
        <f t="shared" si="8"/>
        <v>0</v>
      </c>
      <c r="I110" s="201">
        <f t="shared" si="8"/>
        <v>0</v>
      </c>
      <c r="J110" s="201">
        <f t="shared" si="8"/>
        <v>0</v>
      </c>
      <c r="K110" s="201">
        <f t="shared" si="8"/>
        <v>0</v>
      </c>
      <c r="L110" s="201">
        <v>0</v>
      </c>
      <c r="M110" s="201">
        <v>0</v>
      </c>
      <c r="N110" s="201">
        <v>0</v>
      </c>
      <c r="O110" s="201">
        <v>0</v>
      </c>
      <c r="P110" s="201">
        <v>0</v>
      </c>
      <c r="Q110" s="201">
        <v>0</v>
      </c>
      <c r="R110" s="201">
        <v>0</v>
      </c>
      <c r="S110" s="201">
        <v>0</v>
      </c>
      <c r="T110" s="201">
        <v>0</v>
      </c>
      <c r="U110" s="201">
        <v>0</v>
      </c>
      <c r="V110" s="201">
        <v>0</v>
      </c>
      <c r="W110" s="201">
        <v>0</v>
      </c>
      <c r="X110" s="201">
        <v>0</v>
      </c>
      <c r="Y110" s="201"/>
      <c r="Z110" s="201">
        <f t="shared" si="9"/>
        <v>5.7955742887249737E-2</v>
      </c>
      <c r="AA110" s="201">
        <f t="shared" si="10"/>
        <v>5.7955742887249737E-2</v>
      </c>
    </row>
    <row r="111" spans="4:27" x14ac:dyDescent="0.3">
      <c r="D111" s="6">
        <v>8</v>
      </c>
      <c r="E111" s="201">
        <f t="shared" si="8"/>
        <v>0</v>
      </c>
      <c r="F111" s="201">
        <f t="shared" si="8"/>
        <v>2.6343519494204427E-2</v>
      </c>
      <c r="G111" s="201">
        <f t="shared" si="8"/>
        <v>3.1612223393045313E-2</v>
      </c>
      <c r="H111" s="201">
        <f t="shared" si="8"/>
        <v>0</v>
      </c>
      <c r="I111" s="201">
        <f t="shared" si="8"/>
        <v>0</v>
      </c>
      <c r="J111" s="201">
        <f t="shared" si="8"/>
        <v>0</v>
      </c>
      <c r="K111" s="201">
        <f t="shared" si="8"/>
        <v>0</v>
      </c>
      <c r="L111" s="201">
        <f t="shared" si="8"/>
        <v>0</v>
      </c>
      <c r="M111" s="201">
        <v>0</v>
      </c>
      <c r="N111" s="201">
        <v>0</v>
      </c>
      <c r="O111" s="201">
        <v>0</v>
      </c>
      <c r="P111" s="201">
        <v>0</v>
      </c>
      <c r="Q111" s="201">
        <v>0</v>
      </c>
      <c r="R111" s="201">
        <v>0</v>
      </c>
      <c r="S111" s="201">
        <v>0</v>
      </c>
      <c r="T111" s="201">
        <v>0</v>
      </c>
      <c r="U111" s="201">
        <v>0</v>
      </c>
      <c r="V111" s="201">
        <v>0</v>
      </c>
      <c r="W111" s="201">
        <v>0</v>
      </c>
      <c r="X111" s="201">
        <v>0</v>
      </c>
      <c r="Y111" s="201"/>
      <c r="Z111" s="201">
        <f t="shared" si="9"/>
        <v>5.7955742887249737E-2</v>
      </c>
      <c r="AA111" s="201">
        <f t="shared" si="10"/>
        <v>5.7955742887249737E-2</v>
      </c>
    </row>
    <row r="112" spans="4:27" x14ac:dyDescent="0.3">
      <c r="D112" s="6">
        <v>9</v>
      </c>
      <c r="E112" s="201">
        <f t="shared" si="8"/>
        <v>0</v>
      </c>
      <c r="F112" s="201">
        <f t="shared" si="8"/>
        <v>2.6343519494204427E-2</v>
      </c>
      <c r="G112" s="201">
        <f t="shared" si="8"/>
        <v>3.1612223393045313E-2</v>
      </c>
      <c r="H112" s="201">
        <f t="shared" si="8"/>
        <v>0</v>
      </c>
      <c r="I112" s="201">
        <f t="shared" si="8"/>
        <v>0</v>
      </c>
      <c r="J112" s="201">
        <f t="shared" si="8"/>
        <v>0</v>
      </c>
      <c r="K112" s="201">
        <f t="shared" si="8"/>
        <v>0</v>
      </c>
      <c r="L112" s="201">
        <f t="shared" si="8"/>
        <v>0</v>
      </c>
      <c r="M112" s="201">
        <f t="shared" si="8"/>
        <v>0</v>
      </c>
      <c r="N112" s="201">
        <v>0</v>
      </c>
      <c r="O112" s="201">
        <v>0</v>
      </c>
      <c r="P112" s="201">
        <v>0</v>
      </c>
      <c r="Q112" s="201">
        <v>0</v>
      </c>
      <c r="R112" s="201">
        <v>0</v>
      </c>
      <c r="S112" s="201">
        <v>0</v>
      </c>
      <c r="T112" s="201">
        <v>0</v>
      </c>
      <c r="U112" s="201">
        <v>0</v>
      </c>
      <c r="V112" s="201">
        <v>0</v>
      </c>
      <c r="W112" s="201">
        <v>0</v>
      </c>
      <c r="X112" s="201">
        <v>0</v>
      </c>
      <c r="Y112" s="201"/>
      <c r="Z112" s="201">
        <f t="shared" si="9"/>
        <v>5.7955742887249737E-2</v>
      </c>
      <c r="AA112" s="201">
        <f t="shared" si="10"/>
        <v>5.7955742887249737E-2</v>
      </c>
    </row>
    <row r="113" spans="4:27" x14ac:dyDescent="0.3">
      <c r="D113" s="6">
        <v>10</v>
      </c>
      <c r="E113" s="201">
        <f t="shared" si="8"/>
        <v>0</v>
      </c>
      <c r="F113" s="201">
        <f t="shared" si="8"/>
        <v>2.6343519494204427E-2</v>
      </c>
      <c r="G113" s="201">
        <f t="shared" si="8"/>
        <v>3.1612223393045313E-2</v>
      </c>
      <c r="H113" s="201">
        <f t="shared" si="8"/>
        <v>0</v>
      </c>
      <c r="I113" s="201">
        <f t="shared" si="8"/>
        <v>0</v>
      </c>
      <c r="J113" s="201">
        <f t="shared" si="8"/>
        <v>0</v>
      </c>
      <c r="K113" s="201">
        <f t="shared" si="8"/>
        <v>0</v>
      </c>
      <c r="L113" s="201">
        <f t="shared" si="8"/>
        <v>0</v>
      </c>
      <c r="M113" s="201">
        <f t="shared" si="8"/>
        <v>0</v>
      </c>
      <c r="N113" s="201">
        <f t="shared" si="8"/>
        <v>0</v>
      </c>
      <c r="O113" s="201">
        <v>0</v>
      </c>
      <c r="P113" s="201">
        <v>0</v>
      </c>
      <c r="Q113" s="201">
        <v>0</v>
      </c>
      <c r="R113" s="201">
        <v>0</v>
      </c>
      <c r="S113" s="201">
        <v>0</v>
      </c>
      <c r="T113" s="201">
        <v>0</v>
      </c>
      <c r="U113" s="201">
        <v>0</v>
      </c>
      <c r="V113" s="201">
        <v>0</v>
      </c>
      <c r="W113" s="201">
        <v>0</v>
      </c>
      <c r="X113" s="201">
        <v>0</v>
      </c>
      <c r="Y113" s="201"/>
      <c r="Z113" s="201">
        <f t="shared" si="9"/>
        <v>5.7955742887249737E-2</v>
      </c>
      <c r="AA113" s="201">
        <f t="shared" si="10"/>
        <v>5.7955742887249737E-2</v>
      </c>
    </row>
    <row r="114" spans="4:27" x14ac:dyDescent="0.3">
      <c r="D114" s="6">
        <v>11</v>
      </c>
      <c r="E114" s="201">
        <f t="shared" si="8"/>
        <v>0</v>
      </c>
      <c r="F114" s="201">
        <f t="shared" si="8"/>
        <v>2.6343519494204427E-2</v>
      </c>
      <c r="G114" s="201">
        <f t="shared" si="8"/>
        <v>3.1612223393045313E-2</v>
      </c>
      <c r="H114" s="201">
        <f t="shared" si="8"/>
        <v>0</v>
      </c>
      <c r="I114" s="201">
        <f t="shared" si="8"/>
        <v>0</v>
      </c>
      <c r="J114" s="201">
        <f t="shared" si="8"/>
        <v>0</v>
      </c>
      <c r="K114" s="201">
        <f t="shared" si="8"/>
        <v>0</v>
      </c>
      <c r="L114" s="201">
        <f t="shared" si="8"/>
        <v>0</v>
      </c>
      <c r="M114" s="201">
        <f t="shared" si="8"/>
        <v>0</v>
      </c>
      <c r="N114" s="201">
        <f t="shared" si="8"/>
        <v>0</v>
      </c>
      <c r="O114" s="201">
        <f t="shared" si="8"/>
        <v>0</v>
      </c>
      <c r="P114" s="201">
        <v>0</v>
      </c>
      <c r="Q114" s="201">
        <v>0</v>
      </c>
      <c r="R114" s="201">
        <v>0</v>
      </c>
      <c r="S114" s="201">
        <v>0</v>
      </c>
      <c r="T114" s="201">
        <v>0</v>
      </c>
      <c r="U114" s="201">
        <v>0</v>
      </c>
      <c r="V114" s="201">
        <v>0</v>
      </c>
      <c r="W114" s="201">
        <v>0</v>
      </c>
      <c r="X114" s="201">
        <v>0</v>
      </c>
      <c r="Y114" s="201"/>
      <c r="Z114" s="201">
        <f t="shared" si="9"/>
        <v>5.7955742887249737E-2</v>
      </c>
      <c r="AA114" s="201">
        <f t="shared" si="10"/>
        <v>5.7955742887249737E-2</v>
      </c>
    </row>
    <row r="115" spans="4:27" x14ac:dyDescent="0.3">
      <c r="D115" s="6">
        <v>12</v>
      </c>
      <c r="E115" s="201">
        <f t="shared" si="8"/>
        <v>0</v>
      </c>
      <c r="F115" s="201">
        <f t="shared" si="8"/>
        <v>2.6343519494204427E-2</v>
      </c>
      <c r="G115" s="201">
        <f t="shared" si="8"/>
        <v>3.1612223393045313E-2</v>
      </c>
      <c r="H115" s="201">
        <f t="shared" si="8"/>
        <v>0</v>
      </c>
      <c r="I115" s="201">
        <f t="shared" si="8"/>
        <v>0</v>
      </c>
      <c r="J115" s="201">
        <f t="shared" si="8"/>
        <v>0</v>
      </c>
      <c r="K115" s="201">
        <f t="shared" si="8"/>
        <v>0</v>
      </c>
      <c r="L115" s="201">
        <f t="shared" si="8"/>
        <v>0</v>
      </c>
      <c r="M115" s="201">
        <f t="shared" si="8"/>
        <v>0</v>
      </c>
      <c r="N115" s="201">
        <f t="shared" si="8"/>
        <v>0</v>
      </c>
      <c r="O115" s="201">
        <f t="shared" si="8"/>
        <v>0</v>
      </c>
      <c r="P115" s="201">
        <f t="shared" si="8"/>
        <v>0</v>
      </c>
      <c r="Q115" s="201">
        <v>0</v>
      </c>
      <c r="R115" s="201">
        <v>0</v>
      </c>
      <c r="S115" s="201">
        <v>0</v>
      </c>
      <c r="T115" s="201">
        <v>0</v>
      </c>
      <c r="U115" s="201">
        <v>0</v>
      </c>
      <c r="V115" s="201">
        <v>0</v>
      </c>
      <c r="W115" s="201">
        <v>0</v>
      </c>
      <c r="X115" s="201">
        <v>0</v>
      </c>
      <c r="Y115" s="201"/>
      <c r="Z115" s="201">
        <f t="shared" si="9"/>
        <v>5.7955742887249737E-2</v>
      </c>
      <c r="AA115" s="201">
        <f t="shared" si="10"/>
        <v>5.7955742887249737E-2</v>
      </c>
    </row>
    <row r="116" spans="4:27" x14ac:dyDescent="0.3">
      <c r="D116" s="6">
        <v>13</v>
      </c>
      <c r="E116" s="201">
        <f t="shared" si="8"/>
        <v>0</v>
      </c>
      <c r="F116" s="201">
        <f t="shared" si="8"/>
        <v>2.6343519494204427E-2</v>
      </c>
      <c r="G116" s="201">
        <f t="shared" si="8"/>
        <v>3.1612223393045313E-2</v>
      </c>
      <c r="H116" s="201">
        <f t="shared" si="8"/>
        <v>0</v>
      </c>
      <c r="I116" s="201">
        <f t="shared" si="8"/>
        <v>0</v>
      </c>
      <c r="J116" s="201">
        <f t="shared" si="8"/>
        <v>0</v>
      </c>
      <c r="K116" s="201">
        <f t="shared" si="8"/>
        <v>0</v>
      </c>
      <c r="L116" s="201">
        <f t="shared" si="8"/>
        <v>0</v>
      </c>
      <c r="M116" s="201">
        <f t="shared" si="8"/>
        <v>0</v>
      </c>
      <c r="N116" s="201">
        <f t="shared" si="8"/>
        <v>0</v>
      </c>
      <c r="O116" s="201">
        <f t="shared" si="8"/>
        <v>0</v>
      </c>
      <c r="P116" s="201">
        <f t="shared" si="8"/>
        <v>0</v>
      </c>
      <c r="Q116" s="201">
        <f t="shared" si="8"/>
        <v>0</v>
      </c>
      <c r="R116" s="201">
        <v>0</v>
      </c>
      <c r="S116" s="201">
        <v>0</v>
      </c>
      <c r="T116" s="201">
        <v>0</v>
      </c>
      <c r="U116" s="201">
        <v>0</v>
      </c>
      <c r="V116" s="201">
        <v>0</v>
      </c>
      <c r="W116" s="201">
        <v>0</v>
      </c>
      <c r="X116" s="201">
        <v>0</v>
      </c>
      <c r="Y116" s="201"/>
      <c r="Z116" s="201">
        <f t="shared" si="9"/>
        <v>5.7955742887249737E-2</v>
      </c>
      <c r="AA116" s="201">
        <f t="shared" si="10"/>
        <v>5.7955742887249737E-2</v>
      </c>
    </row>
    <row r="117" spans="4:27" x14ac:dyDescent="0.3">
      <c r="D117" s="6">
        <v>14</v>
      </c>
      <c r="E117" s="201">
        <f t="shared" si="8"/>
        <v>0</v>
      </c>
      <c r="F117" s="201">
        <f t="shared" si="8"/>
        <v>2.6343519494204427E-2</v>
      </c>
      <c r="G117" s="201">
        <f t="shared" si="8"/>
        <v>3.1612223393045313E-2</v>
      </c>
      <c r="H117" s="201">
        <f t="shared" si="8"/>
        <v>0</v>
      </c>
      <c r="I117" s="201">
        <f t="shared" si="8"/>
        <v>0</v>
      </c>
      <c r="J117" s="201">
        <f t="shared" si="8"/>
        <v>0</v>
      </c>
      <c r="K117" s="201">
        <f t="shared" si="8"/>
        <v>0</v>
      </c>
      <c r="L117" s="201">
        <f t="shared" si="8"/>
        <v>0</v>
      </c>
      <c r="M117" s="201">
        <f t="shared" si="8"/>
        <v>0</v>
      </c>
      <c r="N117" s="201">
        <f t="shared" si="8"/>
        <v>0</v>
      </c>
      <c r="O117" s="201">
        <f t="shared" si="8"/>
        <v>0</v>
      </c>
      <c r="P117" s="201">
        <f t="shared" si="8"/>
        <v>0</v>
      </c>
      <c r="Q117" s="201">
        <f t="shared" si="8"/>
        <v>0</v>
      </c>
      <c r="R117" s="201">
        <f t="shared" si="8"/>
        <v>0</v>
      </c>
      <c r="S117" s="201">
        <v>0</v>
      </c>
      <c r="T117" s="201">
        <v>0</v>
      </c>
      <c r="U117" s="201">
        <v>0</v>
      </c>
      <c r="V117" s="201">
        <v>0</v>
      </c>
      <c r="W117" s="201">
        <v>0</v>
      </c>
      <c r="X117" s="201">
        <v>0</v>
      </c>
      <c r="Y117" s="201"/>
      <c r="Z117" s="201">
        <f t="shared" si="9"/>
        <v>5.7955742887249737E-2</v>
      </c>
      <c r="AA117" s="201">
        <f t="shared" si="10"/>
        <v>5.7955742887249737E-2</v>
      </c>
    </row>
    <row r="118" spans="4:27" x14ac:dyDescent="0.3">
      <c r="D118" s="6">
        <v>15</v>
      </c>
      <c r="E118" s="201">
        <f t="shared" si="8"/>
        <v>0</v>
      </c>
      <c r="F118" s="201">
        <f t="shared" si="8"/>
        <v>2.6343519494204427E-2</v>
      </c>
      <c r="G118" s="201">
        <f t="shared" si="8"/>
        <v>3.1612223393045313E-2</v>
      </c>
      <c r="H118" s="201">
        <f t="shared" si="8"/>
        <v>0</v>
      </c>
      <c r="I118" s="201">
        <f t="shared" si="8"/>
        <v>0</v>
      </c>
      <c r="J118" s="201">
        <f t="shared" si="8"/>
        <v>0</v>
      </c>
      <c r="K118" s="201">
        <f t="shared" si="8"/>
        <v>0</v>
      </c>
      <c r="L118" s="201">
        <f t="shared" si="8"/>
        <v>0</v>
      </c>
      <c r="M118" s="201">
        <f t="shared" si="8"/>
        <v>0</v>
      </c>
      <c r="N118" s="201">
        <f t="shared" si="8"/>
        <v>0</v>
      </c>
      <c r="O118" s="201">
        <f t="shared" si="8"/>
        <v>0</v>
      </c>
      <c r="P118" s="201">
        <f t="shared" si="8"/>
        <v>0</v>
      </c>
      <c r="Q118" s="201">
        <f t="shared" si="8"/>
        <v>0</v>
      </c>
      <c r="R118" s="201">
        <f t="shared" si="8"/>
        <v>0</v>
      </c>
      <c r="S118" s="201">
        <f t="shared" si="8"/>
        <v>0</v>
      </c>
      <c r="T118" s="201">
        <v>0</v>
      </c>
      <c r="U118" s="201">
        <v>0</v>
      </c>
      <c r="V118" s="201">
        <v>0</v>
      </c>
      <c r="W118" s="201">
        <v>0</v>
      </c>
      <c r="X118" s="201">
        <v>0</v>
      </c>
      <c r="Y118" s="201"/>
      <c r="Z118" s="201">
        <f t="shared" si="9"/>
        <v>5.7955742887249737E-2</v>
      </c>
      <c r="AA118" s="201">
        <f t="shared" si="10"/>
        <v>5.7955742887249737E-2</v>
      </c>
    </row>
    <row r="119" spans="4:27" x14ac:dyDescent="0.3">
      <c r="D119" s="6">
        <v>16</v>
      </c>
      <c r="E119" s="201">
        <f t="shared" si="8"/>
        <v>0</v>
      </c>
      <c r="F119" s="201">
        <f t="shared" si="8"/>
        <v>2.6343519494204427E-2</v>
      </c>
      <c r="G119" s="201">
        <f t="shared" si="8"/>
        <v>3.1612223393045313E-2</v>
      </c>
      <c r="H119" s="201">
        <f t="shared" si="8"/>
        <v>0</v>
      </c>
      <c r="I119" s="201">
        <f t="shared" si="8"/>
        <v>0</v>
      </c>
      <c r="J119" s="201">
        <f t="shared" si="8"/>
        <v>0</v>
      </c>
      <c r="K119" s="201">
        <f t="shared" si="8"/>
        <v>0</v>
      </c>
      <c r="L119" s="201">
        <f t="shared" si="8"/>
        <v>0</v>
      </c>
      <c r="M119" s="201">
        <f t="shared" si="8"/>
        <v>0</v>
      </c>
      <c r="N119" s="201">
        <f t="shared" si="8"/>
        <v>0</v>
      </c>
      <c r="O119" s="201">
        <f t="shared" si="8"/>
        <v>0</v>
      </c>
      <c r="P119" s="201">
        <f t="shared" si="8"/>
        <v>0</v>
      </c>
      <c r="Q119" s="201">
        <f t="shared" si="8"/>
        <v>0</v>
      </c>
      <c r="R119" s="201">
        <f t="shared" si="8"/>
        <v>0</v>
      </c>
      <c r="S119" s="201">
        <f t="shared" si="8"/>
        <v>0</v>
      </c>
      <c r="T119" s="201">
        <f t="shared" si="8"/>
        <v>0</v>
      </c>
      <c r="U119" s="201">
        <v>0</v>
      </c>
      <c r="V119" s="201">
        <v>0</v>
      </c>
      <c r="W119" s="201">
        <v>0</v>
      </c>
      <c r="X119" s="201">
        <v>0</v>
      </c>
      <c r="Y119" s="201"/>
      <c r="Z119" s="201">
        <f t="shared" si="9"/>
        <v>5.7955742887249737E-2</v>
      </c>
      <c r="AA119" s="201">
        <f t="shared" si="10"/>
        <v>5.7955742887249737E-2</v>
      </c>
    </row>
    <row r="120" spans="4:27" x14ac:dyDescent="0.3">
      <c r="D120" s="6">
        <v>17</v>
      </c>
      <c r="E120" s="201">
        <f t="shared" si="8"/>
        <v>0</v>
      </c>
      <c r="F120" s="201">
        <f t="shared" si="8"/>
        <v>2.6343519494204427E-2</v>
      </c>
      <c r="G120" s="201">
        <f t="shared" si="8"/>
        <v>3.1612223393045313E-2</v>
      </c>
      <c r="H120" s="201">
        <f t="shared" si="8"/>
        <v>0</v>
      </c>
      <c r="I120" s="201">
        <f t="shared" si="8"/>
        <v>0</v>
      </c>
      <c r="J120" s="201">
        <f t="shared" si="8"/>
        <v>0</v>
      </c>
      <c r="K120" s="201">
        <f t="shared" si="8"/>
        <v>0</v>
      </c>
      <c r="L120" s="201">
        <f t="shared" si="8"/>
        <v>0</v>
      </c>
      <c r="M120" s="201">
        <f t="shared" si="8"/>
        <v>0</v>
      </c>
      <c r="N120" s="201">
        <f t="shared" si="8"/>
        <v>0</v>
      </c>
      <c r="O120" s="201">
        <f t="shared" si="8"/>
        <v>0</v>
      </c>
      <c r="P120" s="201">
        <f t="shared" si="8"/>
        <v>0</v>
      </c>
      <c r="Q120" s="201">
        <f t="shared" si="8"/>
        <v>0</v>
      </c>
      <c r="R120" s="201">
        <f t="shared" si="8"/>
        <v>0</v>
      </c>
      <c r="S120" s="201">
        <f t="shared" si="8"/>
        <v>0</v>
      </c>
      <c r="T120" s="201">
        <f t="shared" si="8"/>
        <v>0</v>
      </c>
      <c r="U120" s="201">
        <f t="shared" ref="U120:X133" si="11">IF($D120-U$103&lt;$G$16,IF($B$22=0,U$102,VLOOKUP(U$103,$D$23:$N$42,11,FALSE)*$G$11*0.000001*($B$22*(1+$B$22)^$G$16)/((1+$B$22)^$G$16-1)),0)</f>
        <v>0</v>
      </c>
      <c r="V120" s="201">
        <v>0</v>
      </c>
      <c r="W120" s="201">
        <v>0</v>
      </c>
      <c r="X120" s="201">
        <v>0</v>
      </c>
      <c r="Y120" s="201"/>
      <c r="Z120" s="201">
        <f t="shared" si="9"/>
        <v>5.7955742887249737E-2</v>
      </c>
      <c r="AA120" s="201">
        <f t="shared" si="10"/>
        <v>5.7955742887249737E-2</v>
      </c>
    </row>
    <row r="121" spans="4:27" x14ac:dyDescent="0.3">
      <c r="D121" s="6">
        <v>18</v>
      </c>
      <c r="E121" s="201">
        <f t="shared" si="8"/>
        <v>0</v>
      </c>
      <c r="F121" s="201">
        <f t="shared" si="8"/>
        <v>2.6343519494204427E-2</v>
      </c>
      <c r="G121" s="201">
        <f t="shared" si="8"/>
        <v>3.1612223393045313E-2</v>
      </c>
      <c r="H121" s="201">
        <f t="shared" si="8"/>
        <v>0</v>
      </c>
      <c r="I121" s="201">
        <f t="shared" si="8"/>
        <v>0</v>
      </c>
      <c r="J121" s="201">
        <f t="shared" si="8"/>
        <v>0</v>
      </c>
      <c r="K121" s="201">
        <f t="shared" si="8"/>
        <v>0</v>
      </c>
      <c r="L121" s="201">
        <f t="shared" si="8"/>
        <v>0</v>
      </c>
      <c r="M121" s="201">
        <f t="shared" si="8"/>
        <v>0</v>
      </c>
      <c r="N121" s="201">
        <f t="shared" si="8"/>
        <v>0</v>
      </c>
      <c r="O121" s="201">
        <f t="shared" si="8"/>
        <v>0</v>
      </c>
      <c r="P121" s="201">
        <f t="shared" si="8"/>
        <v>0</v>
      </c>
      <c r="Q121" s="201">
        <f t="shared" si="8"/>
        <v>0</v>
      </c>
      <c r="R121" s="201">
        <f t="shared" si="8"/>
        <v>0</v>
      </c>
      <c r="S121" s="201">
        <f t="shared" si="8"/>
        <v>0</v>
      </c>
      <c r="T121" s="201">
        <f t="shared" si="8"/>
        <v>0</v>
      </c>
      <c r="U121" s="201">
        <f t="shared" si="11"/>
        <v>0</v>
      </c>
      <c r="V121" s="201">
        <f t="shared" si="11"/>
        <v>0</v>
      </c>
      <c r="W121" s="201">
        <v>0</v>
      </c>
      <c r="X121" s="201">
        <v>0</v>
      </c>
      <c r="Y121" s="201"/>
      <c r="Z121" s="201">
        <f t="shared" si="9"/>
        <v>5.7955742887249737E-2</v>
      </c>
      <c r="AA121" s="201">
        <f t="shared" si="10"/>
        <v>5.7955742887249737E-2</v>
      </c>
    </row>
    <row r="122" spans="4:27" x14ac:dyDescent="0.3">
      <c r="D122" s="6">
        <v>19</v>
      </c>
      <c r="E122" s="201">
        <f t="shared" si="8"/>
        <v>0</v>
      </c>
      <c r="F122" s="201">
        <f t="shared" si="8"/>
        <v>2.6343519494204427E-2</v>
      </c>
      <c r="G122" s="201">
        <f t="shared" si="8"/>
        <v>3.1612223393045313E-2</v>
      </c>
      <c r="H122" s="201">
        <f t="shared" si="8"/>
        <v>0</v>
      </c>
      <c r="I122" s="201">
        <f t="shared" si="8"/>
        <v>0</v>
      </c>
      <c r="J122" s="201">
        <f t="shared" si="8"/>
        <v>0</v>
      </c>
      <c r="K122" s="201">
        <f t="shared" si="8"/>
        <v>0</v>
      </c>
      <c r="L122" s="201">
        <f t="shared" si="8"/>
        <v>0</v>
      </c>
      <c r="M122" s="201">
        <f t="shared" si="8"/>
        <v>0</v>
      </c>
      <c r="N122" s="201">
        <f t="shared" si="8"/>
        <v>0</v>
      </c>
      <c r="O122" s="201">
        <f t="shared" si="8"/>
        <v>0</v>
      </c>
      <c r="P122" s="201">
        <f t="shared" si="8"/>
        <v>0</v>
      </c>
      <c r="Q122" s="201">
        <f t="shared" si="8"/>
        <v>0</v>
      </c>
      <c r="R122" s="201">
        <f t="shared" si="8"/>
        <v>0</v>
      </c>
      <c r="S122" s="201">
        <f t="shared" si="8"/>
        <v>0</v>
      </c>
      <c r="T122" s="201">
        <f t="shared" si="8"/>
        <v>0</v>
      </c>
      <c r="U122" s="201">
        <f t="shared" si="11"/>
        <v>0</v>
      </c>
      <c r="V122" s="201">
        <f t="shared" si="11"/>
        <v>0</v>
      </c>
      <c r="W122" s="201">
        <f t="shared" si="11"/>
        <v>0</v>
      </c>
      <c r="X122" s="201">
        <v>0</v>
      </c>
      <c r="Y122" s="201"/>
      <c r="Z122" s="201">
        <f t="shared" si="9"/>
        <v>5.7955742887249737E-2</v>
      </c>
      <c r="AA122" s="201">
        <f t="shared" si="10"/>
        <v>5.7955742887249737E-2</v>
      </c>
    </row>
    <row r="123" spans="4:27" x14ac:dyDescent="0.3">
      <c r="D123" s="6">
        <v>20</v>
      </c>
      <c r="E123" s="201">
        <f t="shared" si="8"/>
        <v>0</v>
      </c>
      <c r="F123" s="201">
        <f t="shared" si="8"/>
        <v>2.6343519494204427E-2</v>
      </c>
      <c r="G123" s="201">
        <f t="shared" si="8"/>
        <v>3.1612223393045313E-2</v>
      </c>
      <c r="H123" s="201">
        <f t="shared" si="8"/>
        <v>0</v>
      </c>
      <c r="I123" s="201">
        <f t="shared" si="8"/>
        <v>0</v>
      </c>
      <c r="J123" s="201">
        <f t="shared" si="8"/>
        <v>0</v>
      </c>
      <c r="K123" s="201">
        <f t="shared" si="8"/>
        <v>0</v>
      </c>
      <c r="L123" s="201">
        <f t="shared" si="8"/>
        <v>0</v>
      </c>
      <c r="M123" s="201">
        <f t="shared" si="8"/>
        <v>0</v>
      </c>
      <c r="N123" s="201">
        <f t="shared" si="8"/>
        <v>0</v>
      </c>
      <c r="O123" s="201">
        <f t="shared" si="8"/>
        <v>0</v>
      </c>
      <c r="P123" s="201">
        <f t="shared" si="8"/>
        <v>0</v>
      </c>
      <c r="Q123" s="201">
        <f t="shared" si="8"/>
        <v>0</v>
      </c>
      <c r="R123" s="201">
        <f t="shared" si="8"/>
        <v>0</v>
      </c>
      <c r="S123" s="201">
        <f t="shared" si="8"/>
        <v>0</v>
      </c>
      <c r="T123" s="201">
        <f t="shared" si="8"/>
        <v>0</v>
      </c>
      <c r="U123" s="201">
        <f t="shared" si="11"/>
        <v>0</v>
      </c>
      <c r="V123" s="201">
        <f t="shared" si="11"/>
        <v>0</v>
      </c>
      <c r="W123" s="201">
        <f t="shared" si="11"/>
        <v>0</v>
      </c>
      <c r="X123" s="201">
        <f t="shared" si="11"/>
        <v>0</v>
      </c>
      <c r="Y123" s="201"/>
      <c r="Z123" s="201">
        <f t="shared" si="9"/>
        <v>5.7955742887249737E-2</v>
      </c>
      <c r="AA123" s="201">
        <f t="shared" si="10"/>
        <v>5.7955742887249737E-2</v>
      </c>
    </row>
    <row r="124" spans="4:27" x14ac:dyDescent="0.3">
      <c r="D124" s="6">
        <v>21</v>
      </c>
      <c r="E124" s="201">
        <f t="shared" si="8"/>
        <v>0</v>
      </c>
      <c r="F124" s="201">
        <f t="shared" si="8"/>
        <v>2.6343519494204427E-2</v>
      </c>
      <c r="G124" s="201">
        <f t="shared" si="8"/>
        <v>3.1612223393045313E-2</v>
      </c>
      <c r="H124" s="201">
        <f t="shared" si="8"/>
        <v>0</v>
      </c>
      <c r="I124" s="201">
        <f t="shared" si="8"/>
        <v>0</v>
      </c>
      <c r="J124" s="201">
        <f t="shared" si="8"/>
        <v>0</v>
      </c>
      <c r="K124" s="201">
        <f t="shared" si="8"/>
        <v>0</v>
      </c>
      <c r="L124" s="201">
        <f t="shared" si="8"/>
        <v>0</v>
      </c>
      <c r="M124" s="201">
        <f t="shared" si="8"/>
        <v>0</v>
      </c>
      <c r="N124" s="201">
        <f t="shared" si="8"/>
        <v>0</v>
      </c>
      <c r="O124" s="201">
        <f t="shared" si="8"/>
        <v>0</v>
      </c>
      <c r="P124" s="201">
        <f t="shared" si="8"/>
        <v>0</v>
      </c>
      <c r="Q124" s="201">
        <f t="shared" si="8"/>
        <v>0</v>
      </c>
      <c r="R124" s="201">
        <f t="shared" si="8"/>
        <v>0</v>
      </c>
      <c r="S124" s="201">
        <f t="shared" si="8"/>
        <v>0</v>
      </c>
      <c r="T124" s="201">
        <f t="shared" si="8"/>
        <v>0</v>
      </c>
      <c r="U124" s="201">
        <f t="shared" si="11"/>
        <v>0</v>
      </c>
      <c r="V124" s="201">
        <f t="shared" si="11"/>
        <v>0</v>
      </c>
      <c r="W124" s="201">
        <f t="shared" si="11"/>
        <v>0</v>
      </c>
      <c r="X124" s="201">
        <f t="shared" si="11"/>
        <v>0</v>
      </c>
      <c r="Y124" s="201"/>
      <c r="Z124" s="201">
        <f t="shared" si="9"/>
        <v>5.7955742887249737E-2</v>
      </c>
      <c r="AA124" s="201">
        <f t="shared" si="10"/>
        <v>5.7955742887249737E-2</v>
      </c>
    </row>
    <row r="125" spans="4:27" x14ac:dyDescent="0.3">
      <c r="D125" s="6">
        <v>22</v>
      </c>
      <c r="E125" s="201">
        <f t="shared" si="8"/>
        <v>0</v>
      </c>
      <c r="F125" s="201">
        <f t="shared" si="8"/>
        <v>0</v>
      </c>
      <c r="G125" s="201">
        <f t="shared" si="8"/>
        <v>3.1612223393045313E-2</v>
      </c>
      <c r="H125" s="201">
        <f t="shared" si="8"/>
        <v>0</v>
      </c>
      <c r="I125" s="201">
        <f t="shared" si="8"/>
        <v>0</v>
      </c>
      <c r="J125" s="201">
        <f t="shared" si="8"/>
        <v>0</v>
      </c>
      <c r="K125" s="201">
        <f t="shared" si="8"/>
        <v>0</v>
      </c>
      <c r="L125" s="201">
        <f t="shared" si="8"/>
        <v>0</v>
      </c>
      <c r="M125" s="201">
        <f t="shared" si="8"/>
        <v>0</v>
      </c>
      <c r="N125" s="201">
        <f t="shared" si="8"/>
        <v>0</v>
      </c>
      <c r="O125" s="201">
        <f t="shared" si="8"/>
        <v>0</v>
      </c>
      <c r="P125" s="201">
        <f t="shared" si="8"/>
        <v>0</v>
      </c>
      <c r="Q125" s="201">
        <f t="shared" si="8"/>
        <v>0</v>
      </c>
      <c r="R125" s="201">
        <f t="shared" si="8"/>
        <v>0</v>
      </c>
      <c r="S125" s="201">
        <f t="shared" si="8"/>
        <v>0</v>
      </c>
      <c r="T125" s="201">
        <f t="shared" si="8"/>
        <v>0</v>
      </c>
      <c r="U125" s="201">
        <f t="shared" si="11"/>
        <v>0</v>
      </c>
      <c r="V125" s="201">
        <f t="shared" si="11"/>
        <v>0</v>
      </c>
      <c r="W125" s="201">
        <f t="shared" si="11"/>
        <v>0</v>
      </c>
      <c r="X125" s="201">
        <f t="shared" si="11"/>
        <v>0</v>
      </c>
      <c r="Y125" s="201"/>
      <c r="Z125" s="201">
        <f t="shared" si="9"/>
        <v>3.1612223393045313E-2</v>
      </c>
      <c r="AA125" s="201">
        <f t="shared" si="10"/>
        <v>3.1612223393045313E-2</v>
      </c>
    </row>
    <row r="126" spans="4:27" x14ac:dyDescent="0.3">
      <c r="D126" s="6">
        <v>23</v>
      </c>
      <c r="E126" s="201">
        <f t="shared" si="8"/>
        <v>0</v>
      </c>
      <c r="F126" s="201">
        <f t="shared" si="8"/>
        <v>0</v>
      </c>
      <c r="G126" s="201">
        <f t="shared" si="8"/>
        <v>0</v>
      </c>
      <c r="H126" s="201">
        <f t="shared" si="8"/>
        <v>0</v>
      </c>
      <c r="I126" s="201">
        <f t="shared" si="8"/>
        <v>0</v>
      </c>
      <c r="J126" s="201">
        <f t="shared" si="8"/>
        <v>0</v>
      </c>
      <c r="K126" s="201">
        <f t="shared" si="8"/>
        <v>0</v>
      </c>
      <c r="L126" s="201">
        <f t="shared" si="8"/>
        <v>0</v>
      </c>
      <c r="M126" s="201">
        <f t="shared" si="8"/>
        <v>0</v>
      </c>
      <c r="N126" s="201">
        <f t="shared" si="8"/>
        <v>0</v>
      </c>
      <c r="O126" s="201">
        <f t="shared" si="8"/>
        <v>0</v>
      </c>
      <c r="P126" s="201">
        <f t="shared" si="8"/>
        <v>0</v>
      </c>
      <c r="Q126" s="201">
        <f t="shared" si="8"/>
        <v>0</v>
      </c>
      <c r="R126" s="201">
        <f t="shared" si="8"/>
        <v>0</v>
      </c>
      <c r="S126" s="201">
        <f t="shared" si="8"/>
        <v>0</v>
      </c>
      <c r="T126" s="201">
        <f t="shared" si="8"/>
        <v>0</v>
      </c>
      <c r="U126" s="201">
        <f t="shared" si="11"/>
        <v>0</v>
      </c>
      <c r="V126" s="201">
        <f t="shared" si="11"/>
        <v>0</v>
      </c>
      <c r="W126" s="201">
        <f t="shared" si="11"/>
        <v>0</v>
      </c>
      <c r="X126" s="201">
        <f t="shared" si="11"/>
        <v>0</v>
      </c>
      <c r="Y126" s="201"/>
      <c r="Z126" s="201">
        <f t="shared" si="9"/>
        <v>0</v>
      </c>
      <c r="AA126" s="201">
        <f t="shared" si="10"/>
        <v>0</v>
      </c>
    </row>
    <row r="127" spans="4:27" x14ac:dyDescent="0.3">
      <c r="D127" s="6">
        <v>24</v>
      </c>
      <c r="E127" s="201">
        <f t="shared" si="8"/>
        <v>0</v>
      </c>
      <c r="F127" s="201">
        <f t="shared" si="8"/>
        <v>0</v>
      </c>
      <c r="G127" s="201">
        <f t="shared" si="8"/>
        <v>0</v>
      </c>
      <c r="H127" s="201">
        <f t="shared" si="8"/>
        <v>0</v>
      </c>
      <c r="I127" s="201">
        <f t="shared" si="8"/>
        <v>0</v>
      </c>
      <c r="J127" s="201">
        <f t="shared" si="8"/>
        <v>0</v>
      </c>
      <c r="K127" s="201">
        <f t="shared" si="8"/>
        <v>0</v>
      </c>
      <c r="L127" s="201">
        <f t="shared" ref="L127:T133" si="12">IF($D127-L$103&lt;$G$16,IF($B$22=0,L$102,VLOOKUP(L$103,$D$23:$N$42,11,FALSE)*$G$11*0.000001*($B$22*(1+$B$22)^$G$16)/((1+$B$22)^$G$16-1)),0)</f>
        <v>0</v>
      </c>
      <c r="M127" s="201">
        <f t="shared" si="12"/>
        <v>0</v>
      </c>
      <c r="N127" s="201">
        <f t="shared" si="12"/>
        <v>0</v>
      </c>
      <c r="O127" s="201">
        <f t="shared" si="12"/>
        <v>0</v>
      </c>
      <c r="P127" s="201">
        <f t="shared" si="12"/>
        <v>0</v>
      </c>
      <c r="Q127" s="201">
        <f t="shared" si="12"/>
        <v>0</v>
      </c>
      <c r="R127" s="201">
        <f t="shared" si="12"/>
        <v>0</v>
      </c>
      <c r="S127" s="201">
        <f t="shared" si="12"/>
        <v>0</v>
      </c>
      <c r="T127" s="201">
        <f t="shared" si="12"/>
        <v>0</v>
      </c>
      <c r="U127" s="201">
        <f t="shared" si="11"/>
        <v>0</v>
      </c>
      <c r="V127" s="201">
        <f t="shared" si="11"/>
        <v>0</v>
      </c>
      <c r="W127" s="201">
        <f t="shared" si="11"/>
        <v>0</v>
      </c>
      <c r="X127" s="201">
        <f t="shared" si="11"/>
        <v>0</v>
      </c>
      <c r="Y127" s="201"/>
      <c r="Z127" s="201">
        <f t="shared" si="9"/>
        <v>0</v>
      </c>
      <c r="AA127" s="201">
        <f t="shared" si="10"/>
        <v>0</v>
      </c>
    </row>
    <row r="128" spans="4:27" x14ac:dyDescent="0.3">
      <c r="D128" s="6">
        <v>25</v>
      </c>
      <c r="E128" s="201">
        <f t="shared" ref="E128:K133" si="13">IF($D128-E$103&lt;$G$16,IF($B$22=0,E$102,VLOOKUP(E$103,$D$23:$N$42,11,FALSE)*$G$11*0.000001*($B$22*(1+$B$22)^$G$16)/((1+$B$22)^$G$16-1)),0)</f>
        <v>0</v>
      </c>
      <c r="F128" s="201">
        <f t="shared" si="13"/>
        <v>0</v>
      </c>
      <c r="G128" s="201">
        <f t="shared" si="13"/>
        <v>0</v>
      </c>
      <c r="H128" s="201">
        <f t="shared" si="13"/>
        <v>0</v>
      </c>
      <c r="I128" s="201">
        <f t="shared" si="13"/>
        <v>0</v>
      </c>
      <c r="J128" s="201">
        <f t="shared" si="13"/>
        <v>0</v>
      </c>
      <c r="K128" s="201">
        <f t="shared" si="13"/>
        <v>0</v>
      </c>
      <c r="L128" s="201">
        <f t="shared" si="12"/>
        <v>0</v>
      </c>
      <c r="M128" s="201">
        <f t="shared" si="12"/>
        <v>0</v>
      </c>
      <c r="N128" s="201">
        <f t="shared" si="12"/>
        <v>0</v>
      </c>
      <c r="O128" s="201">
        <f t="shared" si="12"/>
        <v>0</v>
      </c>
      <c r="P128" s="201">
        <f t="shared" si="12"/>
        <v>0</v>
      </c>
      <c r="Q128" s="201">
        <f t="shared" si="12"/>
        <v>0</v>
      </c>
      <c r="R128" s="201">
        <f t="shared" si="12"/>
        <v>0</v>
      </c>
      <c r="S128" s="201">
        <f t="shared" si="12"/>
        <v>0</v>
      </c>
      <c r="T128" s="201">
        <f t="shared" si="12"/>
        <v>0</v>
      </c>
      <c r="U128" s="201">
        <f t="shared" si="11"/>
        <v>0</v>
      </c>
      <c r="V128" s="201">
        <f t="shared" si="11"/>
        <v>0</v>
      </c>
      <c r="W128" s="201">
        <f t="shared" si="11"/>
        <v>0</v>
      </c>
      <c r="X128" s="201">
        <f t="shared" si="11"/>
        <v>0</v>
      </c>
      <c r="Y128" s="201"/>
      <c r="Z128" s="201">
        <f t="shared" si="9"/>
        <v>0</v>
      </c>
      <c r="AA128" s="201">
        <f t="shared" si="10"/>
        <v>0</v>
      </c>
    </row>
    <row r="129" spans="4:27" x14ac:dyDescent="0.3">
      <c r="D129" s="6">
        <v>26</v>
      </c>
      <c r="E129" s="201">
        <f t="shared" si="13"/>
        <v>0</v>
      </c>
      <c r="F129" s="201">
        <f t="shared" si="13"/>
        <v>0</v>
      </c>
      <c r="G129" s="201">
        <f t="shared" si="13"/>
        <v>0</v>
      </c>
      <c r="H129" s="201">
        <f t="shared" si="13"/>
        <v>0</v>
      </c>
      <c r="I129" s="201">
        <f t="shared" si="13"/>
        <v>0</v>
      </c>
      <c r="J129" s="201">
        <f t="shared" si="13"/>
        <v>0</v>
      </c>
      <c r="K129" s="201">
        <f t="shared" si="13"/>
        <v>0</v>
      </c>
      <c r="L129" s="201">
        <f t="shared" si="12"/>
        <v>0</v>
      </c>
      <c r="M129" s="201">
        <f t="shared" si="12"/>
        <v>0</v>
      </c>
      <c r="N129" s="201">
        <f t="shared" si="12"/>
        <v>0</v>
      </c>
      <c r="O129" s="201">
        <f t="shared" si="12"/>
        <v>0</v>
      </c>
      <c r="P129" s="201">
        <f t="shared" si="12"/>
        <v>0</v>
      </c>
      <c r="Q129" s="201">
        <f t="shared" si="12"/>
        <v>0</v>
      </c>
      <c r="R129" s="201">
        <f t="shared" si="12"/>
        <v>0</v>
      </c>
      <c r="S129" s="201">
        <f t="shared" si="12"/>
        <v>0</v>
      </c>
      <c r="T129" s="201">
        <f t="shared" si="12"/>
        <v>0</v>
      </c>
      <c r="U129" s="201">
        <f t="shared" si="11"/>
        <v>0</v>
      </c>
      <c r="V129" s="201">
        <f t="shared" si="11"/>
        <v>0</v>
      </c>
      <c r="W129" s="201">
        <f t="shared" si="11"/>
        <v>0</v>
      </c>
      <c r="X129" s="201">
        <f t="shared" si="11"/>
        <v>0</v>
      </c>
      <c r="Y129" s="201"/>
      <c r="Z129" s="201">
        <f t="shared" si="9"/>
        <v>0</v>
      </c>
      <c r="AA129" s="201">
        <f t="shared" si="10"/>
        <v>0</v>
      </c>
    </row>
    <row r="130" spans="4:27" x14ac:dyDescent="0.3">
      <c r="D130" s="6">
        <v>27</v>
      </c>
      <c r="E130" s="201">
        <f t="shared" si="13"/>
        <v>0</v>
      </c>
      <c r="F130" s="201">
        <f t="shared" si="13"/>
        <v>0</v>
      </c>
      <c r="G130" s="201">
        <f t="shared" si="13"/>
        <v>0</v>
      </c>
      <c r="H130" s="201">
        <f t="shared" si="13"/>
        <v>0</v>
      </c>
      <c r="I130" s="201">
        <f t="shared" si="13"/>
        <v>0</v>
      </c>
      <c r="J130" s="201">
        <f t="shared" si="13"/>
        <v>0</v>
      </c>
      <c r="K130" s="201">
        <f t="shared" si="13"/>
        <v>0</v>
      </c>
      <c r="L130" s="201">
        <f t="shared" si="12"/>
        <v>0</v>
      </c>
      <c r="M130" s="201">
        <f t="shared" si="12"/>
        <v>0</v>
      </c>
      <c r="N130" s="201">
        <f t="shared" si="12"/>
        <v>0</v>
      </c>
      <c r="O130" s="201">
        <f t="shared" si="12"/>
        <v>0</v>
      </c>
      <c r="P130" s="201">
        <f t="shared" si="12"/>
        <v>0</v>
      </c>
      <c r="Q130" s="201">
        <f t="shared" si="12"/>
        <v>0</v>
      </c>
      <c r="R130" s="201">
        <f t="shared" si="12"/>
        <v>0</v>
      </c>
      <c r="S130" s="201">
        <f t="shared" si="12"/>
        <v>0</v>
      </c>
      <c r="T130" s="201">
        <f t="shared" si="12"/>
        <v>0</v>
      </c>
      <c r="U130" s="201">
        <f t="shared" si="11"/>
        <v>0</v>
      </c>
      <c r="V130" s="201">
        <f t="shared" si="11"/>
        <v>0</v>
      </c>
      <c r="W130" s="201">
        <f t="shared" si="11"/>
        <v>0</v>
      </c>
      <c r="X130" s="201">
        <f t="shared" si="11"/>
        <v>0</v>
      </c>
      <c r="Y130" s="201"/>
      <c r="Z130" s="201">
        <f t="shared" si="9"/>
        <v>0</v>
      </c>
      <c r="AA130" s="201">
        <f t="shared" si="10"/>
        <v>0</v>
      </c>
    </row>
    <row r="131" spans="4:27" x14ac:dyDescent="0.3">
      <c r="D131" s="6">
        <v>28</v>
      </c>
      <c r="E131" s="201">
        <f t="shared" si="13"/>
        <v>0</v>
      </c>
      <c r="F131" s="201">
        <f t="shared" si="13"/>
        <v>0</v>
      </c>
      <c r="G131" s="201">
        <f t="shared" si="13"/>
        <v>0</v>
      </c>
      <c r="H131" s="201">
        <f t="shared" si="13"/>
        <v>0</v>
      </c>
      <c r="I131" s="201">
        <f t="shared" si="13"/>
        <v>0</v>
      </c>
      <c r="J131" s="201">
        <f t="shared" si="13"/>
        <v>0</v>
      </c>
      <c r="K131" s="201">
        <f t="shared" si="13"/>
        <v>0</v>
      </c>
      <c r="L131" s="201">
        <f t="shared" si="12"/>
        <v>0</v>
      </c>
      <c r="M131" s="201">
        <f t="shared" si="12"/>
        <v>0</v>
      </c>
      <c r="N131" s="201">
        <f t="shared" si="12"/>
        <v>0</v>
      </c>
      <c r="O131" s="201">
        <f t="shared" si="12"/>
        <v>0</v>
      </c>
      <c r="P131" s="201">
        <f t="shared" si="12"/>
        <v>0</v>
      </c>
      <c r="Q131" s="201">
        <f t="shared" si="12"/>
        <v>0</v>
      </c>
      <c r="R131" s="201">
        <f t="shared" si="12"/>
        <v>0</v>
      </c>
      <c r="S131" s="201">
        <f t="shared" si="12"/>
        <v>0</v>
      </c>
      <c r="T131" s="201">
        <f t="shared" si="12"/>
        <v>0</v>
      </c>
      <c r="U131" s="201">
        <f t="shared" si="11"/>
        <v>0</v>
      </c>
      <c r="V131" s="201">
        <f t="shared" si="11"/>
        <v>0</v>
      </c>
      <c r="W131" s="201">
        <f t="shared" si="11"/>
        <v>0</v>
      </c>
      <c r="X131" s="201">
        <f t="shared" si="11"/>
        <v>0</v>
      </c>
      <c r="Y131" s="201"/>
      <c r="Z131" s="201">
        <f t="shared" si="9"/>
        <v>0</v>
      </c>
      <c r="AA131" s="201">
        <f t="shared" si="10"/>
        <v>0</v>
      </c>
    </row>
    <row r="132" spans="4:27" x14ac:dyDescent="0.3">
      <c r="D132" s="6">
        <v>29</v>
      </c>
      <c r="E132" s="201">
        <f t="shared" si="13"/>
        <v>0</v>
      </c>
      <c r="F132" s="201">
        <f t="shared" si="13"/>
        <v>0</v>
      </c>
      <c r="G132" s="201">
        <f t="shared" si="13"/>
        <v>0</v>
      </c>
      <c r="H132" s="201">
        <f t="shared" si="13"/>
        <v>0</v>
      </c>
      <c r="I132" s="201">
        <f t="shared" si="13"/>
        <v>0</v>
      </c>
      <c r="J132" s="201">
        <f t="shared" si="13"/>
        <v>0</v>
      </c>
      <c r="K132" s="201">
        <f t="shared" si="13"/>
        <v>0</v>
      </c>
      <c r="L132" s="201">
        <f t="shared" si="12"/>
        <v>0</v>
      </c>
      <c r="M132" s="201">
        <f t="shared" si="12"/>
        <v>0</v>
      </c>
      <c r="N132" s="201">
        <f t="shared" si="12"/>
        <v>0</v>
      </c>
      <c r="O132" s="201">
        <f t="shared" si="12"/>
        <v>0</v>
      </c>
      <c r="P132" s="201">
        <f t="shared" si="12"/>
        <v>0</v>
      </c>
      <c r="Q132" s="201">
        <f t="shared" si="12"/>
        <v>0</v>
      </c>
      <c r="R132" s="201">
        <f t="shared" si="12"/>
        <v>0</v>
      </c>
      <c r="S132" s="201">
        <f t="shared" si="12"/>
        <v>0</v>
      </c>
      <c r="T132" s="201">
        <f t="shared" si="12"/>
        <v>0</v>
      </c>
      <c r="U132" s="201">
        <f t="shared" si="11"/>
        <v>0</v>
      </c>
      <c r="V132" s="201">
        <f t="shared" si="11"/>
        <v>0</v>
      </c>
      <c r="W132" s="201">
        <f t="shared" si="11"/>
        <v>0</v>
      </c>
      <c r="X132" s="201">
        <f t="shared" si="11"/>
        <v>0</v>
      </c>
      <c r="Y132" s="201"/>
      <c r="Z132" s="201">
        <f t="shared" si="9"/>
        <v>0</v>
      </c>
      <c r="AA132" s="201">
        <f t="shared" si="10"/>
        <v>0</v>
      </c>
    </row>
    <row r="133" spans="4:27" x14ac:dyDescent="0.3">
      <c r="D133" s="6">
        <v>30</v>
      </c>
      <c r="E133" s="201">
        <f t="shared" si="13"/>
        <v>0</v>
      </c>
      <c r="F133" s="201">
        <f t="shared" si="13"/>
        <v>0</v>
      </c>
      <c r="G133" s="201">
        <f t="shared" si="13"/>
        <v>0</v>
      </c>
      <c r="H133" s="201">
        <f t="shared" si="13"/>
        <v>0</v>
      </c>
      <c r="I133" s="201">
        <f t="shared" si="13"/>
        <v>0</v>
      </c>
      <c r="J133" s="201">
        <f t="shared" si="13"/>
        <v>0</v>
      </c>
      <c r="K133" s="201">
        <f t="shared" si="13"/>
        <v>0</v>
      </c>
      <c r="L133" s="201">
        <f t="shared" si="12"/>
        <v>0</v>
      </c>
      <c r="M133" s="201">
        <f t="shared" si="12"/>
        <v>0</v>
      </c>
      <c r="N133" s="201">
        <f t="shared" si="12"/>
        <v>0</v>
      </c>
      <c r="O133" s="201">
        <f t="shared" si="12"/>
        <v>0</v>
      </c>
      <c r="P133" s="201">
        <f t="shared" si="12"/>
        <v>0</v>
      </c>
      <c r="Q133" s="201">
        <f t="shared" si="12"/>
        <v>0</v>
      </c>
      <c r="R133" s="201">
        <f t="shared" si="12"/>
        <v>0</v>
      </c>
      <c r="S133" s="201">
        <f t="shared" si="12"/>
        <v>0</v>
      </c>
      <c r="T133" s="201">
        <f t="shared" si="12"/>
        <v>0</v>
      </c>
      <c r="U133" s="201">
        <f t="shared" si="11"/>
        <v>0</v>
      </c>
      <c r="V133" s="201">
        <f t="shared" si="11"/>
        <v>0</v>
      </c>
      <c r="W133" s="201">
        <f t="shared" si="11"/>
        <v>0</v>
      </c>
      <c r="X133" s="201">
        <f t="shared" si="11"/>
        <v>0</v>
      </c>
      <c r="Y133" s="201"/>
      <c r="Z133" s="201">
        <f t="shared" si="9"/>
        <v>0</v>
      </c>
      <c r="AA133" s="201">
        <f t="shared" si="10"/>
        <v>0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E2D2-C8D3-4CAF-90BF-79B021C9787D}">
  <sheetPr>
    <tabColor theme="5" tint="-0.249977111117893"/>
  </sheetPr>
  <dimension ref="A1:BH101"/>
  <sheetViews>
    <sheetView zoomScale="55" zoomScaleNormal="55" workbookViewId="0">
      <selection activeCell="T35" sqref="T35"/>
    </sheetView>
  </sheetViews>
  <sheetFormatPr defaultRowHeight="14.4" x14ac:dyDescent="0.3"/>
  <cols>
    <col min="1" max="1" width="18.6640625" bestFit="1" customWidth="1"/>
    <col min="17" max="17" width="10.44140625" customWidth="1"/>
    <col min="41" max="41" width="9.33203125" customWidth="1"/>
    <col min="51" max="51" width="9.77734375" bestFit="1" customWidth="1"/>
  </cols>
  <sheetData>
    <row r="1" spans="1:26" x14ac:dyDescent="0.3">
      <c r="C1" s="218" t="s">
        <v>126</v>
      </c>
      <c r="D1" s="218" t="s">
        <v>213</v>
      </c>
    </row>
    <row r="2" spans="1:26" x14ac:dyDescent="0.3">
      <c r="A2" s="217" t="s">
        <v>669</v>
      </c>
      <c r="B2" s="10"/>
      <c r="C2" s="10">
        <v>10</v>
      </c>
      <c r="D2" s="10">
        <v>0</v>
      </c>
    </row>
    <row r="3" spans="1:26" x14ac:dyDescent="0.3">
      <c r="A3" t="s">
        <v>433</v>
      </c>
      <c r="C3">
        <v>10</v>
      </c>
      <c r="D3">
        <v>5</v>
      </c>
    </row>
    <row r="5" spans="1:26" x14ac:dyDescent="0.3">
      <c r="A5" s="10" t="s">
        <v>454</v>
      </c>
      <c r="B5" s="77">
        <v>7</v>
      </c>
    </row>
    <row r="8" spans="1:26" x14ac:dyDescent="0.3">
      <c r="D8" s="59" t="s">
        <v>444</v>
      </c>
      <c r="E8" s="67"/>
      <c r="J8" s="221" t="s">
        <v>670</v>
      </c>
      <c r="K8" s="222"/>
      <c r="M8" s="221" t="s">
        <v>671</v>
      </c>
      <c r="N8" s="222"/>
      <c r="P8" s="231" t="s">
        <v>673</v>
      </c>
      <c r="Q8" s="232"/>
      <c r="V8" s="233" t="s">
        <v>445</v>
      </c>
      <c r="W8" s="234"/>
      <c r="Y8" s="14" t="s">
        <v>448</v>
      </c>
      <c r="Z8" s="10"/>
    </row>
    <row r="9" spans="1:26" x14ac:dyDescent="0.3">
      <c r="D9" s="199" t="s">
        <v>126</v>
      </c>
      <c r="E9" s="220" t="s">
        <v>213</v>
      </c>
      <c r="J9" s="199" t="s">
        <v>126</v>
      </c>
      <c r="K9" s="220" t="s">
        <v>213</v>
      </c>
      <c r="M9" s="199" t="s">
        <v>126</v>
      </c>
      <c r="N9" s="220" t="s">
        <v>213</v>
      </c>
      <c r="P9" s="229" t="s">
        <v>126</v>
      </c>
      <c r="Q9" s="230" t="s">
        <v>213</v>
      </c>
      <c r="V9" s="229" t="s">
        <v>126</v>
      </c>
      <c r="W9" s="230" t="s">
        <v>213</v>
      </c>
      <c r="Y9" s="11" t="s">
        <v>126</v>
      </c>
      <c r="Z9" s="11" t="s">
        <v>213</v>
      </c>
    </row>
    <row r="10" spans="1:26" x14ac:dyDescent="0.3">
      <c r="C10" s="219">
        <v>2021</v>
      </c>
      <c r="D10" s="174">
        <v>100</v>
      </c>
      <c r="E10" s="175">
        <v>100</v>
      </c>
      <c r="G10" s="10">
        <f>IF(D10&lt;&gt;0,1,#REF!+1)</f>
        <v>1</v>
      </c>
      <c r="H10" s="10">
        <f>IF(E10&lt;&gt;0,1,#REF!+1)</f>
        <v>1</v>
      </c>
      <c r="J10" s="223">
        <f>IF(G10=1,$C10,0)</f>
        <v>2021</v>
      </c>
      <c r="K10" s="224">
        <f t="shared" ref="K10:K29" si="0">IF(H10=1,$C10,0)</f>
        <v>2021</v>
      </c>
      <c r="M10" s="223">
        <f t="shared" ref="M10:M29" si="1">IF($J10&lt;&gt;0,$J10+C$2,0)</f>
        <v>2031</v>
      </c>
      <c r="N10" s="224">
        <f t="shared" ref="N10:N29" si="2">IF($K10&lt;&gt;0,$K10+D$2,0)</f>
        <v>2021</v>
      </c>
      <c r="P10" s="162">
        <f t="shared" ref="P10:P29" ca="1" si="3">SUM(T35:AM35)</f>
        <v>0</v>
      </c>
      <c r="Q10" s="163">
        <f t="shared" ref="Q10:Q29" ca="1" si="4">SUM(AO35:BH35)</f>
        <v>100</v>
      </c>
      <c r="S10" s="10">
        <f t="shared" ref="S10:T29" ca="1" si="5">IF(P10&lt;&gt;0,1,0)</f>
        <v>0</v>
      </c>
      <c r="T10" s="10">
        <f t="shared" ca="1" si="5"/>
        <v>1</v>
      </c>
      <c r="V10" s="223">
        <f ca="1">SUM(T58:AM58)</f>
        <v>0</v>
      </c>
      <c r="W10" s="224">
        <f ca="1">SUM(AO58:BH58)</f>
        <v>0</v>
      </c>
      <c r="Y10" s="1">
        <f ca="1">P10+V10</f>
        <v>0</v>
      </c>
      <c r="Z10" s="1">
        <f ca="1">Q10+W10</f>
        <v>100</v>
      </c>
    </row>
    <row r="11" spans="1:26" x14ac:dyDescent="0.3">
      <c r="C11" s="219">
        <v>2022</v>
      </c>
      <c r="D11" s="174">
        <v>0</v>
      </c>
      <c r="E11" s="175">
        <v>0</v>
      </c>
      <c r="G11" s="10">
        <f t="shared" ref="G11:H28" si="6">IF(D11&lt;&gt;0,1,G10+1)</f>
        <v>2</v>
      </c>
      <c r="H11" s="10">
        <f t="shared" si="6"/>
        <v>2</v>
      </c>
      <c r="J11" s="223">
        <f t="shared" ref="J11:J29" si="7">IF(G11=1,$C11,0)</f>
        <v>0</v>
      </c>
      <c r="K11" s="224">
        <f t="shared" si="0"/>
        <v>0</v>
      </c>
      <c r="M11" s="223">
        <f t="shared" si="1"/>
        <v>0</v>
      </c>
      <c r="N11" s="224">
        <f t="shared" si="2"/>
        <v>0</v>
      </c>
      <c r="P11" s="162">
        <f t="shared" ca="1" si="3"/>
        <v>0</v>
      </c>
      <c r="Q11" s="163">
        <f t="shared" ca="1" si="4"/>
        <v>0</v>
      </c>
      <c r="S11" s="10">
        <f t="shared" ca="1" si="5"/>
        <v>0</v>
      </c>
      <c r="T11" s="10">
        <f t="shared" ca="1" si="5"/>
        <v>0</v>
      </c>
      <c r="V11" s="223">
        <f t="shared" ref="V11:V29" ca="1" si="8">SUM(T59:AM59)</f>
        <v>0</v>
      </c>
      <c r="W11" s="224">
        <f t="shared" ref="W11:W29" ca="1" si="9">SUM(AO59:BH59)</f>
        <v>-0.6</v>
      </c>
      <c r="Y11" s="1">
        <f ca="1">Y10+P11+V11</f>
        <v>0</v>
      </c>
      <c r="Z11" s="1">
        <f ca="1">Z10+Q11+W11</f>
        <v>99.4</v>
      </c>
    </row>
    <row r="12" spans="1:26" x14ac:dyDescent="0.3">
      <c r="C12" s="219">
        <v>2023</v>
      </c>
      <c r="D12" s="174">
        <v>0</v>
      </c>
      <c r="E12" s="175">
        <v>0</v>
      </c>
      <c r="G12" s="10">
        <f t="shared" si="6"/>
        <v>3</v>
      </c>
      <c r="H12" s="10">
        <f t="shared" si="6"/>
        <v>3</v>
      </c>
      <c r="J12" s="223">
        <f t="shared" si="7"/>
        <v>0</v>
      </c>
      <c r="K12" s="224">
        <f t="shared" si="0"/>
        <v>0</v>
      </c>
      <c r="M12" s="223">
        <f t="shared" si="1"/>
        <v>0</v>
      </c>
      <c r="N12" s="224">
        <f t="shared" si="2"/>
        <v>0</v>
      </c>
      <c r="P12" s="162">
        <f t="shared" ca="1" si="3"/>
        <v>0</v>
      </c>
      <c r="Q12" s="163">
        <f t="shared" ca="1" si="4"/>
        <v>0</v>
      </c>
      <c r="S12" s="10">
        <f t="shared" ca="1" si="5"/>
        <v>0</v>
      </c>
      <c r="T12" s="10">
        <f t="shared" ca="1" si="5"/>
        <v>0</v>
      </c>
      <c r="V12" s="223">
        <f t="shared" ca="1" si="8"/>
        <v>0</v>
      </c>
      <c r="W12" s="224">
        <f t="shared" ca="1" si="9"/>
        <v>-6.4</v>
      </c>
      <c r="Y12" s="1">
        <f t="shared" ref="Y12:Z28" ca="1" si="10">Y11+P12+V12</f>
        <v>0</v>
      </c>
      <c r="Z12" s="1">
        <f t="shared" ca="1" si="10"/>
        <v>93</v>
      </c>
    </row>
    <row r="13" spans="1:26" x14ac:dyDescent="0.3">
      <c r="C13" s="219">
        <v>2024</v>
      </c>
      <c r="D13" s="174">
        <v>0</v>
      </c>
      <c r="E13" s="175">
        <v>0</v>
      </c>
      <c r="G13" s="10">
        <f t="shared" si="6"/>
        <v>4</v>
      </c>
      <c r="H13" s="10">
        <f t="shared" si="6"/>
        <v>4</v>
      </c>
      <c r="J13" s="223">
        <f t="shared" si="7"/>
        <v>0</v>
      </c>
      <c r="K13" s="224">
        <f t="shared" si="0"/>
        <v>0</v>
      </c>
      <c r="M13" s="223">
        <f t="shared" si="1"/>
        <v>0</v>
      </c>
      <c r="N13" s="224">
        <f t="shared" si="2"/>
        <v>0</v>
      </c>
      <c r="P13" s="162">
        <f t="shared" ca="1" si="3"/>
        <v>0</v>
      </c>
      <c r="Q13" s="163">
        <f t="shared" ca="1" si="4"/>
        <v>0</v>
      </c>
      <c r="S13" s="10">
        <f t="shared" ca="1" si="5"/>
        <v>0</v>
      </c>
      <c r="T13" s="10">
        <f t="shared" ca="1" si="5"/>
        <v>0</v>
      </c>
      <c r="V13" s="223">
        <f t="shared" ca="1" si="8"/>
        <v>0</v>
      </c>
      <c r="W13" s="224">
        <f t="shared" ca="1" si="9"/>
        <v>-29.799999999999997</v>
      </c>
      <c r="Y13" s="1">
        <f t="shared" ca="1" si="10"/>
        <v>0</v>
      </c>
      <c r="Z13" s="1">
        <f t="shared" ca="1" si="10"/>
        <v>63.2</v>
      </c>
    </row>
    <row r="14" spans="1:26" x14ac:dyDescent="0.3">
      <c r="C14" s="219">
        <v>2025</v>
      </c>
      <c r="D14" s="174">
        <v>0</v>
      </c>
      <c r="E14" s="175">
        <v>0</v>
      </c>
      <c r="G14" s="10">
        <f t="shared" si="6"/>
        <v>5</v>
      </c>
      <c r="H14" s="10">
        <f t="shared" si="6"/>
        <v>5</v>
      </c>
      <c r="J14" s="223">
        <f t="shared" si="7"/>
        <v>0</v>
      </c>
      <c r="K14" s="224">
        <f t="shared" si="0"/>
        <v>0</v>
      </c>
      <c r="M14" s="223">
        <f t="shared" si="1"/>
        <v>0</v>
      </c>
      <c r="N14" s="224">
        <f t="shared" si="2"/>
        <v>0</v>
      </c>
      <c r="P14" s="162">
        <f t="shared" ca="1" si="3"/>
        <v>0</v>
      </c>
      <c r="Q14" s="163">
        <f t="shared" ca="1" si="4"/>
        <v>0</v>
      </c>
      <c r="S14" s="10">
        <f t="shared" ca="1" si="5"/>
        <v>0</v>
      </c>
      <c r="T14" s="10">
        <f t="shared" ca="1" si="5"/>
        <v>0</v>
      </c>
      <c r="V14" s="223">
        <f t="shared" ca="1" si="8"/>
        <v>0</v>
      </c>
      <c r="W14" s="224">
        <f t="shared" ca="1" si="9"/>
        <v>-51.5</v>
      </c>
      <c r="Y14" s="1">
        <f t="shared" ca="1" si="10"/>
        <v>0</v>
      </c>
      <c r="Z14" s="1">
        <f t="shared" ca="1" si="10"/>
        <v>11.700000000000003</v>
      </c>
    </row>
    <row r="15" spans="1:26" x14ac:dyDescent="0.3">
      <c r="C15" s="219">
        <v>2026</v>
      </c>
      <c r="D15" s="174">
        <v>0</v>
      </c>
      <c r="E15" s="175">
        <v>20</v>
      </c>
      <c r="G15" s="10">
        <f t="shared" si="6"/>
        <v>6</v>
      </c>
      <c r="H15" s="10">
        <f t="shared" si="6"/>
        <v>1</v>
      </c>
      <c r="J15" s="223">
        <f t="shared" si="7"/>
        <v>0</v>
      </c>
      <c r="K15" s="224">
        <f t="shared" si="0"/>
        <v>2026</v>
      </c>
      <c r="M15" s="223">
        <f t="shared" si="1"/>
        <v>0</v>
      </c>
      <c r="N15" s="224">
        <f t="shared" si="2"/>
        <v>2026</v>
      </c>
      <c r="P15" s="162">
        <f t="shared" ca="1" si="3"/>
        <v>0</v>
      </c>
      <c r="Q15" s="163">
        <f t="shared" ca="1" si="4"/>
        <v>20</v>
      </c>
      <c r="S15" s="10">
        <f t="shared" ca="1" si="5"/>
        <v>0</v>
      </c>
      <c r="T15" s="10">
        <f t="shared" ca="1" si="5"/>
        <v>1</v>
      </c>
      <c r="V15" s="223">
        <f t="shared" ca="1" si="8"/>
        <v>0</v>
      </c>
      <c r="W15" s="224">
        <f t="shared" ca="1" si="9"/>
        <v>-11.600000000000001</v>
      </c>
      <c r="Y15" s="1">
        <f t="shared" ca="1" si="10"/>
        <v>0</v>
      </c>
      <c r="Z15" s="1">
        <f t="shared" ca="1" si="10"/>
        <v>20.100000000000001</v>
      </c>
    </row>
    <row r="16" spans="1:26" x14ac:dyDescent="0.3">
      <c r="C16" s="219">
        <v>2027</v>
      </c>
      <c r="D16" s="174">
        <v>0</v>
      </c>
      <c r="E16" s="175">
        <v>0</v>
      </c>
      <c r="G16" s="10">
        <f t="shared" si="6"/>
        <v>7</v>
      </c>
      <c r="H16" s="10">
        <f t="shared" si="6"/>
        <v>2</v>
      </c>
      <c r="J16" s="223">
        <f t="shared" si="7"/>
        <v>0</v>
      </c>
      <c r="K16" s="224">
        <f t="shared" si="0"/>
        <v>0</v>
      </c>
      <c r="M16" s="223">
        <f t="shared" si="1"/>
        <v>0</v>
      </c>
      <c r="N16" s="224">
        <f t="shared" si="2"/>
        <v>0</v>
      </c>
      <c r="P16" s="162">
        <f t="shared" ca="1" si="3"/>
        <v>0</v>
      </c>
      <c r="Q16" s="163">
        <f t="shared" ca="1" si="4"/>
        <v>0</v>
      </c>
      <c r="S16" s="10">
        <f t="shared" ca="1" si="5"/>
        <v>0</v>
      </c>
      <c r="T16" s="10">
        <f t="shared" ca="1" si="5"/>
        <v>0</v>
      </c>
      <c r="V16" s="223">
        <f t="shared" ca="1" si="8"/>
        <v>0</v>
      </c>
      <c r="W16" s="224">
        <f t="shared" ca="1" si="9"/>
        <v>-0.12</v>
      </c>
      <c r="Y16" s="1">
        <f t="shared" ca="1" si="10"/>
        <v>0</v>
      </c>
      <c r="Z16" s="1">
        <f t="shared" ca="1" si="10"/>
        <v>19.98</v>
      </c>
    </row>
    <row r="17" spans="3:41" x14ac:dyDescent="0.3">
      <c r="C17" s="219">
        <v>2028</v>
      </c>
      <c r="D17" s="174">
        <v>0</v>
      </c>
      <c r="E17" s="175">
        <v>0</v>
      </c>
      <c r="G17" s="10">
        <f t="shared" si="6"/>
        <v>8</v>
      </c>
      <c r="H17" s="10">
        <f t="shared" si="6"/>
        <v>3</v>
      </c>
      <c r="J17" s="223">
        <f t="shared" si="7"/>
        <v>0</v>
      </c>
      <c r="K17" s="224">
        <f t="shared" si="0"/>
        <v>0</v>
      </c>
      <c r="M17" s="223">
        <f t="shared" si="1"/>
        <v>0</v>
      </c>
      <c r="N17" s="224">
        <f t="shared" si="2"/>
        <v>0</v>
      </c>
      <c r="P17" s="162">
        <f t="shared" ca="1" si="3"/>
        <v>0</v>
      </c>
      <c r="Q17" s="163">
        <f t="shared" ca="1" si="4"/>
        <v>0</v>
      </c>
      <c r="S17" s="10">
        <f t="shared" ca="1" si="5"/>
        <v>0</v>
      </c>
      <c r="T17" s="10">
        <f t="shared" ca="1" si="5"/>
        <v>0</v>
      </c>
      <c r="V17" s="223">
        <f t="shared" ca="1" si="8"/>
        <v>0</v>
      </c>
      <c r="W17" s="224">
        <f t="shared" ca="1" si="9"/>
        <v>-1.28</v>
      </c>
      <c r="Y17" s="1">
        <f t="shared" ca="1" si="10"/>
        <v>0</v>
      </c>
      <c r="Z17" s="1">
        <f t="shared" ca="1" si="10"/>
        <v>18.7</v>
      </c>
    </row>
    <row r="18" spans="3:41" x14ac:dyDescent="0.3">
      <c r="C18" s="219">
        <v>2029</v>
      </c>
      <c r="D18" s="174">
        <v>0</v>
      </c>
      <c r="E18" s="175">
        <v>0</v>
      </c>
      <c r="G18" s="10">
        <f t="shared" si="6"/>
        <v>9</v>
      </c>
      <c r="H18" s="10">
        <f t="shared" si="6"/>
        <v>4</v>
      </c>
      <c r="J18" s="223">
        <f t="shared" si="7"/>
        <v>0</v>
      </c>
      <c r="K18" s="224">
        <f t="shared" si="0"/>
        <v>0</v>
      </c>
      <c r="M18" s="223">
        <f t="shared" si="1"/>
        <v>0</v>
      </c>
      <c r="N18" s="224">
        <f t="shared" si="2"/>
        <v>0</v>
      </c>
      <c r="P18" s="162">
        <f t="shared" ca="1" si="3"/>
        <v>0</v>
      </c>
      <c r="Q18" s="163">
        <f t="shared" ca="1" si="4"/>
        <v>0</v>
      </c>
      <c r="S18" s="10">
        <f t="shared" ca="1" si="5"/>
        <v>0</v>
      </c>
      <c r="T18" s="10">
        <f t="shared" ca="1" si="5"/>
        <v>0</v>
      </c>
      <c r="V18" s="223">
        <f t="shared" ca="1" si="8"/>
        <v>0</v>
      </c>
      <c r="W18" s="224">
        <f t="shared" ca="1" si="9"/>
        <v>-5.96</v>
      </c>
      <c r="Y18" s="1">
        <f t="shared" ca="1" si="10"/>
        <v>0</v>
      </c>
      <c r="Z18" s="1">
        <f t="shared" ca="1" si="10"/>
        <v>12.739999999999998</v>
      </c>
    </row>
    <row r="19" spans="3:41" x14ac:dyDescent="0.3">
      <c r="C19" s="219">
        <v>2030</v>
      </c>
      <c r="D19" s="174">
        <v>50</v>
      </c>
      <c r="E19" s="175">
        <v>0</v>
      </c>
      <c r="G19" s="10">
        <f t="shared" si="6"/>
        <v>1</v>
      </c>
      <c r="H19" s="10">
        <f t="shared" si="6"/>
        <v>5</v>
      </c>
      <c r="J19" s="223">
        <f t="shared" si="7"/>
        <v>2030</v>
      </c>
      <c r="K19" s="224">
        <f t="shared" si="0"/>
        <v>0</v>
      </c>
      <c r="M19" s="223">
        <f t="shared" si="1"/>
        <v>2040</v>
      </c>
      <c r="N19" s="224">
        <f t="shared" si="2"/>
        <v>0</v>
      </c>
      <c r="P19" s="162">
        <f t="shared" ca="1" si="3"/>
        <v>0</v>
      </c>
      <c r="Q19" s="163">
        <f t="shared" ca="1" si="4"/>
        <v>0</v>
      </c>
      <c r="S19" s="10">
        <f t="shared" ca="1" si="5"/>
        <v>0</v>
      </c>
      <c r="T19" s="10">
        <f t="shared" ca="1" si="5"/>
        <v>0</v>
      </c>
      <c r="V19" s="223">
        <f t="shared" ca="1" si="8"/>
        <v>0</v>
      </c>
      <c r="W19" s="224">
        <f t="shared" ca="1" si="9"/>
        <v>-10.3</v>
      </c>
      <c r="Y19" s="1">
        <f t="shared" ca="1" si="10"/>
        <v>0</v>
      </c>
      <c r="Z19" s="1">
        <f t="shared" ca="1" si="10"/>
        <v>2.4399999999999977</v>
      </c>
    </row>
    <row r="20" spans="3:41" x14ac:dyDescent="0.3">
      <c r="C20" s="219">
        <v>2031</v>
      </c>
      <c r="D20" s="174">
        <v>0</v>
      </c>
      <c r="E20" s="175">
        <v>0</v>
      </c>
      <c r="G20" s="10">
        <f t="shared" si="6"/>
        <v>2</v>
      </c>
      <c r="H20" s="10">
        <f t="shared" si="6"/>
        <v>6</v>
      </c>
      <c r="J20" s="223">
        <f t="shared" si="7"/>
        <v>0</v>
      </c>
      <c r="K20" s="224">
        <f t="shared" si="0"/>
        <v>0</v>
      </c>
      <c r="M20" s="223">
        <f t="shared" si="1"/>
        <v>0</v>
      </c>
      <c r="N20" s="224">
        <f t="shared" si="2"/>
        <v>0</v>
      </c>
      <c r="P20" s="162">
        <f t="shared" ca="1" si="3"/>
        <v>100</v>
      </c>
      <c r="Q20" s="163">
        <f t="shared" ca="1" si="4"/>
        <v>0</v>
      </c>
      <c r="S20" s="10">
        <f t="shared" ca="1" si="5"/>
        <v>1</v>
      </c>
      <c r="T20" s="10">
        <f t="shared" ca="1" si="5"/>
        <v>0</v>
      </c>
      <c r="V20" s="223">
        <f t="shared" ca="1" si="8"/>
        <v>0</v>
      </c>
      <c r="W20" s="224">
        <f t="shared" ca="1" si="9"/>
        <v>-2.3200000000000003</v>
      </c>
      <c r="Y20" s="1">
        <f t="shared" ca="1" si="10"/>
        <v>100</v>
      </c>
      <c r="Z20" s="1">
        <f t="shared" ca="1" si="10"/>
        <v>0.11999999999999744</v>
      </c>
    </row>
    <row r="21" spans="3:41" x14ac:dyDescent="0.3">
      <c r="C21" s="219">
        <v>2032</v>
      </c>
      <c r="D21" s="174">
        <v>0</v>
      </c>
      <c r="E21" s="175">
        <v>50</v>
      </c>
      <c r="G21" s="10">
        <f t="shared" si="6"/>
        <v>3</v>
      </c>
      <c r="H21" s="10">
        <f t="shared" si="6"/>
        <v>1</v>
      </c>
      <c r="J21" s="223">
        <f t="shared" si="7"/>
        <v>0</v>
      </c>
      <c r="K21" s="224">
        <f t="shared" si="0"/>
        <v>2032</v>
      </c>
      <c r="M21" s="223">
        <f t="shared" si="1"/>
        <v>0</v>
      </c>
      <c r="N21" s="224">
        <f t="shared" si="2"/>
        <v>2032</v>
      </c>
      <c r="P21" s="162">
        <f t="shared" ca="1" si="3"/>
        <v>0</v>
      </c>
      <c r="Q21" s="163">
        <f t="shared" ca="1" si="4"/>
        <v>50</v>
      </c>
      <c r="S21" s="10">
        <f t="shared" ca="1" si="5"/>
        <v>0</v>
      </c>
      <c r="T21" s="10">
        <f t="shared" ca="1" si="5"/>
        <v>1</v>
      </c>
      <c r="V21" s="223">
        <f t="shared" ca="1" si="8"/>
        <v>0</v>
      </c>
      <c r="W21" s="224">
        <f t="shared" ca="1" si="9"/>
        <v>0</v>
      </c>
      <c r="Y21" s="1">
        <f t="shared" ca="1" si="10"/>
        <v>100</v>
      </c>
      <c r="Z21" s="1">
        <f t="shared" ca="1" si="10"/>
        <v>50.12</v>
      </c>
    </row>
    <row r="22" spans="3:41" x14ac:dyDescent="0.3">
      <c r="C22" s="219">
        <v>2033</v>
      </c>
      <c r="D22" s="174">
        <v>0</v>
      </c>
      <c r="E22" s="175">
        <v>0</v>
      </c>
      <c r="G22" s="10">
        <f t="shared" si="6"/>
        <v>4</v>
      </c>
      <c r="H22" s="10">
        <f t="shared" si="6"/>
        <v>2</v>
      </c>
      <c r="J22" s="223">
        <f t="shared" si="7"/>
        <v>0</v>
      </c>
      <c r="K22" s="224">
        <f t="shared" si="0"/>
        <v>0</v>
      </c>
      <c r="M22" s="223">
        <f t="shared" si="1"/>
        <v>0</v>
      </c>
      <c r="N22" s="224">
        <f t="shared" si="2"/>
        <v>0</v>
      </c>
      <c r="P22" s="162">
        <f t="shared" ca="1" si="3"/>
        <v>0</v>
      </c>
      <c r="Q22" s="163">
        <f t="shared" ca="1" si="4"/>
        <v>0</v>
      </c>
      <c r="S22" s="10">
        <f t="shared" ca="1" si="5"/>
        <v>0</v>
      </c>
      <c r="T22" s="10">
        <f t="shared" ca="1" si="5"/>
        <v>0</v>
      </c>
      <c r="V22" s="223">
        <f t="shared" ca="1" si="8"/>
        <v>-0.1</v>
      </c>
      <c r="W22" s="224">
        <f t="shared" ca="1" si="9"/>
        <v>-0.3</v>
      </c>
      <c r="Y22" s="1">
        <f t="shared" ca="1" si="10"/>
        <v>99.9</v>
      </c>
      <c r="Z22" s="1">
        <f t="shared" ca="1" si="10"/>
        <v>49.82</v>
      </c>
    </row>
    <row r="23" spans="3:41" x14ac:dyDescent="0.3">
      <c r="C23" s="219">
        <v>2034</v>
      </c>
      <c r="D23" s="174">
        <v>0</v>
      </c>
      <c r="E23" s="175">
        <v>0</v>
      </c>
      <c r="G23" s="10">
        <f t="shared" si="6"/>
        <v>5</v>
      </c>
      <c r="H23" s="10">
        <f t="shared" si="6"/>
        <v>3</v>
      </c>
      <c r="J23" s="223">
        <f t="shared" si="7"/>
        <v>0</v>
      </c>
      <c r="K23" s="224">
        <f t="shared" si="0"/>
        <v>0</v>
      </c>
      <c r="M23" s="223">
        <f t="shared" si="1"/>
        <v>0</v>
      </c>
      <c r="N23" s="224">
        <f t="shared" si="2"/>
        <v>0</v>
      </c>
      <c r="P23" s="162">
        <f t="shared" ca="1" si="3"/>
        <v>0</v>
      </c>
      <c r="Q23" s="163">
        <f t="shared" ca="1" si="4"/>
        <v>0</v>
      </c>
      <c r="S23" s="10">
        <f t="shared" ca="1" si="5"/>
        <v>0</v>
      </c>
      <c r="T23" s="10">
        <f t="shared" ca="1" si="5"/>
        <v>0</v>
      </c>
      <c r="V23" s="223">
        <f t="shared" ca="1" si="8"/>
        <v>-0.3</v>
      </c>
      <c r="W23" s="224">
        <f t="shared" ca="1" si="9"/>
        <v>-3.2</v>
      </c>
      <c r="Y23" s="1">
        <f t="shared" ca="1" si="10"/>
        <v>99.600000000000009</v>
      </c>
      <c r="Z23" s="1">
        <f t="shared" ca="1" si="10"/>
        <v>46.62</v>
      </c>
    </row>
    <row r="24" spans="3:41" x14ac:dyDescent="0.3">
      <c r="C24" s="219">
        <v>2035</v>
      </c>
      <c r="D24" s="174">
        <v>0</v>
      </c>
      <c r="E24" s="175">
        <v>0</v>
      </c>
      <c r="G24" s="10">
        <f t="shared" si="6"/>
        <v>6</v>
      </c>
      <c r="H24" s="10">
        <f t="shared" si="6"/>
        <v>4</v>
      </c>
      <c r="J24" s="223">
        <f t="shared" si="7"/>
        <v>0</v>
      </c>
      <c r="K24" s="224">
        <f t="shared" si="0"/>
        <v>0</v>
      </c>
      <c r="M24" s="223">
        <f t="shared" si="1"/>
        <v>0</v>
      </c>
      <c r="N24" s="224">
        <f t="shared" si="2"/>
        <v>0</v>
      </c>
      <c r="P24" s="162">
        <f t="shared" ca="1" si="3"/>
        <v>0</v>
      </c>
      <c r="Q24" s="163">
        <f t="shared" ca="1" si="4"/>
        <v>0</v>
      </c>
      <c r="S24" s="10">
        <f t="shared" ca="1" si="5"/>
        <v>0</v>
      </c>
      <c r="T24" s="10">
        <f t="shared" ca="1" si="5"/>
        <v>0</v>
      </c>
      <c r="V24" s="223">
        <f t="shared" ca="1" si="8"/>
        <v>-1.0999999999999999</v>
      </c>
      <c r="W24" s="224">
        <f t="shared" ca="1" si="9"/>
        <v>-14.899999999999999</v>
      </c>
      <c r="Y24" s="1">
        <f t="shared" ca="1" si="10"/>
        <v>98.500000000000014</v>
      </c>
      <c r="Z24" s="1">
        <f t="shared" ca="1" si="10"/>
        <v>31.72</v>
      </c>
    </row>
    <row r="25" spans="3:41" x14ac:dyDescent="0.3">
      <c r="C25" s="219">
        <v>2036</v>
      </c>
      <c r="D25" s="174">
        <v>0</v>
      </c>
      <c r="E25" s="175">
        <v>0</v>
      </c>
      <c r="G25" s="10">
        <f t="shared" si="6"/>
        <v>7</v>
      </c>
      <c r="H25" s="10">
        <f t="shared" si="6"/>
        <v>5</v>
      </c>
      <c r="J25" s="223">
        <f t="shared" si="7"/>
        <v>0</v>
      </c>
      <c r="K25" s="224">
        <f t="shared" si="0"/>
        <v>0</v>
      </c>
      <c r="M25" s="223">
        <f t="shared" si="1"/>
        <v>0</v>
      </c>
      <c r="N25" s="224">
        <f t="shared" si="2"/>
        <v>0</v>
      </c>
      <c r="P25" s="162">
        <f t="shared" ca="1" si="3"/>
        <v>0</v>
      </c>
      <c r="Q25" s="163">
        <f t="shared" ca="1" si="4"/>
        <v>0</v>
      </c>
      <c r="S25" s="10">
        <f t="shared" ca="1" si="5"/>
        <v>0</v>
      </c>
      <c r="T25" s="10">
        <f t="shared" ca="1" si="5"/>
        <v>0</v>
      </c>
      <c r="V25" s="223">
        <f t="shared" ca="1" si="8"/>
        <v>-3.2</v>
      </c>
      <c r="W25" s="224">
        <f t="shared" ca="1" si="9"/>
        <v>-25.75</v>
      </c>
      <c r="Y25" s="1">
        <f t="shared" ca="1" si="10"/>
        <v>95.300000000000011</v>
      </c>
      <c r="Z25" s="1">
        <f t="shared" ca="1" si="10"/>
        <v>5.9699999999999989</v>
      </c>
    </row>
    <row r="26" spans="3:41" x14ac:dyDescent="0.3">
      <c r="C26" s="219">
        <v>2037</v>
      </c>
      <c r="D26" s="174">
        <v>0</v>
      </c>
      <c r="E26" s="175">
        <v>0</v>
      </c>
      <c r="G26" s="10">
        <f t="shared" si="6"/>
        <v>8</v>
      </c>
      <c r="H26" s="10">
        <f t="shared" si="6"/>
        <v>6</v>
      </c>
      <c r="J26" s="223">
        <f t="shared" si="7"/>
        <v>0</v>
      </c>
      <c r="K26" s="224">
        <f t="shared" si="0"/>
        <v>0</v>
      </c>
      <c r="M26" s="223">
        <f t="shared" si="1"/>
        <v>0</v>
      </c>
      <c r="N26" s="224">
        <f t="shared" si="2"/>
        <v>0</v>
      </c>
      <c r="P26" s="162">
        <f t="shared" ca="1" si="3"/>
        <v>0</v>
      </c>
      <c r="Q26" s="163">
        <f t="shared" ca="1" si="4"/>
        <v>0</v>
      </c>
      <c r="S26" s="10">
        <f t="shared" ca="1" si="5"/>
        <v>0</v>
      </c>
      <c r="T26" s="10">
        <f t="shared" ca="1" si="5"/>
        <v>0</v>
      </c>
      <c r="V26" s="223">
        <f t="shared" ca="1" si="8"/>
        <v>-7.6</v>
      </c>
      <c r="W26" s="224">
        <f t="shared" ca="1" si="9"/>
        <v>-5.8000000000000007</v>
      </c>
      <c r="Y26" s="1">
        <f t="shared" ca="1" si="10"/>
        <v>87.700000000000017</v>
      </c>
      <c r="Z26" s="1">
        <f t="shared" ca="1" si="10"/>
        <v>0.16999999999999815</v>
      </c>
    </row>
    <row r="27" spans="3:41" x14ac:dyDescent="0.3">
      <c r="C27" s="219">
        <v>2038</v>
      </c>
      <c r="D27" s="174">
        <v>0</v>
      </c>
      <c r="E27" s="175">
        <v>0</v>
      </c>
      <c r="G27" s="10">
        <f t="shared" si="6"/>
        <v>9</v>
      </c>
      <c r="H27" s="10">
        <f t="shared" si="6"/>
        <v>7</v>
      </c>
      <c r="J27" s="223">
        <f t="shared" si="7"/>
        <v>0</v>
      </c>
      <c r="K27" s="224">
        <f t="shared" si="0"/>
        <v>0</v>
      </c>
      <c r="M27" s="223">
        <f t="shared" si="1"/>
        <v>0</v>
      </c>
      <c r="N27" s="224">
        <f t="shared" si="2"/>
        <v>0</v>
      </c>
      <c r="P27" s="162">
        <f t="shared" ca="1" si="3"/>
        <v>0</v>
      </c>
      <c r="Q27" s="163">
        <f t="shared" ca="1" si="4"/>
        <v>0</v>
      </c>
      <c r="S27" s="10">
        <f t="shared" ca="1" si="5"/>
        <v>0</v>
      </c>
      <c r="T27" s="10">
        <f t="shared" ca="1" si="5"/>
        <v>0</v>
      </c>
      <c r="V27" s="223">
        <f t="shared" ca="1" si="8"/>
        <v>-14.899999999999999</v>
      </c>
      <c r="W27" s="224">
        <f t="shared" ca="1" si="9"/>
        <v>0</v>
      </c>
      <c r="Y27" s="1">
        <f t="shared" ca="1" si="10"/>
        <v>72.800000000000011</v>
      </c>
      <c r="Z27" s="1">
        <f t="shared" ca="1" si="10"/>
        <v>0.16999999999999815</v>
      </c>
      <c r="AO27" s="228"/>
    </row>
    <row r="28" spans="3:41" x14ac:dyDescent="0.3">
      <c r="C28" s="219">
        <v>2039</v>
      </c>
      <c r="D28" s="174">
        <v>0</v>
      </c>
      <c r="E28" s="175">
        <v>0</v>
      </c>
      <c r="G28" s="10">
        <f t="shared" si="6"/>
        <v>10</v>
      </c>
      <c r="H28" s="10">
        <f t="shared" si="6"/>
        <v>8</v>
      </c>
      <c r="J28" s="223">
        <f t="shared" si="7"/>
        <v>0</v>
      </c>
      <c r="K28" s="224">
        <f t="shared" si="0"/>
        <v>0</v>
      </c>
      <c r="M28" s="223">
        <f t="shared" si="1"/>
        <v>0</v>
      </c>
      <c r="N28" s="224">
        <f t="shared" si="2"/>
        <v>0</v>
      </c>
      <c r="P28" s="162">
        <f t="shared" ca="1" si="3"/>
        <v>0</v>
      </c>
      <c r="Q28" s="163">
        <f t="shared" ca="1" si="4"/>
        <v>0</v>
      </c>
      <c r="S28" s="10">
        <f t="shared" ca="1" si="5"/>
        <v>0</v>
      </c>
      <c r="T28" s="10">
        <f t="shared" ca="1" si="5"/>
        <v>0</v>
      </c>
      <c r="V28" s="223">
        <f t="shared" ca="1" si="8"/>
        <v>-23.1</v>
      </c>
      <c r="W28" s="224">
        <f t="shared" ca="1" si="9"/>
        <v>0</v>
      </c>
      <c r="Y28" s="1">
        <f t="shared" ca="1" si="10"/>
        <v>49.70000000000001</v>
      </c>
      <c r="Z28" s="1">
        <f t="shared" ca="1" si="10"/>
        <v>0.16999999999999815</v>
      </c>
    </row>
    <row r="29" spans="3:41" x14ac:dyDescent="0.3">
      <c r="C29" s="219">
        <v>2040</v>
      </c>
      <c r="D29" s="176">
        <v>0</v>
      </c>
      <c r="E29" s="178">
        <v>0</v>
      </c>
      <c r="G29" s="10">
        <f>IF(D29&lt;&gt;0,1,G28+1)</f>
        <v>11</v>
      </c>
      <c r="H29" s="10">
        <f>IF(E29&lt;&gt;0,1,H28+1)</f>
        <v>9</v>
      </c>
      <c r="J29" s="225">
        <f t="shared" si="7"/>
        <v>0</v>
      </c>
      <c r="K29" s="226">
        <f t="shared" si="0"/>
        <v>0</v>
      </c>
      <c r="M29" s="225">
        <f t="shared" si="1"/>
        <v>0</v>
      </c>
      <c r="N29" s="226">
        <f t="shared" si="2"/>
        <v>0</v>
      </c>
      <c r="P29" s="165">
        <f t="shared" ca="1" si="3"/>
        <v>50</v>
      </c>
      <c r="Q29" s="167">
        <f t="shared" ca="1" si="4"/>
        <v>0</v>
      </c>
      <c r="S29" s="10">
        <f t="shared" ca="1" si="5"/>
        <v>1</v>
      </c>
      <c r="T29" s="10">
        <f t="shared" ca="1" si="5"/>
        <v>0</v>
      </c>
      <c r="V29" s="225">
        <f t="shared" ca="1" si="8"/>
        <v>-25.8</v>
      </c>
      <c r="W29" s="226">
        <f t="shared" ca="1" si="9"/>
        <v>0</v>
      </c>
      <c r="Y29" s="1">
        <f ca="1">Y28+P29+V29</f>
        <v>73.90000000000002</v>
      </c>
      <c r="Z29" s="1">
        <f ca="1">Z28+Q29+W29</f>
        <v>0.16999999999999815</v>
      </c>
    </row>
    <row r="31" spans="3:41" x14ac:dyDescent="0.3">
      <c r="D31" cm="1">
        <f t="array" ref="D31">IF(ROWS($D$31:D31)&lt;=COUNTIF($M$10:$M$29,"&lt;&gt;0"),INDEX($M$10:$M$29,SMALL(IF($M$10:$M$29&lt;&gt;0,ROW($M$10:$M$29)-MIN(ROW($M$10:$M$29))+1),ROWS($D$31:D31))), "")</f>
        <v>2031</v>
      </c>
      <c r="E31" cm="1">
        <f t="array" ref="E31">IF(ROWS($D$31:E31)&lt;=COUNTIF($N$10:$N$29,"&lt;&gt;0"),INDEX($N$10:$N$29,SMALL(IF($N$10:$N$29&lt;&gt;0,ROW($N$10:$N$29)-MIN(ROW($N$10:$N$29))+1),ROWS($D$31:E31))), "")</f>
        <v>2021</v>
      </c>
    </row>
    <row r="32" spans="3:41" x14ac:dyDescent="0.3">
      <c r="D32" cm="1">
        <f t="array" ref="D32">IF(ROWS($D$31:D32)&lt;=COUNTIF($M$10:$M$29,"&lt;&gt;0"),INDEX($M$10:$M$29,SMALL(IF($M$10:$M$29&lt;&gt;0,ROW($M$10:$M$29)-MIN(ROW($M$10:$M$29))+1),ROWS($D$31:D32))), "")</f>
        <v>2040</v>
      </c>
      <c r="E32" cm="1">
        <f t="array" ref="E32">IF(ROWS($D$31:E32)&lt;=COUNTIF($N$10:$N$29,"&lt;&gt;0"),INDEX($N$10:$N$29,SMALL(IF($N$10:$N$29&lt;&gt;0,ROW($N$10:$N$29)-MIN(ROW($N$10:$N$29))+1),ROWS($D$31:E32))), "")</f>
        <v>2026</v>
      </c>
      <c r="S32" s="193" t="s">
        <v>672</v>
      </c>
      <c r="AO32" s="193" t="s">
        <v>672</v>
      </c>
    </row>
    <row r="33" spans="4:60" x14ac:dyDescent="0.3">
      <c r="D33" t="str" cm="1">
        <f t="array" ref="D33">IF(ROWS($D$31:D33)&lt;=COUNTIF($M$10:$M$29,"&lt;&gt;0"),INDEX($M$10:$M$29,SMALL(IF($M$10:$M$29&lt;&gt;0,ROW($M$10:$M$29)-MIN(ROW($M$10:$M$29))+1),ROWS($D$31:D33))), "")</f>
        <v/>
      </c>
      <c r="E33" cm="1">
        <f t="array" ref="E33">IF(ROWS($D$31:E33)&lt;=COUNTIF($N$10:$N$29,"&lt;&gt;0"),INDEX($N$10:$N$29,SMALL(IF($N$10:$N$29&lt;&gt;0,ROW($N$10:$N$29)-MIN(ROW($N$10:$N$29))+1),ROWS($D$31:E33))), "")</f>
        <v>2032</v>
      </c>
      <c r="S33" s="218" t="s">
        <v>126</v>
      </c>
      <c r="AO33" s="218" t="s">
        <v>127</v>
      </c>
    </row>
    <row r="34" spans="4:60" x14ac:dyDescent="0.3">
      <c r="T34" s="227">
        <v>1</v>
      </c>
      <c r="U34" s="227">
        <v>2</v>
      </c>
      <c r="V34" s="227">
        <v>3</v>
      </c>
      <c r="W34" s="227">
        <v>4</v>
      </c>
      <c r="X34" s="227">
        <v>5</v>
      </c>
      <c r="Y34" s="227">
        <v>6</v>
      </c>
      <c r="Z34" s="227">
        <v>7</v>
      </c>
      <c r="AA34" s="227">
        <v>8</v>
      </c>
      <c r="AB34" s="227">
        <v>9</v>
      </c>
      <c r="AC34" s="227">
        <v>10</v>
      </c>
      <c r="AD34" s="227">
        <v>11</v>
      </c>
      <c r="AE34" s="227">
        <v>12</v>
      </c>
      <c r="AF34" s="227">
        <v>13</v>
      </c>
      <c r="AG34" s="227">
        <v>14</v>
      </c>
      <c r="AH34" s="227">
        <v>15</v>
      </c>
      <c r="AI34" s="227">
        <v>16</v>
      </c>
      <c r="AJ34" s="227">
        <v>17</v>
      </c>
      <c r="AK34" s="227">
        <v>18</v>
      </c>
      <c r="AL34" s="227">
        <v>19</v>
      </c>
      <c r="AM34" s="227">
        <v>20</v>
      </c>
      <c r="AO34" s="227">
        <v>1</v>
      </c>
      <c r="AP34" s="227">
        <v>2</v>
      </c>
      <c r="AQ34" s="227">
        <v>3</v>
      </c>
      <c r="AR34" s="227">
        <v>4</v>
      </c>
      <c r="AS34" s="227">
        <v>5</v>
      </c>
      <c r="AT34" s="227">
        <v>6</v>
      </c>
      <c r="AU34" s="227">
        <v>7</v>
      </c>
      <c r="AV34" s="227">
        <v>8</v>
      </c>
      <c r="AW34" s="227">
        <v>9</v>
      </c>
      <c r="AX34" s="227">
        <v>10</v>
      </c>
      <c r="AY34" s="227">
        <v>11</v>
      </c>
      <c r="AZ34" s="227">
        <v>12</v>
      </c>
      <c r="BA34" s="227">
        <v>13</v>
      </c>
      <c r="BB34" s="227">
        <v>14</v>
      </c>
      <c r="BC34" s="227">
        <v>15</v>
      </c>
      <c r="BD34" s="227">
        <v>16</v>
      </c>
      <c r="BE34" s="227">
        <v>17</v>
      </c>
      <c r="BF34" s="227">
        <v>18</v>
      </c>
      <c r="BG34" s="227">
        <v>19</v>
      </c>
      <c r="BH34" s="227">
        <v>20</v>
      </c>
    </row>
    <row r="35" spans="4:60" x14ac:dyDescent="0.3">
      <c r="S35" s="219">
        <v>2021</v>
      </c>
      <c r="T35" s="1" cm="1">
        <f t="array" aca="1" ref="T35" ca="1">IF(AND(INDIRECT("$G$" &amp; (9+T$34)) = 1, $S35 = (INDIRECT("$M$" &amp; (9+T$34)))), INDIRECT("$D$" &amp; (9+T$34)),0)</f>
        <v>0</v>
      </c>
      <c r="U35" s="1" cm="1">
        <f t="array" aca="1" ref="U35" ca="1">IF(AND(INDIRECT("$G$" &amp; (9+U$34)) = 1, $S35 = (INDIRECT("$M$" &amp; (9+U$34)))), INDIRECT("$D$" &amp; (9+U$34)),0)</f>
        <v>0</v>
      </c>
      <c r="V35" s="1" cm="1">
        <f t="array" aca="1" ref="V35" ca="1">IF(AND(INDIRECT("$G$" &amp; (9+V$34)) = 1, $S35 = (INDIRECT("$M$" &amp; (9+V$34)))), INDIRECT("$D$" &amp; (9+V$34)),0)</f>
        <v>0</v>
      </c>
      <c r="W35" s="1" cm="1">
        <f t="array" aca="1" ref="W35" ca="1">IF(AND(INDIRECT("$G$" &amp; (9+W$34)) = 1, $S35 = (INDIRECT("$M$" &amp; (9+W$34)))), INDIRECT("$D$" &amp; (9+W$34)),0)</f>
        <v>0</v>
      </c>
      <c r="X35" s="1" cm="1">
        <f t="array" aca="1" ref="X35" ca="1">IF(AND(INDIRECT("$G$" &amp; (9+X$34)) = 1, $S35 = (INDIRECT("$M$" &amp; (9+X$34)))), INDIRECT("$D$" &amp; (9+X$34)),0)</f>
        <v>0</v>
      </c>
      <c r="Y35" s="1" cm="1">
        <f t="array" aca="1" ref="Y35" ca="1">IF(AND(INDIRECT("$G$" &amp; (9+Y$34)) = 1, $S35 = (INDIRECT("$M$" &amp; (9+Y$34)))), INDIRECT("$D$" &amp; (9+Y$34)),0)</f>
        <v>0</v>
      </c>
      <c r="Z35" s="1" cm="1">
        <f t="array" aca="1" ref="Z35" ca="1">IF(AND(INDIRECT("$G$" &amp; (9+Z$34)) = 1, $S35 = (INDIRECT("$M$" &amp; (9+Z$34)))), INDIRECT("$D$" &amp; (9+Z$34)),0)</f>
        <v>0</v>
      </c>
      <c r="AA35" s="1" cm="1">
        <f t="array" aca="1" ref="AA35" ca="1">IF(AND(INDIRECT("$G$" &amp; (9+AA$34)) = 1, $S35 = (INDIRECT("$M$" &amp; (9+AA$34)))), INDIRECT("$D$" &amp; (9+AA$34)),0)</f>
        <v>0</v>
      </c>
      <c r="AB35" s="1" cm="1">
        <f t="array" aca="1" ref="AB35" ca="1">IF(AND(INDIRECT("$G$" &amp; (9+AB$34)) = 1, $S35 = (INDIRECT("$M$" &amp; (9+AB$34)))), INDIRECT("$D$" &amp; (9+AB$34)),0)</f>
        <v>0</v>
      </c>
      <c r="AC35" s="1" cm="1">
        <f t="array" aca="1" ref="AC35" ca="1">IF(AND(INDIRECT("$G$" &amp; (9+AC$34)) = 1, $S35 = (INDIRECT("$M$" &amp; (9+AC$34)))), INDIRECT("$D$" &amp; (9+AC$34)),0)</f>
        <v>0</v>
      </c>
      <c r="AD35" s="1" cm="1">
        <f t="array" aca="1" ref="AD35" ca="1">IF(AND(INDIRECT("$G$" &amp; (9+AD$34)) = 1, $S35 = (INDIRECT("$M$" &amp; (9+AD$34)))), INDIRECT("$D$" &amp; (9+AD$34)),0)</f>
        <v>0</v>
      </c>
      <c r="AE35" s="1" cm="1">
        <f t="array" aca="1" ref="AE35" ca="1">IF(AND(INDIRECT("$G$" &amp; (9+AE$34)) = 1, $S35 = (INDIRECT("$M$" &amp; (9+AE$34)))), INDIRECT("$D$" &amp; (9+AE$34)),0)</f>
        <v>0</v>
      </c>
      <c r="AF35" s="1" cm="1">
        <f t="array" aca="1" ref="AF35" ca="1">IF(AND(INDIRECT("$G$" &amp; (9+AF$34)) = 1, $S35 = (INDIRECT("$M$" &amp; (9+AF$34)))), INDIRECT("$D$" &amp; (9+AF$34)),0)</f>
        <v>0</v>
      </c>
      <c r="AG35" s="1" cm="1">
        <f t="array" aca="1" ref="AG35" ca="1">IF(AND(INDIRECT("$G$" &amp; (9+AG$34)) = 1, $S35 = (INDIRECT("$M$" &amp; (9+AG$34)))), INDIRECT("$D$" &amp; (9+AG$34)),0)</f>
        <v>0</v>
      </c>
      <c r="AH35" s="1" cm="1">
        <f t="array" aca="1" ref="AH35" ca="1">IF(AND(INDIRECT("$G$" &amp; (9+AH$34)) = 1, $S35 = (INDIRECT("$M$" &amp; (9+AH$34)))), INDIRECT("$D$" &amp; (9+AH$34)),0)</f>
        <v>0</v>
      </c>
      <c r="AI35" s="1" cm="1">
        <f t="array" aca="1" ref="AI35" ca="1">IF(AND(INDIRECT("$G$" &amp; (9+AI$34)) = 1, $S35 = (INDIRECT("$M$" &amp; (9+AI$34)))), INDIRECT("$D$" &amp; (9+AI$34)),0)</f>
        <v>0</v>
      </c>
      <c r="AJ35" s="1" cm="1">
        <f t="array" aca="1" ref="AJ35" ca="1">IF(AND(INDIRECT("$G$" &amp; (9+AJ$34)) = 1, $S35 = (INDIRECT("$M$" &amp; (9+AJ$34)))), INDIRECT("$D$" &amp; (9+AJ$34)),0)</f>
        <v>0</v>
      </c>
      <c r="AK35" s="1" cm="1">
        <f t="array" aca="1" ref="AK35" ca="1">IF(AND(INDIRECT("$G$" &amp; (9+AK$34)) = 1, $S35 = (INDIRECT("$M$" &amp; (9+AK$34)))), INDIRECT("$D$" &amp; (9+AK$34)),0)</f>
        <v>0</v>
      </c>
      <c r="AL35" s="1" cm="1">
        <f t="array" aca="1" ref="AL35" ca="1">IF(AND(INDIRECT("$G$" &amp; (9+AL$34)) = 1, $S35 = (INDIRECT("$M$" &amp; (9+AL$34)))), INDIRECT("$D$" &amp; (9+AL$34)),0)</f>
        <v>0</v>
      </c>
      <c r="AM35" s="1" cm="1">
        <f t="array" aca="1" ref="AM35" ca="1">IF(AND(INDIRECT("$G$" &amp; (9+AM$34)) = 1, $S35 = (INDIRECT("$M$" &amp; (9+AM$34)))), INDIRECT("$D$" &amp; (9+AM$34)),0)</f>
        <v>0</v>
      </c>
      <c r="AN35" s="219">
        <v>2021</v>
      </c>
      <c r="AO35" s="1" cm="1">
        <f t="array" aca="1" ref="AO35" ca="1">IF(AND(INDIRECT("$H$" &amp; (9+T$57)) = 1, $S58 = (INDIRECT("$N$" &amp; (9+T$57)))), INDIRECT("$E$" &amp; (9+T$57)),0)</f>
        <v>100</v>
      </c>
      <c r="AP35" s="1" cm="1">
        <f t="array" aca="1" ref="AP35" ca="1">IF(AND(INDIRECT("$H$" &amp; (9+U$57)) = 1, $S58 = (INDIRECT("$N$" &amp; (9+U$57)))), INDIRECT("$E$" &amp; (9+U$57)),0)</f>
        <v>0</v>
      </c>
      <c r="AQ35" s="1" cm="1">
        <f t="array" aca="1" ref="AQ35" ca="1">IF(AND(INDIRECT("$H$" &amp; (9+V$57)) = 1, $S58 = (INDIRECT("$N$" &amp; (9+V$57)))), INDIRECT("$E$" &amp; (9+V$57)),0)</f>
        <v>0</v>
      </c>
      <c r="AR35" s="1" cm="1">
        <f t="array" aca="1" ref="AR35" ca="1">IF(AND(INDIRECT("$H$" &amp; (9+W$57)) = 1, $S58 = (INDIRECT("$N$" &amp; (9+W$57)))), INDIRECT("$E$" &amp; (9+W$57)),0)</f>
        <v>0</v>
      </c>
      <c r="AS35" s="1" cm="1">
        <f t="array" aca="1" ref="AS35" ca="1">IF(AND(INDIRECT("$H$" &amp; (9+X$57)) = 1, $S58 = (INDIRECT("$N$" &amp; (9+X$57)))), INDIRECT("$E$" &amp; (9+X$57)),0)</f>
        <v>0</v>
      </c>
      <c r="AT35" s="1" cm="1">
        <f t="array" aca="1" ref="AT35" ca="1">IF(AND(INDIRECT("$H$" &amp; (9+Y$57)) = 1, $S58 = (INDIRECT("$N$" &amp; (9+Y$57)))), INDIRECT("$E$" &amp; (9+Y$57)),0)</f>
        <v>0</v>
      </c>
      <c r="AU35" s="1" cm="1">
        <f t="array" aca="1" ref="AU35" ca="1">IF(AND(INDIRECT("$H$" &amp; (9+Z$57)) = 1, $S58 = (INDIRECT("$N$" &amp; (9+Z$57)))), INDIRECT("$E$" &amp; (9+Z$57)),0)</f>
        <v>0</v>
      </c>
      <c r="AV35" s="1" cm="1">
        <f t="array" aca="1" ref="AV35" ca="1">IF(AND(INDIRECT("$H$" &amp; (9+AA$57)) = 1, $S58 = (INDIRECT("$N$" &amp; (9+AA$57)))), INDIRECT("$E$" &amp; (9+AA$57)),0)</f>
        <v>0</v>
      </c>
      <c r="AW35" s="1" cm="1">
        <f t="array" aca="1" ref="AW35" ca="1">IF(AND(INDIRECT("$H$" &amp; (9+AB$57)) = 1, $S58 = (INDIRECT("$N$" &amp; (9+AB$57)))), INDIRECT("$E$" &amp; (9+AB$57)),0)</f>
        <v>0</v>
      </c>
      <c r="AX35" s="1" cm="1">
        <f t="array" aca="1" ref="AX35" ca="1">IF(AND(INDIRECT("$H$" &amp; (9+AC$57)) = 1, $S58 = (INDIRECT("$N$" &amp; (9+AC$57)))), INDIRECT("$E$" &amp; (9+AC$57)),0)</f>
        <v>0</v>
      </c>
      <c r="AY35" s="1" cm="1">
        <f t="array" aca="1" ref="AY35" ca="1">IF(AND(INDIRECT("$H$" &amp; (9+AD$57)) = 1, $S58 = (INDIRECT("$N$" &amp; (9+AD$57)))), INDIRECT("$E$" &amp; (9+AD$57)),0)</f>
        <v>0</v>
      </c>
      <c r="AZ35" s="1" cm="1">
        <f t="array" aca="1" ref="AZ35" ca="1">IF(AND(INDIRECT("$H$" &amp; (9+AE$57)) = 1, $S58 = (INDIRECT("$N$" &amp; (9+AE$57)))), INDIRECT("$E$" &amp; (9+AE$57)),0)</f>
        <v>0</v>
      </c>
      <c r="BA35" s="1" cm="1">
        <f t="array" aca="1" ref="BA35" ca="1">IF(AND(INDIRECT("$H$" &amp; (9+AF$57)) = 1, $S58 = (INDIRECT("$N$" &amp; (9+AF$57)))), INDIRECT("$E$" &amp; (9+AF$57)),0)</f>
        <v>0</v>
      </c>
      <c r="BB35" s="1" cm="1">
        <f t="array" aca="1" ref="BB35" ca="1">IF(AND(INDIRECT("$H$" &amp; (9+AG$57)) = 1, $S58 = (INDIRECT("$N$" &amp; (9+AG$57)))), INDIRECT("$E$" &amp; (9+AG$57)),0)</f>
        <v>0</v>
      </c>
      <c r="BC35" s="1" cm="1">
        <f t="array" aca="1" ref="BC35" ca="1">IF(AND(INDIRECT("$H$" &amp; (9+AH$57)) = 1, $S58 = (INDIRECT("$N$" &amp; (9+AH$57)))), INDIRECT("$E$" &amp; (9+AH$57)),0)</f>
        <v>0</v>
      </c>
      <c r="BD35" s="1" cm="1">
        <f t="array" aca="1" ref="BD35" ca="1">IF(AND(INDIRECT("$H$" &amp; (9+AI$57)) = 1, $S58 = (INDIRECT("$N$" &amp; (9+AI$57)))), INDIRECT("$E$" &amp; (9+AI$57)),0)</f>
        <v>0</v>
      </c>
      <c r="BE35" s="1" cm="1">
        <f t="array" aca="1" ref="BE35" ca="1">IF(AND(INDIRECT("$H$" &amp; (9+AJ$57)) = 1, $S58 = (INDIRECT("$N$" &amp; (9+AJ$57)))), INDIRECT("$E$" &amp; (9+AJ$57)),0)</f>
        <v>0</v>
      </c>
      <c r="BF35" s="1" cm="1">
        <f t="array" aca="1" ref="BF35" ca="1">IF(AND(INDIRECT("$H$" &amp; (9+AK$57)) = 1, $S58 = (INDIRECT("$N$" &amp; (9+AK$57)))), INDIRECT("$E$" &amp; (9+AK$57)),0)</f>
        <v>0</v>
      </c>
      <c r="BG35" s="1" cm="1">
        <f t="array" aca="1" ref="BG35" ca="1">IF(AND(INDIRECT("$H$" &amp; (9+AL$57)) = 1, $S58 = (INDIRECT("$N$" &amp; (9+AL$57)))), INDIRECT("$E$" &amp; (9+AL$57)),0)</f>
        <v>0</v>
      </c>
      <c r="BH35" s="1" cm="1">
        <f t="array" aca="1" ref="BH35" ca="1">IF(AND(INDIRECT("$H$" &amp; (9+AM$57)) = 1, $S58 = (INDIRECT("$N$" &amp; (9+AM$57)))), INDIRECT("$E$" &amp; (9+AM$57)),0)</f>
        <v>0</v>
      </c>
    </row>
    <row r="36" spans="4:60" x14ac:dyDescent="0.3">
      <c r="S36" s="219">
        <v>2022</v>
      </c>
      <c r="T36" s="1" cm="1">
        <f t="array" aca="1" ref="T36" ca="1">IF(AND(INDIRECT("$G$" &amp; (9+T$34)) = 1, $S36 = (INDIRECT("$M$" &amp; (9+T$34)))), INDIRECT("$D$" &amp; (9+T$34)),0)</f>
        <v>0</v>
      </c>
      <c r="U36" s="1" cm="1">
        <f t="array" aca="1" ref="U36" ca="1">IF(AND(INDIRECT("$G$" &amp; (9+U$34)) = 1, $S36 = (INDIRECT("$M$" &amp; (9+U$34)))), INDIRECT("$D$" &amp; (9+U$34)),0)</f>
        <v>0</v>
      </c>
      <c r="V36" s="1" cm="1">
        <f t="array" aca="1" ref="V36" ca="1">IF(AND(INDIRECT("$G$" &amp; (9+V$34)) = 1, $S36 = (INDIRECT("$M$" &amp; (9+V$34)))), INDIRECT("$D$" &amp; (9+V$34)),0)</f>
        <v>0</v>
      </c>
      <c r="W36" s="1" cm="1">
        <f t="array" aca="1" ref="W36" ca="1">IF(AND(INDIRECT("$G$" &amp; (9+W$34)) = 1, $S36 = (INDIRECT("$M$" &amp; (9+W$34)))), INDIRECT("$D$" &amp; (9+W$34)),0)</f>
        <v>0</v>
      </c>
      <c r="X36" s="1" cm="1">
        <f t="array" aca="1" ref="X36" ca="1">IF(AND(INDIRECT("$G$" &amp; (9+X$34)) = 1, $S36 = (INDIRECT("$M$" &amp; (9+X$34)))), INDIRECT("$D$" &amp; (9+X$34)),0)</f>
        <v>0</v>
      </c>
      <c r="Y36" s="1" cm="1">
        <f t="array" aca="1" ref="Y36" ca="1">IF(AND(INDIRECT("$G$" &amp; (9+Y$34)) = 1, $S36 = (INDIRECT("$M$" &amp; (9+Y$34)))), INDIRECT("$D$" &amp; (9+Y$34)),0)</f>
        <v>0</v>
      </c>
      <c r="Z36" s="1" cm="1">
        <f t="array" aca="1" ref="Z36" ca="1">IF(AND(INDIRECT("$G$" &amp; (9+Z$34)) = 1, $S36 = (INDIRECT("$M$" &amp; (9+Z$34)))), INDIRECT("$D$" &amp; (9+Z$34)),0)</f>
        <v>0</v>
      </c>
      <c r="AA36" s="1" cm="1">
        <f t="array" aca="1" ref="AA36" ca="1">IF(AND(INDIRECT("$G$" &amp; (9+AA$34)) = 1, $S36 = (INDIRECT("$M$" &amp; (9+AA$34)))), INDIRECT("$D$" &amp; (9+AA$34)),0)</f>
        <v>0</v>
      </c>
      <c r="AB36" s="1" cm="1">
        <f t="array" aca="1" ref="AB36" ca="1">IF(AND(INDIRECT("$G$" &amp; (9+AB$34)) = 1, $S36 = (INDIRECT("$M$" &amp; (9+AB$34)))), INDIRECT("$D$" &amp; (9+AB$34)),0)</f>
        <v>0</v>
      </c>
      <c r="AC36" s="1" cm="1">
        <f t="array" aca="1" ref="AC36" ca="1">IF(AND(INDIRECT("$G$" &amp; (9+AC$34)) = 1, $S36 = (INDIRECT("$M$" &amp; (9+AC$34)))), INDIRECT("$D$" &amp; (9+AC$34)),0)</f>
        <v>0</v>
      </c>
      <c r="AD36" s="1" cm="1">
        <f t="array" aca="1" ref="AD36" ca="1">IF(AND(INDIRECT("$G$" &amp; (9+AD$34)) = 1, $S36 = (INDIRECT("$M$" &amp; (9+AD$34)))), INDIRECT("$D$" &amp; (9+AD$34)),0)</f>
        <v>0</v>
      </c>
      <c r="AE36" s="1" cm="1">
        <f t="array" aca="1" ref="AE36" ca="1">IF(AND(INDIRECT("$G$" &amp; (9+AE$34)) = 1, $S36 = (INDIRECT("$M$" &amp; (9+AE$34)))), INDIRECT("$D$" &amp; (9+AE$34)),0)</f>
        <v>0</v>
      </c>
      <c r="AF36" s="1" cm="1">
        <f t="array" aca="1" ref="AF36" ca="1">IF(AND(INDIRECT("$G$" &amp; (9+AF$34)) = 1, $S36 = (INDIRECT("$M$" &amp; (9+AF$34)))), INDIRECT("$D$" &amp; (9+AF$34)),0)</f>
        <v>0</v>
      </c>
      <c r="AG36" s="1" cm="1">
        <f t="array" aca="1" ref="AG36" ca="1">IF(AND(INDIRECT("$G$" &amp; (9+AG$34)) = 1, $S36 = (INDIRECT("$M$" &amp; (9+AG$34)))), INDIRECT("$D$" &amp; (9+AG$34)),0)</f>
        <v>0</v>
      </c>
      <c r="AH36" s="1" cm="1">
        <f t="array" aca="1" ref="AH36" ca="1">IF(AND(INDIRECT("$G$" &amp; (9+AH$34)) = 1, $S36 = (INDIRECT("$M$" &amp; (9+AH$34)))), INDIRECT("$D$" &amp; (9+AH$34)),0)</f>
        <v>0</v>
      </c>
      <c r="AI36" s="1" cm="1">
        <f t="array" aca="1" ref="AI36" ca="1">IF(AND(INDIRECT("$G$" &amp; (9+AI$34)) = 1, $S36 = (INDIRECT("$M$" &amp; (9+AI$34)))), INDIRECT("$D$" &amp; (9+AI$34)),0)</f>
        <v>0</v>
      </c>
      <c r="AJ36" s="1" cm="1">
        <f t="array" aca="1" ref="AJ36" ca="1">IF(AND(INDIRECT("$G$" &amp; (9+AJ$34)) = 1, $S36 = (INDIRECT("$M$" &amp; (9+AJ$34)))), INDIRECT("$D$" &amp; (9+AJ$34)),0)</f>
        <v>0</v>
      </c>
      <c r="AK36" s="1" cm="1">
        <f t="array" aca="1" ref="AK36" ca="1">IF(AND(INDIRECT("$G$" &amp; (9+AK$34)) = 1, $S36 = (INDIRECT("$M$" &amp; (9+AK$34)))), INDIRECT("$D$" &amp; (9+AK$34)),0)</f>
        <v>0</v>
      </c>
      <c r="AL36" s="1" cm="1">
        <f t="array" aca="1" ref="AL36" ca="1">IF(AND(INDIRECT("$G$" &amp; (9+AL$34)) = 1, $S36 = (INDIRECT("$M$" &amp; (9+AL$34)))), INDIRECT("$D$" &amp; (9+AL$34)),0)</f>
        <v>0</v>
      </c>
      <c r="AM36" s="1" cm="1">
        <f t="array" aca="1" ref="AM36" ca="1">IF(AND(INDIRECT("$G$" &amp; (9+AM$34)) = 1, $S36 = (INDIRECT("$M$" &amp; (9+AM$34)))), INDIRECT("$D$" &amp; (9+AM$34)),0)</f>
        <v>0</v>
      </c>
      <c r="AN36" s="219">
        <v>2022</v>
      </c>
      <c r="AO36" s="1" cm="1">
        <f t="array" aca="1" ref="AO36" ca="1">IF(AND(INDIRECT("$H$" &amp; (9+T$57)) = 1, $S59 = (INDIRECT("$N$" &amp; (9+T$57)))), INDIRECT("$E$" &amp; (9+T$57)),0)</f>
        <v>0</v>
      </c>
      <c r="AP36" s="1" cm="1">
        <f t="array" aca="1" ref="AP36" ca="1">IF(AND(INDIRECT("$H$" &amp; (9+U$57)) = 1, $S59 = (INDIRECT("$N$" &amp; (9+U$57)))), INDIRECT("$E$" &amp; (9+U$57)),0)</f>
        <v>0</v>
      </c>
      <c r="AQ36" s="1" cm="1">
        <f t="array" aca="1" ref="AQ36" ca="1">IF(AND(INDIRECT("$H$" &amp; (9+V$57)) = 1, $S59 = (INDIRECT("$N$" &amp; (9+V$57)))), INDIRECT("$E$" &amp; (9+V$57)),0)</f>
        <v>0</v>
      </c>
      <c r="AR36" s="1" cm="1">
        <f t="array" aca="1" ref="AR36" ca="1">IF(AND(INDIRECT("$H$" &amp; (9+W$57)) = 1, $S59 = (INDIRECT("$N$" &amp; (9+W$57)))), INDIRECT("$E$" &amp; (9+W$57)),0)</f>
        <v>0</v>
      </c>
      <c r="AS36" s="1" cm="1">
        <f t="array" aca="1" ref="AS36" ca="1">IF(AND(INDIRECT("$H$" &amp; (9+X$57)) = 1, $S59 = (INDIRECT("$N$" &amp; (9+X$57)))), INDIRECT("$E$" &amp; (9+X$57)),0)</f>
        <v>0</v>
      </c>
      <c r="AT36" s="1" cm="1">
        <f t="array" aca="1" ref="AT36" ca="1">IF(AND(INDIRECT("$H$" &amp; (9+Y$57)) = 1, $S59 = (INDIRECT("$N$" &amp; (9+Y$57)))), INDIRECT("$E$" &amp; (9+Y$57)),0)</f>
        <v>0</v>
      </c>
      <c r="AU36" s="1" cm="1">
        <f t="array" aca="1" ref="AU36" ca="1">IF(AND(INDIRECT("$H$" &amp; (9+Z$57)) = 1, $S59 = (INDIRECT("$N$" &amp; (9+Z$57)))), INDIRECT("$E$" &amp; (9+Z$57)),0)</f>
        <v>0</v>
      </c>
      <c r="AV36" s="1" cm="1">
        <f t="array" aca="1" ref="AV36" ca="1">IF(AND(INDIRECT("$H$" &amp; (9+AA$57)) = 1, $S59 = (INDIRECT("$N$" &amp; (9+AA$57)))), INDIRECT("$E$" &amp; (9+AA$57)),0)</f>
        <v>0</v>
      </c>
      <c r="AW36" s="1" cm="1">
        <f t="array" aca="1" ref="AW36" ca="1">IF(AND(INDIRECT("$H$" &amp; (9+AB$57)) = 1, $S59 = (INDIRECT("$N$" &amp; (9+AB$57)))), INDIRECT("$E$" &amp; (9+AB$57)),0)</f>
        <v>0</v>
      </c>
      <c r="AX36" s="1" cm="1">
        <f t="array" aca="1" ref="AX36" ca="1">IF(AND(INDIRECT("$H$" &amp; (9+AC$57)) = 1, $S59 = (INDIRECT("$N$" &amp; (9+AC$57)))), INDIRECT("$E$" &amp; (9+AC$57)),0)</f>
        <v>0</v>
      </c>
      <c r="AY36" s="1" cm="1">
        <f t="array" aca="1" ref="AY36" ca="1">IF(AND(INDIRECT("$H$" &amp; (9+AD$57)) = 1, $S59 = (INDIRECT("$N$" &amp; (9+AD$57)))), INDIRECT("$E$" &amp; (9+AD$57)),0)</f>
        <v>0</v>
      </c>
      <c r="AZ36" s="1" cm="1">
        <f t="array" aca="1" ref="AZ36" ca="1">IF(AND(INDIRECT("$H$" &amp; (9+AE$57)) = 1, $S59 = (INDIRECT("$N$" &amp; (9+AE$57)))), INDIRECT("$E$" &amp; (9+AE$57)),0)</f>
        <v>0</v>
      </c>
      <c r="BA36" s="1" cm="1">
        <f t="array" aca="1" ref="BA36" ca="1">IF(AND(INDIRECT("$H$" &amp; (9+AF$57)) = 1, $S59 = (INDIRECT("$N$" &amp; (9+AF$57)))), INDIRECT("$E$" &amp; (9+AF$57)),0)</f>
        <v>0</v>
      </c>
      <c r="BB36" s="1" cm="1">
        <f t="array" aca="1" ref="BB36" ca="1">IF(AND(INDIRECT("$H$" &amp; (9+AG$57)) = 1, $S59 = (INDIRECT("$N$" &amp; (9+AG$57)))), INDIRECT("$E$" &amp; (9+AG$57)),0)</f>
        <v>0</v>
      </c>
      <c r="BC36" s="1" cm="1">
        <f t="array" aca="1" ref="BC36" ca="1">IF(AND(INDIRECT("$H$" &amp; (9+AH$57)) = 1, $S59 = (INDIRECT("$N$" &amp; (9+AH$57)))), INDIRECT("$E$" &amp; (9+AH$57)),0)</f>
        <v>0</v>
      </c>
      <c r="BD36" s="1" cm="1">
        <f t="array" aca="1" ref="BD36" ca="1">IF(AND(INDIRECT("$H$" &amp; (9+AI$57)) = 1, $S59 = (INDIRECT("$N$" &amp; (9+AI$57)))), INDIRECT("$E$" &amp; (9+AI$57)),0)</f>
        <v>0</v>
      </c>
      <c r="BE36" s="1" cm="1">
        <f t="array" aca="1" ref="BE36" ca="1">IF(AND(INDIRECT("$H$" &amp; (9+AJ$57)) = 1, $S59 = (INDIRECT("$N$" &amp; (9+AJ$57)))), INDIRECT("$E$" &amp; (9+AJ$57)),0)</f>
        <v>0</v>
      </c>
      <c r="BF36" s="1" cm="1">
        <f t="array" aca="1" ref="BF36" ca="1">IF(AND(INDIRECT("$H$" &amp; (9+AK$57)) = 1, $S59 = (INDIRECT("$N$" &amp; (9+AK$57)))), INDIRECT("$E$" &amp; (9+AK$57)),0)</f>
        <v>0</v>
      </c>
      <c r="BG36" s="1" cm="1">
        <f t="array" aca="1" ref="BG36" ca="1">IF(AND(INDIRECT("$H$" &amp; (9+AL$57)) = 1, $S59 = (INDIRECT("$N$" &amp; (9+AL$57)))), INDIRECT("$E$" &amp; (9+AL$57)),0)</f>
        <v>0</v>
      </c>
      <c r="BH36" s="1" cm="1">
        <f t="array" aca="1" ref="BH36" ca="1">IF(AND(INDIRECT("$H$" &amp; (9+AM$57)) = 1, $S59 = (INDIRECT("$N$" &amp; (9+AM$57)))), INDIRECT("$E$" &amp; (9+AM$57)),0)</f>
        <v>0</v>
      </c>
    </row>
    <row r="37" spans="4:60" x14ac:dyDescent="0.3">
      <c r="S37" s="219">
        <v>2023</v>
      </c>
      <c r="T37" s="1" cm="1">
        <f t="array" aca="1" ref="T37" ca="1">IF(AND(INDIRECT("$G$" &amp; (9+T$34)) = 1, $S37 = (INDIRECT("$M$" &amp; (9+T$34)))), INDIRECT("$D$" &amp; (9+T$34)),0)</f>
        <v>0</v>
      </c>
      <c r="U37" s="1" cm="1">
        <f t="array" aca="1" ref="U37" ca="1">IF(AND(INDIRECT("$G$" &amp; (9+U$34)) = 1, $S37 = (INDIRECT("$M$" &amp; (9+U$34)))), INDIRECT("$D$" &amp; (9+U$34)),0)</f>
        <v>0</v>
      </c>
      <c r="V37" s="1" cm="1">
        <f t="array" aca="1" ref="V37" ca="1">IF(AND(INDIRECT("$G$" &amp; (9+V$34)) = 1, $S37 = (INDIRECT("$M$" &amp; (9+V$34)))), INDIRECT("$D$" &amp; (9+V$34)),0)</f>
        <v>0</v>
      </c>
      <c r="W37" s="1" cm="1">
        <f t="array" aca="1" ref="W37" ca="1">IF(AND(INDIRECT("$G$" &amp; (9+W$34)) = 1, $S37 = (INDIRECT("$M$" &amp; (9+W$34)))), INDIRECT("$D$" &amp; (9+W$34)),0)</f>
        <v>0</v>
      </c>
      <c r="X37" s="1" cm="1">
        <f t="array" aca="1" ref="X37" ca="1">IF(AND(INDIRECT("$G$" &amp; (9+X$34)) = 1, $S37 = (INDIRECT("$M$" &amp; (9+X$34)))), INDIRECT("$D$" &amp; (9+X$34)),0)</f>
        <v>0</v>
      </c>
      <c r="Y37" s="1" cm="1">
        <f t="array" aca="1" ref="Y37" ca="1">IF(AND(INDIRECT("$G$" &amp; (9+Y$34)) = 1, $S37 = (INDIRECT("$M$" &amp; (9+Y$34)))), INDIRECT("$D$" &amp; (9+Y$34)),0)</f>
        <v>0</v>
      </c>
      <c r="Z37" s="1" cm="1">
        <f t="array" aca="1" ref="Z37" ca="1">IF(AND(INDIRECT("$G$" &amp; (9+Z$34)) = 1, $S37 = (INDIRECT("$M$" &amp; (9+Z$34)))), INDIRECT("$D$" &amp; (9+Z$34)),0)</f>
        <v>0</v>
      </c>
      <c r="AA37" s="1" cm="1">
        <f t="array" aca="1" ref="AA37" ca="1">IF(AND(INDIRECT("$G$" &amp; (9+AA$34)) = 1, $S37 = (INDIRECT("$M$" &amp; (9+AA$34)))), INDIRECT("$D$" &amp; (9+AA$34)),0)</f>
        <v>0</v>
      </c>
      <c r="AB37" s="1" cm="1">
        <f t="array" aca="1" ref="AB37" ca="1">IF(AND(INDIRECT("$G$" &amp; (9+AB$34)) = 1, $S37 = (INDIRECT("$M$" &amp; (9+AB$34)))), INDIRECT("$D$" &amp; (9+AB$34)),0)</f>
        <v>0</v>
      </c>
      <c r="AC37" s="1" cm="1">
        <f t="array" aca="1" ref="AC37" ca="1">IF(AND(INDIRECT("$G$" &amp; (9+AC$34)) = 1, $S37 = (INDIRECT("$M$" &amp; (9+AC$34)))), INDIRECT("$D$" &amp; (9+AC$34)),0)</f>
        <v>0</v>
      </c>
      <c r="AD37" s="1" cm="1">
        <f t="array" aca="1" ref="AD37" ca="1">IF(AND(INDIRECT("$G$" &amp; (9+AD$34)) = 1, $S37 = (INDIRECT("$M$" &amp; (9+AD$34)))), INDIRECT("$D$" &amp; (9+AD$34)),0)</f>
        <v>0</v>
      </c>
      <c r="AE37" s="1" cm="1">
        <f t="array" aca="1" ref="AE37" ca="1">IF(AND(INDIRECT("$G$" &amp; (9+AE$34)) = 1, $S37 = (INDIRECT("$M$" &amp; (9+AE$34)))), INDIRECT("$D$" &amp; (9+AE$34)),0)</f>
        <v>0</v>
      </c>
      <c r="AF37" s="1" cm="1">
        <f t="array" aca="1" ref="AF37" ca="1">IF(AND(INDIRECT("$G$" &amp; (9+AF$34)) = 1, $S37 = (INDIRECT("$M$" &amp; (9+AF$34)))), INDIRECT("$D$" &amp; (9+AF$34)),0)</f>
        <v>0</v>
      </c>
      <c r="AG37" s="1" cm="1">
        <f t="array" aca="1" ref="AG37" ca="1">IF(AND(INDIRECT("$G$" &amp; (9+AG$34)) = 1, $S37 = (INDIRECT("$M$" &amp; (9+AG$34)))), INDIRECT("$D$" &amp; (9+AG$34)),0)</f>
        <v>0</v>
      </c>
      <c r="AH37" s="1" cm="1">
        <f t="array" aca="1" ref="AH37" ca="1">IF(AND(INDIRECT("$G$" &amp; (9+AH$34)) = 1, $S37 = (INDIRECT("$M$" &amp; (9+AH$34)))), INDIRECT("$D$" &amp; (9+AH$34)),0)</f>
        <v>0</v>
      </c>
      <c r="AI37" s="1" cm="1">
        <f t="array" aca="1" ref="AI37" ca="1">IF(AND(INDIRECT("$G$" &amp; (9+AI$34)) = 1, $S37 = (INDIRECT("$M$" &amp; (9+AI$34)))), INDIRECT("$D$" &amp; (9+AI$34)),0)</f>
        <v>0</v>
      </c>
      <c r="AJ37" s="1" cm="1">
        <f t="array" aca="1" ref="AJ37" ca="1">IF(AND(INDIRECT("$G$" &amp; (9+AJ$34)) = 1, $S37 = (INDIRECT("$M$" &amp; (9+AJ$34)))), INDIRECT("$D$" &amp; (9+AJ$34)),0)</f>
        <v>0</v>
      </c>
      <c r="AK37" s="1" cm="1">
        <f t="array" aca="1" ref="AK37" ca="1">IF(AND(INDIRECT("$G$" &amp; (9+AK$34)) = 1, $S37 = (INDIRECT("$M$" &amp; (9+AK$34)))), INDIRECT("$D$" &amp; (9+AK$34)),0)</f>
        <v>0</v>
      </c>
      <c r="AL37" s="1" cm="1">
        <f t="array" aca="1" ref="AL37" ca="1">IF(AND(INDIRECT("$G$" &amp; (9+AL$34)) = 1, $S37 = (INDIRECT("$M$" &amp; (9+AL$34)))), INDIRECT("$D$" &amp; (9+AL$34)),0)</f>
        <v>0</v>
      </c>
      <c r="AM37" s="1" cm="1">
        <f t="array" aca="1" ref="AM37" ca="1">IF(AND(INDIRECT("$G$" &amp; (9+AM$34)) = 1, $S37 = (INDIRECT("$M$" &amp; (9+AM$34)))), INDIRECT("$D$" &amp; (9+AM$34)),0)</f>
        <v>0</v>
      </c>
      <c r="AN37" s="219">
        <v>2023</v>
      </c>
      <c r="AO37" s="1" cm="1">
        <f t="array" aca="1" ref="AO37" ca="1">IF(AND(INDIRECT("$H$" &amp; (9+T$57)) = 1, $S60 = (INDIRECT("$N$" &amp; (9+T$57)))), INDIRECT("$E$" &amp; (9+T$57)),0)</f>
        <v>0</v>
      </c>
      <c r="AP37" s="1" cm="1">
        <f t="array" aca="1" ref="AP37" ca="1">IF(AND(INDIRECT("$H$" &amp; (9+U$57)) = 1, $S60 = (INDIRECT("$N$" &amp; (9+U$57)))), INDIRECT("$E$" &amp; (9+U$57)),0)</f>
        <v>0</v>
      </c>
      <c r="AQ37" s="1" cm="1">
        <f t="array" aca="1" ref="AQ37" ca="1">IF(AND(INDIRECT("$H$" &amp; (9+V$57)) = 1, $S60 = (INDIRECT("$N$" &amp; (9+V$57)))), INDIRECT("$E$" &amp; (9+V$57)),0)</f>
        <v>0</v>
      </c>
      <c r="AR37" s="1" cm="1">
        <f t="array" aca="1" ref="AR37" ca="1">IF(AND(INDIRECT("$H$" &amp; (9+W$57)) = 1, $S60 = (INDIRECT("$N$" &amp; (9+W$57)))), INDIRECT("$E$" &amp; (9+W$57)),0)</f>
        <v>0</v>
      </c>
      <c r="AS37" s="1" cm="1">
        <f t="array" aca="1" ref="AS37" ca="1">IF(AND(INDIRECT("$H$" &amp; (9+X$57)) = 1, $S60 = (INDIRECT("$N$" &amp; (9+X$57)))), INDIRECT("$E$" &amp; (9+X$57)),0)</f>
        <v>0</v>
      </c>
      <c r="AT37" s="1" cm="1">
        <f t="array" aca="1" ref="AT37" ca="1">IF(AND(INDIRECT("$H$" &amp; (9+Y$57)) = 1, $S60 = (INDIRECT("$N$" &amp; (9+Y$57)))), INDIRECT("$E$" &amp; (9+Y$57)),0)</f>
        <v>0</v>
      </c>
      <c r="AU37" s="1" cm="1">
        <f t="array" aca="1" ref="AU37" ca="1">IF(AND(INDIRECT("$H$" &amp; (9+Z$57)) = 1, $S60 = (INDIRECT("$N$" &amp; (9+Z$57)))), INDIRECT("$E$" &amp; (9+Z$57)),0)</f>
        <v>0</v>
      </c>
      <c r="AV37" s="1" cm="1">
        <f t="array" aca="1" ref="AV37" ca="1">IF(AND(INDIRECT("$H$" &amp; (9+AA$57)) = 1, $S60 = (INDIRECT("$N$" &amp; (9+AA$57)))), INDIRECT("$E$" &amp; (9+AA$57)),0)</f>
        <v>0</v>
      </c>
      <c r="AW37" s="1" cm="1">
        <f t="array" aca="1" ref="AW37" ca="1">IF(AND(INDIRECT("$H$" &amp; (9+AB$57)) = 1, $S60 = (INDIRECT("$N$" &amp; (9+AB$57)))), INDIRECT("$E$" &amp; (9+AB$57)),0)</f>
        <v>0</v>
      </c>
      <c r="AX37" s="1" cm="1">
        <f t="array" aca="1" ref="AX37" ca="1">IF(AND(INDIRECT("$H$" &amp; (9+AC$57)) = 1, $S60 = (INDIRECT("$N$" &amp; (9+AC$57)))), INDIRECT("$E$" &amp; (9+AC$57)),0)</f>
        <v>0</v>
      </c>
      <c r="AY37" s="1" cm="1">
        <f t="array" aca="1" ref="AY37" ca="1">IF(AND(INDIRECT("$H$" &amp; (9+AD$57)) = 1, $S60 = (INDIRECT("$N$" &amp; (9+AD$57)))), INDIRECT("$E$" &amp; (9+AD$57)),0)</f>
        <v>0</v>
      </c>
      <c r="AZ37" s="1" cm="1">
        <f t="array" aca="1" ref="AZ37" ca="1">IF(AND(INDIRECT("$H$" &amp; (9+AE$57)) = 1, $S60 = (INDIRECT("$N$" &amp; (9+AE$57)))), INDIRECT("$E$" &amp; (9+AE$57)),0)</f>
        <v>0</v>
      </c>
      <c r="BA37" s="1" cm="1">
        <f t="array" aca="1" ref="BA37" ca="1">IF(AND(INDIRECT("$H$" &amp; (9+AF$57)) = 1, $S60 = (INDIRECT("$N$" &amp; (9+AF$57)))), INDIRECT("$E$" &amp; (9+AF$57)),0)</f>
        <v>0</v>
      </c>
      <c r="BB37" s="1" cm="1">
        <f t="array" aca="1" ref="BB37" ca="1">IF(AND(INDIRECT("$H$" &amp; (9+AG$57)) = 1, $S60 = (INDIRECT("$N$" &amp; (9+AG$57)))), INDIRECT("$E$" &amp; (9+AG$57)),0)</f>
        <v>0</v>
      </c>
      <c r="BC37" s="1" cm="1">
        <f t="array" aca="1" ref="BC37" ca="1">IF(AND(INDIRECT("$H$" &amp; (9+AH$57)) = 1, $S60 = (INDIRECT("$N$" &amp; (9+AH$57)))), INDIRECT("$E$" &amp; (9+AH$57)),0)</f>
        <v>0</v>
      </c>
      <c r="BD37" s="1" cm="1">
        <f t="array" aca="1" ref="BD37" ca="1">IF(AND(INDIRECT("$H$" &amp; (9+AI$57)) = 1, $S60 = (INDIRECT("$N$" &amp; (9+AI$57)))), INDIRECT("$E$" &amp; (9+AI$57)),0)</f>
        <v>0</v>
      </c>
      <c r="BE37" s="1" cm="1">
        <f t="array" aca="1" ref="BE37" ca="1">IF(AND(INDIRECT("$H$" &amp; (9+AJ$57)) = 1, $S60 = (INDIRECT("$N$" &amp; (9+AJ$57)))), INDIRECT("$E$" &amp; (9+AJ$57)),0)</f>
        <v>0</v>
      </c>
      <c r="BF37" s="1" cm="1">
        <f t="array" aca="1" ref="BF37" ca="1">IF(AND(INDIRECT("$H$" &amp; (9+AK$57)) = 1, $S60 = (INDIRECT("$N$" &amp; (9+AK$57)))), INDIRECT("$E$" &amp; (9+AK$57)),0)</f>
        <v>0</v>
      </c>
      <c r="BG37" s="1" cm="1">
        <f t="array" aca="1" ref="BG37" ca="1">IF(AND(INDIRECT("$H$" &amp; (9+AL$57)) = 1, $S60 = (INDIRECT("$N$" &amp; (9+AL$57)))), INDIRECT("$E$" &amp; (9+AL$57)),0)</f>
        <v>0</v>
      </c>
      <c r="BH37" s="1" cm="1">
        <f t="array" aca="1" ref="BH37" ca="1">IF(AND(INDIRECT("$H$" &amp; (9+AM$57)) = 1, $S60 = (INDIRECT("$N$" &amp; (9+AM$57)))), INDIRECT("$E$" &amp; (9+AM$57)),0)</f>
        <v>0</v>
      </c>
    </row>
    <row r="38" spans="4:60" x14ac:dyDescent="0.3">
      <c r="S38" s="219">
        <v>2024</v>
      </c>
      <c r="T38" s="1" cm="1">
        <f t="array" aca="1" ref="T38" ca="1">IF(AND(INDIRECT("$G$" &amp; (9+T$34)) = 1, $S38 = (INDIRECT("$M$" &amp; (9+T$34)))), INDIRECT("$D$" &amp; (9+T$34)),0)</f>
        <v>0</v>
      </c>
      <c r="U38" s="1" cm="1">
        <f t="array" aca="1" ref="U38" ca="1">IF(AND(INDIRECT("$G$" &amp; (9+U$34)) = 1, $S38 = (INDIRECT("$M$" &amp; (9+U$34)))), INDIRECT("$D$" &amp; (9+U$34)),0)</f>
        <v>0</v>
      </c>
      <c r="V38" s="1" cm="1">
        <f t="array" aca="1" ref="V38" ca="1">IF(AND(INDIRECT("$G$" &amp; (9+V$34)) = 1, $S38 = (INDIRECT("$M$" &amp; (9+V$34)))), INDIRECT("$D$" &amp; (9+V$34)),0)</f>
        <v>0</v>
      </c>
      <c r="W38" s="1" cm="1">
        <f t="array" aca="1" ref="W38" ca="1">IF(AND(INDIRECT("$G$" &amp; (9+W$34)) = 1, $S38 = (INDIRECT("$M$" &amp; (9+W$34)))), INDIRECT("$D$" &amp; (9+W$34)),0)</f>
        <v>0</v>
      </c>
      <c r="X38" s="1" cm="1">
        <f t="array" aca="1" ref="X38" ca="1">IF(AND(INDIRECT("$G$" &amp; (9+X$34)) = 1, $S38 = (INDIRECT("$M$" &amp; (9+X$34)))), INDIRECT("$D$" &amp; (9+X$34)),0)</f>
        <v>0</v>
      </c>
      <c r="Y38" s="1" cm="1">
        <f t="array" aca="1" ref="Y38" ca="1">IF(AND(INDIRECT("$G$" &amp; (9+Y$34)) = 1, $S38 = (INDIRECT("$M$" &amp; (9+Y$34)))), INDIRECT("$D$" &amp; (9+Y$34)),0)</f>
        <v>0</v>
      </c>
      <c r="Z38" s="1" cm="1">
        <f t="array" aca="1" ref="Z38" ca="1">IF(AND(INDIRECT("$G$" &amp; (9+Z$34)) = 1, $S38 = (INDIRECT("$M$" &amp; (9+Z$34)))), INDIRECT("$D$" &amp; (9+Z$34)),0)</f>
        <v>0</v>
      </c>
      <c r="AA38" s="1" cm="1">
        <f t="array" aca="1" ref="AA38" ca="1">IF(AND(INDIRECT("$G$" &amp; (9+AA$34)) = 1, $S38 = (INDIRECT("$M$" &amp; (9+AA$34)))), INDIRECT("$D$" &amp; (9+AA$34)),0)</f>
        <v>0</v>
      </c>
      <c r="AB38" s="1" cm="1">
        <f t="array" aca="1" ref="AB38" ca="1">IF(AND(INDIRECT("$G$" &amp; (9+AB$34)) = 1, $S38 = (INDIRECT("$M$" &amp; (9+AB$34)))), INDIRECT("$D$" &amp; (9+AB$34)),0)</f>
        <v>0</v>
      </c>
      <c r="AC38" s="1" cm="1">
        <f t="array" aca="1" ref="AC38" ca="1">IF(AND(INDIRECT("$G$" &amp; (9+AC$34)) = 1, $S38 = (INDIRECT("$M$" &amp; (9+AC$34)))), INDIRECT("$D$" &amp; (9+AC$34)),0)</f>
        <v>0</v>
      </c>
      <c r="AD38" s="1" cm="1">
        <f t="array" aca="1" ref="AD38" ca="1">IF(AND(INDIRECT("$G$" &amp; (9+AD$34)) = 1, $S38 = (INDIRECT("$M$" &amp; (9+AD$34)))), INDIRECT("$D$" &amp; (9+AD$34)),0)</f>
        <v>0</v>
      </c>
      <c r="AE38" s="1" cm="1">
        <f t="array" aca="1" ref="AE38" ca="1">IF(AND(INDIRECT("$G$" &amp; (9+AE$34)) = 1, $S38 = (INDIRECT("$M$" &amp; (9+AE$34)))), INDIRECT("$D$" &amp; (9+AE$34)),0)</f>
        <v>0</v>
      </c>
      <c r="AF38" s="1" cm="1">
        <f t="array" aca="1" ref="AF38" ca="1">IF(AND(INDIRECT("$G$" &amp; (9+AF$34)) = 1, $S38 = (INDIRECT("$M$" &amp; (9+AF$34)))), INDIRECT("$D$" &amp; (9+AF$34)),0)</f>
        <v>0</v>
      </c>
      <c r="AG38" s="1" cm="1">
        <f t="array" aca="1" ref="AG38" ca="1">IF(AND(INDIRECT("$G$" &amp; (9+AG$34)) = 1, $S38 = (INDIRECT("$M$" &amp; (9+AG$34)))), INDIRECT("$D$" &amp; (9+AG$34)),0)</f>
        <v>0</v>
      </c>
      <c r="AH38" s="1" cm="1">
        <f t="array" aca="1" ref="AH38" ca="1">IF(AND(INDIRECT("$G$" &amp; (9+AH$34)) = 1, $S38 = (INDIRECT("$M$" &amp; (9+AH$34)))), INDIRECT("$D$" &amp; (9+AH$34)),0)</f>
        <v>0</v>
      </c>
      <c r="AI38" s="1" cm="1">
        <f t="array" aca="1" ref="AI38" ca="1">IF(AND(INDIRECT("$G$" &amp; (9+AI$34)) = 1, $S38 = (INDIRECT("$M$" &amp; (9+AI$34)))), INDIRECT("$D$" &amp; (9+AI$34)),0)</f>
        <v>0</v>
      </c>
      <c r="AJ38" s="1" cm="1">
        <f t="array" aca="1" ref="AJ38" ca="1">IF(AND(INDIRECT("$G$" &amp; (9+AJ$34)) = 1, $S38 = (INDIRECT("$M$" &amp; (9+AJ$34)))), INDIRECT("$D$" &amp; (9+AJ$34)),0)</f>
        <v>0</v>
      </c>
      <c r="AK38" s="1" cm="1">
        <f t="array" aca="1" ref="AK38" ca="1">IF(AND(INDIRECT("$G$" &amp; (9+AK$34)) = 1, $S38 = (INDIRECT("$M$" &amp; (9+AK$34)))), INDIRECT("$D$" &amp; (9+AK$34)),0)</f>
        <v>0</v>
      </c>
      <c r="AL38" s="1" cm="1">
        <f t="array" aca="1" ref="AL38" ca="1">IF(AND(INDIRECT("$G$" &amp; (9+AL$34)) = 1, $S38 = (INDIRECT("$M$" &amp; (9+AL$34)))), INDIRECT("$D$" &amp; (9+AL$34)),0)</f>
        <v>0</v>
      </c>
      <c r="AM38" s="1" cm="1">
        <f t="array" aca="1" ref="AM38" ca="1">IF(AND(INDIRECT("$G$" &amp; (9+AM$34)) = 1, $S38 = (INDIRECT("$M$" &amp; (9+AM$34)))), INDIRECT("$D$" &amp; (9+AM$34)),0)</f>
        <v>0</v>
      </c>
      <c r="AN38" s="219">
        <v>2024</v>
      </c>
      <c r="AO38" s="1" cm="1">
        <f t="array" aca="1" ref="AO38" ca="1">IF(AND(INDIRECT("$H$" &amp; (9+T$57)) = 1, $S61 = (INDIRECT("$N$" &amp; (9+T$57)))), INDIRECT("$E$" &amp; (9+T$57)),0)</f>
        <v>0</v>
      </c>
      <c r="AP38" s="1" cm="1">
        <f t="array" aca="1" ref="AP38" ca="1">IF(AND(INDIRECT("$H$" &amp; (9+U$57)) = 1, $S61 = (INDIRECT("$N$" &amp; (9+U$57)))), INDIRECT("$E$" &amp; (9+U$57)),0)</f>
        <v>0</v>
      </c>
      <c r="AQ38" s="1" cm="1">
        <f t="array" aca="1" ref="AQ38" ca="1">IF(AND(INDIRECT("$H$" &amp; (9+V$57)) = 1, $S61 = (INDIRECT("$N$" &amp; (9+V$57)))), INDIRECT("$E$" &amp; (9+V$57)),0)</f>
        <v>0</v>
      </c>
      <c r="AR38" s="1" cm="1">
        <f t="array" aca="1" ref="AR38" ca="1">IF(AND(INDIRECT("$H$" &amp; (9+W$57)) = 1, $S61 = (INDIRECT("$N$" &amp; (9+W$57)))), INDIRECT("$E$" &amp; (9+W$57)),0)</f>
        <v>0</v>
      </c>
      <c r="AS38" s="1" cm="1">
        <f t="array" aca="1" ref="AS38" ca="1">IF(AND(INDIRECT("$H$" &amp; (9+X$57)) = 1, $S61 = (INDIRECT("$N$" &amp; (9+X$57)))), INDIRECT("$E$" &amp; (9+X$57)),0)</f>
        <v>0</v>
      </c>
      <c r="AT38" s="1" cm="1">
        <f t="array" aca="1" ref="AT38" ca="1">IF(AND(INDIRECT("$H$" &amp; (9+Y$57)) = 1, $S61 = (INDIRECT("$N$" &amp; (9+Y$57)))), INDIRECT("$E$" &amp; (9+Y$57)),0)</f>
        <v>0</v>
      </c>
      <c r="AU38" s="1" cm="1">
        <f t="array" aca="1" ref="AU38" ca="1">IF(AND(INDIRECT("$H$" &amp; (9+Z$57)) = 1, $S61 = (INDIRECT("$N$" &amp; (9+Z$57)))), INDIRECT("$E$" &amp; (9+Z$57)),0)</f>
        <v>0</v>
      </c>
      <c r="AV38" s="1" cm="1">
        <f t="array" aca="1" ref="AV38" ca="1">IF(AND(INDIRECT("$H$" &amp; (9+AA$57)) = 1, $S61 = (INDIRECT("$N$" &amp; (9+AA$57)))), INDIRECT("$E$" &amp; (9+AA$57)),0)</f>
        <v>0</v>
      </c>
      <c r="AW38" s="1" cm="1">
        <f t="array" aca="1" ref="AW38" ca="1">IF(AND(INDIRECT("$H$" &amp; (9+AB$57)) = 1, $S61 = (INDIRECT("$N$" &amp; (9+AB$57)))), INDIRECT("$E$" &amp; (9+AB$57)),0)</f>
        <v>0</v>
      </c>
      <c r="AX38" s="1" cm="1">
        <f t="array" aca="1" ref="AX38" ca="1">IF(AND(INDIRECT("$H$" &amp; (9+AC$57)) = 1, $S61 = (INDIRECT("$N$" &amp; (9+AC$57)))), INDIRECT("$E$" &amp; (9+AC$57)),0)</f>
        <v>0</v>
      </c>
      <c r="AY38" s="1" cm="1">
        <f t="array" aca="1" ref="AY38" ca="1">IF(AND(INDIRECT("$H$" &amp; (9+AD$57)) = 1, $S61 = (INDIRECT("$N$" &amp; (9+AD$57)))), INDIRECT("$E$" &amp; (9+AD$57)),0)</f>
        <v>0</v>
      </c>
      <c r="AZ38" s="1" cm="1">
        <f t="array" aca="1" ref="AZ38" ca="1">IF(AND(INDIRECT("$H$" &amp; (9+AE$57)) = 1, $S61 = (INDIRECT("$N$" &amp; (9+AE$57)))), INDIRECT("$E$" &amp; (9+AE$57)),0)</f>
        <v>0</v>
      </c>
      <c r="BA38" s="1" cm="1">
        <f t="array" aca="1" ref="BA38" ca="1">IF(AND(INDIRECT("$H$" &amp; (9+AF$57)) = 1, $S61 = (INDIRECT("$N$" &amp; (9+AF$57)))), INDIRECT("$E$" &amp; (9+AF$57)),0)</f>
        <v>0</v>
      </c>
      <c r="BB38" s="1" cm="1">
        <f t="array" aca="1" ref="BB38" ca="1">IF(AND(INDIRECT("$H$" &amp; (9+AG$57)) = 1, $S61 = (INDIRECT("$N$" &amp; (9+AG$57)))), INDIRECT("$E$" &amp; (9+AG$57)),0)</f>
        <v>0</v>
      </c>
      <c r="BC38" s="1" cm="1">
        <f t="array" aca="1" ref="BC38" ca="1">IF(AND(INDIRECT("$H$" &amp; (9+AH$57)) = 1, $S61 = (INDIRECT("$N$" &amp; (9+AH$57)))), INDIRECT("$E$" &amp; (9+AH$57)),0)</f>
        <v>0</v>
      </c>
      <c r="BD38" s="1" cm="1">
        <f t="array" aca="1" ref="BD38" ca="1">IF(AND(INDIRECT("$H$" &amp; (9+AI$57)) = 1, $S61 = (INDIRECT("$N$" &amp; (9+AI$57)))), INDIRECT("$E$" &amp; (9+AI$57)),0)</f>
        <v>0</v>
      </c>
      <c r="BE38" s="1" cm="1">
        <f t="array" aca="1" ref="BE38" ca="1">IF(AND(INDIRECT("$H$" &amp; (9+AJ$57)) = 1, $S61 = (INDIRECT("$N$" &amp; (9+AJ$57)))), INDIRECT("$E$" &amp; (9+AJ$57)),0)</f>
        <v>0</v>
      </c>
      <c r="BF38" s="1" cm="1">
        <f t="array" aca="1" ref="BF38" ca="1">IF(AND(INDIRECT("$H$" &amp; (9+AK$57)) = 1, $S61 = (INDIRECT("$N$" &amp; (9+AK$57)))), INDIRECT("$E$" &amp; (9+AK$57)),0)</f>
        <v>0</v>
      </c>
      <c r="BG38" s="1" cm="1">
        <f t="array" aca="1" ref="BG38" ca="1">IF(AND(INDIRECT("$H$" &amp; (9+AL$57)) = 1, $S61 = (INDIRECT("$N$" &amp; (9+AL$57)))), INDIRECT("$E$" &amp; (9+AL$57)),0)</f>
        <v>0</v>
      </c>
      <c r="BH38" s="1" cm="1">
        <f t="array" aca="1" ref="BH38" ca="1">IF(AND(INDIRECT("$H$" &amp; (9+AM$57)) = 1, $S61 = (INDIRECT("$N$" &amp; (9+AM$57)))), INDIRECT("$E$" &amp; (9+AM$57)),0)</f>
        <v>0</v>
      </c>
    </row>
    <row r="39" spans="4:60" x14ac:dyDescent="0.3">
      <c r="S39" s="219">
        <v>2025</v>
      </c>
      <c r="T39" s="1" cm="1">
        <f t="array" aca="1" ref="T39" ca="1">IF(AND(INDIRECT("$G$" &amp; (9+T$34)) = 1, $S39 = (INDIRECT("$M$" &amp; (9+T$34)))), INDIRECT("$D$" &amp; (9+T$34)),0)</f>
        <v>0</v>
      </c>
      <c r="U39" s="1" cm="1">
        <f t="array" aca="1" ref="U39" ca="1">IF(AND(INDIRECT("$G$" &amp; (9+U$34)) = 1, $S39 = (INDIRECT("$M$" &amp; (9+U$34)))), INDIRECT("$D$" &amp; (9+U$34)),0)</f>
        <v>0</v>
      </c>
      <c r="V39" s="1" cm="1">
        <f t="array" aca="1" ref="V39" ca="1">IF(AND(INDIRECT("$G$" &amp; (9+V$34)) = 1, $S39 = (INDIRECT("$M$" &amp; (9+V$34)))), INDIRECT("$D$" &amp; (9+V$34)),0)</f>
        <v>0</v>
      </c>
      <c r="W39" s="1" cm="1">
        <f t="array" aca="1" ref="W39" ca="1">IF(AND(INDIRECT("$G$" &amp; (9+W$34)) = 1, $S39 = (INDIRECT("$M$" &amp; (9+W$34)))), INDIRECT("$D$" &amp; (9+W$34)),0)</f>
        <v>0</v>
      </c>
      <c r="X39" s="1" cm="1">
        <f t="array" aca="1" ref="X39" ca="1">IF(AND(INDIRECT("$G$" &amp; (9+X$34)) = 1, $S39 = (INDIRECT("$M$" &amp; (9+X$34)))), INDIRECT("$D$" &amp; (9+X$34)),0)</f>
        <v>0</v>
      </c>
      <c r="Y39" s="1" cm="1">
        <f t="array" aca="1" ref="Y39" ca="1">IF(AND(INDIRECT("$G$" &amp; (9+Y$34)) = 1, $S39 = (INDIRECT("$M$" &amp; (9+Y$34)))), INDIRECT("$D$" &amp; (9+Y$34)),0)</f>
        <v>0</v>
      </c>
      <c r="Z39" s="1" cm="1">
        <f t="array" aca="1" ref="Z39" ca="1">IF(AND(INDIRECT("$G$" &amp; (9+Z$34)) = 1, $S39 = (INDIRECT("$M$" &amp; (9+Z$34)))), INDIRECT("$D$" &amp; (9+Z$34)),0)</f>
        <v>0</v>
      </c>
      <c r="AA39" s="1" cm="1">
        <f t="array" aca="1" ref="AA39" ca="1">IF(AND(INDIRECT("$G$" &amp; (9+AA$34)) = 1, $S39 = (INDIRECT("$M$" &amp; (9+AA$34)))), INDIRECT("$D$" &amp; (9+AA$34)),0)</f>
        <v>0</v>
      </c>
      <c r="AB39" s="1" cm="1">
        <f t="array" aca="1" ref="AB39" ca="1">IF(AND(INDIRECT("$G$" &amp; (9+AB$34)) = 1, $S39 = (INDIRECT("$M$" &amp; (9+AB$34)))), INDIRECT("$D$" &amp; (9+AB$34)),0)</f>
        <v>0</v>
      </c>
      <c r="AC39" s="1" cm="1">
        <f t="array" aca="1" ref="AC39" ca="1">IF(AND(INDIRECT("$G$" &amp; (9+AC$34)) = 1, $S39 = (INDIRECT("$M$" &amp; (9+AC$34)))), INDIRECT("$D$" &amp; (9+AC$34)),0)</f>
        <v>0</v>
      </c>
      <c r="AD39" s="1" cm="1">
        <f t="array" aca="1" ref="AD39" ca="1">IF(AND(INDIRECT("$G$" &amp; (9+AD$34)) = 1, $S39 = (INDIRECT("$M$" &amp; (9+AD$34)))), INDIRECT("$D$" &amp; (9+AD$34)),0)</f>
        <v>0</v>
      </c>
      <c r="AE39" s="1" cm="1">
        <f t="array" aca="1" ref="AE39" ca="1">IF(AND(INDIRECT("$G$" &amp; (9+AE$34)) = 1, $S39 = (INDIRECT("$M$" &amp; (9+AE$34)))), INDIRECT("$D$" &amp; (9+AE$34)),0)</f>
        <v>0</v>
      </c>
      <c r="AF39" s="1" cm="1">
        <f t="array" aca="1" ref="AF39" ca="1">IF(AND(INDIRECT("$G$" &amp; (9+AF$34)) = 1, $S39 = (INDIRECT("$M$" &amp; (9+AF$34)))), INDIRECT("$D$" &amp; (9+AF$34)),0)</f>
        <v>0</v>
      </c>
      <c r="AG39" s="1" cm="1">
        <f t="array" aca="1" ref="AG39" ca="1">IF(AND(INDIRECT("$G$" &amp; (9+AG$34)) = 1, $S39 = (INDIRECT("$M$" &amp; (9+AG$34)))), INDIRECT("$D$" &amp; (9+AG$34)),0)</f>
        <v>0</v>
      </c>
      <c r="AH39" s="1" cm="1">
        <f t="array" aca="1" ref="AH39" ca="1">IF(AND(INDIRECT("$G$" &amp; (9+AH$34)) = 1, $S39 = (INDIRECT("$M$" &amp; (9+AH$34)))), INDIRECT("$D$" &amp; (9+AH$34)),0)</f>
        <v>0</v>
      </c>
      <c r="AI39" s="1" cm="1">
        <f t="array" aca="1" ref="AI39" ca="1">IF(AND(INDIRECT("$G$" &amp; (9+AI$34)) = 1, $S39 = (INDIRECT("$M$" &amp; (9+AI$34)))), INDIRECT("$D$" &amp; (9+AI$34)),0)</f>
        <v>0</v>
      </c>
      <c r="AJ39" s="1" cm="1">
        <f t="array" aca="1" ref="AJ39" ca="1">IF(AND(INDIRECT("$G$" &amp; (9+AJ$34)) = 1, $S39 = (INDIRECT("$M$" &amp; (9+AJ$34)))), INDIRECT("$D$" &amp; (9+AJ$34)),0)</f>
        <v>0</v>
      </c>
      <c r="AK39" s="1" cm="1">
        <f t="array" aca="1" ref="AK39" ca="1">IF(AND(INDIRECT("$G$" &amp; (9+AK$34)) = 1, $S39 = (INDIRECT("$M$" &amp; (9+AK$34)))), INDIRECT("$D$" &amp; (9+AK$34)),0)</f>
        <v>0</v>
      </c>
      <c r="AL39" s="1" cm="1">
        <f t="array" aca="1" ref="AL39" ca="1">IF(AND(INDIRECT("$G$" &amp; (9+AL$34)) = 1, $S39 = (INDIRECT("$M$" &amp; (9+AL$34)))), INDIRECT("$D$" &amp; (9+AL$34)),0)</f>
        <v>0</v>
      </c>
      <c r="AM39" s="1" cm="1">
        <f t="array" aca="1" ref="AM39" ca="1">IF(AND(INDIRECT("$G$" &amp; (9+AM$34)) = 1, $S39 = (INDIRECT("$M$" &amp; (9+AM$34)))), INDIRECT("$D$" &amp; (9+AM$34)),0)</f>
        <v>0</v>
      </c>
      <c r="AN39" s="219">
        <v>2025</v>
      </c>
      <c r="AO39" s="1" cm="1">
        <f t="array" aca="1" ref="AO39" ca="1">IF(AND(INDIRECT("$H$" &amp; (9+T$57)) = 1, $S62 = (INDIRECT("$N$" &amp; (9+T$57)))), INDIRECT("$E$" &amp; (9+T$57)),0)</f>
        <v>0</v>
      </c>
      <c r="AP39" s="1" cm="1">
        <f t="array" aca="1" ref="AP39" ca="1">IF(AND(INDIRECT("$H$" &amp; (9+U$57)) = 1, $S62 = (INDIRECT("$N$" &amp; (9+U$57)))), INDIRECT("$E$" &amp; (9+U$57)),0)</f>
        <v>0</v>
      </c>
      <c r="AQ39" s="1" cm="1">
        <f t="array" aca="1" ref="AQ39" ca="1">IF(AND(INDIRECT("$H$" &amp; (9+V$57)) = 1, $S62 = (INDIRECT("$N$" &amp; (9+V$57)))), INDIRECT("$E$" &amp; (9+V$57)),0)</f>
        <v>0</v>
      </c>
      <c r="AR39" s="1" cm="1">
        <f t="array" aca="1" ref="AR39" ca="1">IF(AND(INDIRECT("$H$" &amp; (9+W$57)) = 1, $S62 = (INDIRECT("$N$" &amp; (9+W$57)))), INDIRECT("$E$" &amp; (9+W$57)),0)</f>
        <v>0</v>
      </c>
      <c r="AS39" s="1" cm="1">
        <f t="array" aca="1" ref="AS39" ca="1">IF(AND(INDIRECT("$H$" &amp; (9+X$57)) = 1, $S62 = (INDIRECT("$N$" &amp; (9+X$57)))), INDIRECT("$E$" &amp; (9+X$57)),0)</f>
        <v>0</v>
      </c>
      <c r="AT39" s="1" cm="1">
        <f t="array" aca="1" ref="AT39" ca="1">IF(AND(INDIRECT("$H$" &amp; (9+Y$57)) = 1, $S62 = (INDIRECT("$N$" &amp; (9+Y$57)))), INDIRECT("$E$" &amp; (9+Y$57)),0)</f>
        <v>0</v>
      </c>
      <c r="AU39" s="1" cm="1">
        <f t="array" aca="1" ref="AU39" ca="1">IF(AND(INDIRECT("$H$" &amp; (9+Z$57)) = 1, $S62 = (INDIRECT("$N$" &amp; (9+Z$57)))), INDIRECT("$E$" &amp; (9+Z$57)),0)</f>
        <v>0</v>
      </c>
      <c r="AV39" s="1" cm="1">
        <f t="array" aca="1" ref="AV39" ca="1">IF(AND(INDIRECT("$H$" &amp; (9+AA$57)) = 1, $S62 = (INDIRECT("$N$" &amp; (9+AA$57)))), INDIRECT("$E$" &amp; (9+AA$57)),0)</f>
        <v>0</v>
      </c>
      <c r="AW39" s="1" cm="1">
        <f t="array" aca="1" ref="AW39" ca="1">IF(AND(INDIRECT("$H$" &amp; (9+AB$57)) = 1, $S62 = (INDIRECT("$N$" &amp; (9+AB$57)))), INDIRECT("$E$" &amp; (9+AB$57)),0)</f>
        <v>0</v>
      </c>
      <c r="AX39" s="1" cm="1">
        <f t="array" aca="1" ref="AX39" ca="1">IF(AND(INDIRECT("$H$" &amp; (9+AC$57)) = 1, $S62 = (INDIRECT("$N$" &amp; (9+AC$57)))), INDIRECT("$E$" &amp; (9+AC$57)),0)</f>
        <v>0</v>
      </c>
      <c r="AY39" s="1" cm="1">
        <f t="array" aca="1" ref="AY39" ca="1">IF(AND(INDIRECT("$H$" &amp; (9+AD$57)) = 1, $S62 = (INDIRECT("$N$" &amp; (9+AD$57)))), INDIRECT("$E$" &amp; (9+AD$57)),0)</f>
        <v>0</v>
      </c>
      <c r="AZ39" s="1" cm="1">
        <f t="array" aca="1" ref="AZ39" ca="1">IF(AND(INDIRECT("$H$" &amp; (9+AE$57)) = 1, $S62 = (INDIRECT("$N$" &amp; (9+AE$57)))), INDIRECT("$E$" &amp; (9+AE$57)),0)</f>
        <v>0</v>
      </c>
      <c r="BA39" s="1" cm="1">
        <f t="array" aca="1" ref="BA39" ca="1">IF(AND(INDIRECT("$H$" &amp; (9+AF$57)) = 1, $S62 = (INDIRECT("$N$" &amp; (9+AF$57)))), INDIRECT("$E$" &amp; (9+AF$57)),0)</f>
        <v>0</v>
      </c>
      <c r="BB39" s="1" cm="1">
        <f t="array" aca="1" ref="BB39" ca="1">IF(AND(INDIRECT("$H$" &amp; (9+AG$57)) = 1, $S62 = (INDIRECT("$N$" &amp; (9+AG$57)))), INDIRECT("$E$" &amp; (9+AG$57)),0)</f>
        <v>0</v>
      </c>
      <c r="BC39" s="1" cm="1">
        <f t="array" aca="1" ref="BC39" ca="1">IF(AND(INDIRECT("$H$" &amp; (9+AH$57)) = 1, $S62 = (INDIRECT("$N$" &amp; (9+AH$57)))), INDIRECT("$E$" &amp; (9+AH$57)),0)</f>
        <v>0</v>
      </c>
      <c r="BD39" s="1" cm="1">
        <f t="array" aca="1" ref="BD39" ca="1">IF(AND(INDIRECT("$H$" &amp; (9+AI$57)) = 1, $S62 = (INDIRECT("$N$" &amp; (9+AI$57)))), INDIRECT("$E$" &amp; (9+AI$57)),0)</f>
        <v>0</v>
      </c>
      <c r="BE39" s="1" cm="1">
        <f t="array" aca="1" ref="BE39" ca="1">IF(AND(INDIRECT("$H$" &amp; (9+AJ$57)) = 1, $S62 = (INDIRECT("$N$" &amp; (9+AJ$57)))), INDIRECT("$E$" &amp; (9+AJ$57)),0)</f>
        <v>0</v>
      </c>
      <c r="BF39" s="1" cm="1">
        <f t="array" aca="1" ref="BF39" ca="1">IF(AND(INDIRECT("$H$" &amp; (9+AK$57)) = 1, $S62 = (INDIRECT("$N$" &amp; (9+AK$57)))), INDIRECT("$E$" &amp; (9+AK$57)),0)</f>
        <v>0</v>
      </c>
      <c r="BG39" s="1" cm="1">
        <f t="array" aca="1" ref="BG39" ca="1">IF(AND(INDIRECT("$H$" &amp; (9+AL$57)) = 1, $S62 = (INDIRECT("$N$" &amp; (9+AL$57)))), INDIRECT("$E$" &amp; (9+AL$57)),0)</f>
        <v>0</v>
      </c>
      <c r="BH39" s="1" cm="1">
        <f t="array" aca="1" ref="BH39" ca="1">IF(AND(INDIRECT("$H$" &amp; (9+AM$57)) = 1, $S62 = (INDIRECT("$N$" &amp; (9+AM$57)))), INDIRECT("$E$" &amp; (9+AM$57)),0)</f>
        <v>0</v>
      </c>
    </row>
    <row r="40" spans="4:60" x14ac:dyDescent="0.3">
      <c r="S40" s="219">
        <v>2026</v>
      </c>
      <c r="T40" s="1" cm="1">
        <f t="array" aca="1" ref="T40" ca="1">IF(AND(INDIRECT("$G$" &amp; (9+T$34)) = 1, $S40 = (INDIRECT("$M$" &amp; (9+T$34)))), INDIRECT("$D$" &amp; (9+T$34)),0)</f>
        <v>0</v>
      </c>
      <c r="U40" s="1" cm="1">
        <f t="array" aca="1" ref="U40" ca="1">IF(AND(INDIRECT("$G$" &amp; (9+U$34)) = 1, $S40 = (INDIRECT("$M$" &amp; (9+U$34)))), INDIRECT("$D$" &amp; (9+U$34)),0)</f>
        <v>0</v>
      </c>
      <c r="V40" s="1" cm="1">
        <f t="array" aca="1" ref="V40" ca="1">IF(AND(INDIRECT("$G$" &amp; (9+V$34)) = 1, $S40 = (INDIRECT("$M$" &amp; (9+V$34)))), INDIRECT("$D$" &amp; (9+V$34)),0)</f>
        <v>0</v>
      </c>
      <c r="W40" s="1" cm="1">
        <f t="array" aca="1" ref="W40" ca="1">IF(AND(INDIRECT("$G$" &amp; (9+W$34)) = 1, $S40 = (INDIRECT("$M$" &amp; (9+W$34)))), INDIRECT("$D$" &amp; (9+W$34)),0)</f>
        <v>0</v>
      </c>
      <c r="X40" s="1" cm="1">
        <f t="array" aca="1" ref="X40" ca="1">IF(AND(INDIRECT("$G$" &amp; (9+X$34)) = 1, $S40 = (INDIRECT("$M$" &amp; (9+X$34)))), INDIRECT("$D$" &amp; (9+X$34)),0)</f>
        <v>0</v>
      </c>
      <c r="Y40" s="1" cm="1">
        <f t="array" aca="1" ref="Y40" ca="1">IF(AND(INDIRECT("$G$" &amp; (9+Y$34)) = 1, $S40 = (INDIRECT("$M$" &amp; (9+Y$34)))), INDIRECT("$D$" &amp; (9+Y$34)),0)</f>
        <v>0</v>
      </c>
      <c r="Z40" s="1" cm="1">
        <f t="array" aca="1" ref="Z40" ca="1">IF(AND(INDIRECT("$G$" &amp; (9+Z$34)) = 1, $S40 = (INDIRECT("$M$" &amp; (9+Z$34)))), INDIRECT("$D$" &amp; (9+Z$34)),0)</f>
        <v>0</v>
      </c>
      <c r="AA40" s="1" cm="1">
        <f t="array" aca="1" ref="AA40" ca="1">IF(AND(INDIRECT("$G$" &amp; (9+AA$34)) = 1, $S40 = (INDIRECT("$M$" &amp; (9+AA$34)))), INDIRECT("$D$" &amp; (9+AA$34)),0)</f>
        <v>0</v>
      </c>
      <c r="AB40" s="1" cm="1">
        <f t="array" aca="1" ref="AB40" ca="1">IF(AND(INDIRECT("$G$" &amp; (9+AB$34)) = 1, $S40 = (INDIRECT("$M$" &amp; (9+AB$34)))), INDIRECT("$D$" &amp; (9+AB$34)),0)</f>
        <v>0</v>
      </c>
      <c r="AC40" s="1" cm="1">
        <f t="array" aca="1" ref="AC40" ca="1">IF(AND(INDIRECT("$G$" &amp; (9+AC$34)) = 1, $S40 = (INDIRECT("$M$" &amp; (9+AC$34)))), INDIRECT("$D$" &amp; (9+AC$34)),0)</f>
        <v>0</v>
      </c>
      <c r="AD40" s="1" cm="1">
        <f t="array" aca="1" ref="AD40" ca="1">IF(AND(INDIRECT("$G$" &amp; (9+AD$34)) = 1, $S40 = (INDIRECT("$M$" &amp; (9+AD$34)))), INDIRECT("$D$" &amp; (9+AD$34)),0)</f>
        <v>0</v>
      </c>
      <c r="AE40" s="1" cm="1">
        <f t="array" aca="1" ref="AE40" ca="1">IF(AND(INDIRECT("$G$" &amp; (9+AE$34)) = 1, $S40 = (INDIRECT("$M$" &amp; (9+AE$34)))), INDIRECT("$D$" &amp; (9+AE$34)),0)</f>
        <v>0</v>
      </c>
      <c r="AF40" s="1" cm="1">
        <f t="array" aca="1" ref="AF40" ca="1">IF(AND(INDIRECT("$G$" &amp; (9+AF$34)) = 1, $S40 = (INDIRECT("$M$" &amp; (9+AF$34)))), INDIRECT("$D$" &amp; (9+AF$34)),0)</f>
        <v>0</v>
      </c>
      <c r="AG40" s="1" cm="1">
        <f t="array" aca="1" ref="AG40" ca="1">IF(AND(INDIRECT("$G$" &amp; (9+AG$34)) = 1, $S40 = (INDIRECT("$M$" &amp; (9+AG$34)))), INDIRECT("$D$" &amp; (9+AG$34)),0)</f>
        <v>0</v>
      </c>
      <c r="AH40" s="1" cm="1">
        <f t="array" aca="1" ref="AH40" ca="1">IF(AND(INDIRECT("$G$" &amp; (9+AH$34)) = 1, $S40 = (INDIRECT("$M$" &amp; (9+AH$34)))), INDIRECT("$D$" &amp; (9+AH$34)),0)</f>
        <v>0</v>
      </c>
      <c r="AI40" s="1" cm="1">
        <f t="array" aca="1" ref="AI40" ca="1">IF(AND(INDIRECT("$G$" &amp; (9+AI$34)) = 1, $S40 = (INDIRECT("$M$" &amp; (9+AI$34)))), INDIRECT("$D$" &amp; (9+AI$34)),0)</f>
        <v>0</v>
      </c>
      <c r="AJ40" s="1" cm="1">
        <f t="array" aca="1" ref="AJ40" ca="1">IF(AND(INDIRECT("$G$" &amp; (9+AJ$34)) = 1, $S40 = (INDIRECT("$M$" &amp; (9+AJ$34)))), INDIRECT("$D$" &amp; (9+AJ$34)),0)</f>
        <v>0</v>
      </c>
      <c r="AK40" s="1" cm="1">
        <f t="array" aca="1" ref="AK40" ca="1">IF(AND(INDIRECT("$G$" &amp; (9+AK$34)) = 1, $S40 = (INDIRECT("$M$" &amp; (9+AK$34)))), INDIRECT("$D$" &amp; (9+AK$34)),0)</f>
        <v>0</v>
      </c>
      <c r="AL40" s="1" cm="1">
        <f t="array" aca="1" ref="AL40" ca="1">IF(AND(INDIRECT("$G$" &amp; (9+AL$34)) = 1, $S40 = (INDIRECT("$M$" &amp; (9+AL$34)))), INDIRECT("$D$" &amp; (9+AL$34)),0)</f>
        <v>0</v>
      </c>
      <c r="AM40" s="1" cm="1">
        <f t="array" aca="1" ref="AM40" ca="1">IF(AND(INDIRECT("$G$" &amp; (9+AM$34)) = 1, $S40 = (INDIRECT("$M$" &amp; (9+AM$34)))), INDIRECT("$D$" &amp; (9+AM$34)),0)</f>
        <v>0</v>
      </c>
      <c r="AN40" s="219">
        <v>2026</v>
      </c>
      <c r="AO40" s="1" cm="1">
        <f t="array" aca="1" ref="AO40" ca="1">IF(AND(INDIRECT("$H$" &amp; (9+T$57)) = 1, $S63 = (INDIRECT("$N$" &amp; (9+T$57)))), INDIRECT("$E$" &amp; (9+T$57)),0)</f>
        <v>0</v>
      </c>
      <c r="AP40" s="1" cm="1">
        <f t="array" aca="1" ref="AP40" ca="1">IF(AND(INDIRECT("$H$" &amp; (9+U$57)) = 1, $S63 = (INDIRECT("$N$" &amp; (9+U$57)))), INDIRECT("$E$" &amp; (9+U$57)),0)</f>
        <v>0</v>
      </c>
      <c r="AQ40" s="1" cm="1">
        <f t="array" aca="1" ref="AQ40" ca="1">IF(AND(INDIRECT("$H$" &amp; (9+V$57)) = 1, $S63 = (INDIRECT("$N$" &amp; (9+V$57)))), INDIRECT("$E$" &amp; (9+V$57)),0)</f>
        <v>0</v>
      </c>
      <c r="AR40" s="1" cm="1">
        <f t="array" aca="1" ref="AR40" ca="1">IF(AND(INDIRECT("$H$" &amp; (9+W$57)) = 1, $S63 = (INDIRECT("$N$" &amp; (9+W$57)))), INDIRECT("$E$" &amp; (9+W$57)),0)</f>
        <v>0</v>
      </c>
      <c r="AS40" s="1" cm="1">
        <f t="array" aca="1" ref="AS40" ca="1">IF(AND(INDIRECT("$H$" &amp; (9+X$57)) = 1, $S63 = (INDIRECT("$N$" &amp; (9+X$57)))), INDIRECT("$E$" &amp; (9+X$57)),0)</f>
        <v>0</v>
      </c>
      <c r="AT40" s="1" cm="1">
        <f t="array" aca="1" ref="AT40" ca="1">IF(AND(INDIRECT("$H$" &amp; (9+Y$57)) = 1, $S63 = (INDIRECT("$N$" &amp; (9+Y$57)))), INDIRECT("$E$" &amp; (9+Y$57)),0)</f>
        <v>20</v>
      </c>
      <c r="AU40" s="1" cm="1">
        <f t="array" aca="1" ref="AU40" ca="1">IF(AND(INDIRECT("$H$" &amp; (9+Z$57)) = 1, $S63 = (INDIRECT("$N$" &amp; (9+Z$57)))), INDIRECT("$E$" &amp; (9+Z$57)),0)</f>
        <v>0</v>
      </c>
      <c r="AV40" s="1" cm="1">
        <f t="array" aca="1" ref="AV40" ca="1">IF(AND(INDIRECT("$H$" &amp; (9+AA$57)) = 1, $S63 = (INDIRECT("$N$" &amp; (9+AA$57)))), INDIRECT("$E$" &amp; (9+AA$57)),0)</f>
        <v>0</v>
      </c>
      <c r="AW40" s="1" cm="1">
        <f t="array" aca="1" ref="AW40" ca="1">IF(AND(INDIRECT("$H$" &amp; (9+AB$57)) = 1, $S63 = (INDIRECT("$N$" &amp; (9+AB$57)))), INDIRECT("$E$" &amp; (9+AB$57)),0)</f>
        <v>0</v>
      </c>
      <c r="AX40" s="1" cm="1">
        <f t="array" aca="1" ref="AX40" ca="1">IF(AND(INDIRECT("$H$" &amp; (9+AC$57)) = 1, $S63 = (INDIRECT("$N$" &amp; (9+AC$57)))), INDIRECT("$E$" &amp; (9+AC$57)),0)</f>
        <v>0</v>
      </c>
      <c r="AY40" s="1" cm="1">
        <f t="array" aca="1" ref="AY40" ca="1">IF(AND(INDIRECT("$H$" &amp; (9+AD$57)) = 1, $S63 = (INDIRECT("$N$" &amp; (9+AD$57)))), INDIRECT("$E$" &amp; (9+AD$57)),0)</f>
        <v>0</v>
      </c>
      <c r="AZ40" s="1" cm="1">
        <f t="array" aca="1" ref="AZ40" ca="1">IF(AND(INDIRECT("$H$" &amp; (9+AE$57)) = 1, $S63 = (INDIRECT("$N$" &amp; (9+AE$57)))), INDIRECT("$E$" &amp; (9+AE$57)),0)</f>
        <v>0</v>
      </c>
      <c r="BA40" s="1" cm="1">
        <f t="array" aca="1" ref="BA40" ca="1">IF(AND(INDIRECT("$H$" &amp; (9+AF$57)) = 1, $S63 = (INDIRECT("$N$" &amp; (9+AF$57)))), INDIRECT("$E$" &amp; (9+AF$57)),0)</f>
        <v>0</v>
      </c>
      <c r="BB40" s="1" cm="1">
        <f t="array" aca="1" ref="BB40" ca="1">IF(AND(INDIRECT("$H$" &amp; (9+AG$57)) = 1, $S63 = (INDIRECT("$N$" &amp; (9+AG$57)))), INDIRECT("$E$" &amp; (9+AG$57)),0)</f>
        <v>0</v>
      </c>
      <c r="BC40" s="1" cm="1">
        <f t="array" aca="1" ref="BC40" ca="1">IF(AND(INDIRECT("$H$" &amp; (9+AH$57)) = 1, $S63 = (INDIRECT("$N$" &amp; (9+AH$57)))), INDIRECT("$E$" &amp; (9+AH$57)),0)</f>
        <v>0</v>
      </c>
      <c r="BD40" s="1" cm="1">
        <f t="array" aca="1" ref="BD40" ca="1">IF(AND(INDIRECT("$H$" &amp; (9+AI$57)) = 1, $S63 = (INDIRECT("$N$" &amp; (9+AI$57)))), INDIRECT("$E$" &amp; (9+AI$57)),0)</f>
        <v>0</v>
      </c>
      <c r="BE40" s="1" cm="1">
        <f t="array" aca="1" ref="BE40" ca="1">IF(AND(INDIRECT("$H$" &amp; (9+AJ$57)) = 1, $S63 = (INDIRECT("$N$" &amp; (9+AJ$57)))), INDIRECT("$E$" &amp; (9+AJ$57)),0)</f>
        <v>0</v>
      </c>
      <c r="BF40" s="1" cm="1">
        <f t="array" aca="1" ref="BF40" ca="1">IF(AND(INDIRECT("$H$" &amp; (9+AK$57)) = 1, $S63 = (INDIRECT("$N$" &amp; (9+AK$57)))), INDIRECT("$E$" &amp; (9+AK$57)),0)</f>
        <v>0</v>
      </c>
      <c r="BG40" s="1" cm="1">
        <f t="array" aca="1" ref="BG40" ca="1">IF(AND(INDIRECT("$H$" &amp; (9+AL$57)) = 1, $S63 = (INDIRECT("$N$" &amp; (9+AL$57)))), INDIRECT("$E$" &amp; (9+AL$57)),0)</f>
        <v>0</v>
      </c>
      <c r="BH40" s="1" cm="1">
        <f t="array" aca="1" ref="BH40" ca="1">IF(AND(INDIRECT("$H$" &amp; (9+AM$57)) = 1, $S63 = (INDIRECT("$N$" &amp; (9+AM$57)))), INDIRECT("$E$" &amp; (9+AM$57)),0)</f>
        <v>0</v>
      </c>
    </row>
    <row r="41" spans="4:60" x14ac:dyDescent="0.3">
      <c r="S41" s="219">
        <v>2027</v>
      </c>
      <c r="T41" s="1" cm="1">
        <f t="array" aca="1" ref="T41" ca="1">IF(AND(INDIRECT("$G$" &amp; (9+T$34)) = 1, $S41 = (INDIRECT("$M$" &amp; (9+T$34)))), INDIRECT("$D$" &amp; (9+T$34)),0)</f>
        <v>0</v>
      </c>
      <c r="U41" s="1" cm="1">
        <f t="array" aca="1" ref="U41" ca="1">IF(AND(INDIRECT("$G$" &amp; (9+U$34)) = 1, $S41 = (INDIRECT("$M$" &amp; (9+U$34)))), INDIRECT("$D$" &amp; (9+U$34)),0)</f>
        <v>0</v>
      </c>
      <c r="V41" s="1" cm="1">
        <f t="array" aca="1" ref="V41" ca="1">IF(AND(INDIRECT("$G$" &amp; (9+V$34)) = 1, $S41 = (INDIRECT("$M$" &amp; (9+V$34)))), INDIRECT("$D$" &amp; (9+V$34)),0)</f>
        <v>0</v>
      </c>
      <c r="W41" s="1" cm="1">
        <f t="array" aca="1" ref="W41" ca="1">IF(AND(INDIRECT("$G$" &amp; (9+W$34)) = 1, $S41 = (INDIRECT("$M$" &amp; (9+W$34)))), INDIRECT("$D$" &amp; (9+W$34)),0)</f>
        <v>0</v>
      </c>
      <c r="X41" s="1" cm="1">
        <f t="array" aca="1" ref="X41" ca="1">IF(AND(INDIRECT("$G$" &amp; (9+X$34)) = 1, $S41 = (INDIRECT("$M$" &amp; (9+X$34)))), INDIRECT("$D$" &amp; (9+X$34)),0)</f>
        <v>0</v>
      </c>
      <c r="Y41" s="1" cm="1">
        <f t="array" aca="1" ref="Y41" ca="1">IF(AND(INDIRECT("$G$" &amp; (9+Y$34)) = 1, $S41 = (INDIRECT("$M$" &amp; (9+Y$34)))), INDIRECT("$D$" &amp; (9+Y$34)),0)</f>
        <v>0</v>
      </c>
      <c r="Z41" s="1" cm="1">
        <f t="array" aca="1" ref="Z41" ca="1">IF(AND(INDIRECT("$G$" &amp; (9+Z$34)) = 1, $S41 = (INDIRECT("$M$" &amp; (9+Z$34)))), INDIRECT("$D$" &amp; (9+Z$34)),0)</f>
        <v>0</v>
      </c>
      <c r="AA41" s="1" cm="1">
        <f t="array" aca="1" ref="AA41" ca="1">IF(AND(INDIRECT("$G$" &amp; (9+AA$34)) = 1, $S41 = (INDIRECT("$M$" &amp; (9+AA$34)))), INDIRECT("$D$" &amp; (9+AA$34)),0)</f>
        <v>0</v>
      </c>
      <c r="AB41" s="1" cm="1">
        <f t="array" aca="1" ref="AB41" ca="1">IF(AND(INDIRECT("$G$" &amp; (9+AB$34)) = 1, $S41 = (INDIRECT("$M$" &amp; (9+AB$34)))), INDIRECT("$D$" &amp; (9+AB$34)),0)</f>
        <v>0</v>
      </c>
      <c r="AC41" s="1" cm="1">
        <f t="array" aca="1" ref="AC41" ca="1">IF(AND(INDIRECT("$G$" &amp; (9+AC$34)) = 1, $S41 = (INDIRECT("$M$" &amp; (9+AC$34)))), INDIRECT("$D$" &amp; (9+AC$34)),0)</f>
        <v>0</v>
      </c>
      <c r="AD41" s="1" cm="1">
        <f t="array" aca="1" ref="AD41" ca="1">IF(AND(INDIRECT("$G$" &amp; (9+AD$34)) = 1, $S41 = (INDIRECT("$M$" &amp; (9+AD$34)))), INDIRECT("$D$" &amp; (9+AD$34)),0)</f>
        <v>0</v>
      </c>
      <c r="AE41" s="1" cm="1">
        <f t="array" aca="1" ref="AE41" ca="1">IF(AND(INDIRECT("$G$" &amp; (9+AE$34)) = 1, $S41 = (INDIRECT("$M$" &amp; (9+AE$34)))), INDIRECT("$D$" &amp; (9+AE$34)),0)</f>
        <v>0</v>
      </c>
      <c r="AF41" s="1" cm="1">
        <f t="array" aca="1" ref="AF41" ca="1">IF(AND(INDIRECT("$G$" &amp; (9+AF$34)) = 1, $S41 = (INDIRECT("$M$" &amp; (9+AF$34)))), INDIRECT("$D$" &amp; (9+AF$34)),0)</f>
        <v>0</v>
      </c>
      <c r="AG41" s="1" cm="1">
        <f t="array" aca="1" ref="AG41" ca="1">IF(AND(INDIRECT("$G$" &amp; (9+AG$34)) = 1, $S41 = (INDIRECT("$M$" &amp; (9+AG$34)))), INDIRECT("$D$" &amp; (9+AG$34)),0)</f>
        <v>0</v>
      </c>
      <c r="AH41" s="1" cm="1">
        <f t="array" aca="1" ref="AH41" ca="1">IF(AND(INDIRECT("$G$" &amp; (9+AH$34)) = 1, $S41 = (INDIRECT("$M$" &amp; (9+AH$34)))), INDIRECT("$D$" &amp; (9+AH$34)),0)</f>
        <v>0</v>
      </c>
      <c r="AI41" s="1" cm="1">
        <f t="array" aca="1" ref="AI41" ca="1">IF(AND(INDIRECT("$G$" &amp; (9+AI$34)) = 1, $S41 = (INDIRECT("$M$" &amp; (9+AI$34)))), INDIRECT("$D$" &amp; (9+AI$34)),0)</f>
        <v>0</v>
      </c>
      <c r="AJ41" s="1" cm="1">
        <f t="array" aca="1" ref="AJ41" ca="1">IF(AND(INDIRECT("$G$" &amp; (9+AJ$34)) = 1, $S41 = (INDIRECT("$M$" &amp; (9+AJ$34)))), INDIRECT("$D$" &amp; (9+AJ$34)),0)</f>
        <v>0</v>
      </c>
      <c r="AK41" s="1" cm="1">
        <f t="array" aca="1" ref="AK41" ca="1">IF(AND(INDIRECT("$G$" &amp; (9+AK$34)) = 1, $S41 = (INDIRECT("$M$" &amp; (9+AK$34)))), INDIRECT("$D$" &amp; (9+AK$34)),0)</f>
        <v>0</v>
      </c>
      <c r="AL41" s="1" cm="1">
        <f t="array" aca="1" ref="AL41" ca="1">IF(AND(INDIRECT("$G$" &amp; (9+AL$34)) = 1, $S41 = (INDIRECT("$M$" &amp; (9+AL$34)))), INDIRECT("$D$" &amp; (9+AL$34)),0)</f>
        <v>0</v>
      </c>
      <c r="AM41" s="1" cm="1">
        <f t="array" aca="1" ref="AM41" ca="1">IF(AND(INDIRECT("$G$" &amp; (9+AM$34)) = 1, $S41 = (INDIRECT("$M$" &amp; (9+AM$34)))), INDIRECT("$D$" &amp; (9+AM$34)),0)</f>
        <v>0</v>
      </c>
      <c r="AN41" s="219">
        <v>2027</v>
      </c>
      <c r="AO41" s="1" cm="1">
        <f t="array" aca="1" ref="AO41" ca="1">IF(AND(INDIRECT("$H$" &amp; (9+T$57)) = 1, $S64 = (INDIRECT("$N$" &amp; (9+T$57)))), INDIRECT("$E$" &amp; (9+T$57)),0)</f>
        <v>0</v>
      </c>
      <c r="AP41" s="1" cm="1">
        <f t="array" aca="1" ref="AP41" ca="1">IF(AND(INDIRECT("$H$" &amp; (9+U$57)) = 1, $S64 = (INDIRECT("$N$" &amp; (9+U$57)))), INDIRECT("$E$" &amp; (9+U$57)),0)</f>
        <v>0</v>
      </c>
      <c r="AQ41" s="1" cm="1">
        <f t="array" aca="1" ref="AQ41" ca="1">IF(AND(INDIRECT("$H$" &amp; (9+V$57)) = 1, $S64 = (INDIRECT("$N$" &amp; (9+V$57)))), INDIRECT("$E$" &amp; (9+V$57)),0)</f>
        <v>0</v>
      </c>
      <c r="AR41" s="1" cm="1">
        <f t="array" aca="1" ref="AR41" ca="1">IF(AND(INDIRECT("$H$" &amp; (9+W$57)) = 1, $S64 = (INDIRECT("$N$" &amp; (9+W$57)))), INDIRECT("$E$" &amp; (9+W$57)),0)</f>
        <v>0</v>
      </c>
      <c r="AS41" s="1" cm="1">
        <f t="array" aca="1" ref="AS41" ca="1">IF(AND(INDIRECT("$H$" &amp; (9+X$57)) = 1, $S64 = (INDIRECT("$N$" &amp; (9+X$57)))), INDIRECT("$E$" &amp; (9+X$57)),0)</f>
        <v>0</v>
      </c>
      <c r="AT41" s="1" cm="1">
        <f t="array" aca="1" ref="AT41" ca="1">IF(AND(INDIRECT("$H$" &amp; (9+Y$57)) = 1, $S64 = (INDIRECT("$N$" &amp; (9+Y$57)))), INDIRECT("$E$" &amp; (9+Y$57)),0)</f>
        <v>0</v>
      </c>
      <c r="AU41" s="1" cm="1">
        <f t="array" aca="1" ref="AU41" ca="1">IF(AND(INDIRECT("$H$" &amp; (9+Z$57)) = 1, $S64 = (INDIRECT("$N$" &amp; (9+Z$57)))), INDIRECT("$E$" &amp; (9+Z$57)),0)</f>
        <v>0</v>
      </c>
      <c r="AV41" s="1" cm="1">
        <f t="array" aca="1" ref="AV41" ca="1">IF(AND(INDIRECT("$H$" &amp; (9+AA$57)) = 1, $S64 = (INDIRECT("$N$" &amp; (9+AA$57)))), INDIRECT("$E$" &amp; (9+AA$57)),0)</f>
        <v>0</v>
      </c>
      <c r="AW41" s="1" cm="1">
        <f t="array" aca="1" ref="AW41" ca="1">IF(AND(INDIRECT("$H$" &amp; (9+AB$57)) = 1, $S64 = (INDIRECT("$N$" &amp; (9+AB$57)))), INDIRECT("$E$" &amp; (9+AB$57)),0)</f>
        <v>0</v>
      </c>
      <c r="AX41" s="1" cm="1">
        <f t="array" aca="1" ref="AX41" ca="1">IF(AND(INDIRECT("$H$" &amp; (9+AC$57)) = 1, $S64 = (INDIRECT("$N$" &amp; (9+AC$57)))), INDIRECT("$E$" &amp; (9+AC$57)),0)</f>
        <v>0</v>
      </c>
      <c r="AY41" s="1" cm="1">
        <f t="array" aca="1" ref="AY41" ca="1">IF(AND(INDIRECT("$H$" &amp; (9+AD$57)) = 1, $S64 = (INDIRECT("$N$" &amp; (9+AD$57)))), INDIRECT("$E$" &amp; (9+AD$57)),0)</f>
        <v>0</v>
      </c>
      <c r="AZ41" s="1" cm="1">
        <f t="array" aca="1" ref="AZ41" ca="1">IF(AND(INDIRECT("$H$" &amp; (9+AE$57)) = 1, $S64 = (INDIRECT("$N$" &amp; (9+AE$57)))), INDIRECT("$E$" &amp; (9+AE$57)),0)</f>
        <v>0</v>
      </c>
      <c r="BA41" s="1" cm="1">
        <f t="array" aca="1" ref="BA41" ca="1">IF(AND(INDIRECT("$H$" &amp; (9+AF$57)) = 1, $S64 = (INDIRECT("$N$" &amp; (9+AF$57)))), INDIRECT("$E$" &amp; (9+AF$57)),0)</f>
        <v>0</v>
      </c>
      <c r="BB41" s="1" cm="1">
        <f t="array" aca="1" ref="BB41" ca="1">IF(AND(INDIRECT("$H$" &amp; (9+AG$57)) = 1, $S64 = (INDIRECT("$N$" &amp; (9+AG$57)))), INDIRECT("$E$" &amp; (9+AG$57)),0)</f>
        <v>0</v>
      </c>
      <c r="BC41" s="1" cm="1">
        <f t="array" aca="1" ref="BC41" ca="1">IF(AND(INDIRECT("$H$" &amp; (9+AH$57)) = 1, $S64 = (INDIRECT("$N$" &amp; (9+AH$57)))), INDIRECT("$E$" &amp; (9+AH$57)),0)</f>
        <v>0</v>
      </c>
      <c r="BD41" s="1" cm="1">
        <f t="array" aca="1" ref="BD41" ca="1">IF(AND(INDIRECT("$H$" &amp; (9+AI$57)) = 1, $S64 = (INDIRECT("$N$" &amp; (9+AI$57)))), INDIRECT("$E$" &amp; (9+AI$57)),0)</f>
        <v>0</v>
      </c>
      <c r="BE41" s="1" cm="1">
        <f t="array" aca="1" ref="BE41" ca="1">IF(AND(INDIRECT("$H$" &amp; (9+AJ$57)) = 1, $S64 = (INDIRECT("$N$" &amp; (9+AJ$57)))), INDIRECT("$E$" &amp; (9+AJ$57)),0)</f>
        <v>0</v>
      </c>
      <c r="BF41" s="1" cm="1">
        <f t="array" aca="1" ref="BF41" ca="1">IF(AND(INDIRECT("$H$" &amp; (9+AK$57)) = 1, $S64 = (INDIRECT("$N$" &amp; (9+AK$57)))), INDIRECT("$E$" &amp; (9+AK$57)),0)</f>
        <v>0</v>
      </c>
      <c r="BG41" s="1" cm="1">
        <f t="array" aca="1" ref="BG41" ca="1">IF(AND(INDIRECT("$H$" &amp; (9+AL$57)) = 1, $S64 = (INDIRECT("$N$" &amp; (9+AL$57)))), INDIRECT("$E$" &amp; (9+AL$57)),0)</f>
        <v>0</v>
      </c>
      <c r="BH41" s="1" cm="1">
        <f t="array" aca="1" ref="BH41" ca="1">IF(AND(INDIRECT("$H$" &amp; (9+AM$57)) = 1, $S64 = (INDIRECT("$N$" &amp; (9+AM$57)))), INDIRECT("$E$" &amp; (9+AM$57)),0)</f>
        <v>0</v>
      </c>
    </row>
    <row r="42" spans="4:60" x14ac:dyDescent="0.3">
      <c r="S42" s="219">
        <v>2028</v>
      </c>
      <c r="T42" s="1" cm="1">
        <f t="array" aca="1" ref="T42" ca="1">IF(AND(INDIRECT("$G$" &amp; (9+T$34)) = 1, $S42 = (INDIRECT("$M$" &amp; (9+T$34)))), INDIRECT("$D$" &amp; (9+T$34)),0)</f>
        <v>0</v>
      </c>
      <c r="U42" s="1" cm="1">
        <f t="array" aca="1" ref="U42" ca="1">IF(AND(INDIRECT("$G$" &amp; (9+U$34)) = 1, $S42 = (INDIRECT("$M$" &amp; (9+U$34)))), INDIRECT("$D$" &amp; (9+U$34)),0)</f>
        <v>0</v>
      </c>
      <c r="V42" s="1" cm="1">
        <f t="array" aca="1" ref="V42" ca="1">IF(AND(INDIRECT("$G$" &amp; (9+V$34)) = 1, $S42 = (INDIRECT("$M$" &amp; (9+V$34)))), INDIRECT("$D$" &amp; (9+V$34)),0)</f>
        <v>0</v>
      </c>
      <c r="W42" s="1" cm="1">
        <f t="array" aca="1" ref="W42" ca="1">IF(AND(INDIRECT("$G$" &amp; (9+W$34)) = 1, $S42 = (INDIRECT("$M$" &amp; (9+W$34)))), INDIRECT("$D$" &amp; (9+W$34)),0)</f>
        <v>0</v>
      </c>
      <c r="X42" s="1" cm="1">
        <f t="array" aca="1" ref="X42" ca="1">IF(AND(INDIRECT("$G$" &amp; (9+X$34)) = 1, $S42 = (INDIRECT("$M$" &amp; (9+X$34)))), INDIRECT("$D$" &amp; (9+X$34)),0)</f>
        <v>0</v>
      </c>
      <c r="Y42" s="1" cm="1">
        <f t="array" aca="1" ref="Y42" ca="1">IF(AND(INDIRECT("$G$" &amp; (9+Y$34)) = 1, $S42 = (INDIRECT("$M$" &amp; (9+Y$34)))), INDIRECT("$D$" &amp; (9+Y$34)),0)</f>
        <v>0</v>
      </c>
      <c r="Z42" s="1" cm="1">
        <f t="array" aca="1" ref="Z42" ca="1">IF(AND(INDIRECT("$G$" &amp; (9+Z$34)) = 1, $S42 = (INDIRECT("$M$" &amp; (9+Z$34)))), INDIRECT("$D$" &amp; (9+Z$34)),0)</f>
        <v>0</v>
      </c>
      <c r="AA42" s="1" cm="1">
        <f t="array" aca="1" ref="AA42" ca="1">IF(AND(INDIRECT("$G$" &amp; (9+AA$34)) = 1, $S42 = (INDIRECT("$M$" &amp; (9+AA$34)))), INDIRECT("$D$" &amp; (9+AA$34)),0)</f>
        <v>0</v>
      </c>
      <c r="AB42" s="1" cm="1">
        <f t="array" aca="1" ref="AB42" ca="1">IF(AND(INDIRECT("$G$" &amp; (9+AB$34)) = 1, $S42 = (INDIRECT("$M$" &amp; (9+AB$34)))), INDIRECT("$D$" &amp; (9+AB$34)),0)</f>
        <v>0</v>
      </c>
      <c r="AC42" s="1" cm="1">
        <f t="array" aca="1" ref="AC42" ca="1">IF(AND(INDIRECT("$G$" &amp; (9+AC$34)) = 1, $S42 = (INDIRECT("$M$" &amp; (9+AC$34)))), INDIRECT("$D$" &amp; (9+AC$34)),0)</f>
        <v>0</v>
      </c>
      <c r="AD42" s="1" cm="1">
        <f t="array" aca="1" ref="AD42" ca="1">IF(AND(INDIRECT("$G$" &amp; (9+AD$34)) = 1, $S42 = (INDIRECT("$M$" &amp; (9+AD$34)))), INDIRECT("$D$" &amp; (9+AD$34)),0)</f>
        <v>0</v>
      </c>
      <c r="AE42" s="1" cm="1">
        <f t="array" aca="1" ref="AE42" ca="1">IF(AND(INDIRECT("$G$" &amp; (9+AE$34)) = 1, $S42 = (INDIRECT("$M$" &amp; (9+AE$34)))), INDIRECT("$D$" &amp; (9+AE$34)),0)</f>
        <v>0</v>
      </c>
      <c r="AF42" s="1" cm="1">
        <f t="array" aca="1" ref="AF42" ca="1">IF(AND(INDIRECT("$G$" &amp; (9+AF$34)) = 1, $S42 = (INDIRECT("$M$" &amp; (9+AF$34)))), INDIRECT("$D$" &amp; (9+AF$34)),0)</f>
        <v>0</v>
      </c>
      <c r="AG42" s="1" cm="1">
        <f t="array" aca="1" ref="AG42" ca="1">IF(AND(INDIRECT("$G$" &amp; (9+AG$34)) = 1, $S42 = (INDIRECT("$M$" &amp; (9+AG$34)))), INDIRECT("$D$" &amp; (9+AG$34)),0)</f>
        <v>0</v>
      </c>
      <c r="AH42" s="1" cm="1">
        <f t="array" aca="1" ref="AH42" ca="1">IF(AND(INDIRECT("$G$" &amp; (9+AH$34)) = 1, $S42 = (INDIRECT("$M$" &amp; (9+AH$34)))), INDIRECT("$D$" &amp; (9+AH$34)),0)</f>
        <v>0</v>
      </c>
      <c r="AI42" s="1" cm="1">
        <f t="array" aca="1" ref="AI42" ca="1">IF(AND(INDIRECT("$G$" &amp; (9+AI$34)) = 1, $S42 = (INDIRECT("$M$" &amp; (9+AI$34)))), INDIRECT("$D$" &amp; (9+AI$34)),0)</f>
        <v>0</v>
      </c>
      <c r="AJ42" s="1" cm="1">
        <f t="array" aca="1" ref="AJ42" ca="1">IF(AND(INDIRECT("$G$" &amp; (9+AJ$34)) = 1, $S42 = (INDIRECT("$M$" &amp; (9+AJ$34)))), INDIRECT("$D$" &amp; (9+AJ$34)),0)</f>
        <v>0</v>
      </c>
      <c r="AK42" s="1" cm="1">
        <f t="array" aca="1" ref="AK42" ca="1">IF(AND(INDIRECT("$G$" &amp; (9+AK$34)) = 1, $S42 = (INDIRECT("$M$" &amp; (9+AK$34)))), INDIRECT("$D$" &amp; (9+AK$34)),0)</f>
        <v>0</v>
      </c>
      <c r="AL42" s="1" cm="1">
        <f t="array" aca="1" ref="AL42" ca="1">IF(AND(INDIRECT("$G$" &amp; (9+AL$34)) = 1, $S42 = (INDIRECT("$M$" &amp; (9+AL$34)))), INDIRECT("$D$" &amp; (9+AL$34)),0)</f>
        <v>0</v>
      </c>
      <c r="AM42" s="1" cm="1">
        <f t="array" aca="1" ref="AM42" ca="1">IF(AND(INDIRECT("$G$" &amp; (9+AM$34)) = 1, $S42 = (INDIRECT("$M$" &amp; (9+AM$34)))), INDIRECT("$D$" &amp; (9+AM$34)),0)</f>
        <v>0</v>
      </c>
      <c r="AN42" s="219">
        <v>2028</v>
      </c>
      <c r="AO42" s="1" cm="1">
        <f t="array" aca="1" ref="AO42" ca="1">IF(AND(INDIRECT("$H$" &amp; (9+T$57)) = 1, $S65 = (INDIRECT("$N$" &amp; (9+T$57)))), INDIRECT("$E$" &amp; (9+T$57)),0)</f>
        <v>0</v>
      </c>
      <c r="AP42" s="1" cm="1">
        <f t="array" aca="1" ref="AP42" ca="1">IF(AND(INDIRECT("$H$" &amp; (9+U$57)) = 1, $S65 = (INDIRECT("$N$" &amp; (9+U$57)))), INDIRECT("$E$" &amp; (9+U$57)),0)</f>
        <v>0</v>
      </c>
      <c r="AQ42" s="1" cm="1">
        <f t="array" aca="1" ref="AQ42" ca="1">IF(AND(INDIRECT("$H$" &amp; (9+V$57)) = 1, $S65 = (INDIRECT("$N$" &amp; (9+V$57)))), INDIRECT("$E$" &amp; (9+V$57)),0)</f>
        <v>0</v>
      </c>
      <c r="AR42" s="1" cm="1">
        <f t="array" aca="1" ref="AR42" ca="1">IF(AND(INDIRECT("$H$" &amp; (9+W$57)) = 1, $S65 = (INDIRECT("$N$" &amp; (9+W$57)))), INDIRECT("$E$" &amp; (9+W$57)),0)</f>
        <v>0</v>
      </c>
      <c r="AS42" s="1" cm="1">
        <f t="array" aca="1" ref="AS42" ca="1">IF(AND(INDIRECT("$H$" &amp; (9+X$57)) = 1, $S65 = (INDIRECT("$N$" &amp; (9+X$57)))), INDIRECT("$E$" &amp; (9+X$57)),0)</f>
        <v>0</v>
      </c>
      <c r="AT42" s="1" cm="1">
        <f t="array" aca="1" ref="AT42" ca="1">IF(AND(INDIRECT("$H$" &amp; (9+Y$57)) = 1, $S65 = (INDIRECT("$N$" &amp; (9+Y$57)))), INDIRECT("$E$" &amp; (9+Y$57)),0)</f>
        <v>0</v>
      </c>
      <c r="AU42" s="1" cm="1">
        <f t="array" aca="1" ref="AU42" ca="1">IF(AND(INDIRECT("$H$" &amp; (9+Z$57)) = 1, $S65 = (INDIRECT("$N$" &amp; (9+Z$57)))), INDIRECT("$E$" &amp; (9+Z$57)),0)</f>
        <v>0</v>
      </c>
      <c r="AV42" s="1" cm="1">
        <f t="array" aca="1" ref="AV42" ca="1">IF(AND(INDIRECT("$H$" &amp; (9+AA$57)) = 1, $S65 = (INDIRECT("$N$" &amp; (9+AA$57)))), INDIRECT("$E$" &amp; (9+AA$57)),0)</f>
        <v>0</v>
      </c>
      <c r="AW42" s="1" cm="1">
        <f t="array" aca="1" ref="AW42" ca="1">IF(AND(INDIRECT("$H$" &amp; (9+AB$57)) = 1, $S65 = (INDIRECT("$N$" &amp; (9+AB$57)))), INDIRECT("$E$" &amp; (9+AB$57)),0)</f>
        <v>0</v>
      </c>
      <c r="AX42" s="1" cm="1">
        <f t="array" aca="1" ref="AX42" ca="1">IF(AND(INDIRECT("$H$" &amp; (9+AC$57)) = 1, $S65 = (INDIRECT("$N$" &amp; (9+AC$57)))), INDIRECT("$E$" &amp; (9+AC$57)),0)</f>
        <v>0</v>
      </c>
      <c r="AY42" s="1" cm="1">
        <f t="array" aca="1" ref="AY42" ca="1">IF(AND(INDIRECT("$H$" &amp; (9+AD$57)) = 1, $S65 = (INDIRECT("$N$" &amp; (9+AD$57)))), INDIRECT("$E$" &amp; (9+AD$57)),0)</f>
        <v>0</v>
      </c>
      <c r="AZ42" s="1" cm="1">
        <f t="array" aca="1" ref="AZ42" ca="1">IF(AND(INDIRECT("$H$" &amp; (9+AE$57)) = 1, $S65 = (INDIRECT("$N$" &amp; (9+AE$57)))), INDIRECT("$E$" &amp; (9+AE$57)),0)</f>
        <v>0</v>
      </c>
      <c r="BA42" s="1" cm="1">
        <f t="array" aca="1" ref="BA42" ca="1">IF(AND(INDIRECT("$H$" &amp; (9+AF$57)) = 1, $S65 = (INDIRECT("$N$" &amp; (9+AF$57)))), INDIRECT("$E$" &amp; (9+AF$57)),0)</f>
        <v>0</v>
      </c>
      <c r="BB42" s="1" cm="1">
        <f t="array" aca="1" ref="BB42" ca="1">IF(AND(INDIRECT("$H$" &amp; (9+AG$57)) = 1, $S65 = (INDIRECT("$N$" &amp; (9+AG$57)))), INDIRECT("$E$" &amp; (9+AG$57)),0)</f>
        <v>0</v>
      </c>
      <c r="BC42" s="1" cm="1">
        <f t="array" aca="1" ref="BC42" ca="1">IF(AND(INDIRECT("$H$" &amp; (9+AH$57)) = 1, $S65 = (INDIRECT("$N$" &amp; (9+AH$57)))), INDIRECT("$E$" &amp; (9+AH$57)),0)</f>
        <v>0</v>
      </c>
      <c r="BD42" s="1" cm="1">
        <f t="array" aca="1" ref="BD42" ca="1">IF(AND(INDIRECT("$H$" &amp; (9+AI$57)) = 1, $S65 = (INDIRECT("$N$" &amp; (9+AI$57)))), INDIRECT("$E$" &amp; (9+AI$57)),0)</f>
        <v>0</v>
      </c>
      <c r="BE42" s="1" cm="1">
        <f t="array" aca="1" ref="BE42" ca="1">IF(AND(INDIRECT("$H$" &amp; (9+AJ$57)) = 1, $S65 = (INDIRECT("$N$" &amp; (9+AJ$57)))), INDIRECT("$E$" &amp; (9+AJ$57)),0)</f>
        <v>0</v>
      </c>
      <c r="BF42" s="1" cm="1">
        <f t="array" aca="1" ref="BF42" ca="1">IF(AND(INDIRECT("$H$" &amp; (9+AK$57)) = 1, $S65 = (INDIRECT("$N$" &amp; (9+AK$57)))), INDIRECT("$E$" &amp; (9+AK$57)),0)</f>
        <v>0</v>
      </c>
      <c r="BG42" s="1" cm="1">
        <f t="array" aca="1" ref="BG42" ca="1">IF(AND(INDIRECT("$H$" &amp; (9+AL$57)) = 1, $S65 = (INDIRECT("$N$" &amp; (9+AL$57)))), INDIRECT("$E$" &amp; (9+AL$57)),0)</f>
        <v>0</v>
      </c>
      <c r="BH42" s="1" cm="1">
        <f t="array" aca="1" ref="BH42" ca="1">IF(AND(INDIRECT("$H$" &amp; (9+AM$57)) = 1, $S65 = (INDIRECT("$N$" &amp; (9+AM$57)))), INDIRECT("$E$" &amp; (9+AM$57)),0)</f>
        <v>0</v>
      </c>
    </row>
    <row r="43" spans="4:60" x14ac:dyDescent="0.3">
      <c r="S43" s="219">
        <v>2029</v>
      </c>
      <c r="T43" s="1" cm="1">
        <f t="array" aca="1" ref="T43" ca="1">IF(AND(INDIRECT("$G$" &amp; (9+T$34)) = 1, $S43 = (INDIRECT("$M$" &amp; (9+T$34)))), INDIRECT("$D$" &amp; (9+T$34)),0)</f>
        <v>0</v>
      </c>
      <c r="U43" s="1" cm="1">
        <f t="array" aca="1" ref="U43" ca="1">IF(AND(INDIRECT("$G$" &amp; (9+U$34)) = 1, $S43 = (INDIRECT("$M$" &amp; (9+U$34)))), INDIRECT("$D$" &amp; (9+U$34)),0)</f>
        <v>0</v>
      </c>
      <c r="V43" s="1" cm="1">
        <f t="array" aca="1" ref="V43" ca="1">IF(AND(INDIRECT("$G$" &amp; (9+V$34)) = 1, $S43 = (INDIRECT("$M$" &amp; (9+V$34)))), INDIRECT("$D$" &amp; (9+V$34)),0)</f>
        <v>0</v>
      </c>
      <c r="W43" s="1" cm="1">
        <f t="array" aca="1" ref="W43" ca="1">IF(AND(INDIRECT("$G$" &amp; (9+W$34)) = 1, $S43 = (INDIRECT("$M$" &amp; (9+W$34)))), INDIRECT("$D$" &amp; (9+W$34)),0)</f>
        <v>0</v>
      </c>
      <c r="X43" s="1" cm="1">
        <f t="array" aca="1" ref="X43" ca="1">IF(AND(INDIRECT("$G$" &amp; (9+X$34)) = 1, $S43 = (INDIRECT("$M$" &amp; (9+X$34)))), INDIRECT("$D$" &amp; (9+X$34)),0)</f>
        <v>0</v>
      </c>
      <c r="Y43" s="1" cm="1">
        <f t="array" aca="1" ref="Y43" ca="1">IF(AND(INDIRECT("$G$" &amp; (9+Y$34)) = 1, $S43 = (INDIRECT("$M$" &amp; (9+Y$34)))), INDIRECT("$D$" &amp; (9+Y$34)),0)</f>
        <v>0</v>
      </c>
      <c r="Z43" s="1" cm="1">
        <f t="array" aca="1" ref="Z43" ca="1">IF(AND(INDIRECT("$G$" &amp; (9+Z$34)) = 1, $S43 = (INDIRECT("$M$" &amp; (9+Z$34)))), INDIRECT("$D$" &amp; (9+Z$34)),0)</f>
        <v>0</v>
      </c>
      <c r="AA43" s="1" cm="1">
        <f t="array" aca="1" ref="AA43" ca="1">IF(AND(INDIRECT("$G$" &amp; (9+AA$34)) = 1, $S43 = (INDIRECT("$M$" &amp; (9+AA$34)))), INDIRECT("$D$" &amp; (9+AA$34)),0)</f>
        <v>0</v>
      </c>
      <c r="AB43" s="1" cm="1">
        <f t="array" aca="1" ref="AB43" ca="1">IF(AND(INDIRECT("$G$" &amp; (9+AB$34)) = 1, $S43 = (INDIRECT("$M$" &amp; (9+AB$34)))), INDIRECT("$D$" &amp; (9+AB$34)),0)</f>
        <v>0</v>
      </c>
      <c r="AC43" s="1" cm="1">
        <f t="array" aca="1" ref="AC43" ca="1">IF(AND(INDIRECT("$G$" &amp; (9+AC$34)) = 1, $S43 = (INDIRECT("$M$" &amp; (9+AC$34)))), INDIRECT("$D$" &amp; (9+AC$34)),0)</f>
        <v>0</v>
      </c>
      <c r="AD43" s="1" cm="1">
        <f t="array" aca="1" ref="AD43" ca="1">IF(AND(INDIRECT("$G$" &amp; (9+AD$34)) = 1, $S43 = (INDIRECT("$M$" &amp; (9+AD$34)))), INDIRECT("$D$" &amp; (9+AD$34)),0)</f>
        <v>0</v>
      </c>
      <c r="AE43" s="1" cm="1">
        <f t="array" aca="1" ref="AE43" ca="1">IF(AND(INDIRECT("$G$" &amp; (9+AE$34)) = 1, $S43 = (INDIRECT("$M$" &amp; (9+AE$34)))), INDIRECT("$D$" &amp; (9+AE$34)),0)</f>
        <v>0</v>
      </c>
      <c r="AF43" s="1" cm="1">
        <f t="array" aca="1" ref="AF43" ca="1">IF(AND(INDIRECT("$G$" &amp; (9+AF$34)) = 1, $S43 = (INDIRECT("$M$" &amp; (9+AF$34)))), INDIRECT("$D$" &amp; (9+AF$34)),0)</f>
        <v>0</v>
      </c>
      <c r="AG43" s="1" cm="1">
        <f t="array" aca="1" ref="AG43" ca="1">IF(AND(INDIRECT("$G$" &amp; (9+AG$34)) = 1, $S43 = (INDIRECT("$M$" &amp; (9+AG$34)))), INDIRECT("$D$" &amp; (9+AG$34)),0)</f>
        <v>0</v>
      </c>
      <c r="AH43" s="1" cm="1">
        <f t="array" aca="1" ref="AH43" ca="1">IF(AND(INDIRECT("$G$" &amp; (9+AH$34)) = 1, $S43 = (INDIRECT("$M$" &amp; (9+AH$34)))), INDIRECT("$D$" &amp; (9+AH$34)),0)</f>
        <v>0</v>
      </c>
      <c r="AI43" s="1" cm="1">
        <f t="array" aca="1" ref="AI43" ca="1">IF(AND(INDIRECT("$G$" &amp; (9+AI$34)) = 1, $S43 = (INDIRECT("$M$" &amp; (9+AI$34)))), INDIRECT("$D$" &amp; (9+AI$34)),0)</f>
        <v>0</v>
      </c>
      <c r="AJ43" s="1" cm="1">
        <f t="array" aca="1" ref="AJ43" ca="1">IF(AND(INDIRECT("$G$" &amp; (9+AJ$34)) = 1, $S43 = (INDIRECT("$M$" &amp; (9+AJ$34)))), INDIRECT("$D$" &amp; (9+AJ$34)),0)</f>
        <v>0</v>
      </c>
      <c r="AK43" s="1" cm="1">
        <f t="array" aca="1" ref="AK43" ca="1">IF(AND(INDIRECT("$G$" &amp; (9+AK$34)) = 1, $S43 = (INDIRECT("$M$" &amp; (9+AK$34)))), INDIRECT("$D$" &amp; (9+AK$34)),0)</f>
        <v>0</v>
      </c>
      <c r="AL43" s="1" cm="1">
        <f t="array" aca="1" ref="AL43" ca="1">IF(AND(INDIRECT("$G$" &amp; (9+AL$34)) = 1, $S43 = (INDIRECT("$M$" &amp; (9+AL$34)))), INDIRECT("$D$" &amp; (9+AL$34)),0)</f>
        <v>0</v>
      </c>
      <c r="AM43" s="1" cm="1">
        <f t="array" aca="1" ref="AM43" ca="1">IF(AND(INDIRECT("$G$" &amp; (9+AM$34)) = 1, $S43 = (INDIRECT("$M$" &amp; (9+AM$34)))), INDIRECT("$D$" &amp; (9+AM$34)),0)</f>
        <v>0</v>
      </c>
      <c r="AN43" s="219">
        <v>2029</v>
      </c>
      <c r="AO43" s="1" cm="1">
        <f t="array" aca="1" ref="AO43" ca="1">IF(AND(INDIRECT("$H$" &amp; (9+T$57)) = 1, $S66 = (INDIRECT("$N$" &amp; (9+T$57)))), INDIRECT("$E$" &amp; (9+T$57)),0)</f>
        <v>0</v>
      </c>
      <c r="AP43" s="1" cm="1">
        <f t="array" aca="1" ref="AP43" ca="1">IF(AND(INDIRECT("$H$" &amp; (9+U$57)) = 1, $S66 = (INDIRECT("$N$" &amp; (9+U$57)))), INDIRECT("$E$" &amp; (9+U$57)),0)</f>
        <v>0</v>
      </c>
      <c r="AQ43" s="1" cm="1">
        <f t="array" aca="1" ref="AQ43" ca="1">IF(AND(INDIRECT("$H$" &amp; (9+V$57)) = 1, $S66 = (INDIRECT("$N$" &amp; (9+V$57)))), INDIRECT("$E$" &amp; (9+V$57)),0)</f>
        <v>0</v>
      </c>
      <c r="AR43" s="1" cm="1">
        <f t="array" aca="1" ref="AR43" ca="1">IF(AND(INDIRECT("$H$" &amp; (9+W$57)) = 1, $S66 = (INDIRECT("$N$" &amp; (9+W$57)))), INDIRECT("$E$" &amp; (9+W$57)),0)</f>
        <v>0</v>
      </c>
      <c r="AS43" s="1" cm="1">
        <f t="array" aca="1" ref="AS43" ca="1">IF(AND(INDIRECT("$H$" &amp; (9+X$57)) = 1, $S66 = (INDIRECT("$N$" &amp; (9+X$57)))), INDIRECT("$E$" &amp; (9+X$57)),0)</f>
        <v>0</v>
      </c>
      <c r="AT43" s="1" cm="1">
        <f t="array" aca="1" ref="AT43" ca="1">IF(AND(INDIRECT("$H$" &amp; (9+Y$57)) = 1, $S66 = (INDIRECT("$N$" &amp; (9+Y$57)))), INDIRECT("$E$" &amp; (9+Y$57)),0)</f>
        <v>0</v>
      </c>
      <c r="AU43" s="1" cm="1">
        <f t="array" aca="1" ref="AU43" ca="1">IF(AND(INDIRECT("$H$" &amp; (9+Z$57)) = 1, $S66 = (INDIRECT("$N$" &amp; (9+Z$57)))), INDIRECT("$E$" &amp; (9+Z$57)),0)</f>
        <v>0</v>
      </c>
      <c r="AV43" s="1" cm="1">
        <f t="array" aca="1" ref="AV43" ca="1">IF(AND(INDIRECT("$H$" &amp; (9+AA$57)) = 1, $S66 = (INDIRECT("$N$" &amp; (9+AA$57)))), INDIRECT("$E$" &amp; (9+AA$57)),0)</f>
        <v>0</v>
      </c>
      <c r="AW43" s="1" cm="1">
        <f t="array" aca="1" ref="AW43" ca="1">IF(AND(INDIRECT("$H$" &amp; (9+AB$57)) = 1, $S66 = (INDIRECT("$N$" &amp; (9+AB$57)))), INDIRECT("$E$" &amp; (9+AB$57)),0)</f>
        <v>0</v>
      </c>
      <c r="AX43" s="1" cm="1">
        <f t="array" aca="1" ref="AX43" ca="1">IF(AND(INDIRECT("$H$" &amp; (9+AC$57)) = 1, $S66 = (INDIRECT("$N$" &amp; (9+AC$57)))), INDIRECT("$E$" &amp; (9+AC$57)),0)</f>
        <v>0</v>
      </c>
      <c r="AY43" s="1" cm="1">
        <f t="array" aca="1" ref="AY43" ca="1">IF(AND(INDIRECT("$H$" &amp; (9+AD$57)) = 1, $S66 = (INDIRECT("$N$" &amp; (9+AD$57)))), INDIRECT("$E$" &amp; (9+AD$57)),0)</f>
        <v>0</v>
      </c>
      <c r="AZ43" s="1" cm="1">
        <f t="array" aca="1" ref="AZ43" ca="1">IF(AND(INDIRECT("$H$" &amp; (9+AE$57)) = 1, $S66 = (INDIRECT("$N$" &amp; (9+AE$57)))), INDIRECT("$E$" &amp; (9+AE$57)),0)</f>
        <v>0</v>
      </c>
      <c r="BA43" s="1" cm="1">
        <f t="array" aca="1" ref="BA43" ca="1">IF(AND(INDIRECT("$H$" &amp; (9+AF$57)) = 1, $S66 = (INDIRECT("$N$" &amp; (9+AF$57)))), INDIRECT("$E$" &amp; (9+AF$57)),0)</f>
        <v>0</v>
      </c>
      <c r="BB43" s="1" cm="1">
        <f t="array" aca="1" ref="BB43" ca="1">IF(AND(INDIRECT("$H$" &amp; (9+AG$57)) = 1, $S66 = (INDIRECT("$N$" &amp; (9+AG$57)))), INDIRECT("$E$" &amp; (9+AG$57)),0)</f>
        <v>0</v>
      </c>
      <c r="BC43" s="1" cm="1">
        <f t="array" aca="1" ref="BC43" ca="1">IF(AND(INDIRECT("$H$" &amp; (9+AH$57)) = 1, $S66 = (INDIRECT("$N$" &amp; (9+AH$57)))), INDIRECT("$E$" &amp; (9+AH$57)),0)</f>
        <v>0</v>
      </c>
      <c r="BD43" s="1" cm="1">
        <f t="array" aca="1" ref="BD43" ca="1">IF(AND(INDIRECT("$H$" &amp; (9+AI$57)) = 1, $S66 = (INDIRECT("$N$" &amp; (9+AI$57)))), INDIRECT("$E$" &amp; (9+AI$57)),0)</f>
        <v>0</v>
      </c>
      <c r="BE43" s="1" cm="1">
        <f t="array" aca="1" ref="BE43" ca="1">IF(AND(INDIRECT("$H$" &amp; (9+AJ$57)) = 1, $S66 = (INDIRECT("$N$" &amp; (9+AJ$57)))), INDIRECT("$E$" &amp; (9+AJ$57)),0)</f>
        <v>0</v>
      </c>
      <c r="BF43" s="1" cm="1">
        <f t="array" aca="1" ref="BF43" ca="1">IF(AND(INDIRECT("$H$" &amp; (9+AK$57)) = 1, $S66 = (INDIRECT("$N$" &amp; (9+AK$57)))), INDIRECT("$E$" &amp; (9+AK$57)),0)</f>
        <v>0</v>
      </c>
      <c r="BG43" s="1" cm="1">
        <f t="array" aca="1" ref="BG43" ca="1">IF(AND(INDIRECT("$H$" &amp; (9+AL$57)) = 1, $S66 = (INDIRECT("$N$" &amp; (9+AL$57)))), INDIRECT("$E$" &amp; (9+AL$57)),0)</f>
        <v>0</v>
      </c>
      <c r="BH43" s="1" cm="1">
        <f t="array" aca="1" ref="BH43" ca="1">IF(AND(INDIRECT("$H$" &amp; (9+AM$57)) = 1, $S66 = (INDIRECT("$N$" &amp; (9+AM$57)))), INDIRECT("$E$" &amp; (9+AM$57)),0)</f>
        <v>0</v>
      </c>
    </row>
    <row r="44" spans="4:60" x14ac:dyDescent="0.3">
      <c r="S44" s="219">
        <v>2030</v>
      </c>
      <c r="T44" s="1" cm="1">
        <f t="array" aca="1" ref="T44" ca="1">IF(AND(INDIRECT("$G$" &amp; (9+T$34)) = 1, $S44 = (INDIRECT("$M$" &amp; (9+T$34)))), INDIRECT("$D$" &amp; (9+T$34)),0)</f>
        <v>0</v>
      </c>
      <c r="U44" s="1" cm="1">
        <f t="array" aca="1" ref="U44" ca="1">IF(AND(INDIRECT("$G$" &amp; (9+U$34)) = 1, $S44 = (INDIRECT("$M$" &amp; (9+U$34)))), INDIRECT("$D$" &amp; (9+U$34)),0)</f>
        <v>0</v>
      </c>
      <c r="V44" s="1" cm="1">
        <f t="array" aca="1" ref="V44" ca="1">IF(AND(INDIRECT("$G$" &amp; (9+V$34)) = 1, $S44 = (INDIRECT("$M$" &amp; (9+V$34)))), INDIRECT("$D$" &amp; (9+V$34)),0)</f>
        <v>0</v>
      </c>
      <c r="W44" s="1" cm="1">
        <f t="array" aca="1" ref="W44" ca="1">IF(AND(INDIRECT("$G$" &amp; (9+W$34)) = 1, $S44 = (INDIRECT("$M$" &amp; (9+W$34)))), INDIRECT("$D$" &amp; (9+W$34)),0)</f>
        <v>0</v>
      </c>
      <c r="X44" s="1" cm="1">
        <f t="array" aca="1" ref="X44" ca="1">IF(AND(INDIRECT("$G$" &amp; (9+X$34)) = 1, $S44 = (INDIRECT("$M$" &amp; (9+X$34)))), INDIRECT("$D$" &amp; (9+X$34)),0)</f>
        <v>0</v>
      </c>
      <c r="Y44" s="1" cm="1">
        <f t="array" aca="1" ref="Y44" ca="1">IF(AND(INDIRECT("$G$" &amp; (9+Y$34)) = 1, $S44 = (INDIRECT("$M$" &amp; (9+Y$34)))), INDIRECT("$D$" &amp; (9+Y$34)),0)</f>
        <v>0</v>
      </c>
      <c r="Z44" s="1" cm="1">
        <f t="array" aca="1" ref="Z44" ca="1">IF(AND(INDIRECT("$G$" &amp; (9+Z$34)) = 1, $S44 = (INDIRECT("$M$" &amp; (9+Z$34)))), INDIRECT("$D$" &amp; (9+Z$34)),0)</f>
        <v>0</v>
      </c>
      <c r="AA44" s="1" cm="1">
        <f t="array" aca="1" ref="AA44" ca="1">IF(AND(INDIRECT("$G$" &amp; (9+AA$34)) = 1, $S44 = (INDIRECT("$M$" &amp; (9+AA$34)))), INDIRECT("$D$" &amp; (9+AA$34)),0)</f>
        <v>0</v>
      </c>
      <c r="AB44" s="1" cm="1">
        <f t="array" aca="1" ref="AB44" ca="1">IF(AND(INDIRECT("$G$" &amp; (9+AB$34)) = 1, $S44 = (INDIRECT("$M$" &amp; (9+AB$34)))), INDIRECT("$D$" &amp; (9+AB$34)),0)</f>
        <v>0</v>
      </c>
      <c r="AC44" s="1" cm="1">
        <f t="array" aca="1" ref="AC44" ca="1">IF(AND(INDIRECT("$G$" &amp; (9+AC$34)) = 1, $S44 = (INDIRECT("$M$" &amp; (9+AC$34)))), INDIRECT("$D$" &amp; (9+AC$34)),0)</f>
        <v>0</v>
      </c>
      <c r="AD44" s="1" cm="1">
        <f t="array" aca="1" ref="AD44" ca="1">IF(AND(INDIRECT("$G$" &amp; (9+AD$34)) = 1, $S44 = (INDIRECT("$M$" &amp; (9+AD$34)))), INDIRECT("$D$" &amp; (9+AD$34)),0)</f>
        <v>0</v>
      </c>
      <c r="AE44" s="1" cm="1">
        <f t="array" aca="1" ref="AE44" ca="1">IF(AND(INDIRECT("$G$" &amp; (9+AE$34)) = 1, $S44 = (INDIRECT("$M$" &amp; (9+AE$34)))), INDIRECT("$D$" &amp; (9+AE$34)),0)</f>
        <v>0</v>
      </c>
      <c r="AF44" s="1" cm="1">
        <f t="array" aca="1" ref="AF44" ca="1">IF(AND(INDIRECT("$G$" &amp; (9+AF$34)) = 1, $S44 = (INDIRECT("$M$" &amp; (9+AF$34)))), INDIRECT("$D$" &amp; (9+AF$34)),0)</f>
        <v>0</v>
      </c>
      <c r="AG44" s="1" cm="1">
        <f t="array" aca="1" ref="AG44" ca="1">IF(AND(INDIRECT("$G$" &amp; (9+AG$34)) = 1, $S44 = (INDIRECT("$M$" &amp; (9+AG$34)))), INDIRECT("$D$" &amp; (9+AG$34)),0)</f>
        <v>0</v>
      </c>
      <c r="AH44" s="1" cm="1">
        <f t="array" aca="1" ref="AH44" ca="1">IF(AND(INDIRECT("$G$" &amp; (9+AH$34)) = 1, $S44 = (INDIRECT("$M$" &amp; (9+AH$34)))), INDIRECT("$D$" &amp; (9+AH$34)),0)</f>
        <v>0</v>
      </c>
      <c r="AI44" s="1" cm="1">
        <f t="array" aca="1" ref="AI44" ca="1">IF(AND(INDIRECT("$G$" &amp; (9+AI$34)) = 1, $S44 = (INDIRECT("$M$" &amp; (9+AI$34)))), INDIRECT("$D$" &amp; (9+AI$34)),0)</f>
        <v>0</v>
      </c>
      <c r="AJ44" s="1" cm="1">
        <f t="array" aca="1" ref="AJ44" ca="1">IF(AND(INDIRECT("$G$" &amp; (9+AJ$34)) = 1, $S44 = (INDIRECT("$M$" &amp; (9+AJ$34)))), INDIRECT("$D$" &amp; (9+AJ$34)),0)</f>
        <v>0</v>
      </c>
      <c r="AK44" s="1" cm="1">
        <f t="array" aca="1" ref="AK44" ca="1">IF(AND(INDIRECT("$G$" &amp; (9+AK$34)) = 1, $S44 = (INDIRECT("$M$" &amp; (9+AK$34)))), INDIRECT("$D$" &amp; (9+AK$34)),0)</f>
        <v>0</v>
      </c>
      <c r="AL44" s="1" cm="1">
        <f t="array" aca="1" ref="AL44" ca="1">IF(AND(INDIRECT("$G$" &amp; (9+AL$34)) = 1, $S44 = (INDIRECT("$M$" &amp; (9+AL$34)))), INDIRECT("$D$" &amp; (9+AL$34)),0)</f>
        <v>0</v>
      </c>
      <c r="AM44" s="1" cm="1">
        <f t="array" aca="1" ref="AM44" ca="1">IF(AND(INDIRECT("$G$" &amp; (9+AM$34)) = 1, $S44 = (INDIRECT("$M$" &amp; (9+AM$34)))), INDIRECT("$D$" &amp; (9+AM$34)),0)</f>
        <v>0</v>
      </c>
      <c r="AN44" s="219">
        <v>2030</v>
      </c>
      <c r="AO44" s="1" cm="1">
        <f t="array" aca="1" ref="AO44" ca="1">IF(AND(INDIRECT("$H$" &amp; (9+T$57)) = 1, $S67 = (INDIRECT("$N$" &amp; (9+T$57)))), INDIRECT("$E$" &amp; (9+T$57)),0)</f>
        <v>0</v>
      </c>
      <c r="AP44" s="1" cm="1">
        <f t="array" aca="1" ref="AP44" ca="1">IF(AND(INDIRECT("$H$" &amp; (9+U$57)) = 1, $S67 = (INDIRECT("$N$" &amp; (9+U$57)))), INDIRECT("$E$" &amp; (9+U$57)),0)</f>
        <v>0</v>
      </c>
      <c r="AQ44" s="1" cm="1">
        <f t="array" aca="1" ref="AQ44" ca="1">IF(AND(INDIRECT("$H$" &amp; (9+V$57)) = 1, $S67 = (INDIRECT("$N$" &amp; (9+V$57)))), INDIRECT("$E$" &amp; (9+V$57)),0)</f>
        <v>0</v>
      </c>
      <c r="AR44" s="1" cm="1">
        <f t="array" aca="1" ref="AR44" ca="1">IF(AND(INDIRECT("$H$" &amp; (9+W$57)) = 1, $S67 = (INDIRECT("$N$" &amp; (9+W$57)))), INDIRECT("$E$" &amp; (9+W$57)),0)</f>
        <v>0</v>
      </c>
      <c r="AS44" s="1" cm="1">
        <f t="array" aca="1" ref="AS44" ca="1">IF(AND(INDIRECT("$H$" &amp; (9+X$57)) = 1, $S67 = (INDIRECT("$N$" &amp; (9+X$57)))), INDIRECT("$E$" &amp; (9+X$57)),0)</f>
        <v>0</v>
      </c>
      <c r="AT44" s="1" cm="1">
        <f t="array" aca="1" ref="AT44" ca="1">IF(AND(INDIRECT("$H$" &amp; (9+Y$57)) = 1, $S67 = (INDIRECT("$N$" &amp; (9+Y$57)))), INDIRECT("$E$" &amp; (9+Y$57)),0)</f>
        <v>0</v>
      </c>
      <c r="AU44" s="1" cm="1">
        <f t="array" aca="1" ref="AU44" ca="1">IF(AND(INDIRECT("$H$" &amp; (9+Z$57)) = 1, $S67 = (INDIRECT("$N$" &amp; (9+Z$57)))), INDIRECT("$E$" &amp; (9+Z$57)),0)</f>
        <v>0</v>
      </c>
      <c r="AV44" s="1" cm="1">
        <f t="array" aca="1" ref="AV44" ca="1">IF(AND(INDIRECT("$H$" &amp; (9+AA$57)) = 1, $S67 = (INDIRECT("$N$" &amp; (9+AA$57)))), INDIRECT("$E$" &amp; (9+AA$57)),0)</f>
        <v>0</v>
      </c>
      <c r="AW44" s="1" cm="1">
        <f t="array" aca="1" ref="AW44" ca="1">IF(AND(INDIRECT("$H$" &amp; (9+AB$57)) = 1, $S67 = (INDIRECT("$N$" &amp; (9+AB$57)))), INDIRECT("$E$" &amp; (9+AB$57)),0)</f>
        <v>0</v>
      </c>
      <c r="AX44" s="1" cm="1">
        <f t="array" aca="1" ref="AX44" ca="1">IF(AND(INDIRECT("$H$" &amp; (9+AC$57)) = 1, $S67 = (INDIRECT("$N$" &amp; (9+AC$57)))), INDIRECT("$E$" &amp; (9+AC$57)),0)</f>
        <v>0</v>
      </c>
      <c r="AY44" s="1" cm="1">
        <f t="array" aca="1" ref="AY44" ca="1">IF(AND(INDIRECT("$H$" &amp; (9+AD$57)) = 1, $S67 = (INDIRECT("$N$" &amp; (9+AD$57)))), INDIRECT("$E$" &amp; (9+AD$57)),0)</f>
        <v>0</v>
      </c>
      <c r="AZ44" s="1" cm="1">
        <f t="array" aca="1" ref="AZ44" ca="1">IF(AND(INDIRECT("$H$" &amp; (9+AE$57)) = 1, $S67 = (INDIRECT("$N$" &amp; (9+AE$57)))), INDIRECT("$E$" &amp; (9+AE$57)),0)</f>
        <v>0</v>
      </c>
      <c r="BA44" s="1" cm="1">
        <f t="array" aca="1" ref="BA44" ca="1">IF(AND(INDIRECT("$H$" &amp; (9+AF$57)) = 1, $S67 = (INDIRECT("$N$" &amp; (9+AF$57)))), INDIRECT("$E$" &amp; (9+AF$57)),0)</f>
        <v>0</v>
      </c>
      <c r="BB44" s="1" cm="1">
        <f t="array" aca="1" ref="BB44" ca="1">IF(AND(INDIRECT("$H$" &amp; (9+AG$57)) = 1, $S67 = (INDIRECT("$N$" &amp; (9+AG$57)))), INDIRECT("$E$" &amp; (9+AG$57)),0)</f>
        <v>0</v>
      </c>
      <c r="BC44" s="1" cm="1">
        <f t="array" aca="1" ref="BC44" ca="1">IF(AND(INDIRECT("$H$" &amp; (9+AH$57)) = 1, $S67 = (INDIRECT("$N$" &amp; (9+AH$57)))), INDIRECT("$E$" &amp; (9+AH$57)),0)</f>
        <v>0</v>
      </c>
      <c r="BD44" s="1" cm="1">
        <f t="array" aca="1" ref="BD44" ca="1">IF(AND(INDIRECT("$H$" &amp; (9+AI$57)) = 1, $S67 = (INDIRECT("$N$" &amp; (9+AI$57)))), INDIRECT("$E$" &amp; (9+AI$57)),0)</f>
        <v>0</v>
      </c>
      <c r="BE44" s="1" cm="1">
        <f t="array" aca="1" ref="BE44" ca="1">IF(AND(INDIRECT("$H$" &amp; (9+AJ$57)) = 1, $S67 = (INDIRECT("$N$" &amp; (9+AJ$57)))), INDIRECT("$E$" &amp; (9+AJ$57)),0)</f>
        <v>0</v>
      </c>
      <c r="BF44" s="1" cm="1">
        <f t="array" aca="1" ref="BF44" ca="1">IF(AND(INDIRECT("$H$" &amp; (9+AK$57)) = 1, $S67 = (INDIRECT("$N$" &amp; (9+AK$57)))), INDIRECT("$E$" &amp; (9+AK$57)),0)</f>
        <v>0</v>
      </c>
      <c r="BG44" s="1" cm="1">
        <f t="array" aca="1" ref="BG44" ca="1">IF(AND(INDIRECT("$H$" &amp; (9+AL$57)) = 1, $S67 = (INDIRECT("$N$" &amp; (9+AL$57)))), INDIRECT("$E$" &amp; (9+AL$57)),0)</f>
        <v>0</v>
      </c>
      <c r="BH44" s="1" cm="1">
        <f t="array" aca="1" ref="BH44" ca="1">IF(AND(INDIRECT("$H$" &amp; (9+AM$57)) = 1, $S67 = (INDIRECT("$N$" &amp; (9+AM$57)))), INDIRECT("$E$" &amp; (9+AM$57)),0)</f>
        <v>0</v>
      </c>
    </row>
    <row r="45" spans="4:60" x14ac:dyDescent="0.3">
      <c r="S45" s="219">
        <v>2031</v>
      </c>
      <c r="T45" s="1" cm="1">
        <f t="array" aca="1" ref="T45" ca="1">IF(AND(INDIRECT("$G$" &amp; (9+T$34)) = 1, $S45 = (INDIRECT("$M$" &amp; (9+T$34)))), INDIRECT("$D$" &amp; (9+T$34)),0)</f>
        <v>100</v>
      </c>
      <c r="U45" s="1" cm="1">
        <f t="array" aca="1" ref="U45" ca="1">IF(AND(INDIRECT("$G$" &amp; (9+U$34)) = 1, $S45 = (INDIRECT("$M$" &amp; (9+U$34)))), INDIRECT("$D$" &amp; (9+U$34)),0)</f>
        <v>0</v>
      </c>
      <c r="V45" s="1" cm="1">
        <f t="array" aca="1" ref="V45" ca="1">IF(AND(INDIRECT("$G$" &amp; (9+V$34)) = 1, $S45 = (INDIRECT("$M$" &amp; (9+V$34)))), INDIRECT("$D$" &amp; (9+V$34)),0)</f>
        <v>0</v>
      </c>
      <c r="W45" s="1" cm="1">
        <f t="array" aca="1" ref="W45" ca="1">IF(AND(INDIRECT("$G$" &amp; (9+W$34)) = 1, $S45 = (INDIRECT("$M$" &amp; (9+W$34)))), INDIRECT("$D$" &amp; (9+W$34)),0)</f>
        <v>0</v>
      </c>
      <c r="X45" s="1" cm="1">
        <f t="array" aca="1" ref="X45" ca="1">IF(AND(INDIRECT("$G$" &amp; (9+X$34)) = 1, $S45 = (INDIRECT("$M$" &amp; (9+X$34)))), INDIRECT("$D$" &amp; (9+X$34)),0)</f>
        <v>0</v>
      </c>
      <c r="Y45" s="1" cm="1">
        <f t="array" aca="1" ref="Y45" ca="1">IF(AND(INDIRECT("$G$" &amp; (9+Y$34)) = 1, $S45 = (INDIRECT("$M$" &amp; (9+Y$34)))), INDIRECT("$D$" &amp; (9+Y$34)),0)</f>
        <v>0</v>
      </c>
      <c r="Z45" s="1" cm="1">
        <f t="array" aca="1" ref="Z45" ca="1">IF(AND(INDIRECT("$G$" &amp; (9+Z$34)) = 1, $S45 = (INDIRECT("$M$" &amp; (9+Z$34)))), INDIRECT("$D$" &amp; (9+Z$34)),0)</f>
        <v>0</v>
      </c>
      <c r="AA45" s="1" cm="1">
        <f t="array" aca="1" ref="AA45" ca="1">IF(AND(INDIRECT("$G$" &amp; (9+AA$34)) = 1, $S45 = (INDIRECT("$M$" &amp; (9+AA$34)))), INDIRECT("$D$" &amp; (9+AA$34)),0)</f>
        <v>0</v>
      </c>
      <c r="AB45" s="1" cm="1">
        <f t="array" aca="1" ref="AB45" ca="1">IF(AND(INDIRECT("$G$" &amp; (9+AB$34)) = 1, $S45 = (INDIRECT("$M$" &amp; (9+AB$34)))), INDIRECT("$D$" &amp; (9+AB$34)),0)</f>
        <v>0</v>
      </c>
      <c r="AC45" s="1" cm="1">
        <f t="array" aca="1" ref="AC45" ca="1">IF(AND(INDIRECT("$G$" &amp; (9+AC$34)) = 1, $S45 = (INDIRECT("$M$" &amp; (9+AC$34)))), INDIRECT("$D$" &amp; (9+AC$34)),0)</f>
        <v>0</v>
      </c>
      <c r="AD45" s="1" cm="1">
        <f t="array" aca="1" ref="AD45" ca="1">IF(AND(INDIRECT("$G$" &amp; (9+AD$34)) = 1, $S45 = (INDIRECT("$M$" &amp; (9+AD$34)))), INDIRECT("$D$" &amp; (9+AD$34)),0)</f>
        <v>0</v>
      </c>
      <c r="AE45" s="1" cm="1">
        <f t="array" aca="1" ref="AE45" ca="1">IF(AND(INDIRECT("$G$" &amp; (9+AE$34)) = 1, $S45 = (INDIRECT("$M$" &amp; (9+AE$34)))), INDIRECT("$D$" &amp; (9+AE$34)),0)</f>
        <v>0</v>
      </c>
      <c r="AF45" s="1" cm="1">
        <f t="array" aca="1" ref="AF45" ca="1">IF(AND(INDIRECT("$G$" &amp; (9+AF$34)) = 1, $S45 = (INDIRECT("$M$" &amp; (9+AF$34)))), INDIRECT("$D$" &amp; (9+AF$34)),0)</f>
        <v>0</v>
      </c>
      <c r="AG45" s="1" cm="1">
        <f t="array" aca="1" ref="AG45" ca="1">IF(AND(INDIRECT("$G$" &amp; (9+AG$34)) = 1, $S45 = (INDIRECT("$M$" &amp; (9+AG$34)))), INDIRECT("$D$" &amp; (9+AG$34)),0)</f>
        <v>0</v>
      </c>
      <c r="AH45" s="1" cm="1">
        <f t="array" aca="1" ref="AH45" ca="1">IF(AND(INDIRECT("$G$" &amp; (9+AH$34)) = 1, $S45 = (INDIRECT("$M$" &amp; (9+AH$34)))), INDIRECT("$D$" &amp; (9+AH$34)),0)</f>
        <v>0</v>
      </c>
      <c r="AI45" s="1" cm="1">
        <f t="array" aca="1" ref="AI45" ca="1">IF(AND(INDIRECT("$G$" &amp; (9+AI$34)) = 1, $S45 = (INDIRECT("$M$" &amp; (9+AI$34)))), INDIRECT("$D$" &amp; (9+AI$34)),0)</f>
        <v>0</v>
      </c>
      <c r="AJ45" s="1" cm="1">
        <f t="array" aca="1" ref="AJ45" ca="1">IF(AND(INDIRECT("$G$" &amp; (9+AJ$34)) = 1, $S45 = (INDIRECT("$M$" &amp; (9+AJ$34)))), INDIRECT("$D$" &amp; (9+AJ$34)),0)</f>
        <v>0</v>
      </c>
      <c r="AK45" s="1" cm="1">
        <f t="array" aca="1" ref="AK45" ca="1">IF(AND(INDIRECT("$G$" &amp; (9+AK$34)) = 1, $S45 = (INDIRECT("$M$" &amp; (9+AK$34)))), INDIRECT("$D$" &amp; (9+AK$34)),0)</f>
        <v>0</v>
      </c>
      <c r="AL45" s="1" cm="1">
        <f t="array" aca="1" ref="AL45" ca="1">IF(AND(INDIRECT("$G$" &amp; (9+AL$34)) = 1, $S45 = (INDIRECT("$M$" &amp; (9+AL$34)))), INDIRECT("$D$" &amp; (9+AL$34)),0)</f>
        <v>0</v>
      </c>
      <c r="AM45" s="1" cm="1">
        <f t="array" aca="1" ref="AM45" ca="1">IF(AND(INDIRECT("$G$" &amp; (9+AM$34)) = 1, $S45 = (INDIRECT("$M$" &amp; (9+AM$34)))), INDIRECT("$D$" &amp; (9+AM$34)),0)</f>
        <v>0</v>
      </c>
      <c r="AN45" s="219">
        <v>2031</v>
      </c>
      <c r="AO45" s="1" cm="1">
        <f t="array" aca="1" ref="AO45" ca="1">IF(AND(INDIRECT("$H$" &amp; (9+T$57)) = 1, $S68 = (INDIRECT("$N$" &amp; (9+T$57)))), INDIRECT("$E$" &amp; (9+T$57)),0)</f>
        <v>0</v>
      </c>
      <c r="AP45" s="1" cm="1">
        <f t="array" aca="1" ref="AP45" ca="1">IF(AND(INDIRECT("$H$" &amp; (9+U$57)) = 1, $S68 = (INDIRECT("$N$" &amp; (9+U$57)))), INDIRECT("$E$" &amp; (9+U$57)),0)</f>
        <v>0</v>
      </c>
      <c r="AQ45" s="1" cm="1">
        <f t="array" aca="1" ref="AQ45" ca="1">IF(AND(INDIRECT("$H$" &amp; (9+V$57)) = 1, $S68 = (INDIRECT("$N$" &amp; (9+V$57)))), INDIRECT("$E$" &amp; (9+V$57)),0)</f>
        <v>0</v>
      </c>
      <c r="AR45" s="1" cm="1">
        <f t="array" aca="1" ref="AR45" ca="1">IF(AND(INDIRECT("$H$" &amp; (9+W$57)) = 1, $S68 = (INDIRECT("$N$" &amp; (9+W$57)))), INDIRECT("$E$" &amp; (9+W$57)),0)</f>
        <v>0</v>
      </c>
      <c r="AS45" s="1" cm="1">
        <f t="array" aca="1" ref="AS45" ca="1">IF(AND(INDIRECT("$H$" &amp; (9+X$57)) = 1, $S68 = (INDIRECT("$N$" &amp; (9+X$57)))), INDIRECT("$E$" &amp; (9+X$57)),0)</f>
        <v>0</v>
      </c>
      <c r="AT45" s="1" cm="1">
        <f t="array" aca="1" ref="AT45" ca="1">IF(AND(INDIRECT("$H$" &amp; (9+Y$57)) = 1, $S68 = (INDIRECT("$N$" &amp; (9+Y$57)))), INDIRECT("$E$" &amp; (9+Y$57)),0)</f>
        <v>0</v>
      </c>
      <c r="AU45" s="1" cm="1">
        <f t="array" aca="1" ref="AU45" ca="1">IF(AND(INDIRECT("$H$" &amp; (9+Z$57)) = 1, $S68 = (INDIRECT("$N$" &amp; (9+Z$57)))), INDIRECT("$E$" &amp; (9+Z$57)),0)</f>
        <v>0</v>
      </c>
      <c r="AV45" s="1" cm="1">
        <f t="array" aca="1" ref="AV45" ca="1">IF(AND(INDIRECT("$H$" &amp; (9+AA$57)) = 1, $S68 = (INDIRECT("$N$" &amp; (9+AA$57)))), INDIRECT("$E$" &amp; (9+AA$57)),0)</f>
        <v>0</v>
      </c>
      <c r="AW45" s="1" cm="1">
        <f t="array" aca="1" ref="AW45" ca="1">IF(AND(INDIRECT("$H$" &amp; (9+AB$57)) = 1, $S68 = (INDIRECT("$N$" &amp; (9+AB$57)))), INDIRECT("$E$" &amp; (9+AB$57)),0)</f>
        <v>0</v>
      </c>
      <c r="AX45" s="1" cm="1">
        <f t="array" aca="1" ref="AX45" ca="1">IF(AND(INDIRECT("$H$" &amp; (9+AC$57)) = 1, $S68 = (INDIRECT("$N$" &amp; (9+AC$57)))), INDIRECT("$E$" &amp; (9+AC$57)),0)</f>
        <v>0</v>
      </c>
      <c r="AY45" s="1" cm="1">
        <f t="array" aca="1" ref="AY45" ca="1">IF(AND(INDIRECT("$H$" &amp; (9+AD$57)) = 1, $S68 = (INDIRECT("$N$" &amp; (9+AD$57)))), INDIRECT("$E$" &amp; (9+AD$57)),0)</f>
        <v>0</v>
      </c>
      <c r="AZ45" s="1" cm="1">
        <f t="array" aca="1" ref="AZ45" ca="1">IF(AND(INDIRECT("$H$" &amp; (9+AE$57)) = 1, $S68 = (INDIRECT("$N$" &amp; (9+AE$57)))), INDIRECT("$E$" &amp; (9+AE$57)),0)</f>
        <v>0</v>
      </c>
      <c r="BA45" s="1" cm="1">
        <f t="array" aca="1" ref="BA45" ca="1">IF(AND(INDIRECT("$H$" &amp; (9+AF$57)) = 1, $S68 = (INDIRECT("$N$" &amp; (9+AF$57)))), INDIRECT("$E$" &amp; (9+AF$57)),0)</f>
        <v>0</v>
      </c>
      <c r="BB45" s="1" cm="1">
        <f t="array" aca="1" ref="BB45" ca="1">IF(AND(INDIRECT("$H$" &amp; (9+AG$57)) = 1, $S68 = (INDIRECT("$N$" &amp; (9+AG$57)))), INDIRECT("$E$" &amp; (9+AG$57)),0)</f>
        <v>0</v>
      </c>
      <c r="BC45" s="1" cm="1">
        <f t="array" aca="1" ref="BC45" ca="1">IF(AND(INDIRECT("$H$" &amp; (9+AH$57)) = 1, $S68 = (INDIRECT("$N$" &amp; (9+AH$57)))), INDIRECT("$E$" &amp; (9+AH$57)),0)</f>
        <v>0</v>
      </c>
      <c r="BD45" s="1" cm="1">
        <f t="array" aca="1" ref="BD45" ca="1">IF(AND(INDIRECT("$H$" &amp; (9+AI$57)) = 1, $S68 = (INDIRECT("$N$" &amp; (9+AI$57)))), INDIRECT("$E$" &amp; (9+AI$57)),0)</f>
        <v>0</v>
      </c>
      <c r="BE45" s="1" cm="1">
        <f t="array" aca="1" ref="BE45" ca="1">IF(AND(INDIRECT("$H$" &amp; (9+AJ$57)) = 1, $S68 = (INDIRECT("$N$" &amp; (9+AJ$57)))), INDIRECT("$E$" &amp; (9+AJ$57)),0)</f>
        <v>0</v>
      </c>
      <c r="BF45" s="1" cm="1">
        <f t="array" aca="1" ref="BF45" ca="1">IF(AND(INDIRECT("$H$" &amp; (9+AK$57)) = 1, $S68 = (INDIRECT("$N$" &amp; (9+AK$57)))), INDIRECT("$E$" &amp; (9+AK$57)),0)</f>
        <v>0</v>
      </c>
      <c r="BG45" s="1" cm="1">
        <f t="array" aca="1" ref="BG45" ca="1">IF(AND(INDIRECT("$H$" &amp; (9+AL$57)) = 1, $S68 = (INDIRECT("$N$" &amp; (9+AL$57)))), INDIRECT("$E$" &amp; (9+AL$57)),0)</f>
        <v>0</v>
      </c>
      <c r="BH45" s="1" cm="1">
        <f t="array" aca="1" ref="BH45" ca="1">IF(AND(INDIRECT("$H$" &amp; (9+AM$57)) = 1, $S68 = (INDIRECT("$N$" &amp; (9+AM$57)))), INDIRECT("$E$" &amp; (9+AM$57)),0)</f>
        <v>0</v>
      </c>
    </row>
    <row r="46" spans="4:60" x14ac:dyDescent="0.3">
      <c r="S46" s="219">
        <v>2032</v>
      </c>
      <c r="T46" s="1" cm="1">
        <f t="array" aca="1" ref="T46" ca="1">IF(AND(INDIRECT("$G$" &amp; (9+T$34)) = 1, $S46 = (INDIRECT("$M$" &amp; (9+T$34)))), INDIRECT("$D$" &amp; (9+T$34)),0)</f>
        <v>0</v>
      </c>
      <c r="U46" s="1" cm="1">
        <f t="array" aca="1" ref="U46" ca="1">IF(AND(INDIRECT("$G$" &amp; (9+U$34)) = 1, $S46 = (INDIRECT("$M$" &amp; (9+U$34)))), INDIRECT("$D$" &amp; (9+U$34)),0)</f>
        <v>0</v>
      </c>
      <c r="V46" s="1" cm="1">
        <f t="array" aca="1" ref="V46" ca="1">IF(AND(INDIRECT("$G$" &amp; (9+V$34)) = 1, $S46 = (INDIRECT("$M$" &amp; (9+V$34)))), INDIRECT("$D$" &amp; (9+V$34)),0)</f>
        <v>0</v>
      </c>
      <c r="W46" s="1" cm="1">
        <f t="array" aca="1" ref="W46" ca="1">IF(AND(INDIRECT("$G$" &amp; (9+W$34)) = 1, $S46 = (INDIRECT("$M$" &amp; (9+W$34)))), INDIRECT("$D$" &amp; (9+W$34)),0)</f>
        <v>0</v>
      </c>
      <c r="X46" s="1" cm="1">
        <f t="array" aca="1" ref="X46" ca="1">IF(AND(INDIRECT("$G$" &amp; (9+X$34)) = 1, $S46 = (INDIRECT("$M$" &amp; (9+X$34)))), INDIRECT("$D$" &amp; (9+X$34)),0)</f>
        <v>0</v>
      </c>
      <c r="Y46" s="1" cm="1">
        <f t="array" aca="1" ref="Y46" ca="1">IF(AND(INDIRECT("$G$" &amp; (9+Y$34)) = 1, $S46 = (INDIRECT("$M$" &amp; (9+Y$34)))), INDIRECT("$D$" &amp; (9+Y$34)),0)</f>
        <v>0</v>
      </c>
      <c r="Z46" s="1" cm="1">
        <f t="array" aca="1" ref="Z46" ca="1">IF(AND(INDIRECT("$G$" &amp; (9+Z$34)) = 1, $S46 = (INDIRECT("$M$" &amp; (9+Z$34)))), INDIRECT("$D$" &amp; (9+Z$34)),0)</f>
        <v>0</v>
      </c>
      <c r="AA46" s="1" cm="1">
        <f t="array" aca="1" ref="AA46" ca="1">IF(AND(INDIRECT("$G$" &amp; (9+AA$34)) = 1, $S46 = (INDIRECT("$M$" &amp; (9+AA$34)))), INDIRECT("$D$" &amp; (9+AA$34)),0)</f>
        <v>0</v>
      </c>
      <c r="AB46" s="1" cm="1">
        <f t="array" aca="1" ref="AB46" ca="1">IF(AND(INDIRECT("$G$" &amp; (9+AB$34)) = 1, $S46 = (INDIRECT("$M$" &amp; (9+AB$34)))), INDIRECT("$D$" &amp; (9+AB$34)),0)</f>
        <v>0</v>
      </c>
      <c r="AC46" s="1" cm="1">
        <f t="array" aca="1" ref="AC46" ca="1">IF(AND(INDIRECT("$G$" &amp; (9+AC$34)) = 1, $S46 = (INDIRECT("$M$" &amp; (9+AC$34)))), INDIRECT("$D$" &amp; (9+AC$34)),0)</f>
        <v>0</v>
      </c>
      <c r="AD46" s="1" cm="1">
        <f t="array" aca="1" ref="AD46" ca="1">IF(AND(INDIRECT("$G$" &amp; (9+AD$34)) = 1, $S46 = (INDIRECT("$M$" &amp; (9+AD$34)))), INDIRECT("$D$" &amp; (9+AD$34)),0)</f>
        <v>0</v>
      </c>
      <c r="AE46" s="1" cm="1">
        <f t="array" aca="1" ref="AE46" ca="1">IF(AND(INDIRECT("$G$" &amp; (9+AE$34)) = 1, $S46 = (INDIRECT("$M$" &amp; (9+AE$34)))), INDIRECT("$D$" &amp; (9+AE$34)),0)</f>
        <v>0</v>
      </c>
      <c r="AF46" s="1" cm="1">
        <f t="array" aca="1" ref="AF46" ca="1">IF(AND(INDIRECT("$G$" &amp; (9+AF$34)) = 1, $S46 = (INDIRECT("$M$" &amp; (9+AF$34)))), INDIRECT("$D$" &amp; (9+AF$34)),0)</f>
        <v>0</v>
      </c>
      <c r="AG46" s="1" cm="1">
        <f t="array" aca="1" ref="AG46" ca="1">IF(AND(INDIRECT("$G$" &amp; (9+AG$34)) = 1, $S46 = (INDIRECT("$M$" &amp; (9+AG$34)))), INDIRECT("$D$" &amp; (9+AG$34)),0)</f>
        <v>0</v>
      </c>
      <c r="AH46" s="1" cm="1">
        <f t="array" aca="1" ref="AH46" ca="1">IF(AND(INDIRECT("$G$" &amp; (9+AH$34)) = 1, $S46 = (INDIRECT("$M$" &amp; (9+AH$34)))), INDIRECT("$D$" &amp; (9+AH$34)),0)</f>
        <v>0</v>
      </c>
      <c r="AI46" s="1" cm="1">
        <f t="array" aca="1" ref="AI46" ca="1">IF(AND(INDIRECT("$G$" &amp; (9+AI$34)) = 1, $S46 = (INDIRECT("$M$" &amp; (9+AI$34)))), INDIRECT("$D$" &amp; (9+AI$34)),0)</f>
        <v>0</v>
      </c>
      <c r="AJ46" s="1" cm="1">
        <f t="array" aca="1" ref="AJ46" ca="1">IF(AND(INDIRECT("$G$" &amp; (9+AJ$34)) = 1, $S46 = (INDIRECT("$M$" &amp; (9+AJ$34)))), INDIRECT("$D$" &amp; (9+AJ$34)),0)</f>
        <v>0</v>
      </c>
      <c r="AK46" s="1" cm="1">
        <f t="array" aca="1" ref="AK46" ca="1">IF(AND(INDIRECT("$G$" &amp; (9+AK$34)) = 1, $S46 = (INDIRECT("$M$" &amp; (9+AK$34)))), INDIRECT("$D$" &amp; (9+AK$34)),0)</f>
        <v>0</v>
      </c>
      <c r="AL46" s="1" cm="1">
        <f t="array" aca="1" ref="AL46" ca="1">IF(AND(INDIRECT("$G$" &amp; (9+AL$34)) = 1, $S46 = (INDIRECT("$M$" &amp; (9+AL$34)))), INDIRECT("$D$" &amp; (9+AL$34)),0)</f>
        <v>0</v>
      </c>
      <c r="AM46" s="1" cm="1">
        <f t="array" aca="1" ref="AM46" ca="1">IF(AND(INDIRECT("$G$" &amp; (9+AM$34)) = 1, $S46 = (INDIRECT("$M$" &amp; (9+AM$34)))), INDIRECT("$D$" &amp; (9+AM$34)),0)</f>
        <v>0</v>
      </c>
      <c r="AN46" s="219">
        <v>2032</v>
      </c>
      <c r="AO46" s="1" cm="1">
        <f t="array" aca="1" ref="AO46" ca="1">IF(AND(INDIRECT("$H$" &amp; (9+T$57)) = 1, $S69 = (INDIRECT("$N$" &amp; (9+T$57)))), INDIRECT("$E$" &amp; (9+T$57)),0)</f>
        <v>0</v>
      </c>
      <c r="AP46" s="1" cm="1">
        <f t="array" aca="1" ref="AP46" ca="1">IF(AND(INDIRECT("$H$" &amp; (9+U$57)) = 1, $S69 = (INDIRECT("$N$" &amp; (9+U$57)))), INDIRECT("$E$" &amp; (9+U$57)),0)</f>
        <v>0</v>
      </c>
      <c r="AQ46" s="1" cm="1">
        <f t="array" aca="1" ref="AQ46" ca="1">IF(AND(INDIRECT("$H$" &amp; (9+V$57)) = 1, $S69 = (INDIRECT("$N$" &amp; (9+V$57)))), INDIRECT("$E$" &amp; (9+V$57)),0)</f>
        <v>0</v>
      </c>
      <c r="AR46" s="1" cm="1">
        <f t="array" aca="1" ref="AR46" ca="1">IF(AND(INDIRECT("$H$" &amp; (9+W$57)) = 1, $S69 = (INDIRECT("$N$" &amp; (9+W$57)))), INDIRECT("$E$" &amp; (9+W$57)),0)</f>
        <v>0</v>
      </c>
      <c r="AS46" s="1" cm="1">
        <f t="array" aca="1" ref="AS46" ca="1">IF(AND(INDIRECT("$H$" &amp; (9+X$57)) = 1, $S69 = (INDIRECT("$N$" &amp; (9+X$57)))), INDIRECT("$E$" &amp; (9+X$57)),0)</f>
        <v>0</v>
      </c>
      <c r="AT46" s="1" cm="1">
        <f t="array" aca="1" ref="AT46" ca="1">IF(AND(INDIRECT("$H$" &amp; (9+Y$57)) = 1, $S69 = (INDIRECT("$N$" &amp; (9+Y$57)))), INDIRECT("$E$" &amp; (9+Y$57)),0)</f>
        <v>0</v>
      </c>
      <c r="AU46" s="1" cm="1">
        <f t="array" aca="1" ref="AU46" ca="1">IF(AND(INDIRECT("$H$" &amp; (9+Z$57)) = 1, $S69 = (INDIRECT("$N$" &amp; (9+Z$57)))), INDIRECT("$E$" &amp; (9+Z$57)),0)</f>
        <v>0</v>
      </c>
      <c r="AV46" s="1" cm="1">
        <f t="array" aca="1" ref="AV46" ca="1">IF(AND(INDIRECT("$H$" &amp; (9+AA$57)) = 1, $S69 = (INDIRECT("$N$" &amp; (9+AA$57)))), INDIRECT("$E$" &amp; (9+AA$57)),0)</f>
        <v>0</v>
      </c>
      <c r="AW46" s="1" cm="1">
        <f t="array" aca="1" ref="AW46" ca="1">IF(AND(INDIRECT("$H$" &amp; (9+AB$57)) = 1, $S69 = (INDIRECT("$N$" &amp; (9+AB$57)))), INDIRECT("$E$" &amp; (9+AB$57)),0)</f>
        <v>0</v>
      </c>
      <c r="AX46" s="1" cm="1">
        <f t="array" aca="1" ref="AX46" ca="1">IF(AND(INDIRECT("$H$" &amp; (9+AC$57)) = 1, $S69 = (INDIRECT("$N$" &amp; (9+AC$57)))), INDIRECT("$E$" &amp; (9+AC$57)),0)</f>
        <v>0</v>
      </c>
      <c r="AY46" s="1" cm="1">
        <f t="array" aca="1" ref="AY46" ca="1">IF(AND(INDIRECT("$H$" &amp; (9+AD$57)) = 1, $S69 = (INDIRECT("$N$" &amp; (9+AD$57)))), INDIRECT("$E$" &amp; (9+AD$57)),0)</f>
        <v>0</v>
      </c>
      <c r="AZ46" s="1" cm="1">
        <f t="array" aca="1" ref="AZ46" ca="1">IF(AND(INDIRECT("$H$" &amp; (9+AE$57)) = 1, $S69 = (INDIRECT("$N$" &amp; (9+AE$57)))), INDIRECT("$E$" &amp; (9+AE$57)),0)</f>
        <v>50</v>
      </c>
      <c r="BA46" s="1" cm="1">
        <f t="array" aca="1" ref="BA46" ca="1">IF(AND(INDIRECT("$H$" &amp; (9+AF$57)) = 1, $S69 = (INDIRECT("$N$" &amp; (9+AF$57)))), INDIRECT("$E$" &amp; (9+AF$57)),0)</f>
        <v>0</v>
      </c>
      <c r="BB46" s="1" cm="1">
        <f t="array" aca="1" ref="BB46" ca="1">IF(AND(INDIRECT("$H$" &amp; (9+AG$57)) = 1, $S69 = (INDIRECT("$N$" &amp; (9+AG$57)))), INDIRECT("$E$" &amp; (9+AG$57)),0)</f>
        <v>0</v>
      </c>
      <c r="BC46" s="1" cm="1">
        <f t="array" aca="1" ref="BC46" ca="1">IF(AND(INDIRECT("$H$" &amp; (9+AH$57)) = 1, $S69 = (INDIRECT("$N$" &amp; (9+AH$57)))), INDIRECT("$E$" &amp; (9+AH$57)),0)</f>
        <v>0</v>
      </c>
      <c r="BD46" s="1" cm="1">
        <f t="array" aca="1" ref="BD46" ca="1">IF(AND(INDIRECT("$H$" &amp; (9+AI$57)) = 1, $S69 = (INDIRECT("$N$" &amp; (9+AI$57)))), INDIRECT("$E$" &amp; (9+AI$57)),0)</f>
        <v>0</v>
      </c>
      <c r="BE46" s="1" cm="1">
        <f t="array" aca="1" ref="BE46" ca="1">IF(AND(INDIRECT("$H$" &amp; (9+AJ$57)) = 1, $S69 = (INDIRECT("$N$" &amp; (9+AJ$57)))), INDIRECT("$E$" &amp; (9+AJ$57)),0)</f>
        <v>0</v>
      </c>
      <c r="BF46" s="1" cm="1">
        <f t="array" aca="1" ref="BF46" ca="1">IF(AND(INDIRECT("$H$" &amp; (9+AK$57)) = 1, $S69 = (INDIRECT("$N$" &amp; (9+AK$57)))), INDIRECT("$E$" &amp; (9+AK$57)),0)</f>
        <v>0</v>
      </c>
      <c r="BG46" s="1" cm="1">
        <f t="array" aca="1" ref="BG46" ca="1">IF(AND(INDIRECT("$H$" &amp; (9+AL$57)) = 1, $S69 = (INDIRECT("$N$" &amp; (9+AL$57)))), INDIRECT("$E$" &amp; (9+AL$57)),0)</f>
        <v>0</v>
      </c>
      <c r="BH46" s="1" cm="1">
        <f t="array" aca="1" ref="BH46" ca="1">IF(AND(INDIRECT("$H$" &amp; (9+AM$57)) = 1, $S69 = (INDIRECT("$N$" &amp; (9+AM$57)))), INDIRECT("$E$" &amp; (9+AM$57)),0)</f>
        <v>0</v>
      </c>
    </row>
    <row r="47" spans="4:60" x14ac:dyDescent="0.3">
      <c r="S47" s="219">
        <v>2033</v>
      </c>
      <c r="T47" s="1" cm="1">
        <f t="array" aca="1" ref="T47" ca="1">IF(AND(INDIRECT("$G$" &amp; (9+T$34)) = 1, $S47 = (INDIRECT("$M$" &amp; (9+T$34)))), INDIRECT("$D$" &amp; (9+T$34)),0)</f>
        <v>0</v>
      </c>
      <c r="U47" s="1" cm="1">
        <f t="array" aca="1" ref="U47" ca="1">IF(AND(INDIRECT("$G$" &amp; (9+U$34)) = 1, $S47 = (INDIRECT("$M$" &amp; (9+U$34)))), INDIRECT("$D$" &amp; (9+U$34)),0)</f>
        <v>0</v>
      </c>
      <c r="V47" s="1" cm="1">
        <f t="array" aca="1" ref="V47" ca="1">IF(AND(INDIRECT("$G$" &amp; (9+V$34)) = 1, $S47 = (INDIRECT("$M$" &amp; (9+V$34)))), INDIRECT("$D$" &amp; (9+V$34)),0)</f>
        <v>0</v>
      </c>
      <c r="W47" s="1" cm="1">
        <f t="array" aca="1" ref="W47" ca="1">IF(AND(INDIRECT("$G$" &amp; (9+W$34)) = 1, $S47 = (INDIRECT("$M$" &amp; (9+W$34)))), INDIRECT("$D$" &amp; (9+W$34)),0)</f>
        <v>0</v>
      </c>
      <c r="X47" s="1" cm="1">
        <f t="array" aca="1" ref="X47" ca="1">IF(AND(INDIRECT("$G$" &amp; (9+X$34)) = 1, $S47 = (INDIRECT("$M$" &amp; (9+X$34)))), INDIRECT("$D$" &amp; (9+X$34)),0)</f>
        <v>0</v>
      </c>
      <c r="Y47" s="1" cm="1">
        <f t="array" aca="1" ref="Y47" ca="1">IF(AND(INDIRECT("$G$" &amp; (9+Y$34)) = 1, $S47 = (INDIRECT("$M$" &amp; (9+Y$34)))), INDIRECT("$D$" &amp; (9+Y$34)),0)</f>
        <v>0</v>
      </c>
      <c r="Z47" s="1" cm="1">
        <f t="array" aca="1" ref="Z47" ca="1">IF(AND(INDIRECT("$G$" &amp; (9+Z$34)) = 1, $S47 = (INDIRECT("$M$" &amp; (9+Z$34)))), INDIRECT("$D$" &amp; (9+Z$34)),0)</f>
        <v>0</v>
      </c>
      <c r="AA47" s="1" cm="1">
        <f t="array" aca="1" ref="AA47" ca="1">IF(AND(INDIRECT("$G$" &amp; (9+AA$34)) = 1, $S47 = (INDIRECT("$M$" &amp; (9+AA$34)))), INDIRECT("$D$" &amp; (9+AA$34)),0)</f>
        <v>0</v>
      </c>
      <c r="AB47" s="1" cm="1">
        <f t="array" aca="1" ref="AB47" ca="1">IF(AND(INDIRECT("$G$" &amp; (9+AB$34)) = 1, $S47 = (INDIRECT("$M$" &amp; (9+AB$34)))), INDIRECT("$D$" &amp; (9+AB$34)),0)</f>
        <v>0</v>
      </c>
      <c r="AC47" s="1" cm="1">
        <f t="array" aca="1" ref="AC47" ca="1">IF(AND(INDIRECT("$G$" &amp; (9+AC$34)) = 1, $S47 = (INDIRECT("$M$" &amp; (9+AC$34)))), INDIRECT("$D$" &amp; (9+AC$34)),0)</f>
        <v>0</v>
      </c>
      <c r="AD47" s="1" cm="1">
        <f t="array" aca="1" ref="AD47" ca="1">IF(AND(INDIRECT("$G$" &amp; (9+AD$34)) = 1, $S47 = (INDIRECT("$M$" &amp; (9+AD$34)))), INDIRECT("$D$" &amp; (9+AD$34)),0)</f>
        <v>0</v>
      </c>
      <c r="AE47" s="1" cm="1">
        <f t="array" aca="1" ref="AE47" ca="1">IF(AND(INDIRECT("$G$" &amp; (9+AE$34)) = 1, $S47 = (INDIRECT("$M$" &amp; (9+AE$34)))), INDIRECT("$D$" &amp; (9+AE$34)),0)</f>
        <v>0</v>
      </c>
      <c r="AF47" s="1" cm="1">
        <f t="array" aca="1" ref="AF47" ca="1">IF(AND(INDIRECT("$G$" &amp; (9+AF$34)) = 1, $S47 = (INDIRECT("$M$" &amp; (9+AF$34)))), INDIRECT("$D$" &amp; (9+AF$34)),0)</f>
        <v>0</v>
      </c>
      <c r="AG47" s="1" cm="1">
        <f t="array" aca="1" ref="AG47" ca="1">IF(AND(INDIRECT("$G$" &amp; (9+AG$34)) = 1, $S47 = (INDIRECT("$M$" &amp; (9+AG$34)))), INDIRECT("$D$" &amp; (9+AG$34)),0)</f>
        <v>0</v>
      </c>
      <c r="AH47" s="1" cm="1">
        <f t="array" aca="1" ref="AH47" ca="1">IF(AND(INDIRECT("$G$" &amp; (9+AH$34)) = 1, $S47 = (INDIRECT("$M$" &amp; (9+AH$34)))), INDIRECT("$D$" &amp; (9+AH$34)),0)</f>
        <v>0</v>
      </c>
      <c r="AI47" s="1" cm="1">
        <f t="array" aca="1" ref="AI47" ca="1">IF(AND(INDIRECT("$G$" &amp; (9+AI$34)) = 1, $S47 = (INDIRECT("$M$" &amp; (9+AI$34)))), INDIRECT("$D$" &amp; (9+AI$34)),0)</f>
        <v>0</v>
      </c>
      <c r="AJ47" s="1" cm="1">
        <f t="array" aca="1" ref="AJ47" ca="1">IF(AND(INDIRECT("$G$" &amp; (9+AJ$34)) = 1, $S47 = (INDIRECT("$M$" &amp; (9+AJ$34)))), INDIRECT("$D$" &amp; (9+AJ$34)),0)</f>
        <v>0</v>
      </c>
      <c r="AK47" s="1" cm="1">
        <f t="array" aca="1" ref="AK47" ca="1">IF(AND(INDIRECT("$G$" &amp; (9+AK$34)) = 1, $S47 = (INDIRECT("$M$" &amp; (9+AK$34)))), INDIRECT("$D$" &amp; (9+AK$34)),0)</f>
        <v>0</v>
      </c>
      <c r="AL47" s="1" cm="1">
        <f t="array" aca="1" ref="AL47" ca="1">IF(AND(INDIRECT("$G$" &amp; (9+AL$34)) = 1, $S47 = (INDIRECT("$M$" &amp; (9+AL$34)))), INDIRECT("$D$" &amp; (9+AL$34)),0)</f>
        <v>0</v>
      </c>
      <c r="AM47" s="1" cm="1">
        <f t="array" aca="1" ref="AM47" ca="1">IF(AND(INDIRECT("$G$" &amp; (9+AM$34)) = 1, $S47 = (INDIRECT("$M$" &amp; (9+AM$34)))), INDIRECT("$D$" &amp; (9+AM$34)),0)</f>
        <v>0</v>
      </c>
      <c r="AN47" s="219">
        <v>2033</v>
      </c>
      <c r="AO47" s="1" cm="1">
        <f t="array" aca="1" ref="AO47" ca="1">IF(AND(INDIRECT("$H$" &amp; (9+T$57)) = 1, $S70 = (INDIRECT("$N$" &amp; (9+T$57)))), INDIRECT("$E$" &amp; (9+T$57)),0)</f>
        <v>0</v>
      </c>
      <c r="AP47" s="1" cm="1">
        <f t="array" aca="1" ref="AP47" ca="1">IF(AND(INDIRECT("$H$" &amp; (9+U$57)) = 1, $S70 = (INDIRECT("$N$" &amp; (9+U$57)))), INDIRECT("$E$" &amp; (9+U$57)),0)</f>
        <v>0</v>
      </c>
      <c r="AQ47" s="1" cm="1">
        <f t="array" aca="1" ref="AQ47" ca="1">IF(AND(INDIRECT("$H$" &amp; (9+V$57)) = 1, $S70 = (INDIRECT("$N$" &amp; (9+V$57)))), INDIRECT("$E$" &amp; (9+V$57)),0)</f>
        <v>0</v>
      </c>
      <c r="AR47" s="1" cm="1">
        <f t="array" aca="1" ref="AR47" ca="1">IF(AND(INDIRECT("$H$" &amp; (9+W$57)) = 1, $S70 = (INDIRECT("$N$" &amp; (9+W$57)))), INDIRECT("$E$" &amp; (9+W$57)),0)</f>
        <v>0</v>
      </c>
      <c r="AS47" s="1" cm="1">
        <f t="array" aca="1" ref="AS47" ca="1">IF(AND(INDIRECT("$H$" &amp; (9+X$57)) = 1, $S70 = (INDIRECT("$N$" &amp; (9+X$57)))), INDIRECT("$E$" &amp; (9+X$57)),0)</f>
        <v>0</v>
      </c>
      <c r="AT47" s="1" cm="1">
        <f t="array" aca="1" ref="AT47" ca="1">IF(AND(INDIRECT("$H$" &amp; (9+Y$57)) = 1, $S70 = (INDIRECT("$N$" &amp; (9+Y$57)))), INDIRECT("$E$" &amp; (9+Y$57)),0)</f>
        <v>0</v>
      </c>
      <c r="AU47" s="1" cm="1">
        <f t="array" aca="1" ref="AU47" ca="1">IF(AND(INDIRECT("$H$" &amp; (9+Z$57)) = 1, $S70 = (INDIRECT("$N$" &amp; (9+Z$57)))), INDIRECT("$E$" &amp; (9+Z$57)),0)</f>
        <v>0</v>
      </c>
      <c r="AV47" s="1" cm="1">
        <f t="array" aca="1" ref="AV47" ca="1">IF(AND(INDIRECT("$H$" &amp; (9+AA$57)) = 1, $S70 = (INDIRECT("$N$" &amp; (9+AA$57)))), INDIRECT("$E$" &amp; (9+AA$57)),0)</f>
        <v>0</v>
      </c>
      <c r="AW47" s="1" cm="1">
        <f t="array" aca="1" ref="AW47" ca="1">IF(AND(INDIRECT("$H$" &amp; (9+AB$57)) = 1, $S70 = (INDIRECT("$N$" &amp; (9+AB$57)))), INDIRECT("$E$" &amp; (9+AB$57)),0)</f>
        <v>0</v>
      </c>
      <c r="AX47" s="1" cm="1">
        <f t="array" aca="1" ref="AX47" ca="1">IF(AND(INDIRECT("$H$" &amp; (9+AC$57)) = 1, $S70 = (INDIRECT("$N$" &amp; (9+AC$57)))), INDIRECT("$E$" &amp; (9+AC$57)),0)</f>
        <v>0</v>
      </c>
      <c r="AY47" s="1" cm="1">
        <f t="array" aca="1" ref="AY47" ca="1">IF(AND(INDIRECT("$H$" &amp; (9+AD$57)) = 1, $S70 = (INDIRECT("$N$" &amp; (9+AD$57)))), INDIRECT("$E$" &amp; (9+AD$57)),0)</f>
        <v>0</v>
      </c>
      <c r="AZ47" s="1" cm="1">
        <f t="array" aca="1" ref="AZ47" ca="1">IF(AND(INDIRECT("$H$" &amp; (9+AE$57)) = 1, $S70 = (INDIRECT("$N$" &amp; (9+AE$57)))), INDIRECT("$E$" &amp; (9+AE$57)),0)</f>
        <v>0</v>
      </c>
      <c r="BA47" s="1" cm="1">
        <f t="array" aca="1" ref="BA47" ca="1">IF(AND(INDIRECT("$H$" &amp; (9+AF$57)) = 1, $S70 = (INDIRECT("$N$" &amp; (9+AF$57)))), INDIRECT("$E$" &amp; (9+AF$57)),0)</f>
        <v>0</v>
      </c>
      <c r="BB47" s="1" cm="1">
        <f t="array" aca="1" ref="BB47" ca="1">IF(AND(INDIRECT("$H$" &amp; (9+AG$57)) = 1, $S70 = (INDIRECT("$N$" &amp; (9+AG$57)))), INDIRECT("$E$" &amp; (9+AG$57)),0)</f>
        <v>0</v>
      </c>
      <c r="BC47" s="1" cm="1">
        <f t="array" aca="1" ref="BC47" ca="1">IF(AND(INDIRECT("$H$" &amp; (9+AH$57)) = 1, $S70 = (INDIRECT("$N$" &amp; (9+AH$57)))), INDIRECT("$E$" &amp; (9+AH$57)),0)</f>
        <v>0</v>
      </c>
      <c r="BD47" s="1" cm="1">
        <f t="array" aca="1" ref="BD47" ca="1">IF(AND(INDIRECT("$H$" &amp; (9+AI$57)) = 1, $S70 = (INDIRECT("$N$" &amp; (9+AI$57)))), INDIRECT("$E$" &amp; (9+AI$57)),0)</f>
        <v>0</v>
      </c>
      <c r="BE47" s="1" cm="1">
        <f t="array" aca="1" ref="BE47" ca="1">IF(AND(INDIRECT("$H$" &amp; (9+AJ$57)) = 1, $S70 = (INDIRECT("$N$" &amp; (9+AJ$57)))), INDIRECT("$E$" &amp; (9+AJ$57)),0)</f>
        <v>0</v>
      </c>
      <c r="BF47" s="1" cm="1">
        <f t="array" aca="1" ref="BF47" ca="1">IF(AND(INDIRECT("$H$" &amp; (9+AK$57)) = 1, $S70 = (INDIRECT("$N$" &amp; (9+AK$57)))), INDIRECT("$E$" &amp; (9+AK$57)),0)</f>
        <v>0</v>
      </c>
      <c r="BG47" s="1" cm="1">
        <f t="array" aca="1" ref="BG47" ca="1">IF(AND(INDIRECT("$H$" &amp; (9+AL$57)) = 1, $S70 = (INDIRECT("$N$" &amp; (9+AL$57)))), INDIRECT("$E$" &amp; (9+AL$57)),0)</f>
        <v>0</v>
      </c>
      <c r="BH47" s="1" cm="1">
        <f t="array" aca="1" ref="BH47" ca="1">IF(AND(INDIRECT("$H$" &amp; (9+AM$57)) = 1, $S70 = (INDIRECT("$N$" &amp; (9+AM$57)))), INDIRECT("$E$" &amp; (9+AM$57)),0)</f>
        <v>0</v>
      </c>
    </row>
    <row r="48" spans="4:60" x14ac:dyDescent="0.3">
      <c r="S48" s="219">
        <v>2034</v>
      </c>
      <c r="T48" s="1" cm="1">
        <f t="array" aca="1" ref="T48" ca="1">IF(AND(INDIRECT("$G$" &amp; (9+T$34)) = 1, $S48 = (INDIRECT("$M$" &amp; (9+T$34)))), INDIRECT("$D$" &amp; (9+T$34)),0)</f>
        <v>0</v>
      </c>
      <c r="U48" s="1" cm="1">
        <f t="array" aca="1" ref="U48" ca="1">IF(AND(INDIRECT("$G$" &amp; (9+U$34)) = 1, $S48 = (INDIRECT("$M$" &amp; (9+U$34)))), INDIRECT("$D$" &amp; (9+U$34)),0)</f>
        <v>0</v>
      </c>
      <c r="V48" s="1" cm="1">
        <f t="array" aca="1" ref="V48" ca="1">IF(AND(INDIRECT("$G$" &amp; (9+V$34)) = 1, $S48 = (INDIRECT("$M$" &amp; (9+V$34)))), INDIRECT("$D$" &amp; (9+V$34)),0)</f>
        <v>0</v>
      </c>
      <c r="W48" s="1" cm="1">
        <f t="array" aca="1" ref="W48" ca="1">IF(AND(INDIRECT("$G$" &amp; (9+W$34)) = 1, $S48 = (INDIRECT("$M$" &amp; (9+W$34)))), INDIRECT("$D$" &amp; (9+W$34)),0)</f>
        <v>0</v>
      </c>
      <c r="X48" s="1" cm="1">
        <f t="array" aca="1" ref="X48" ca="1">IF(AND(INDIRECT("$G$" &amp; (9+X$34)) = 1, $S48 = (INDIRECT("$M$" &amp; (9+X$34)))), INDIRECT("$D$" &amp; (9+X$34)),0)</f>
        <v>0</v>
      </c>
      <c r="Y48" s="1" cm="1">
        <f t="array" aca="1" ref="Y48" ca="1">IF(AND(INDIRECT("$G$" &amp; (9+Y$34)) = 1, $S48 = (INDIRECT("$M$" &amp; (9+Y$34)))), INDIRECT("$D$" &amp; (9+Y$34)),0)</f>
        <v>0</v>
      </c>
      <c r="Z48" s="1" cm="1">
        <f t="array" aca="1" ref="Z48" ca="1">IF(AND(INDIRECT("$G$" &amp; (9+Z$34)) = 1, $S48 = (INDIRECT("$M$" &amp; (9+Z$34)))), INDIRECT("$D$" &amp; (9+Z$34)),0)</f>
        <v>0</v>
      </c>
      <c r="AA48" s="1" cm="1">
        <f t="array" aca="1" ref="AA48" ca="1">IF(AND(INDIRECT("$G$" &amp; (9+AA$34)) = 1, $S48 = (INDIRECT("$M$" &amp; (9+AA$34)))), INDIRECT("$D$" &amp; (9+AA$34)),0)</f>
        <v>0</v>
      </c>
      <c r="AB48" s="1" cm="1">
        <f t="array" aca="1" ref="AB48" ca="1">IF(AND(INDIRECT("$G$" &amp; (9+AB$34)) = 1, $S48 = (INDIRECT("$M$" &amp; (9+AB$34)))), INDIRECT("$D$" &amp; (9+AB$34)),0)</f>
        <v>0</v>
      </c>
      <c r="AC48" s="1" cm="1">
        <f t="array" aca="1" ref="AC48" ca="1">IF(AND(INDIRECT("$G$" &amp; (9+AC$34)) = 1, $S48 = (INDIRECT("$M$" &amp; (9+AC$34)))), INDIRECT("$D$" &amp; (9+AC$34)),0)</f>
        <v>0</v>
      </c>
      <c r="AD48" s="1" cm="1">
        <f t="array" aca="1" ref="AD48" ca="1">IF(AND(INDIRECT("$G$" &amp; (9+AD$34)) = 1, $S48 = (INDIRECT("$M$" &amp; (9+AD$34)))), INDIRECT("$D$" &amp; (9+AD$34)),0)</f>
        <v>0</v>
      </c>
      <c r="AE48" s="1" cm="1">
        <f t="array" aca="1" ref="AE48" ca="1">IF(AND(INDIRECT("$G$" &amp; (9+AE$34)) = 1, $S48 = (INDIRECT("$M$" &amp; (9+AE$34)))), INDIRECT("$D$" &amp; (9+AE$34)),0)</f>
        <v>0</v>
      </c>
      <c r="AF48" s="1" cm="1">
        <f t="array" aca="1" ref="AF48" ca="1">IF(AND(INDIRECT("$G$" &amp; (9+AF$34)) = 1, $S48 = (INDIRECT("$M$" &amp; (9+AF$34)))), INDIRECT("$D$" &amp; (9+AF$34)),0)</f>
        <v>0</v>
      </c>
      <c r="AG48" s="1" cm="1">
        <f t="array" aca="1" ref="AG48" ca="1">IF(AND(INDIRECT("$G$" &amp; (9+AG$34)) = 1, $S48 = (INDIRECT("$M$" &amp; (9+AG$34)))), INDIRECT("$D$" &amp; (9+AG$34)),0)</f>
        <v>0</v>
      </c>
      <c r="AH48" s="1" cm="1">
        <f t="array" aca="1" ref="AH48" ca="1">IF(AND(INDIRECT("$G$" &amp; (9+AH$34)) = 1, $S48 = (INDIRECT("$M$" &amp; (9+AH$34)))), INDIRECT("$D$" &amp; (9+AH$34)),0)</f>
        <v>0</v>
      </c>
      <c r="AI48" s="1" cm="1">
        <f t="array" aca="1" ref="AI48" ca="1">IF(AND(INDIRECT("$G$" &amp; (9+AI$34)) = 1, $S48 = (INDIRECT("$M$" &amp; (9+AI$34)))), INDIRECT("$D$" &amp; (9+AI$34)),0)</f>
        <v>0</v>
      </c>
      <c r="AJ48" s="1" cm="1">
        <f t="array" aca="1" ref="AJ48" ca="1">IF(AND(INDIRECT("$G$" &amp; (9+AJ$34)) = 1, $S48 = (INDIRECT("$M$" &amp; (9+AJ$34)))), INDIRECT("$D$" &amp; (9+AJ$34)),0)</f>
        <v>0</v>
      </c>
      <c r="AK48" s="1" cm="1">
        <f t="array" aca="1" ref="AK48" ca="1">IF(AND(INDIRECT("$G$" &amp; (9+AK$34)) = 1, $S48 = (INDIRECT("$M$" &amp; (9+AK$34)))), INDIRECT("$D$" &amp; (9+AK$34)),0)</f>
        <v>0</v>
      </c>
      <c r="AL48" s="1" cm="1">
        <f t="array" aca="1" ref="AL48" ca="1">IF(AND(INDIRECT("$G$" &amp; (9+AL$34)) = 1, $S48 = (INDIRECT("$M$" &amp; (9+AL$34)))), INDIRECT("$D$" &amp; (9+AL$34)),0)</f>
        <v>0</v>
      </c>
      <c r="AM48" s="1" cm="1">
        <f t="array" aca="1" ref="AM48" ca="1">IF(AND(INDIRECT("$G$" &amp; (9+AM$34)) = 1, $S48 = (INDIRECT("$M$" &amp; (9+AM$34)))), INDIRECT("$D$" &amp; (9+AM$34)),0)</f>
        <v>0</v>
      </c>
      <c r="AN48" s="219">
        <v>2034</v>
      </c>
      <c r="AO48" s="1" cm="1">
        <f t="array" aca="1" ref="AO48" ca="1">IF(AND(INDIRECT("$H$" &amp; (9+T$57)) = 1, $S71 = (INDIRECT("$N$" &amp; (9+T$57)))), INDIRECT("$E$" &amp; (9+T$57)),0)</f>
        <v>0</v>
      </c>
      <c r="AP48" s="1" cm="1">
        <f t="array" aca="1" ref="AP48" ca="1">IF(AND(INDIRECT("$H$" &amp; (9+U$57)) = 1, $S71 = (INDIRECT("$N$" &amp; (9+U$57)))), INDIRECT("$E$" &amp; (9+U$57)),0)</f>
        <v>0</v>
      </c>
      <c r="AQ48" s="1" cm="1">
        <f t="array" aca="1" ref="AQ48" ca="1">IF(AND(INDIRECT("$H$" &amp; (9+V$57)) = 1, $S71 = (INDIRECT("$N$" &amp; (9+V$57)))), INDIRECT("$E$" &amp; (9+V$57)),0)</f>
        <v>0</v>
      </c>
      <c r="AR48" s="1" cm="1">
        <f t="array" aca="1" ref="AR48" ca="1">IF(AND(INDIRECT("$H$" &amp; (9+W$57)) = 1, $S71 = (INDIRECT("$N$" &amp; (9+W$57)))), INDIRECT("$E$" &amp; (9+W$57)),0)</f>
        <v>0</v>
      </c>
      <c r="AS48" s="1" cm="1">
        <f t="array" aca="1" ref="AS48" ca="1">IF(AND(INDIRECT("$H$" &amp; (9+X$57)) = 1, $S71 = (INDIRECT("$N$" &amp; (9+X$57)))), INDIRECT("$E$" &amp; (9+X$57)),0)</f>
        <v>0</v>
      </c>
      <c r="AT48" s="1" cm="1">
        <f t="array" aca="1" ref="AT48" ca="1">IF(AND(INDIRECT("$H$" &amp; (9+Y$57)) = 1, $S71 = (INDIRECT("$N$" &amp; (9+Y$57)))), INDIRECT("$E$" &amp; (9+Y$57)),0)</f>
        <v>0</v>
      </c>
      <c r="AU48" s="1" cm="1">
        <f t="array" aca="1" ref="AU48" ca="1">IF(AND(INDIRECT("$H$" &amp; (9+Z$57)) = 1, $S71 = (INDIRECT("$N$" &amp; (9+Z$57)))), INDIRECT("$E$" &amp; (9+Z$57)),0)</f>
        <v>0</v>
      </c>
      <c r="AV48" s="1" cm="1">
        <f t="array" aca="1" ref="AV48" ca="1">IF(AND(INDIRECT("$H$" &amp; (9+AA$57)) = 1, $S71 = (INDIRECT("$N$" &amp; (9+AA$57)))), INDIRECT("$E$" &amp; (9+AA$57)),0)</f>
        <v>0</v>
      </c>
      <c r="AW48" s="1" cm="1">
        <f t="array" aca="1" ref="AW48" ca="1">IF(AND(INDIRECT("$H$" &amp; (9+AB$57)) = 1, $S71 = (INDIRECT("$N$" &amp; (9+AB$57)))), INDIRECT("$E$" &amp; (9+AB$57)),0)</f>
        <v>0</v>
      </c>
      <c r="AX48" s="1" cm="1">
        <f t="array" aca="1" ref="AX48" ca="1">IF(AND(INDIRECT("$H$" &amp; (9+AC$57)) = 1, $S71 = (INDIRECT("$N$" &amp; (9+AC$57)))), INDIRECT("$E$" &amp; (9+AC$57)),0)</f>
        <v>0</v>
      </c>
      <c r="AY48" s="1" cm="1">
        <f t="array" aca="1" ref="AY48" ca="1">IF(AND(INDIRECT("$H$" &amp; (9+AD$57)) = 1, $S71 = (INDIRECT("$N$" &amp; (9+AD$57)))), INDIRECT("$E$" &amp; (9+AD$57)),0)</f>
        <v>0</v>
      </c>
      <c r="AZ48" s="1" cm="1">
        <f t="array" aca="1" ref="AZ48" ca="1">IF(AND(INDIRECT("$H$" &amp; (9+AE$57)) = 1, $S71 = (INDIRECT("$N$" &amp; (9+AE$57)))), INDIRECT("$E$" &amp; (9+AE$57)),0)</f>
        <v>0</v>
      </c>
      <c r="BA48" s="1" cm="1">
        <f t="array" aca="1" ref="BA48" ca="1">IF(AND(INDIRECT("$H$" &amp; (9+AF$57)) = 1, $S71 = (INDIRECT("$N$" &amp; (9+AF$57)))), INDIRECT("$E$" &amp; (9+AF$57)),0)</f>
        <v>0</v>
      </c>
      <c r="BB48" s="1" cm="1">
        <f t="array" aca="1" ref="BB48" ca="1">IF(AND(INDIRECT("$H$" &amp; (9+AG$57)) = 1, $S71 = (INDIRECT("$N$" &amp; (9+AG$57)))), INDIRECT("$E$" &amp; (9+AG$57)),0)</f>
        <v>0</v>
      </c>
      <c r="BC48" s="1" cm="1">
        <f t="array" aca="1" ref="BC48" ca="1">IF(AND(INDIRECT("$H$" &amp; (9+AH$57)) = 1, $S71 = (INDIRECT("$N$" &amp; (9+AH$57)))), INDIRECT("$E$" &amp; (9+AH$57)),0)</f>
        <v>0</v>
      </c>
      <c r="BD48" s="1" cm="1">
        <f t="array" aca="1" ref="BD48" ca="1">IF(AND(INDIRECT("$H$" &amp; (9+AI$57)) = 1, $S71 = (INDIRECT("$N$" &amp; (9+AI$57)))), INDIRECT("$E$" &amp; (9+AI$57)),0)</f>
        <v>0</v>
      </c>
      <c r="BE48" s="1" cm="1">
        <f t="array" aca="1" ref="BE48" ca="1">IF(AND(INDIRECT("$H$" &amp; (9+AJ$57)) = 1, $S71 = (INDIRECT("$N$" &amp; (9+AJ$57)))), INDIRECT("$E$" &amp; (9+AJ$57)),0)</f>
        <v>0</v>
      </c>
      <c r="BF48" s="1" cm="1">
        <f t="array" aca="1" ref="BF48" ca="1">IF(AND(INDIRECT("$H$" &amp; (9+AK$57)) = 1, $S71 = (INDIRECT("$N$" &amp; (9+AK$57)))), INDIRECT("$E$" &amp; (9+AK$57)),0)</f>
        <v>0</v>
      </c>
      <c r="BG48" s="1" cm="1">
        <f t="array" aca="1" ref="BG48" ca="1">IF(AND(INDIRECT("$H$" &amp; (9+AL$57)) = 1, $S71 = (INDIRECT("$N$" &amp; (9+AL$57)))), INDIRECT("$E$" &amp; (9+AL$57)),0)</f>
        <v>0</v>
      </c>
      <c r="BH48" s="1" cm="1">
        <f t="array" aca="1" ref="BH48" ca="1">IF(AND(INDIRECT("$H$" &amp; (9+AM$57)) = 1, $S71 = (INDIRECT("$N$" &amp; (9+AM$57)))), INDIRECT("$E$" &amp; (9+AM$57)),0)</f>
        <v>0</v>
      </c>
    </row>
    <row r="49" spans="19:60" x14ac:dyDescent="0.3">
      <c r="S49" s="219">
        <v>2035</v>
      </c>
      <c r="T49" s="1" cm="1">
        <f t="array" aca="1" ref="T49" ca="1">IF(AND(INDIRECT("$G$" &amp; (9+T$34)) = 1, $S49 = (INDIRECT("$M$" &amp; (9+T$34)))), INDIRECT("$D$" &amp; (9+T$34)),0)</f>
        <v>0</v>
      </c>
      <c r="U49" s="1" cm="1">
        <f t="array" aca="1" ref="U49" ca="1">IF(AND(INDIRECT("$G$" &amp; (9+U$34)) = 1, $S49 = (INDIRECT("$M$" &amp; (9+U$34)))), INDIRECT("$D$" &amp; (9+U$34)),0)</f>
        <v>0</v>
      </c>
      <c r="V49" s="1" cm="1">
        <f t="array" aca="1" ref="V49" ca="1">IF(AND(INDIRECT("$G$" &amp; (9+V$34)) = 1, $S49 = (INDIRECT("$M$" &amp; (9+V$34)))), INDIRECT("$D$" &amp; (9+V$34)),0)</f>
        <v>0</v>
      </c>
      <c r="W49" s="1" cm="1">
        <f t="array" aca="1" ref="W49" ca="1">IF(AND(INDIRECT("$G$" &amp; (9+W$34)) = 1, $S49 = (INDIRECT("$M$" &amp; (9+W$34)))), INDIRECT("$D$" &amp; (9+W$34)),0)</f>
        <v>0</v>
      </c>
      <c r="X49" s="1" cm="1">
        <f t="array" aca="1" ref="X49" ca="1">IF(AND(INDIRECT("$G$" &amp; (9+X$34)) = 1, $S49 = (INDIRECT("$M$" &amp; (9+X$34)))), INDIRECT("$D$" &amp; (9+X$34)),0)</f>
        <v>0</v>
      </c>
      <c r="Y49" s="1" cm="1">
        <f t="array" aca="1" ref="Y49" ca="1">IF(AND(INDIRECT("$G$" &amp; (9+Y$34)) = 1, $S49 = (INDIRECT("$M$" &amp; (9+Y$34)))), INDIRECT("$D$" &amp; (9+Y$34)),0)</f>
        <v>0</v>
      </c>
      <c r="Z49" s="1" cm="1">
        <f t="array" aca="1" ref="Z49" ca="1">IF(AND(INDIRECT("$G$" &amp; (9+Z$34)) = 1, $S49 = (INDIRECT("$M$" &amp; (9+Z$34)))), INDIRECT("$D$" &amp; (9+Z$34)),0)</f>
        <v>0</v>
      </c>
      <c r="AA49" s="1" cm="1">
        <f t="array" aca="1" ref="AA49" ca="1">IF(AND(INDIRECT("$G$" &amp; (9+AA$34)) = 1, $S49 = (INDIRECT("$M$" &amp; (9+AA$34)))), INDIRECT("$D$" &amp; (9+AA$34)),0)</f>
        <v>0</v>
      </c>
      <c r="AB49" s="1" cm="1">
        <f t="array" aca="1" ref="AB49" ca="1">IF(AND(INDIRECT("$G$" &amp; (9+AB$34)) = 1, $S49 = (INDIRECT("$M$" &amp; (9+AB$34)))), INDIRECT("$D$" &amp; (9+AB$34)),0)</f>
        <v>0</v>
      </c>
      <c r="AC49" s="1" cm="1">
        <f t="array" aca="1" ref="AC49" ca="1">IF(AND(INDIRECT("$G$" &amp; (9+AC$34)) = 1, $S49 = (INDIRECT("$M$" &amp; (9+AC$34)))), INDIRECT("$D$" &amp; (9+AC$34)),0)</f>
        <v>0</v>
      </c>
      <c r="AD49" s="1" cm="1">
        <f t="array" aca="1" ref="AD49" ca="1">IF(AND(INDIRECT("$G$" &amp; (9+AD$34)) = 1, $S49 = (INDIRECT("$M$" &amp; (9+AD$34)))), INDIRECT("$D$" &amp; (9+AD$34)),0)</f>
        <v>0</v>
      </c>
      <c r="AE49" s="1" cm="1">
        <f t="array" aca="1" ref="AE49" ca="1">IF(AND(INDIRECT("$G$" &amp; (9+AE$34)) = 1, $S49 = (INDIRECT("$M$" &amp; (9+AE$34)))), INDIRECT("$D$" &amp; (9+AE$34)),0)</f>
        <v>0</v>
      </c>
      <c r="AF49" s="1" cm="1">
        <f t="array" aca="1" ref="AF49" ca="1">IF(AND(INDIRECT("$G$" &amp; (9+AF$34)) = 1, $S49 = (INDIRECT("$M$" &amp; (9+AF$34)))), INDIRECT("$D$" &amp; (9+AF$34)),0)</f>
        <v>0</v>
      </c>
      <c r="AG49" s="1" cm="1">
        <f t="array" aca="1" ref="AG49" ca="1">IF(AND(INDIRECT("$G$" &amp; (9+AG$34)) = 1, $S49 = (INDIRECT("$M$" &amp; (9+AG$34)))), INDIRECT("$D$" &amp; (9+AG$34)),0)</f>
        <v>0</v>
      </c>
      <c r="AH49" s="1" cm="1">
        <f t="array" aca="1" ref="AH49" ca="1">IF(AND(INDIRECT("$G$" &amp; (9+AH$34)) = 1, $S49 = (INDIRECT("$M$" &amp; (9+AH$34)))), INDIRECT("$D$" &amp; (9+AH$34)),0)</f>
        <v>0</v>
      </c>
      <c r="AI49" s="1" cm="1">
        <f t="array" aca="1" ref="AI49" ca="1">IF(AND(INDIRECT("$G$" &amp; (9+AI$34)) = 1, $S49 = (INDIRECT("$M$" &amp; (9+AI$34)))), INDIRECT("$D$" &amp; (9+AI$34)),0)</f>
        <v>0</v>
      </c>
      <c r="AJ49" s="1" cm="1">
        <f t="array" aca="1" ref="AJ49" ca="1">IF(AND(INDIRECT("$G$" &amp; (9+AJ$34)) = 1, $S49 = (INDIRECT("$M$" &amp; (9+AJ$34)))), INDIRECT("$D$" &amp; (9+AJ$34)),0)</f>
        <v>0</v>
      </c>
      <c r="AK49" s="1" cm="1">
        <f t="array" aca="1" ref="AK49" ca="1">IF(AND(INDIRECT("$G$" &amp; (9+AK$34)) = 1, $S49 = (INDIRECT("$M$" &amp; (9+AK$34)))), INDIRECT("$D$" &amp; (9+AK$34)),0)</f>
        <v>0</v>
      </c>
      <c r="AL49" s="1" cm="1">
        <f t="array" aca="1" ref="AL49" ca="1">IF(AND(INDIRECT("$G$" &amp; (9+AL$34)) = 1, $S49 = (INDIRECT("$M$" &amp; (9+AL$34)))), INDIRECT("$D$" &amp; (9+AL$34)),0)</f>
        <v>0</v>
      </c>
      <c r="AM49" s="1" cm="1">
        <f t="array" aca="1" ref="AM49" ca="1">IF(AND(INDIRECT("$G$" &amp; (9+AM$34)) = 1, $S49 = (INDIRECT("$M$" &amp; (9+AM$34)))), INDIRECT("$D$" &amp; (9+AM$34)),0)</f>
        <v>0</v>
      </c>
      <c r="AN49" s="219">
        <v>2035</v>
      </c>
      <c r="AO49" s="1" cm="1">
        <f t="array" aca="1" ref="AO49" ca="1">IF(AND(INDIRECT("$H$" &amp; (9+T$57)) = 1, $S72 = (INDIRECT("$N$" &amp; (9+T$57)))), INDIRECT("$E$" &amp; (9+T$57)),0)</f>
        <v>0</v>
      </c>
      <c r="AP49" s="1" cm="1">
        <f t="array" aca="1" ref="AP49" ca="1">IF(AND(INDIRECT("$H$" &amp; (9+U$57)) = 1, $S72 = (INDIRECT("$N$" &amp; (9+U$57)))), INDIRECT("$E$" &amp; (9+U$57)),0)</f>
        <v>0</v>
      </c>
      <c r="AQ49" s="1" cm="1">
        <f t="array" aca="1" ref="AQ49" ca="1">IF(AND(INDIRECT("$H$" &amp; (9+V$57)) = 1, $S72 = (INDIRECT("$N$" &amp; (9+V$57)))), INDIRECT("$E$" &amp; (9+V$57)),0)</f>
        <v>0</v>
      </c>
      <c r="AR49" s="1" cm="1">
        <f t="array" aca="1" ref="AR49" ca="1">IF(AND(INDIRECT("$H$" &amp; (9+W$57)) = 1, $S72 = (INDIRECT("$N$" &amp; (9+W$57)))), INDIRECT("$E$" &amp; (9+W$57)),0)</f>
        <v>0</v>
      </c>
      <c r="AS49" s="1" cm="1">
        <f t="array" aca="1" ref="AS49" ca="1">IF(AND(INDIRECT("$H$" &amp; (9+X$57)) = 1, $S72 = (INDIRECT("$N$" &amp; (9+X$57)))), INDIRECT("$E$" &amp; (9+X$57)),0)</f>
        <v>0</v>
      </c>
      <c r="AT49" s="1" cm="1">
        <f t="array" aca="1" ref="AT49" ca="1">IF(AND(INDIRECT("$H$" &amp; (9+Y$57)) = 1, $S72 = (INDIRECT("$N$" &amp; (9+Y$57)))), INDIRECT("$E$" &amp; (9+Y$57)),0)</f>
        <v>0</v>
      </c>
      <c r="AU49" s="1" cm="1">
        <f t="array" aca="1" ref="AU49" ca="1">IF(AND(INDIRECT("$H$" &amp; (9+Z$57)) = 1, $S72 = (INDIRECT("$N$" &amp; (9+Z$57)))), INDIRECT("$E$" &amp; (9+Z$57)),0)</f>
        <v>0</v>
      </c>
      <c r="AV49" s="1" cm="1">
        <f t="array" aca="1" ref="AV49" ca="1">IF(AND(INDIRECT("$H$" &amp; (9+AA$57)) = 1, $S72 = (INDIRECT("$N$" &amp; (9+AA$57)))), INDIRECT("$E$" &amp; (9+AA$57)),0)</f>
        <v>0</v>
      </c>
      <c r="AW49" s="1" cm="1">
        <f t="array" aca="1" ref="AW49" ca="1">IF(AND(INDIRECT("$H$" &amp; (9+AB$57)) = 1, $S72 = (INDIRECT("$N$" &amp; (9+AB$57)))), INDIRECT("$E$" &amp; (9+AB$57)),0)</f>
        <v>0</v>
      </c>
      <c r="AX49" s="1" cm="1">
        <f t="array" aca="1" ref="AX49" ca="1">IF(AND(INDIRECT("$H$" &amp; (9+AC$57)) = 1, $S72 = (INDIRECT("$N$" &amp; (9+AC$57)))), INDIRECT("$E$" &amp; (9+AC$57)),0)</f>
        <v>0</v>
      </c>
      <c r="AY49" s="1" cm="1">
        <f t="array" aca="1" ref="AY49" ca="1">IF(AND(INDIRECT("$H$" &amp; (9+AD$57)) = 1, $S72 = (INDIRECT("$N$" &amp; (9+AD$57)))), INDIRECT("$E$" &amp; (9+AD$57)),0)</f>
        <v>0</v>
      </c>
      <c r="AZ49" s="1" cm="1">
        <f t="array" aca="1" ref="AZ49" ca="1">IF(AND(INDIRECT("$H$" &amp; (9+AE$57)) = 1, $S72 = (INDIRECT("$N$" &amp; (9+AE$57)))), INDIRECT("$E$" &amp; (9+AE$57)),0)</f>
        <v>0</v>
      </c>
      <c r="BA49" s="1" cm="1">
        <f t="array" aca="1" ref="BA49" ca="1">IF(AND(INDIRECT("$H$" &amp; (9+AF$57)) = 1, $S72 = (INDIRECT("$N$" &amp; (9+AF$57)))), INDIRECT("$E$" &amp; (9+AF$57)),0)</f>
        <v>0</v>
      </c>
      <c r="BB49" s="1" cm="1">
        <f t="array" aca="1" ref="BB49" ca="1">IF(AND(INDIRECT("$H$" &amp; (9+AG$57)) = 1, $S72 = (INDIRECT("$N$" &amp; (9+AG$57)))), INDIRECT("$E$" &amp; (9+AG$57)),0)</f>
        <v>0</v>
      </c>
      <c r="BC49" s="1" cm="1">
        <f t="array" aca="1" ref="BC49" ca="1">IF(AND(INDIRECT("$H$" &amp; (9+AH$57)) = 1, $S72 = (INDIRECT("$N$" &amp; (9+AH$57)))), INDIRECT("$E$" &amp; (9+AH$57)),0)</f>
        <v>0</v>
      </c>
      <c r="BD49" s="1" cm="1">
        <f t="array" aca="1" ref="BD49" ca="1">IF(AND(INDIRECT("$H$" &amp; (9+AI$57)) = 1, $S72 = (INDIRECT("$N$" &amp; (9+AI$57)))), INDIRECT("$E$" &amp; (9+AI$57)),0)</f>
        <v>0</v>
      </c>
      <c r="BE49" s="1" cm="1">
        <f t="array" aca="1" ref="BE49" ca="1">IF(AND(INDIRECT("$H$" &amp; (9+AJ$57)) = 1, $S72 = (INDIRECT("$N$" &amp; (9+AJ$57)))), INDIRECT("$E$" &amp; (9+AJ$57)),0)</f>
        <v>0</v>
      </c>
      <c r="BF49" s="1" cm="1">
        <f t="array" aca="1" ref="BF49" ca="1">IF(AND(INDIRECT("$H$" &amp; (9+AK$57)) = 1, $S72 = (INDIRECT("$N$" &amp; (9+AK$57)))), INDIRECT("$E$" &amp; (9+AK$57)),0)</f>
        <v>0</v>
      </c>
      <c r="BG49" s="1" cm="1">
        <f t="array" aca="1" ref="BG49" ca="1">IF(AND(INDIRECT("$H$" &amp; (9+AL$57)) = 1, $S72 = (INDIRECT("$N$" &amp; (9+AL$57)))), INDIRECT("$E$" &amp; (9+AL$57)),0)</f>
        <v>0</v>
      </c>
      <c r="BH49" s="1" cm="1">
        <f t="array" aca="1" ref="BH49" ca="1">IF(AND(INDIRECT("$H$" &amp; (9+AM$57)) = 1, $S72 = (INDIRECT("$N$" &amp; (9+AM$57)))), INDIRECT("$E$" &amp; (9+AM$57)),0)</f>
        <v>0</v>
      </c>
    </row>
    <row r="50" spans="19:60" x14ac:dyDescent="0.3">
      <c r="S50" s="219">
        <v>2036</v>
      </c>
      <c r="T50" s="1" cm="1">
        <f t="array" aca="1" ref="T50" ca="1">IF(AND(INDIRECT("$G$" &amp; (9+T$34)) = 1, $S50 = (INDIRECT("$M$" &amp; (9+T$34)))), INDIRECT("$D$" &amp; (9+T$34)),0)</f>
        <v>0</v>
      </c>
      <c r="U50" s="1" cm="1">
        <f t="array" aca="1" ref="U50" ca="1">IF(AND(INDIRECT("$G$" &amp; (9+U$34)) = 1, $S50 = (INDIRECT("$M$" &amp; (9+U$34)))), INDIRECT("$D$" &amp; (9+U$34)),0)</f>
        <v>0</v>
      </c>
      <c r="V50" s="1" cm="1">
        <f t="array" aca="1" ref="V50" ca="1">IF(AND(INDIRECT("$G$" &amp; (9+V$34)) = 1, $S50 = (INDIRECT("$M$" &amp; (9+V$34)))), INDIRECT("$D$" &amp; (9+V$34)),0)</f>
        <v>0</v>
      </c>
      <c r="W50" s="1" cm="1">
        <f t="array" aca="1" ref="W50" ca="1">IF(AND(INDIRECT("$G$" &amp; (9+W$34)) = 1, $S50 = (INDIRECT("$M$" &amp; (9+W$34)))), INDIRECT("$D$" &amp; (9+W$34)),0)</f>
        <v>0</v>
      </c>
      <c r="X50" s="1" cm="1">
        <f t="array" aca="1" ref="X50" ca="1">IF(AND(INDIRECT("$G$" &amp; (9+X$34)) = 1, $S50 = (INDIRECT("$M$" &amp; (9+X$34)))), INDIRECT("$D$" &amp; (9+X$34)),0)</f>
        <v>0</v>
      </c>
      <c r="Y50" s="1" cm="1">
        <f t="array" aca="1" ref="Y50" ca="1">IF(AND(INDIRECT("$G$" &amp; (9+Y$34)) = 1, $S50 = (INDIRECT("$M$" &amp; (9+Y$34)))), INDIRECT("$D$" &amp; (9+Y$34)),0)</f>
        <v>0</v>
      </c>
      <c r="Z50" s="1" cm="1">
        <f t="array" aca="1" ref="Z50" ca="1">IF(AND(INDIRECT("$G$" &amp; (9+Z$34)) = 1, $S50 = (INDIRECT("$M$" &amp; (9+Z$34)))), INDIRECT("$D$" &amp; (9+Z$34)),0)</f>
        <v>0</v>
      </c>
      <c r="AA50" s="1" cm="1">
        <f t="array" aca="1" ref="AA50" ca="1">IF(AND(INDIRECT("$G$" &amp; (9+AA$34)) = 1, $S50 = (INDIRECT("$M$" &amp; (9+AA$34)))), INDIRECT("$D$" &amp; (9+AA$34)),0)</f>
        <v>0</v>
      </c>
      <c r="AB50" s="1" cm="1">
        <f t="array" aca="1" ref="AB50" ca="1">IF(AND(INDIRECT("$G$" &amp; (9+AB$34)) = 1, $S50 = (INDIRECT("$M$" &amp; (9+AB$34)))), INDIRECT("$D$" &amp; (9+AB$34)),0)</f>
        <v>0</v>
      </c>
      <c r="AC50" s="1" cm="1">
        <f t="array" aca="1" ref="AC50" ca="1">IF(AND(INDIRECT("$G$" &amp; (9+AC$34)) = 1, $S50 = (INDIRECT("$M$" &amp; (9+AC$34)))), INDIRECT("$D$" &amp; (9+AC$34)),0)</f>
        <v>0</v>
      </c>
      <c r="AD50" s="1" cm="1">
        <f t="array" aca="1" ref="AD50" ca="1">IF(AND(INDIRECT("$G$" &amp; (9+AD$34)) = 1, $S50 = (INDIRECT("$M$" &amp; (9+AD$34)))), INDIRECT("$D$" &amp; (9+AD$34)),0)</f>
        <v>0</v>
      </c>
      <c r="AE50" s="1" cm="1">
        <f t="array" aca="1" ref="AE50" ca="1">IF(AND(INDIRECT("$G$" &amp; (9+AE$34)) = 1, $S50 = (INDIRECT("$M$" &amp; (9+AE$34)))), INDIRECT("$D$" &amp; (9+AE$34)),0)</f>
        <v>0</v>
      </c>
      <c r="AF50" s="1" cm="1">
        <f t="array" aca="1" ref="AF50" ca="1">IF(AND(INDIRECT("$G$" &amp; (9+AF$34)) = 1, $S50 = (INDIRECT("$M$" &amp; (9+AF$34)))), INDIRECT("$D$" &amp; (9+AF$34)),0)</f>
        <v>0</v>
      </c>
      <c r="AG50" s="1" cm="1">
        <f t="array" aca="1" ref="AG50" ca="1">IF(AND(INDIRECT("$G$" &amp; (9+AG$34)) = 1, $S50 = (INDIRECT("$M$" &amp; (9+AG$34)))), INDIRECT("$D$" &amp; (9+AG$34)),0)</f>
        <v>0</v>
      </c>
      <c r="AH50" s="1" cm="1">
        <f t="array" aca="1" ref="AH50" ca="1">IF(AND(INDIRECT("$G$" &amp; (9+AH$34)) = 1, $S50 = (INDIRECT("$M$" &amp; (9+AH$34)))), INDIRECT("$D$" &amp; (9+AH$34)),0)</f>
        <v>0</v>
      </c>
      <c r="AI50" s="1" cm="1">
        <f t="array" aca="1" ref="AI50" ca="1">IF(AND(INDIRECT("$G$" &amp; (9+AI$34)) = 1, $S50 = (INDIRECT("$M$" &amp; (9+AI$34)))), INDIRECT("$D$" &amp; (9+AI$34)),0)</f>
        <v>0</v>
      </c>
      <c r="AJ50" s="1" cm="1">
        <f t="array" aca="1" ref="AJ50" ca="1">IF(AND(INDIRECT("$G$" &amp; (9+AJ$34)) = 1, $S50 = (INDIRECT("$M$" &amp; (9+AJ$34)))), INDIRECT("$D$" &amp; (9+AJ$34)),0)</f>
        <v>0</v>
      </c>
      <c r="AK50" s="1" cm="1">
        <f t="array" aca="1" ref="AK50" ca="1">IF(AND(INDIRECT("$G$" &amp; (9+AK$34)) = 1, $S50 = (INDIRECT("$M$" &amp; (9+AK$34)))), INDIRECT("$D$" &amp; (9+AK$34)),0)</f>
        <v>0</v>
      </c>
      <c r="AL50" s="1" cm="1">
        <f t="array" aca="1" ref="AL50" ca="1">IF(AND(INDIRECT("$G$" &amp; (9+AL$34)) = 1, $S50 = (INDIRECT("$M$" &amp; (9+AL$34)))), INDIRECT("$D$" &amp; (9+AL$34)),0)</f>
        <v>0</v>
      </c>
      <c r="AM50" s="1" cm="1">
        <f t="array" aca="1" ref="AM50" ca="1">IF(AND(INDIRECT("$G$" &amp; (9+AM$34)) = 1, $S50 = (INDIRECT("$M$" &amp; (9+AM$34)))), INDIRECT("$D$" &amp; (9+AM$34)),0)</f>
        <v>0</v>
      </c>
      <c r="AN50" s="219">
        <v>2036</v>
      </c>
      <c r="AO50" s="1" cm="1">
        <f t="array" aca="1" ref="AO50" ca="1">IF(AND(INDIRECT("$H$" &amp; (9+T$57)) = 1, $S73 = (INDIRECT("$N$" &amp; (9+T$57)))), INDIRECT("$E$" &amp; (9+T$57)),0)</f>
        <v>0</v>
      </c>
      <c r="AP50" s="1" cm="1">
        <f t="array" aca="1" ref="AP50" ca="1">IF(AND(INDIRECT("$H$" &amp; (9+U$57)) = 1, $S73 = (INDIRECT("$N$" &amp; (9+U$57)))), INDIRECT("$E$" &amp; (9+U$57)),0)</f>
        <v>0</v>
      </c>
      <c r="AQ50" s="1" cm="1">
        <f t="array" aca="1" ref="AQ50" ca="1">IF(AND(INDIRECT("$H$" &amp; (9+V$57)) = 1, $S73 = (INDIRECT("$N$" &amp; (9+V$57)))), INDIRECT("$E$" &amp; (9+V$57)),0)</f>
        <v>0</v>
      </c>
      <c r="AR50" s="1" cm="1">
        <f t="array" aca="1" ref="AR50" ca="1">IF(AND(INDIRECT("$H$" &amp; (9+W$57)) = 1, $S73 = (INDIRECT("$N$" &amp; (9+W$57)))), INDIRECT("$E$" &amp; (9+W$57)),0)</f>
        <v>0</v>
      </c>
      <c r="AS50" s="1" cm="1">
        <f t="array" aca="1" ref="AS50" ca="1">IF(AND(INDIRECT("$H$" &amp; (9+X$57)) = 1, $S73 = (INDIRECT("$N$" &amp; (9+X$57)))), INDIRECT("$E$" &amp; (9+X$57)),0)</f>
        <v>0</v>
      </c>
      <c r="AT50" s="1" cm="1">
        <f t="array" aca="1" ref="AT50" ca="1">IF(AND(INDIRECT("$H$" &amp; (9+Y$57)) = 1, $S73 = (INDIRECT("$N$" &amp; (9+Y$57)))), INDIRECT("$E$" &amp; (9+Y$57)),0)</f>
        <v>0</v>
      </c>
      <c r="AU50" s="1" cm="1">
        <f t="array" aca="1" ref="AU50" ca="1">IF(AND(INDIRECT("$H$" &amp; (9+Z$57)) = 1, $S73 = (INDIRECT("$N$" &amp; (9+Z$57)))), INDIRECT("$E$" &amp; (9+Z$57)),0)</f>
        <v>0</v>
      </c>
      <c r="AV50" s="1" cm="1">
        <f t="array" aca="1" ref="AV50" ca="1">IF(AND(INDIRECT("$H$" &amp; (9+AA$57)) = 1, $S73 = (INDIRECT("$N$" &amp; (9+AA$57)))), INDIRECT("$E$" &amp; (9+AA$57)),0)</f>
        <v>0</v>
      </c>
      <c r="AW50" s="1" cm="1">
        <f t="array" aca="1" ref="AW50" ca="1">IF(AND(INDIRECT("$H$" &amp; (9+AB$57)) = 1, $S73 = (INDIRECT("$N$" &amp; (9+AB$57)))), INDIRECT("$E$" &amp; (9+AB$57)),0)</f>
        <v>0</v>
      </c>
      <c r="AX50" s="1" cm="1">
        <f t="array" aca="1" ref="AX50" ca="1">IF(AND(INDIRECT("$H$" &amp; (9+AC$57)) = 1, $S73 = (INDIRECT("$N$" &amp; (9+AC$57)))), INDIRECT("$E$" &amp; (9+AC$57)),0)</f>
        <v>0</v>
      </c>
      <c r="AY50" s="1" cm="1">
        <f t="array" aca="1" ref="AY50" ca="1">IF(AND(INDIRECT("$H$" &amp; (9+AD$57)) = 1, $S73 = (INDIRECT("$N$" &amp; (9+AD$57)))), INDIRECT("$E$" &amp; (9+AD$57)),0)</f>
        <v>0</v>
      </c>
      <c r="AZ50" s="1" cm="1">
        <f t="array" aca="1" ref="AZ50" ca="1">IF(AND(INDIRECT("$H$" &amp; (9+AE$57)) = 1, $S73 = (INDIRECT("$N$" &amp; (9+AE$57)))), INDIRECT("$E$" &amp; (9+AE$57)),0)</f>
        <v>0</v>
      </c>
      <c r="BA50" s="1" cm="1">
        <f t="array" aca="1" ref="BA50" ca="1">IF(AND(INDIRECT("$H$" &amp; (9+AF$57)) = 1, $S73 = (INDIRECT("$N$" &amp; (9+AF$57)))), INDIRECT("$E$" &amp; (9+AF$57)),0)</f>
        <v>0</v>
      </c>
      <c r="BB50" s="1" cm="1">
        <f t="array" aca="1" ref="BB50" ca="1">IF(AND(INDIRECT("$H$" &amp; (9+AG$57)) = 1, $S73 = (INDIRECT("$N$" &amp; (9+AG$57)))), INDIRECT("$E$" &amp; (9+AG$57)),0)</f>
        <v>0</v>
      </c>
      <c r="BC50" s="1" cm="1">
        <f t="array" aca="1" ref="BC50" ca="1">IF(AND(INDIRECT("$H$" &amp; (9+AH$57)) = 1, $S73 = (INDIRECT("$N$" &amp; (9+AH$57)))), INDIRECT("$E$" &amp; (9+AH$57)),0)</f>
        <v>0</v>
      </c>
      <c r="BD50" s="1" cm="1">
        <f t="array" aca="1" ref="BD50" ca="1">IF(AND(INDIRECT("$H$" &amp; (9+AI$57)) = 1, $S73 = (INDIRECT("$N$" &amp; (9+AI$57)))), INDIRECT("$E$" &amp; (9+AI$57)),0)</f>
        <v>0</v>
      </c>
      <c r="BE50" s="1" cm="1">
        <f t="array" aca="1" ref="BE50" ca="1">IF(AND(INDIRECT("$H$" &amp; (9+AJ$57)) = 1, $S73 = (INDIRECT("$N$" &amp; (9+AJ$57)))), INDIRECT("$E$" &amp; (9+AJ$57)),0)</f>
        <v>0</v>
      </c>
      <c r="BF50" s="1" cm="1">
        <f t="array" aca="1" ref="BF50" ca="1">IF(AND(INDIRECT("$H$" &amp; (9+AK$57)) = 1, $S73 = (INDIRECT("$N$" &amp; (9+AK$57)))), INDIRECT("$E$" &amp; (9+AK$57)),0)</f>
        <v>0</v>
      </c>
      <c r="BG50" s="1" cm="1">
        <f t="array" aca="1" ref="BG50" ca="1">IF(AND(INDIRECT("$H$" &amp; (9+AL$57)) = 1, $S73 = (INDIRECT("$N$" &amp; (9+AL$57)))), INDIRECT("$E$" &amp; (9+AL$57)),0)</f>
        <v>0</v>
      </c>
      <c r="BH50" s="1" cm="1">
        <f t="array" aca="1" ref="BH50" ca="1">IF(AND(INDIRECT("$H$" &amp; (9+AM$57)) = 1, $S73 = (INDIRECT("$N$" &amp; (9+AM$57)))), INDIRECT("$E$" &amp; (9+AM$57)),0)</f>
        <v>0</v>
      </c>
    </row>
    <row r="51" spans="19:60" x14ac:dyDescent="0.3">
      <c r="S51" s="219">
        <v>2037</v>
      </c>
      <c r="T51" s="1" cm="1">
        <f t="array" aca="1" ref="T51" ca="1">IF(AND(INDIRECT("$G$" &amp; (9+T$34)) = 1, $S51 = (INDIRECT("$M$" &amp; (9+T$34)))), INDIRECT("$D$" &amp; (9+T$34)),0)</f>
        <v>0</v>
      </c>
      <c r="U51" s="1" cm="1">
        <f t="array" aca="1" ref="U51" ca="1">IF(AND(INDIRECT("$G$" &amp; (9+U$34)) = 1, $S51 = (INDIRECT("$M$" &amp; (9+U$34)))), INDIRECT("$D$" &amp; (9+U$34)),0)</f>
        <v>0</v>
      </c>
      <c r="V51" s="1" cm="1">
        <f t="array" aca="1" ref="V51" ca="1">IF(AND(INDIRECT("$G$" &amp; (9+V$34)) = 1, $S51 = (INDIRECT("$M$" &amp; (9+V$34)))), INDIRECT("$D$" &amp; (9+V$34)),0)</f>
        <v>0</v>
      </c>
      <c r="W51" s="1" cm="1">
        <f t="array" aca="1" ref="W51" ca="1">IF(AND(INDIRECT("$G$" &amp; (9+W$34)) = 1, $S51 = (INDIRECT("$M$" &amp; (9+W$34)))), INDIRECT("$D$" &amp; (9+W$34)),0)</f>
        <v>0</v>
      </c>
      <c r="X51" s="1" cm="1">
        <f t="array" aca="1" ref="X51" ca="1">IF(AND(INDIRECT("$G$" &amp; (9+X$34)) = 1, $S51 = (INDIRECT("$M$" &amp; (9+X$34)))), INDIRECT("$D$" &amp; (9+X$34)),0)</f>
        <v>0</v>
      </c>
      <c r="Y51" s="1" cm="1">
        <f t="array" aca="1" ref="Y51" ca="1">IF(AND(INDIRECT("$G$" &amp; (9+Y$34)) = 1, $S51 = (INDIRECT("$M$" &amp; (9+Y$34)))), INDIRECT("$D$" &amp; (9+Y$34)),0)</f>
        <v>0</v>
      </c>
      <c r="Z51" s="1" cm="1">
        <f t="array" aca="1" ref="Z51" ca="1">IF(AND(INDIRECT("$G$" &amp; (9+Z$34)) = 1, $S51 = (INDIRECT("$M$" &amp; (9+Z$34)))), INDIRECT("$D$" &amp; (9+Z$34)),0)</f>
        <v>0</v>
      </c>
      <c r="AA51" s="1" cm="1">
        <f t="array" aca="1" ref="AA51" ca="1">IF(AND(INDIRECT("$G$" &amp; (9+AA$34)) = 1, $S51 = (INDIRECT("$M$" &amp; (9+AA$34)))), INDIRECT("$D$" &amp; (9+AA$34)),0)</f>
        <v>0</v>
      </c>
      <c r="AB51" s="1" cm="1">
        <f t="array" aca="1" ref="AB51" ca="1">IF(AND(INDIRECT("$G$" &amp; (9+AB$34)) = 1, $S51 = (INDIRECT("$M$" &amp; (9+AB$34)))), INDIRECT("$D$" &amp; (9+AB$34)),0)</f>
        <v>0</v>
      </c>
      <c r="AC51" s="1" cm="1">
        <f t="array" aca="1" ref="AC51" ca="1">IF(AND(INDIRECT("$G$" &amp; (9+AC$34)) = 1, $S51 = (INDIRECT("$M$" &amp; (9+AC$34)))), INDIRECT("$D$" &amp; (9+AC$34)),0)</f>
        <v>0</v>
      </c>
      <c r="AD51" s="1" cm="1">
        <f t="array" aca="1" ref="AD51" ca="1">IF(AND(INDIRECT("$G$" &amp; (9+AD$34)) = 1, $S51 = (INDIRECT("$M$" &amp; (9+AD$34)))), INDIRECT("$D$" &amp; (9+AD$34)),0)</f>
        <v>0</v>
      </c>
      <c r="AE51" s="1" cm="1">
        <f t="array" aca="1" ref="AE51" ca="1">IF(AND(INDIRECT("$G$" &amp; (9+AE$34)) = 1, $S51 = (INDIRECT("$M$" &amp; (9+AE$34)))), INDIRECT("$D$" &amp; (9+AE$34)),0)</f>
        <v>0</v>
      </c>
      <c r="AF51" s="1" cm="1">
        <f t="array" aca="1" ref="AF51" ca="1">IF(AND(INDIRECT("$G$" &amp; (9+AF$34)) = 1, $S51 = (INDIRECT("$M$" &amp; (9+AF$34)))), INDIRECT("$D$" &amp; (9+AF$34)),0)</f>
        <v>0</v>
      </c>
      <c r="AG51" s="1" cm="1">
        <f t="array" aca="1" ref="AG51" ca="1">IF(AND(INDIRECT("$G$" &amp; (9+AG$34)) = 1, $S51 = (INDIRECT("$M$" &amp; (9+AG$34)))), INDIRECT("$D$" &amp; (9+AG$34)),0)</f>
        <v>0</v>
      </c>
      <c r="AH51" s="1" cm="1">
        <f t="array" aca="1" ref="AH51" ca="1">IF(AND(INDIRECT("$G$" &amp; (9+AH$34)) = 1, $S51 = (INDIRECT("$M$" &amp; (9+AH$34)))), INDIRECT("$D$" &amp; (9+AH$34)),0)</f>
        <v>0</v>
      </c>
      <c r="AI51" s="1" cm="1">
        <f t="array" aca="1" ref="AI51" ca="1">IF(AND(INDIRECT("$G$" &amp; (9+AI$34)) = 1, $S51 = (INDIRECT("$M$" &amp; (9+AI$34)))), INDIRECT("$D$" &amp; (9+AI$34)),0)</f>
        <v>0</v>
      </c>
      <c r="AJ51" s="1" cm="1">
        <f t="array" aca="1" ref="AJ51" ca="1">IF(AND(INDIRECT("$G$" &amp; (9+AJ$34)) = 1, $S51 = (INDIRECT("$M$" &amp; (9+AJ$34)))), INDIRECT("$D$" &amp; (9+AJ$34)),0)</f>
        <v>0</v>
      </c>
      <c r="AK51" s="1" cm="1">
        <f t="array" aca="1" ref="AK51" ca="1">IF(AND(INDIRECT("$G$" &amp; (9+AK$34)) = 1, $S51 = (INDIRECT("$M$" &amp; (9+AK$34)))), INDIRECT("$D$" &amp; (9+AK$34)),0)</f>
        <v>0</v>
      </c>
      <c r="AL51" s="1" cm="1">
        <f t="array" aca="1" ref="AL51" ca="1">IF(AND(INDIRECT("$G$" &amp; (9+AL$34)) = 1, $S51 = (INDIRECT("$M$" &amp; (9+AL$34)))), INDIRECT("$D$" &amp; (9+AL$34)),0)</f>
        <v>0</v>
      </c>
      <c r="AM51" s="1" cm="1">
        <f t="array" aca="1" ref="AM51" ca="1">IF(AND(INDIRECT("$G$" &amp; (9+AM$34)) = 1, $S51 = (INDIRECT("$M$" &amp; (9+AM$34)))), INDIRECT("$D$" &amp; (9+AM$34)),0)</f>
        <v>0</v>
      </c>
      <c r="AN51" s="219">
        <v>2037</v>
      </c>
      <c r="AO51" s="1" cm="1">
        <f t="array" aca="1" ref="AO51" ca="1">IF(AND(INDIRECT("$H$" &amp; (9+T$57)) = 1, $S74 = (INDIRECT("$N$" &amp; (9+T$57)))), INDIRECT("$E$" &amp; (9+T$57)),0)</f>
        <v>0</v>
      </c>
      <c r="AP51" s="1" cm="1">
        <f t="array" aca="1" ref="AP51" ca="1">IF(AND(INDIRECT("$H$" &amp; (9+U$57)) = 1, $S74 = (INDIRECT("$N$" &amp; (9+U$57)))), INDIRECT("$E$" &amp; (9+U$57)),0)</f>
        <v>0</v>
      </c>
      <c r="AQ51" s="1" cm="1">
        <f t="array" aca="1" ref="AQ51" ca="1">IF(AND(INDIRECT("$H$" &amp; (9+V$57)) = 1, $S74 = (INDIRECT("$N$" &amp; (9+V$57)))), INDIRECT("$E$" &amp; (9+V$57)),0)</f>
        <v>0</v>
      </c>
      <c r="AR51" s="1" cm="1">
        <f t="array" aca="1" ref="AR51" ca="1">IF(AND(INDIRECT("$H$" &amp; (9+W$57)) = 1, $S74 = (INDIRECT("$N$" &amp; (9+W$57)))), INDIRECT("$E$" &amp; (9+W$57)),0)</f>
        <v>0</v>
      </c>
      <c r="AS51" s="1" cm="1">
        <f t="array" aca="1" ref="AS51" ca="1">IF(AND(INDIRECT("$H$" &amp; (9+X$57)) = 1, $S74 = (INDIRECT("$N$" &amp; (9+X$57)))), INDIRECT("$E$" &amp; (9+X$57)),0)</f>
        <v>0</v>
      </c>
      <c r="AT51" s="1" cm="1">
        <f t="array" aca="1" ref="AT51" ca="1">IF(AND(INDIRECT("$H$" &amp; (9+Y$57)) = 1, $S74 = (INDIRECT("$N$" &amp; (9+Y$57)))), INDIRECT("$E$" &amp; (9+Y$57)),0)</f>
        <v>0</v>
      </c>
      <c r="AU51" s="1" cm="1">
        <f t="array" aca="1" ref="AU51" ca="1">IF(AND(INDIRECT("$H$" &amp; (9+Z$57)) = 1, $S74 = (INDIRECT("$N$" &amp; (9+Z$57)))), INDIRECT("$E$" &amp; (9+Z$57)),0)</f>
        <v>0</v>
      </c>
      <c r="AV51" s="1" cm="1">
        <f t="array" aca="1" ref="AV51" ca="1">IF(AND(INDIRECT("$H$" &amp; (9+AA$57)) = 1, $S74 = (INDIRECT("$N$" &amp; (9+AA$57)))), INDIRECT("$E$" &amp; (9+AA$57)),0)</f>
        <v>0</v>
      </c>
      <c r="AW51" s="1" cm="1">
        <f t="array" aca="1" ref="AW51" ca="1">IF(AND(INDIRECT("$H$" &amp; (9+AB$57)) = 1, $S74 = (INDIRECT("$N$" &amp; (9+AB$57)))), INDIRECT("$E$" &amp; (9+AB$57)),0)</f>
        <v>0</v>
      </c>
      <c r="AX51" s="1" cm="1">
        <f t="array" aca="1" ref="AX51" ca="1">IF(AND(INDIRECT("$H$" &amp; (9+AC$57)) = 1, $S74 = (INDIRECT("$N$" &amp; (9+AC$57)))), INDIRECT("$E$" &amp; (9+AC$57)),0)</f>
        <v>0</v>
      </c>
      <c r="AY51" s="1" cm="1">
        <f t="array" aca="1" ref="AY51" ca="1">IF(AND(INDIRECT("$H$" &amp; (9+AD$57)) = 1, $S74 = (INDIRECT("$N$" &amp; (9+AD$57)))), INDIRECT("$E$" &amp; (9+AD$57)),0)</f>
        <v>0</v>
      </c>
      <c r="AZ51" s="1" cm="1">
        <f t="array" aca="1" ref="AZ51" ca="1">IF(AND(INDIRECT("$H$" &amp; (9+AE$57)) = 1, $S74 = (INDIRECT("$N$" &amp; (9+AE$57)))), INDIRECT("$E$" &amp; (9+AE$57)),0)</f>
        <v>0</v>
      </c>
      <c r="BA51" s="1" cm="1">
        <f t="array" aca="1" ref="BA51" ca="1">IF(AND(INDIRECT("$H$" &amp; (9+AF$57)) = 1, $S74 = (INDIRECT("$N$" &amp; (9+AF$57)))), INDIRECT("$E$" &amp; (9+AF$57)),0)</f>
        <v>0</v>
      </c>
      <c r="BB51" s="1" cm="1">
        <f t="array" aca="1" ref="BB51" ca="1">IF(AND(INDIRECT("$H$" &amp; (9+AG$57)) = 1, $S74 = (INDIRECT("$N$" &amp; (9+AG$57)))), INDIRECT("$E$" &amp; (9+AG$57)),0)</f>
        <v>0</v>
      </c>
      <c r="BC51" s="1" cm="1">
        <f t="array" aca="1" ref="BC51" ca="1">IF(AND(INDIRECT("$H$" &amp; (9+AH$57)) = 1, $S74 = (INDIRECT("$N$" &amp; (9+AH$57)))), INDIRECT("$E$" &amp; (9+AH$57)),0)</f>
        <v>0</v>
      </c>
      <c r="BD51" s="1" cm="1">
        <f t="array" aca="1" ref="BD51" ca="1">IF(AND(INDIRECT("$H$" &amp; (9+AI$57)) = 1, $S74 = (INDIRECT("$N$" &amp; (9+AI$57)))), INDIRECT("$E$" &amp; (9+AI$57)),0)</f>
        <v>0</v>
      </c>
      <c r="BE51" s="1" cm="1">
        <f t="array" aca="1" ref="BE51" ca="1">IF(AND(INDIRECT("$H$" &amp; (9+AJ$57)) = 1, $S74 = (INDIRECT("$N$" &amp; (9+AJ$57)))), INDIRECT("$E$" &amp; (9+AJ$57)),0)</f>
        <v>0</v>
      </c>
      <c r="BF51" s="1" cm="1">
        <f t="array" aca="1" ref="BF51" ca="1">IF(AND(INDIRECT("$H$" &amp; (9+AK$57)) = 1, $S74 = (INDIRECT("$N$" &amp; (9+AK$57)))), INDIRECT("$E$" &amp; (9+AK$57)),0)</f>
        <v>0</v>
      </c>
      <c r="BG51" s="1" cm="1">
        <f t="array" aca="1" ref="BG51" ca="1">IF(AND(INDIRECT("$H$" &amp; (9+AL$57)) = 1, $S74 = (INDIRECT("$N$" &amp; (9+AL$57)))), INDIRECT("$E$" &amp; (9+AL$57)),0)</f>
        <v>0</v>
      </c>
      <c r="BH51" s="1" cm="1">
        <f t="array" aca="1" ref="BH51" ca="1">IF(AND(INDIRECT("$H$" &amp; (9+AM$57)) = 1, $S74 = (INDIRECT("$N$" &amp; (9+AM$57)))), INDIRECT("$E$" &amp; (9+AM$57)),0)</f>
        <v>0</v>
      </c>
    </row>
    <row r="52" spans="19:60" x14ac:dyDescent="0.3">
      <c r="S52" s="219">
        <v>2038</v>
      </c>
      <c r="T52" s="1" cm="1">
        <f t="array" aca="1" ref="T52" ca="1">IF(AND(INDIRECT("$G$" &amp; (9+T$34)) = 1, $S52 = (INDIRECT("$M$" &amp; (9+T$34)))), INDIRECT("$D$" &amp; (9+T$34)),0)</f>
        <v>0</v>
      </c>
      <c r="U52" s="1" cm="1">
        <f t="array" aca="1" ref="U52" ca="1">IF(AND(INDIRECT("$G$" &amp; (9+U$34)) = 1, $S52 = (INDIRECT("$M$" &amp; (9+U$34)))), INDIRECT("$D$" &amp; (9+U$34)),0)</f>
        <v>0</v>
      </c>
      <c r="V52" s="1" cm="1">
        <f t="array" aca="1" ref="V52" ca="1">IF(AND(INDIRECT("$G$" &amp; (9+V$34)) = 1, $S52 = (INDIRECT("$M$" &amp; (9+V$34)))), INDIRECT("$D$" &amp; (9+V$34)),0)</f>
        <v>0</v>
      </c>
      <c r="W52" s="1" cm="1">
        <f t="array" aca="1" ref="W52" ca="1">IF(AND(INDIRECT("$G$" &amp; (9+W$34)) = 1, $S52 = (INDIRECT("$M$" &amp; (9+W$34)))), INDIRECT("$D$" &amp; (9+W$34)),0)</f>
        <v>0</v>
      </c>
      <c r="X52" s="1" cm="1">
        <f t="array" aca="1" ref="X52" ca="1">IF(AND(INDIRECT("$G$" &amp; (9+X$34)) = 1, $S52 = (INDIRECT("$M$" &amp; (9+X$34)))), INDIRECT("$D$" &amp; (9+X$34)),0)</f>
        <v>0</v>
      </c>
      <c r="Y52" s="1" cm="1">
        <f t="array" aca="1" ref="Y52" ca="1">IF(AND(INDIRECT("$G$" &amp; (9+Y$34)) = 1, $S52 = (INDIRECT("$M$" &amp; (9+Y$34)))), INDIRECT("$D$" &amp; (9+Y$34)),0)</f>
        <v>0</v>
      </c>
      <c r="Z52" s="1" cm="1">
        <f t="array" aca="1" ref="Z52" ca="1">IF(AND(INDIRECT("$G$" &amp; (9+Z$34)) = 1, $S52 = (INDIRECT("$M$" &amp; (9+Z$34)))), INDIRECT("$D$" &amp; (9+Z$34)),0)</f>
        <v>0</v>
      </c>
      <c r="AA52" s="1" cm="1">
        <f t="array" aca="1" ref="AA52" ca="1">IF(AND(INDIRECT("$G$" &amp; (9+AA$34)) = 1, $S52 = (INDIRECT("$M$" &amp; (9+AA$34)))), INDIRECT("$D$" &amp; (9+AA$34)),0)</f>
        <v>0</v>
      </c>
      <c r="AB52" s="1" cm="1">
        <f t="array" aca="1" ref="AB52" ca="1">IF(AND(INDIRECT("$G$" &amp; (9+AB$34)) = 1, $S52 = (INDIRECT("$M$" &amp; (9+AB$34)))), INDIRECT("$D$" &amp; (9+AB$34)),0)</f>
        <v>0</v>
      </c>
      <c r="AC52" s="1" cm="1">
        <f t="array" aca="1" ref="AC52" ca="1">IF(AND(INDIRECT("$G$" &amp; (9+AC$34)) = 1, $S52 = (INDIRECT("$M$" &amp; (9+AC$34)))), INDIRECT("$D$" &amp; (9+AC$34)),0)</f>
        <v>0</v>
      </c>
      <c r="AD52" s="1" cm="1">
        <f t="array" aca="1" ref="AD52" ca="1">IF(AND(INDIRECT("$G$" &amp; (9+AD$34)) = 1, $S52 = (INDIRECT("$M$" &amp; (9+AD$34)))), INDIRECT("$D$" &amp; (9+AD$34)),0)</f>
        <v>0</v>
      </c>
      <c r="AE52" s="1" cm="1">
        <f t="array" aca="1" ref="AE52" ca="1">IF(AND(INDIRECT("$G$" &amp; (9+AE$34)) = 1, $S52 = (INDIRECT("$M$" &amp; (9+AE$34)))), INDIRECT("$D$" &amp; (9+AE$34)),0)</f>
        <v>0</v>
      </c>
      <c r="AF52" s="1" cm="1">
        <f t="array" aca="1" ref="AF52" ca="1">IF(AND(INDIRECT("$G$" &amp; (9+AF$34)) = 1, $S52 = (INDIRECT("$M$" &amp; (9+AF$34)))), INDIRECT("$D$" &amp; (9+AF$34)),0)</f>
        <v>0</v>
      </c>
      <c r="AG52" s="1" cm="1">
        <f t="array" aca="1" ref="AG52" ca="1">IF(AND(INDIRECT("$G$" &amp; (9+AG$34)) = 1, $S52 = (INDIRECT("$M$" &amp; (9+AG$34)))), INDIRECT("$D$" &amp; (9+AG$34)),0)</f>
        <v>0</v>
      </c>
      <c r="AH52" s="1" cm="1">
        <f t="array" aca="1" ref="AH52" ca="1">IF(AND(INDIRECT("$G$" &amp; (9+AH$34)) = 1, $S52 = (INDIRECT("$M$" &amp; (9+AH$34)))), INDIRECT("$D$" &amp; (9+AH$34)),0)</f>
        <v>0</v>
      </c>
      <c r="AI52" s="1" cm="1">
        <f t="array" aca="1" ref="AI52" ca="1">IF(AND(INDIRECT("$G$" &amp; (9+AI$34)) = 1, $S52 = (INDIRECT("$M$" &amp; (9+AI$34)))), INDIRECT("$D$" &amp; (9+AI$34)),0)</f>
        <v>0</v>
      </c>
      <c r="AJ52" s="1" cm="1">
        <f t="array" aca="1" ref="AJ52" ca="1">IF(AND(INDIRECT("$G$" &amp; (9+AJ$34)) = 1, $S52 = (INDIRECT("$M$" &amp; (9+AJ$34)))), INDIRECT("$D$" &amp; (9+AJ$34)),0)</f>
        <v>0</v>
      </c>
      <c r="AK52" s="1" cm="1">
        <f t="array" aca="1" ref="AK52" ca="1">IF(AND(INDIRECT("$G$" &amp; (9+AK$34)) = 1, $S52 = (INDIRECT("$M$" &amp; (9+AK$34)))), INDIRECT("$D$" &amp; (9+AK$34)),0)</f>
        <v>0</v>
      </c>
      <c r="AL52" s="1" cm="1">
        <f t="array" aca="1" ref="AL52" ca="1">IF(AND(INDIRECT("$G$" &amp; (9+AL$34)) = 1, $S52 = (INDIRECT("$M$" &amp; (9+AL$34)))), INDIRECT("$D$" &amp; (9+AL$34)),0)</f>
        <v>0</v>
      </c>
      <c r="AM52" s="1" cm="1">
        <f t="array" aca="1" ref="AM52" ca="1">IF(AND(INDIRECT("$G$" &amp; (9+AM$34)) = 1, $S52 = (INDIRECT("$M$" &amp; (9+AM$34)))), INDIRECT("$D$" &amp; (9+AM$34)),0)</f>
        <v>0</v>
      </c>
      <c r="AN52" s="219">
        <v>2038</v>
      </c>
      <c r="AO52" s="1" cm="1">
        <f t="array" aca="1" ref="AO52" ca="1">IF(AND(INDIRECT("$H$" &amp; (9+T$57)) = 1, $S75 = (INDIRECT("$N$" &amp; (9+T$57)))), INDIRECT("$E$" &amp; (9+T$57)),0)</f>
        <v>0</v>
      </c>
      <c r="AP52" s="1" cm="1">
        <f t="array" aca="1" ref="AP52" ca="1">IF(AND(INDIRECT("$H$" &amp; (9+U$57)) = 1, $S75 = (INDIRECT("$N$" &amp; (9+U$57)))), INDIRECT("$E$" &amp; (9+U$57)),0)</f>
        <v>0</v>
      </c>
      <c r="AQ52" s="1" cm="1">
        <f t="array" aca="1" ref="AQ52" ca="1">IF(AND(INDIRECT("$H$" &amp; (9+V$57)) = 1, $S75 = (INDIRECT("$N$" &amp; (9+V$57)))), INDIRECT("$E$" &amp; (9+V$57)),0)</f>
        <v>0</v>
      </c>
      <c r="AR52" s="1" cm="1">
        <f t="array" aca="1" ref="AR52" ca="1">IF(AND(INDIRECT("$H$" &amp; (9+W$57)) = 1, $S75 = (INDIRECT("$N$" &amp; (9+W$57)))), INDIRECT("$E$" &amp; (9+W$57)),0)</f>
        <v>0</v>
      </c>
      <c r="AS52" s="1" cm="1">
        <f t="array" aca="1" ref="AS52" ca="1">IF(AND(INDIRECT("$H$" &amp; (9+X$57)) = 1, $S75 = (INDIRECT("$N$" &amp; (9+X$57)))), INDIRECT("$E$" &amp; (9+X$57)),0)</f>
        <v>0</v>
      </c>
      <c r="AT52" s="1" cm="1">
        <f t="array" aca="1" ref="AT52" ca="1">IF(AND(INDIRECT("$H$" &amp; (9+Y$57)) = 1, $S75 = (INDIRECT("$N$" &amp; (9+Y$57)))), INDIRECT("$E$" &amp; (9+Y$57)),0)</f>
        <v>0</v>
      </c>
      <c r="AU52" s="1" cm="1">
        <f t="array" aca="1" ref="AU52" ca="1">IF(AND(INDIRECT("$H$" &amp; (9+Z$57)) = 1, $S75 = (INDIRECT("$N$" &amp; (9+Z$57)))), INDIRECT("$E$" &amp; (9+Z$57)),0)</f>
        <v>0</v>
      </c>
      <c r="AV52" s="1" cm="1">
        <f t="array" aca="1" ref="AV52" ca="1">IF(AND(INDIRECT("$H$" &amp; (9+AA$57)) = 1, $S75 = (INDIRECT("$N$" &amp; (9+AA$57)))), INDIRECT("$E$" &amp; (9+AA$57)),0)</f>
        <v>0</v>
      </c>
      <c r="AW52" s="1" cm="1">
        <f t="array" aca="1" ref="AW52" ca="1">IF(AND(INDIRECT("$H$" &amp; (9+AB$57)) = 1, $S75 = (INDIRECT("$N$" &amp; (9+AB$57)))), INDIRECT("$E$" &amp; (9+AB$57)),0)</f>
        <v>0</v>
      </c>
      <c r="AX52" s="1" cm="1">
        <f t="array" aca="1" ref="AX52" ca="1">IF(AND(INDIRECT("$H$" &amp; (9+AC$57)) = 1, $S75 = (INDIRECT("$N$" &amp; (9+AC$57)))), INDIRECT("$E$" &amp; (9+AC$57)),0)</f>
        <v>0</v>
      </c>
      <c r="AY52" s="1" cm="1">
        <f t="array" aca="1" ref="AY52" ca="1">IF(AND(INDIRECT("$H$" &amp; (9+AD$57)) = 1, $S75 = (INDIRECT("$N$" &amp; (9+AD$57)))), INDIRECT("$E$" &amp; (9+AD$57)),0)</f>
        <v>0</v>
      </c>
      <c r="AZ52" s="1" cm="1">
        <f t="array" aca="1" ref="AZ52" ca="1">IF(AND(INDIRECT("$H$" &amp; (9+AE$57)) = 1, $S75 = (INDIRECT("$N$" &amp; (9+AE$57)))), INDIRECT("$E$" &amp; (9+AE$57)),0)</f>
        <v>0</v>
      </c>
      <c r="BA52" s="1" cm="1">
        <f t="array" aca="1" ref="BA52" ca="1">IF(AND(INDIRECT("$H$" &amp; (9+AF$57)) = 1, $S75 = (INDIRECT("$N$" &amp; (9+AF$57)))), INDIRECT("$E$" &amp; (9+AF$57)),0)</f>
        <v>0</v>
      </c>
      <c r="BB52" s="1" cm="1">
        <f t="array" aca="1" ref="BB52" ca="1">IF(AND(INDIRECT("$H$" &amp; (9+AG$57)) = 1, $S75 = (INDIRECT("$N$" &amp; (9+AG$57)))), INDIRECT("$E$" &amp; (9+AG$57)),0)</f>
        <v>0</v>
      </c>
      <c r="BC52" s="1" cm="1">
        <f t="array" aca="1" ref="BC52" ca="1">IF(AND(INDIRECT("$H$" &amp; (9+AH$57)) = 1, $S75 = (INDIRECT("$N$" &amp; (9+AH$57)))), INDIRECT("$E$" &amp; (9+AH$57)),0)</f>
        <v>0</v>
      </c>
      <c r="BD52" s="1" cm="1">
        <f t="array" aca="1" ref="BD52" ca="1">IF(AND(INDIRECT("$H$" &amp; (9+AI$57)) = 1, $S75 = (INDIRECT("$N$" &amp; (9+AI$57)))), INDIRECT("$E$" &amp; (9+AI$57)),0)</f>
        <v>0</v>
      </c>
      <c r="BE52" s="1" cm="1">
        <f t="array" aca="1" ref="BE52" ca="1">IF(AND(INDIRECT("$H$" &amp; (9+AJ$57)) = 1, $S75 = (INDIRECT("$N$" &amp; (9+AJ$57)))), INDIRECT("$E$" &amp; (9+AJ$57)),0)</f>
        <v>0</v>
      </c>
      <c r="BF52" s="1" cm="1">
        <f t="array" aca="1" ref="BF52" ca="1">IF(AND(INDIRECT("$H$" &amp; (9+AK$57)) = 1, $S75 = (INDIRECT("$N$" &amp; (9+AK$57)))), INDIRECT("$E$" &amp; (9+AK$57)),0)</f>
        <v>0</v>
      </c>
      <c r="BG52" s="1" cm="1">
        <f t="array" aca="1" ref="BG52" ca="1">IF(AND(INDIRECT("$H$" &amp; (9+AL$57)) = 1, $S75 = (INDIRECT("$N$" &amp; (9+AL$57)))), INDIRECT("$E$" &amp; (9+AL$57)),0)</f>
        <v>0</v>
      </c>
      <c r="BH52" s="1" cm="1">
        <f t="array" aca="1" ref="BH52" ca="1">IF(AND(INDIRECT("$H$" &amp; (9+AM$57)) = 1, $S75 = (INDIRECT("$N$" &amp; (9+AM$57)))), INDIRECT("$E$" &amp; (9+AM$57)),0)</f>
        <v>0</v>
      </c>
    </row>
    <row r="53" spans="19:60" x14ac:dyDescent="0.3">
      <c r="S53" s="219">
        <v>2039</v>
      </c>
      <c r="T53" s="1" cm="1">
        <f t="array" aca="1" ref="T53" ca="1">IF(AND(INDIRECT("$G$" &amp; (9+T$34)) = 1, $S53 = (INDIRECT("$M$" &amp; (9+T$34)))), INDIRECT("$D$" &amp; (9+T$34)),0)</f>
        <v>0</v>
      </c>
      <c r="U53" s="1" cm="1">
        <f t="array" aca="1" ref="U53" ca="1">IF(AND(INDIRECT("$G$" &amp; (9+U$34)) = 1, $S53 = (INDIRECT("$M$" &amp; (9+U$34)))), INDIRECT("$D$" &amp; (9+U$34)),0)</f>
        <v>0</v>
      </c>
      <c r="V53" s="1" cm="1">
        <f t="array" aca="1" ref="V53" ca="1">IF(AND(INDIRECT("$G$" &amp; (9+V$34)) = 1, $S53 = (INDIRECT("$M$" &amp; (9+V$34)))), INDIRECT("$D$" &amp; (9+V$34)),0)</f>
        <v>0</v>
      </c>
      <c r="W53" s="1" cm="1">
        <f t="array" aca="1" ref="W53" ca="1">IF(AND(INDIRECT("$G$" &amp; (9+W$34)) = 1, $S53 = (INDIRECT("$M$" &amp; (9+W$34)))), INDIRECT("$D$" &amp; (9+W$34)),0)</f>
        <v>0</v>
      </c>
      <c r="X53" s="1" cm="1">
        <f t="array" aca="1" ref="X53" ca="1">IF(AND(INDIRECT("$G$" &amp; (9+X$34)) = 1, $S53 = (INDIRECT("$M$" &amp; (9+X$34)))), INDIRECT("$D$" &amp; (9+X$34)),0)</f>
        <v>0</v>
      </c>
      <c r="Y53" s="1" cm="1">
        <f t="array" aca="1" ref="Y53" ca="1">IF(AND(INDIRECT("$G$" &amp; (9+Y$34)) = 1, $S53 = (INDIRECT("$M$" &amp; (9+Y$34)))), INDIRECT("$D$" &amp; (9+Y$34)),0)</f>
        <v>0</v>
      </c>
      <c r="Z53" s="1" cm="1">
        <f t="array" aca="1" ref="Z53" ca="1">IF(AND(INDIRECT("$G$" &amp; (9+Z$34)) = 1, $S53 = (INDIRECT("$M$" &amp; (9+Z$34)))), INDIRECT("$D$" &amp; (9+Z$34)),0)</f>
        <v>0</v>
      </c>
      <c r="AA53" s="1" cm="1">
        <f t="array" aca="1" ref="AA53" ca="1">IF(AND(INDIRECT("$G$" &amp; (9+AA$34)) = 1, $S53 = (INDIRECT("$M$" &amp; (9+AA$34)))), INDIRECT("$D$" &amp; (9+AA$34)),0)</f>
        <v>0</v>
      </c>
      <c r="AB53" s="1" cm="1">
        <f t="array" aca="1" ref="AB53" ca="1">IF(AND(INDIRECT("$G$" &amp; (9+AB$34)) = 1, $S53 = (INDIRECT("$M$" &amp; (9+AB$34)))), INDIRECT("$D$" &amp; (9+AB$34)),0)</f>
        <v>0</v>
      </c>
      <c r="AC53" s="1" cm="1">
        <f t="array" aca="1" ref="AC53" ca="1">IF(AND(INDIRECT("$G$" &amp; (9+AC$34)) = 1, $S53 = (INDIRECT("$M$" &amp; (9+AC$34)))), INDIRECT("$D$" &amp; (9+AC$34)),0)</f>
        <v>0</v>
      </c>
      <c r="AD53" s="1" cm="1">
        <f t="array" aca="1" ref="AD53" ca="1">IF(AND(INDIRECT("$G$" &amp; (9+AD$34)) = 1, $S53 = (INDIRECT("$M$" &amp; (9+AD$34)))), INDIRECT("$D$" &amp; (9+AD$34)),0)</f>
        <v>0</v>
      </c>
      <c r="AE53" s="1" cm="1">
        <f t="array" aca="1" ref="AE53" ca="1">IF(AND(INDIRECT("$G$" &amp; (9+AE$34)) = 1, $S53 = (INDIRECT("$M$" &amp; (9+AE$34)))), INDIRECT("$D$" &amp; (9+AE$34)),0)</f>
        <v>0</v>
      </c>
      <c r="AF53" s="1" cm="1">
        <f t="array" aca="1" ref="AF53" ca="1">IF(AND(INDIRECT("$G$" &amp; (9+AF$34)) = 1, $S53 = (INDIRECT("$M$" &amp; (9+AF$34)))), INDIRECT("$D$" &amp; (9+AF$34)),0)</f>
        <v>0</v>
      </c>
      <c r="AG53" s="1" cm="1">
        <f t="array" aca="1" ref="AG53" ca="1">IF(AND(INDIRECT("$G$" &amp; (9+AG$34)) = 1, $S53 = (INDIRECT("$M$" &amp; (9+AG$34)))), INDIRECT("$D$" &amp; (9+AG$34)),0)</f>
        <v>0</v>
      </c>
      <c r="AH53" s="1" cm="1">
        <f t="array" aca="1" ref="AH53" ca="1">IF(AND(INDIRECT("$G$" &amp; (9+AH$34)) = 1, $S53 = (INDIRECT("$M$" &amp; (9+AH$34)))), INDIRECT("$D$" &amp; (9+AH$34)),0)</f>
        <v>0</v>
      </c>
      <c r="AI53" s="1" cm="1">
        <f t="array" aca="1" ref="AI53" ca="1">IF(AND(INDIRECT("$G$" &amp; (9+AI$34)) = 1, $S53 = (INDIRECT("$M$" &amp; (9+AI$34)))), INDIRECT("$D$" &amp; (9+AI$34)),0)</f>
        <v>0</v>
      </c>
      <c r="AJ53" s="1" cm="1">
        <f t="array" aca="1" ref="AJ53" ca="1">IF(AND(INDIRECT("$G$" &amp; (9+AJ$34)) = 1, $S53 = (INDIRECT("$M$" &amp; (9+AJ$34)))), INDIRECT("$D$" &amp; (9+AJ$34)),0)</f>
        <v>0</v>
      </c>
      <c r="AK53" s="1" cm="1">
        <f t="array" aca="1" ref="AK53" ca="1">IF(AND(INDIRECT("$G$" &amp; (9+AK$34)) = 1, $S53 = (INDIRECT("$M$" &amp; (9+AK$34)))), INDIRECT("$D$" &amp; (9+AK$34)),0)</f>
        <v>0</v>
      </c>
      <c r="AL53" s="1" cm="1">
        <f t="array" aca="1" ref="AL53" ca="1">IF(AND(INDIRECT("$G$" &amp; (9+AL$34)) = 1, $S53 = (INDIRECT("$M$" &amp; (9+AL$34)))), INDIRECT("$D$" &amp; (9+AL$34)),0)</f>
        <v>0</v>
      </c>
      <c r="AM53" s="1" cm="1">
        <f t="array" aca="1" ref="AM53" ca="1">IF(AND(INDIRECT("$G$" &amp; (9+AM$34)) = 1, $S53 = (INDIRECT("$M$" &amp; (9+AM$34)))), INDIRECT("$D$" &amp; (9+AM$34)),0)</f>
        <v>0</v>
      </c>
      <c r="AN53" s="219">
        <v>2039</v>
      </c>
      <c r="AO53" s="1" cm="1">
        <f t="array" aca="1" ref="AO53" ca="1">IF(AND(INDIRECT("$H$" &amp; (9+T$57)) = 1, $S76 = (INDIRECT("$N$" &amp; (9+T$57)))), INDIRECT("$E$" &amp; (9+T$57)),0)</f>
        <v>0</v>
      </c>
      <c r="AP53" s="1" cm="1">
        <f t="array" aca="1" ref="AP53" ca="1">IF(AND(INDIRECT("$H$" &amp; (9+U$57)) = 1, $S76 = (INDIRECT("$N$" &amp; (9+U$57)))), INDIRECT("$E$" &amp; (9+U$57)),0)</f>
        <v>0</v>
      </c>
      <c r="AQ53" s="1" cm="1">
        <f t="array" aca="1" ref="AQ53" ca="1">IF(AND(INDIRECT("$H$" &amp; (9+V$57)) = 1, $S76 = (INDIRECT("$N$" &amp; (9+V$57)))), INDIRECT("$E$" &amp; (9+V$57)),0)</f>
        <v>0</v>
      </c>
      <c r="AR53" s="1" cm="1">
        <f t="array" aca="1" ref="AR53" ca="1">IF(AND(INDIRECT("$H$" &amp; (9+W$57)) = 1, $S76 = (INDIRECT("$N$" &amp; (9+W$57)))), INDIRECT("$E$" &amp; (9+W$57)),0)</f>
        <v>0</v>
      </c>
      <c r="AS53" s="1" cm="1">
        <f t="array" aca="1" ref="AS53" ca="1">IF(AND(INDIRECT("$H$" &amp; (9+X$57)) = 1, $S76 = (INDIRECT("$N$" &amp; (9+X$57)))), INDIRECT("$E$" &amp; (9+X$57)),0)</f>
        <v>0</v>
      </c>
      <c r="AT53" s="1" cm="1">
        <f t="array" aca="1" ref="AT53" ca="1">IF(AND(INDIRECT("$H$" &amp; (9+Y$57)) = 1, $S76 = (INDIRECT("$N$" &amp; (9+Y$57)))), INDIRECT("$E$" &amp; (9+Y$57)),0)</f>
        <v>0</v>
      </c>
      <c r="AU53" s="1" cm="1">
        <f t="array" aca="1" ref="AU53" ca="1">IF(AND(INDIRECT("$H$" &amp; (9+Z$57)) = 1, $S76 = (INDIRECT("$N$" &amp; (9+Z$57)))), INDIRECT("$E$" &amp; (9+Z$57)),0)</f>
        <v>0</v>
      </c>
      <c r="AV53" s="1" cm="1">
        <f t="array" aca="1" ref="AV53" ca="1">IF(AND(INDIRECT("$H$" &amp; (9+AA$57)) = 1, $S76 = (INDIRECT("$N$" &amp; (9+AA$57)))), INDIRECT("$E$" &amp; (9+AA$57)),0)</f>
        <v>0</v>
      </c>
      <c r="AW53" s="1" cm="1">
        <f t="array" aca="1" ref="AW53" ca="1">IF(AND(INDIRECT("$H$" &amp; (9+AB$57)) = 1, $S76 = (INDIRECT("$N$" &amp; (9+AB$57)))), INDIRECT("$E$" &amp; (9+AB$57)),0)</f>
        <v>0</v>
      </c>
      <c r="AX53" s="1" cm="1">
        <f t="array" aca="1" ref="AX53" ca="1">IF(AND(INDIRECT("$H$" &amp; (9+AC$57)) = 1, $S76 = (INDIRECT("$N$" &amp; (9+AC$57)))), INDIRECT("$E$" &amp; (9+AC$57)),0)</f>
        <v>0</v>
      </c>
      <c r="AY53" s="1" cm="1">
        <f t="array" aca="1" ref="AY53" ca="1">IF(AND(INDIRECT("$H$" &amp; (9+AD$57)) = 1, $S76 = (INDIRECT("$N$" &amp; (9+AD$57)))), INDIRECT("$E$" &amp; (9+AD$57)),0)</f>
        <v>0</v>
      </c>
      <c r="AZ53" s="1" cm="1">
        <f t="array" aca="1" ref="AZ53" ca="1">IF(AND(INDIRECT("$H$" &amp; (9+AE$57)) = 1, $S76 = (INDIRECT("$N$" &amp; (9+AE$57)))), INDIRECT("$E$" &amp; (9+AE$57)),0)</f>
        <v>0</v>
      </c>
      <c r="BA53" s="1" cm="1">
        <f t="array" aca="1" ref="BA53" ca="1">IF(AND(INDIRECT("$H$" &amp; (9+AF$57)) = 1, $S76 = (INDIRECT("$N$" &amp; (9+AF$57)))), INDIRECT("$E$" &amp; (9+AF$57)),0)</f>
        <v>0</v>
      </c>
      <c r="BB53" s="1" cm="1">
        <f t="array" aca="1" ref="BB53" ca="1">IF(AND(INDIRECT("$H$" &amp; (9+AG$57)) = 1, $S76 = (INDIRECT("$N$" &amp; (9+AG$57)))), INDIRECT("$E$" &amp; (9+AG$57)),0)</f>
        <v>0</v>
      </c>
      <c r="BC53" s="1" cm="1">
        <f t="array" aca="1" ref="BC53" ca="1">IF(AND(INDIRECT("$H$" &amp; (9+AH$57)) = 1, $S76 = (INDIRECT("$N$" &amp; (9+AH$57)))), INDIRECT("$E$" &amp; (9+AH$57)),0)</f>
        <v>0</v>
      </c>
      <c r="BD53" s="1" cm="1">
        <f t="array" aca="1" ref="BD53" ca="1">IF(AND(INDIRECT("$H$" &amp; (9+AI$57)) = 1, $S76 = (INDIRECT("$N$" &amp; (9+AI$57)))), INDIRECT("$E$" &amp; (9+AI$57)),0)</f>
        <v>0</v>
      </c>
      <c r="BE53" s="1" cm="1">
        <f t="array" aca="1" ref="BE53" ca="1">IF(AND(INDIRECT("$H$" &amp; (9+AJ$57)) = 1, $S76 = (INDIRECT("$N$" &amp; (9+AJ$57)))), INDIRECT("$E$" &amp; (9+AJ$57)),0)</f>
        <v>0</v>
      </c>
      <c r="BF53" s="1" cm="1">
        <f t="array" aca="1" ref="BF53" ca="1">IF(AND(INDIRECT("$H$" &amp; (9+AK$57)) = 1, $S76 = (INDIRECT("$N$" &amp; (9+AK$57)))), INDIRECT("$E$" &amp; (9+AK$57)),0)</f>
        <v>0</v>
      </c>
      <c r="BG53" s="1" cm="1">
        <f t="array" aca="1" ref="BG53" ca="1">IF(AND(INDIRECT("$H$" &amp; (9+AL$57)) = 1, $S76 = (INDIRECT("$N$" &amp; (9+AL$57)))), INDIRECT("$E$" &amp; (9+AL$57)),0)</f>
        <v>0</v>
      </c>
      <c r="BH53" s="1" cm="1">
        <f t="array" aca="1" ref="BH53" ca="1">IF(AND(INDIRECT("$H$" &amp; (9+AM$57)) = 1, $S76 = (INDIRECT("$N$" &amp; (9+AM$57)))), INDIRECT("$E$" &amp; (9+AM$57)),0)</f>
        <v>0</v>
      </c>
    </row>
    <row r="54" spans="19:60" x14ac:dyDescent="0.3">
      <c r="S54" s="219">
        <v>2040</v>
      </c>
      <c r="T54" s="1" cm="1">
        <f t="array" aca="1" ref="T54" ca="1">IF(AND(INDIRECT("$G$" &amp; (9+T$34)) = 1, $S54 = (INDIRECT("$M$" &amp; (9+T$34)))), INDIRECT("$D$" &amp; (9+T$34)),0)</f>
        <v>0</v>
      </c>
      <c r="U54" s="1" cm="1">
        <f t="array" aca="1" ref="U54" ca="1">IF(AND(INDIRECT("$G$" &amp; (9+U$34)) = 1, $S54 = (INDIRECT("$M$" &amp; (9+U$34)))), INDIRECT("$D$" &amp; (9+U$34)),0)</f>
        <v>0</v>
      </c>
      <c r="V54" s="1" cm="1">
        <f t="array" aca="1" ref="V54" ca="1">IF(AND(INDIRECT("$G$" &amp; (9+V$34)) = 1, $S54 = (INDIRECT("$M$" &amp; (9+V$34)))), INDIRECT("$D$" &amp; (9+V$34)),0)</f>
        <v>0</v>
      </c>
      <c r="W54" s="1" cm="1">
        <f t="array" aca="1" ref="W54" ca="1">IF(AND(INDIRECT("$G$" &amp; (9+W$34)) = 1, $S54 = (INDIRECT("$M$" &amp; (9+W$34)))), INDIRECT("$D$" &amp; (9+W$34)),0)</f>
        <v>0</v>
      </c>
      <c r="X54" s="1" cm="1">
        <f t="array" aca="1" ref="X54" ca="1">IF(AND(INDIRECT("$G$" &amp; (9+X$34)) = 1, $S54 = (INDIRECT("$M$" &amp; (9+X$34)))), INDIRECT("$D$" &amp; (9+X$34)),0)</f>
        <v>0</v>
      </c>
      <c r="Y54" s="1" cm="1">
        <f t="array" aca="1" ref="Y54" ca="1">IF(AND(INDIRECT("$G$" &amp; (9+Y$34)) = 1, $S54 = (INDIRECT("$M$" &amp; (9+Y$34)))), INDIRECT("$D$" &amp; (9+Y$34)),0)</f>
        <v>0</v>
      </c>
      <c r="Z54" s="1" cm="1">
        <f t="array" aca="1" ref="Z54" ca="1">IF(AND(INDIRECT("$G$" &amp; (9+Z$34)) = 1, $S54 = (INDIRECT("$M$" &amp; (9+Z$34)))), INDIRECT("$D$" &amp; (9+Z$34)),0)</f>
        <v>0</v>
      </c>
      <c r="AA54" s="1" cm="1">
        <f t="array" aca="1" ref="AA54" ca="1">IF(AND(INDIRECT("$G$" &amp; (9+AA$34)) = 1, $S54 = (INDIRECT("$M$" &amp; (9+AA$34)))), INDIRECT("$D$" &amp; (9+AA$34)),0)</f>
        <v>0</v>
      </c>
      <c r="AB54" s="1" cm="1">
        <f t="array" aca="1" ref="AB54" ca="1">IF(AND(INDIRECT("$G$" &amp; (9+AB$34)) = 1, $S54 = (INDIRECT("$M$" &amp; (9+AB$34)))), INDIRECT("$D$" &amp; (9+AB$34)),0)</f>
        <v>0</v>
      </c>
      <c r="AC54" s="1" cm="1">
        <f t="array" aca="1" ref="AC54" ca="1">IF(AND(INDIRECT("$G$" &amp; (9+AC$34)) = 1, $S54 = (INDIRECT("$M$" &amp; (9+AC$34)))), INDIRECT("$D$" &amp; (9+AC$34)),0)</f>
        <v>50</v>
      </c>
      <c r="AD54" s="1" cm="1">
        <f t="array" aca="1" ref="AD54" ca="1">IF(AND(INDIRECT("$G$" &amp; (9+AD$34)) = 1, $S54 = (INDIRECT("$M$" &amp; (9+AD$34)))), INDIRECT("$D$" &amp; (9+AD$34)),0)</f>
        <v>0</v>
      </c>
      <c r="AE54" s="1" cm="1">
        <f t="array" aca="1" ref="AE54" ca="1">IF(AND(INDIRECT("$G$" &amp; (9+AE$34)) = 1, $S54 = (INDIRECT("$M$" &amp; (9+AE$34)))), INDIRECT("$D$" &amp; (9+AE$34)),0)</f>
        <v>0</v>
      </c>
      <c r="AF54" s="1" cm="1">
        <f t="array" aca="1" ref="AF54" ca="1">IF(AND(INDIRECT("$G$" &amp; (9+AF$34)) = 1, $S54 = (INDIRECT("$M$" &amp; (9+AF$34)))), INDIRECT("$D$" &amp; (9+AF$34)),0)</f>
        <v>0</v>
      </c>
      <c r="AG54" s="1" cm="1">
        <f t="array" aca="1" ref="AG54" ca="1">IF(AND(INDIRECT("$G$" &amp; (9+AG$34)) = 1, $S54 = (INDIRECT("$M$" &amp; (9+AG$34)))), INDIRECT("$D$" &amp; (9+AG$34)),0)</f>
        <v>0</v>
      </c>
      <c r="AH54" s="1" cm="1">
        <f t="array" aca="1" ref="AH54" ca="1">IF(AND(INDIRECT("$G$" &amp; (9+AH$34)) = 1, $S54 = (INDIRECT("$M$" &amp; (9+AH$34)))), INDIRECT("$D$" &amp; (9+AH$34)),0)</f>
        <v>0</v>
      </c>
      <c r="AI54" s="1" cm="1">
        <f t="array" aca="1" ref="AI54" ca="1">IF(AND(INDIRECT("$G$" &amp; (9+AI$34)) = 1, $S54 = (INDIRECT("$M$" &amp; (9+AI$34)))), INDIRECT("$D$" &amp; (9+AI$34)),0)</f>
        <v>0</v>
      </c>
      <c r="AJ54" s="1" cm="1">
        <f t="array" aca="1" ref="AJ54" ca="1">IF(AND(INDIRECT("$G$" &amp; (9+AJ$34)) = 1, $S54 = (INDIRECT("$M$" &amp; (9+AJ$34)))), INDIRECT("$D$" &amp; (9+AJ$34)),0)</f>
        <v>0</v>
      </c>
      <c r="AK54" s="1" cm="1">
        <f t="array" aca="1" ref="AK54" ca="1">IF(AND(INDIRECT("$G$" &amp; (9+AK$34)) = 1, $S54 = (INDIRECT("$M$" &amp; (9+AK$34)))), INDIRECT("$D$" &amp; (9+AK$34)),0)</f>
        <v>0</v>
      </c>
      <c r="AL54" s="1" cm="1">
        <f t="array" aca="1" ref="AL54" ca="1">IF(AND(INDIRECT("$G$" &amp; (9+AL$34)) = 1, $S54 = (INDIRECT("$M$" &amp; (9+AL$34)))), INDIRECT("$D$" &amp; (9+AL$34)),0)</f>
        <v>0</v>
      </c>
      <c r="AM54" s="1" cm="1">
        <f t="array" aca="1" ref="AM54" ca="1">IF(AND(INDIRECT("$G$" &amp; (9+AM$34)) = 1, $S54 = (INDIRECT("$M$" &amp; (9+AM$34)))), INDIRECT("$D$" &amp; (9+AM$34)),0)</f>
        <v>0</v>
      </c>
      <c r="AN54" s="219">
        <v>2040</v>
      </c>
      <c r="AO54" s="1" cm="1">
        <f t="array" aca="1" ref="AO54" ca="1">IF(AND(INDIRECT("$H$" &amp; (9+T$57)) = 1, $S77 = (INDIRECT("$N$" &amp; (9+T$57)))), INDIRECT("$E$" &amp; (9+T$57)),0)</f>
        <v>0</v>
      </c>
      <c r="AP54" s="1" cm="1">
        <f t="array" aca="1" ref="AP54" ca="1">IF(AND(INDIRECT("$H$" &amp; (9+U$57)) = 1, $S77 = (INDIRECT("$N$" &amp; (9+U$57)))), INDIRECT("$E$" &amp; (9+U$57)),0)</f>
        <v>0</v>
      </c>
      <c r="AQ54" s="1" cm="1">
        <f t="array" aca="1" ref="AQ54" ca="1">IF(AND(INDIRECT("$H$" &amp; (9+V$57)) = 1, $S77 = (INDIRECT("$N$" &amp; (9+V$57)))), INDIRECT("$E$" &amp; (9+V$57)),0)</f>
        <v>0</v>
      </c>
      <c r="AR54" s="1" cm="1">
        <f t="array" aca="1" ref="AR54" ca="1">IF(AND(INDIRECT("$H$" &amp; (9+W$57)) = 1, $S77 = (INDIRECT("$N$" &amp; (9+W$57)))), INDIRECT("$E$" &amp; (9+W$57)),0)</f>
        <v>0</v>
      </c>
      <c r="AS54" s="1" cm="1">
        <f t="array" aca="1" ref="AS54" ca="1">IF(AND(INDIRECT("$H$" &amp; (9+X$57)) = 1, $S77 = (INDIRECT("$N$" &amp; (9+X$57)))), INDIRECT("$E$" &amp; (9+X$57)),0)</f>
        <v>0</v>
      </c>
      <c r="AT54" s="1" cm="1">
        <f t="array" aca="1" ref="AT54" ca="1">IF(AND(INDIRECT("$H$" &amp; (9+Y$57)) = 1, $S77 = (INDIRECT("$N$" &amp; (9+Y$57)))), INDIRECT("$E$" &amp; (9+Y$57)),0)</f>
        <v>0</v>
      </c>
      <c r="AU54" s="1" cm="1">
        <f t="array" aca="1" ref="AU54" ca="1">IF(AND(INDIRECT("$H$" &amp; (9+Z$57)) = 1, $S77 = (INDIRECT("$N$" &amp; (9+Z$57)))), INDIRECT("$E$" &amp; (9+Z$57)),0)</f>
        <v>0</v>
      </c>
      <c r="AV54" s="1" cm="1">
        <f t="array" aca="1" ref="AV54" ca="1">IF(AND(INDIRECT("$H$" &amp; (9+AA$57)) = 1, $S77 = (INDIRECT("$N$" &amp; (9+AA$57)))), INDIRECT("$E$" &amp; (9+AA$57)),0)</f>
        <v>0</v>
      </c>
      <c r="AW54" s="1" cm="1">
        <f t="array" aca="1" ref="AW54" ca="1">IF(AND(INDIRECT("$H$" &amp; (9+AB$57)) = 1, $S77 = (INDIRECT("$N$" &amp; (9+AB$57)))), INDIRECT("$E$" &amp; (9+AB$57)),0)</f>
        <v>0</v>
      </c>
      <c r="AX54" s="1" cm="1">
        <f t="array" aca="1" ref="AX54" ca="1">IF(AND(INDIRECT("$H$" &amp; (9+AC$57)) = 1, $S77 = (INDIRECT("$N$" &amp; (9+AC$57)))), INDIRECT("$E$" &amp; (9+AC$57)),0)</f>
        <v>0</v>
      </c>
      <c r="AY54" s="1" cm="1">
        <f t="array" aca="1" ref="AY54" ca="1">IF(AND(INDIRECT("$H$" &amp; (9+AD$57)) = 1, $S77 = (INDIRECT("$N$" &amp; (9+AD$57)))), INDIRECT("$E$" &amp; (9+AD$57)),0)</f>
        <v>0</v>
      </c>
      <c r="AZ54" s="1" cm="1">
        <f t="array" aca="1" ref="AZ54" ca="1">IF(AND(INDIRECT("$H$" &amp; (9+AE$57)) = 1, $S77 = (INDIRECT("$N$" &amp; (9+AE$57)))), INDIRECT("$E$" &amp; (9+AE$57)),0)</f>
        <v>0</v>
      </c>
      <c r="BA54" s="1" cm="1">
        <f t="array" aca="1" ref="BA54" ca="1">IF(AND(INDIRECT("$H$" &amp; (9+AF$57)) = 1, $S77 = (INDIRECT("$N$" &amp; (9+AF$57)))), INDIRECT("$E$" &amp; (9+AF$57)),0)</f>
        <v>0</v>
      </c>
      <c r="BB54" s="1" cm="1">
        <f t="array" aca="1" ref="BB54" ca="1">IF(AND(INDIRECT("$H$" &amp; (9+AG$57)) = 1, $S77 = (INDIRECT("$N$" &amp; (9+AG$57)))), INDIRECT("$E$" &amp; (9+AG$57)),0)</f>
        <v>0</v>
      </c>
      <c r="BC54" s="1" cm="1">
        <f t="array" aca="1" ref="BC54" ca="1">IF(AND(INDIRECT("$H$" &amp; (9+AH$57)) = 1, $S77 = (INDIRECT("$N$" &amp; (9+AH$57)))), INDIRECT("$E$" &amp; (9+AH$57)),0)</f>
        <v>0</v>
      </c>
      <c r="BD54" s="1" cm="1">
        <f t="array" aca="1" ref="BD54" ca="1">IF(AND(INDIRECT("$H$" &amp; (9+AI$57)) = 1, $S77 = (INDIRECT("$N$" &amp; (9+AI$57)))), INDIRECT("$E$" &amp; (9+AI$57)),0)</f>
        <v>0</v>
      </c>
      <c r="BE54" s="1" cm="1">
        <f t="array" aca="1" ref="BE54" ca="1">IF(AND(INDIRECT("$H$" &amp; (9+AJ$57)) = 1, $S77 = (INDIRECT("$N$" &amp; (9+AJ$57)))), INDIRECT("$E$" &amp; (9+AJ$57)),0)</f>
        <v>0</v>
      </c>
      <c r="BF54" s="1" cm="1">
        <f t="array" aca="1" ref="BF54" ca="1">IF(AND(INDIRECT("$H$" &amp; (9+AK$57)) = 1, $S77 = (INDIRECT("$N$" &amp; (9+AK$57)))), INDIRECT("$E$" &amp; (9+AK$57)),0)</f>
        <v>0</v>
      </c>
      <c r="BG54" s="1" cm="1">
        <f t="array" aca="1" ref="BG54" ca="1">IF(AND(INDIRECT("$H$" &amp; (9+AL$57)) = 1, $S77 = (INDIRECT("$N$" &amp; (9+AL$57)))), INDIRECT("$E$" &amp; (9+AL$57)),0)</f>
        <v>0</v>
      </c>
      <c r="BH54" s="1" cm="1">
        <f t="array" aca="1" ref="BH54" ca="1">IF(AND(INDIRECT("$H$" &amp; (9+AM$57)) = 1, $S77 = (INDIRECT("$N$" &amp; (9+AM$57)))), INDIRECT("$E$" &amp; (9+AM$57)),0)</f>
        <v>0</v>
      </c>
    </row>
    <row r="55" spans="19:60" x14ac:dyDescent="0.3">
      <c r="S55" s="193" t="s">
        <v>674</v>
      </c>
      <c r="AO55" s="193" t="s">
        <v>674</v>
      </c>
    </row>
    <row r="56" spans="19:60" x14ac:dyDescent="0.3">
      <c r="S56" s="218" t="s">
        <v>126</v>
      </c>
      <c r="AO56" s="218" t="s">
        <v>127</v>
      </c>
    </row>
    <row r="57" spans="19:60" x14ac:dyDescent="0.3">
      <c r="T57" s="227">
        <v>1</v>
      </c>
      <c r="U57" s="227">
        <v>2</v>
      </c>
      <c r="V57" s="227">
        <v>3</v>
      </c>
      <c r="W57" s="227">
        <v>4</v>
      </c>
      <c r="X57" s="227">
        <v>5</v>
      </c>
      <c r="Y57" s="227">
        <v>6</v>
      </c>
      <c r="Z57" s="227">
        <v>7</v>
      </c>
      <c r="AA57" s="227">
        <v>8</v>
      </c>
      <c r="AB57" s="227">
        <v>9</v>
      </c>
      <c r="AC57" s="227">
        <v>10</v>
      </c>
      <c r="AD57" s="227">
        <v>11</v>
      </c>
      <c r="AE57" s="227">
        <v>12</v>
      </c>
      <c r="AF57" s="227">
        <v>13</v>
      </c>
      <c r="AG57" s="227">
        <v>14</v>
      </c>
      <c r="AH57" s="227">
        <v>15</v>
      </c>
      <c r="AI57" s="227">
        <v>16</v>
      </c>
      <c r="AJ57" s="227">
        <v>17</v>
      </c>
      <c r="AK57" s="227">
        <v>18</v>
      </c>
      <c r="AL57" s="227">
        <v>19</v>
      </c>
      <c r="AM57" s="227">
        <v>20</v>
      </c>
      <c r="AO57" s="227">
        <v>1</v>
      </c>
      <c r="AP57" s="227">
        <v>2</v>
      </c>
      <c r="AQ57" s="227">
        <v>3</v>
      </c>
      <c r="AR57" s="227">
        <v>4</v>
      </c>
      <c r="AS57" s="227">
        <v>5</v>
      </c>
      <c r="AT57" s="227">
        <v>6</v>
      </c>
      <c r="AU57" s="227">
        <v>7</v>
      </c>
      <c r="AV57" s="227">
        <v>8</v>
      </c>
      <c r="AW57" s="227">
        <v>9</v>
      </c>
      <c r="AX57" s="227">
        <v>10</v>
      </c>
      <c r="AY57" s="227">
        <v>11</v>
      </c>
      <c r="AZ57" s="227">
        <v>12</v>
      </c>
      <c r="BA57" s="227">
        <v>13</v>
      </c>
      <c r="BB57" s="227">
        <v>14</v>
      </c>
      <c r="BC57" s="227">
        <v>15</v>
      </c>
      <c r="BD57" s="227">
        <v>16</v>
      </c>
      <c r="BE57" s="227">
        <v>17</v>
      </c>
      <c r="BF57" s="227">
        <v>18</v>
      </c>
      <c r="BG57" s="227">
        <v>19</v>
      </c>
      <c r="BH57" s="227">
        <v>20</v>
      </c>
    </row>
    <row r="58" spans="19:60" x14ac:dyDescent="0.3">
      <c r="S58" s="219">
        <v>2021</v>
      </c>
      <c r="T58">
        <f t="array" aca="1" ref="T58:AM77" ca="1">-MMULT(T82:AM101,T35:AM54)</f>
        <v>0</v>
      </c>
      <c r="U58">
        <f ca="1"/>
        <v>0</v>
      </c>
      <c r="V58">
        <f ca="1"/>
        <v>0</v>
      </c>
      <c r="W58">
        <f ca="1"/>
        <v>0</v>
      </c>
      <c r="X58">
        <f ca="1"/>
        <v>0</v>
      </c>
      <c r="Y58">
        <f ca="1"/>
        <v>0</v>
      </c>
      <c r="Z58">
        <f ca="1"/>
        <v>0</v>
      </c>
      <c r="AA58">
        <f ca="1"/>
        <v>0</v>
      </c>
      <c r="AB58">
        <f ca="1"/>
        <v>0</v>
      </c>
      <c r="AC58">
        <f ca="1"/>
        <v>0</v>
      </c>
      <c r="AD58">
        <f ca="1"/>
        <v>0</v>
      </c>
      <c r="AE58">
        <f ca="1"/>
        <v>0</v>
      </c>
      <c r="AF58">
        <f ca="1"/>
        <v>0</v>
      </c>
      <c r="AG58">
        <f ca="1"/>
        <v>0</v>
      </c>
      <c r="AH58">
        <f ca="1"/>
        <v>0</v>
      </c>
      <c r="AI58">
        <f ca="1"/>
        <v>0</v>
      </c>
      <c r="AJ58">
        <f ca="1"/>
        <v>0</v>
      </c>
      <c r="AK58">
        <f ca="1"/>
        <v>0</v>
      </c>
      <c r="AL58">
        <f ca="1"/>
        <v>0</v>
      </c>
      <c r="AM58">
        <f ca="1"/>
        <v>0</v>
      </c>
      <c r="AN58" s="219">
        <v>2021</v>
      </c>
      <c r="AO58">
        <f t="array" aca="1" ref="AO58:BH77" ca="1">-MMULT(AO82:BH101,AO35:BH54)</f>
        <v>0</v>
      </c>
      <c r="AP58">
        <f ca="1"/>
        <v>0</v>
      </c>
      <c r="AQ58">
        <f ca="1"/>
        <v>0</v>
      </c>
      <c r="AR58">
        <f ca="1"/>
        <v>0</v>
      </c>
      <c r="AS58">
        <f ca="1"/>
        <v>0</v>
      </c>
      <c r="AT58">
        <f ca="1"/>
        <v>0</v>
      </c>
      <c r="AU58">
        <f ca="1"/>
        <v>0</v>
      </c>
      <c r="AV58">
        <f ca="1"/>
        <v>0</v>
      </c>
      <c r="AW58">
        <f ca="1"/>
        <v>0</v>
      </c>
      <c r="AX58">
        <f ca="1"/>
        <v>0</v>
      </c>
      <c r="AY58">
        <f ca="1"/>
        <v>0</v>
      </c>
      <c r="AZ58">
        <f ca="1"/>
        <v>0</v>
      </c>
      <c r="BA58">
        <f ca="1"/>
        <v>0</v>
      </c>
      <c r="BB58">
        <f ca="1"/>
        <v>0</v>
      </c>
      <c r="BC58">
        <f ca="1"/>
        <v>0</v>
      </c>
      <c r="BD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0</v>
      </c>
    </row>
    <row r="59" spans="19:60" x14ac:dyDescent="0.3">
      <c r="S59" s="219">
        <v>2022</v>
      </c>
      <c r="T59">
        <f ca="1"/>
        <v>0</v>
      </c>
      <c r="U59">
        <f ca="1"/>
        <v>0</v>
      </c>
      <c r="V59">
        <f ca="1"/>
        <v>0</v>
      </c>
      <c r="W59">
        <f ca="1"/>
        <v>0</v>
      </c>
      <c r="X59">
        <f ca="1"/>
        <v>0</v>
      </c>
      <c r="Y59">
        <f ca="1"/>
        <v>0</v>
      </c>
      <c r="Z59">
        <f ca="1"/>
        <v>0</v>
      </c>
      <c r="AA59">
        <f ca="1"/>
        <v>0</v>
      </c>
      <c r="AB59">
        <f ca="1"/>
        <v>0</v>
      </c>
      <c r="AC59">
        <f ca="1"/>
        <v>0</v>
      </c>
      <c r="AD59">
        <f ca="1"/>
        <v>0</v>
      </c>
      <c r="AE59">
        <f ca="1"/>
        <v>0</v>
      </c>
      <c r="AF59">
        <f ca="1"/>
        <v>0</v>
      </c>
      <c r="AG59">
        <f ca="1"/>
        <v>0</v>
      </c>
      <c r="AH59">
        <f ca="1"/>
        <v>0</v>
      </c>
      <c r="AI59">
        <f ca="1"/>
        <v>0</v>
      </c>
      <c r="AJ59">
        <f ca="1"/>
        <v>0</v>
      </c>
      <c r="AK59">
        <f ca="1"/>
        <v>0</v>
      </c>
      <c r="AL59">
        <f ca="1"/>
        <v>0</v>
      </c>
      <c r="AM59">
        <f ca="1"/>
        <v>0</v>
      </c>
      <c r="AN59" s="219">
        <v>2022</v>
      </c>
      <c r="AO59">
        <f ca="1"/>
        <v>-0.6</v>
      </c>
      <c r="AP59">
        <f ca="1"/>
        <v>0</v>
      </c>
      <c r="AQ59">
        <f ca="1"/>
        <v>0</v>
      </c>
      <c r="AR59">
        <f ca="1"/>
        <v>0</v>
      </c>
      <c r="AS59">
        <f ca="1"/>
        <v>0</v>
      </c>
      <c r="AT59">
        <f ca="1"/>
        <v>0</v>
      </c>
      <c r="AU59">
        <f ca="1"/>
        <v>0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0</v>
      </c>
      <c r="BB59">
        <f ca="1"/>
        <v>0</v>
      </c>
      <c r="BC59">
        <f ca="1"/>
        <v>0</v>
      </c>
      <c r="BD59">
        <f ca="1"/>
        <v>0</v>
      </c>
      <c r="BE59">
        <f ca="1"/>
        <v>0</v>
      </c>
      <c r="BF59">
        <f ca="1"/>
        <v>0</v>
      </c>
      <c r="BG59">
        <f ca="1"/>
        <v>0</v>
      </c>
      <c r="BH59">
        <f ca="1"/>
        <v>0</v>
      </c>
    </row>
    <row r="60" spans="19:60" x14ac:dyDescent="0.3">
      <c r="S60" s="219">
        <v>2023</v>
      </c>
      <c r="T60">
        <f ca="1"/>
        <v>0</v>
      </c>
      <c r="U60">
        <f ca="1"/>
        <v>0</v>
      </c>
      <c r="V60">
        <f ca="1"/>
        <v>0</v>
      </c>
      <c r="W60">
        <f ca="1"/>
        <v>0</v>
      </c>
      <c r="X60">
        <f ca="1"/>
        <v>0</v>
      </c>
      <c r="Y60">
        <f ca="1"/>
        <v>0</v>
      </c>
      <c r="Z60">
        <f ca="1"/>
        <v>0</v>
      </c>
      <c r="AA60">
        <f ca="1"/>
        <v>0</v>
      </c>
      <c r="AB60">
        <f ca="1"/>
        <v>0</v>
      </c>
      <c r="AC60">
        <f ca="1"/>
        <v>0</v>
      </c>
      <c r="AD60">
        <f ca="1"/>
        <v>0</v>
      </c>
      <c r="AE60">
        <f ca="1"/>
        <v>0</v>
      </c>
      <c r="AF60">
        <f ca="1"/>
        <v>0</v>
      </c>
      <c r="AG60">
        <f ca="1"/>
        <v>0</v>
      </c>
      <c r="AH60">
        <f ca="1"/>
        <v>0</v>
      </c>
      <c r="AI60">
        <f ca="1"/>
        <v>0</v>
      </c>
      <c r="AJ60">
        <f ca="1"/>
        <v>0</v>
      </c>
      <c r="AK60">
        <f ca="1"/>
        <v>0</v>
      </c>
      <c r="AL60">
        <f ca="1"/>
        <v>0</v>
      </c>
      <c r="AM60">
        <f ca="1"/>
        <v>0</v>
      </c>
      <c r="AN60" s="219">
        <v>2023</v>
      </c>
      <c r="AO60">
        <f ca="1"/>
        <v>-6.4</v>
      </c>
      <c r="AP60">
        <f ca="1"/>
        <v>0</v>
      </c>
      <c r="AQ60">
        <f ca="1"/>
        <v>0</v>
      </c>
      <c r="AR60">
        <f ca="1"/>
        <v>0</v>
      </c>
      <c r="AS60">
        <f ca="1"/>
        <v>0</v>
      </c>
      <c r="AT60">
        <f ca="1"/>
        <v>0</v>
      </c>
      <c r="AU60">
        <f ca="1"/>
        <v>0</v>
      </c>
      <c r="AV60">
        <f ca="1"/>
        <v>0</v>
      </c>
      <c r="AW60">
        <f ca="1"/>
        <v>0</v>
      </c>
      <c r="AX60">
        <f ca="1"/>
        <v>0</v>
      </c>
      <c r="AY60">
        <f ca="1"/>
        <v>0</v>
      </c>
      <c r="AZ60">
        <f ca="1"/>
        <v>0</v>
      </c>
      <c r="BA60">
        <f ca="1"/>
        <v>0</v>
      </c>
      <c r="BB60">
        <f ca="1"/>
        <v>0</v>
      </c>
      <c r="BC60">
        <f ca="1"/>
        <v>0</v>
      </c>
      <c r="BD60">
        <f ca="1"/>
        <v>0</v>
      </c>
      <c r="BE60">
        <f ca="1"/>
        <v>0</v>
      </c>
      <c r="BF60">
        <f ca="1"/>
        <v>0</v>
      </c>
      <c r="BG60">
        <f ca="1"/>
        <v>0</v>
      </c>
      <c r="BH60">
        <f ca="1"/>
        <v>0</v>
      </c>
    </row>
    <row r="61" spans="19:60" x14ac:dyDescent="0.3">
      <c r="S61" s="219">
        <v>2024</v>
      </c>
      <c r="T61">
        <f ca="1"/>
        <v>0</v>
      </c>
      <c r="U61">
        <f ca="1"/>
        <v>0</v>
      </c>
      <c r="V61">
        <f ca="1"/>
        <v>0</v>
      </c>
      <c r="W61">
        <f ca="1"/>
        <v>0</v>
      </c>
      <c r="X61">
        <f ca="1"/>
        <v>0</v>
      </c>
      <c r="Y61">
        <f ca="1"/>
        <v>0</v>
      </c>
      <c r="Z61">
        <f ca="1"/>
        <v>0</v>
      </c>
      <c r="AA61">
        <f ca="1"/>
        <v>0</v>
      </c>
      <c r="AB61">
        <f ca="1"/>
        <v>0</v>
      </c>
      <c r="AC61">
        <f ca="1"/>
        <v>0</v>
      </c>
      <c r="AD61">
        <f ca="1"/>
        <v>0</v>
      </c>
      <c r="AE61">
        <f ca="1"/>
        <v>0</v>
      </c>
      <c r="AF61">
        <f ca="1"/>
        <v>0</v>
      </c>
      <c r="AG61">
        <f ca="1"/>
        <v>0</v>
      </c>
      <c r="AH61">
        <f ca="1"/>
        <v>0</v>
      </c>
      <c r="AI61">
        <f ca="1"/>
        <v>0</v>
      </c>
      <c r="AJ61">
        <f ca="1"/>
        <v>0</v>
      </c>
      <c r="AK61">
        <f ca="1"/>
        <v>0</v>
      </c>
      <c r="AL61">
        <f ca="1"/>
        <v>0</v>
      </c>
      <c r="AM61">
        <f ca="1"/>
        <v>0</v>
      </c>
      <c r="AN61" s="219">
        <v>2024</v>
      </c>
      <c r="AO61">
        <f ca="1"/>
        <v>-29.799999999999997</v>
      </c>
      <c r="AP61">
        <f ca="1"/>
        <v>0</v>
      </c>
      <c r="AQ61">
        <f ca="1"/>
        <v>0</v>
      </c>
      <c r="AR61">
        <f ca="1"/>
        <v>0</v>
      </c>
      <c r="AS61">
        <f ca="1"/>
        <v>0</v>
      </c>
      <c r="AT61">
        <f ca="1"/>
        <v>0</v>
      </c>
      <c r="AU61">
        <f ca="1"/>
        <v>0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0</v>
      </c>
      <c r="BA61">
        <f ca="1"/>
        <v>0</v>
      </c>
      <c r="BB61">
        <f ca="1"/>
        <v>0</v>
      </c>
      <c r="BC61">
        <f ca="1"/>
        <v>0</v>
      </c>
      <c r="BD61">
        <f ca="1"/>
        <v>0</v>
      </c>
      <c r="BE61">
        <f ca="1"/>
        <v>0</v>
      </c>
      <c r="BF61">
        <f ca="1"/>
        <v>0</v>
      </c>
      <c r="BG61">
        <f ca="1"/>
        <v>0</v>
      </c>
      <c r="BH61">
        <f ca="1"/>
        <v>0</v>
      </c>
    </row>
    <row r="62" spans="19:60" x14ac:dyDescent="0.3">
      <c r="S62" s="219">
        <v>2025</v>
      </c>
      <c r="T62">
        <f ca="1"/>
        <v>0</v>
      </c>
      <c r="U62">
        <f ca="1"/>
        <v>0</v>
      </c>
      <c r="V62">
        <f ca="1"/>
        <v>0</v>
      </c>
      <c r="W62">
        <f ca="1"/>
        <v>0</v>
      </c>
      <c r="X62">
        <f ca="1"/>
        <v>0</v>
      </c>
      <c r="Y62">
        <f ca="1"/>
        <v>0</v>
      </c>
      <c r="Z62">
        <f ca="1"/>
        <v>0</v>
      </c>
      <c r="AA62">
        <f ca="1"/>
        <v>0</v>
      </c>
      <c r="AB62">
        <f ca="1"/>
        <v>0</v>
      </c>
      <c r="AC62">
        <f ca="1"/>
        <v>0</v>
      </c>
      <c r="AD62">
        <f ca="1"/>
        <v>0</v>
      </c>
      <c r="AE62">
        <f ca="1"/>
        <v>0</v>
      </c>
      <c r="AF62">
        <f ca="1"/>
        <v>0</v>
      </c>
      <c r="AG62">
        <f ca="1"/>
        <v>0</v>
      </c>
      <c r="AH62">
        <f ca="1"/>
        <v>0</v>
      </c>
      <c r="AI62">
        <f ca="1"/>
        <v>0</v>
      </c>
      <c r="AJ62">
        <f ca="1"/>
        <v>0</v>
      </c>
      <c r="AK62">
        <f ca="1"/>
        <v>0</v>
      </c>
      <c r="AL62">
        <f ca="1"/>
        <v>0</v>
      </c>
      <c r="AM62">
        <f ca="1"/>
        <v>0</v>
      </c>
      <c r="AN62" s="219">
        <v>2025</v>
      </c>
      <c r="AO62">
        <f ca="1"/>
        <v>-51.5</v>
      </c>
      <c r="AP62">
        <f ca="1"/>
        <v>0</v>
      </c>
      <c r="AQ62">
        <f ca="1"/>
        <v>0</v>
      </c>
      <c r="AR62">
        <f ca="1"/>
        <v>0</v>
      </c>
      <c r="AS62">
        <f ca="1"/>
        <v>0</v>
      </c>
      <c r="AT62">
        <f ca="1"/>
        <v>0</v>
      </c>
      <c r="AU62">
        <f ca="1"/>
        <v>0</v>
      </c>
      <c r="AV62">
        <f ca="1"/>
        <v>0</v>
      </c>
      <c r="AW62">
        <f ca="1"/>
        <v>0</v>
      </c>
      <c r="AX62">
        <f ca="1"/>
        <v>0</v>
      </c>
      <c r="AY62">
        <f ca="1"/>
        <v>0</v>
      </c>
      <c r="AZ62">
        <f ca="1"/>
        <v>0</v>
      </c>
      <c r="BA62">
        <f ca="1"/>
        <v>0</v>
      </c>
      <c r="BB62">
        <f ca="1"/>
        <v>0</v>
      </c>
      <c r="BC62">
        <f ca="1"/>
        <v>0</v>
      </c>
      <c r="BD62">
        <f ca="1"/>
        <v>0</v>
      </c>
      <c r="BE62">
        <f ca="1"/>
        <v>0</v>
      </c>
      <c r="BF62">
        <f ca="1"/>
        <v>0</v>
      </c>
      <c r="BG62">
        <f ca="1"/>
        <v>0</v>
      </c>
      <c r="BH62">
        <f ca="1"/>
        <v>0</v>
      </c>
    </row>
    <row r="63" spans="19:60" x14ac:dyDescent="0.3">
      <c r="S63" s="219">
        <v>2026</v>
      </c>
      <c r="T63">
        <f ca="1"/>
        <v>0</v>
      </c>
      <c r="U63">
        <f ca="1"/>
        <v>0</v>
      </c>
      <c r="V63">
        <f ca="1"/>
        <v>0</v>
      </c>
      <c r="W63">
        <f ca="1"/>
        <v>0</v>
      </c>
      <c r="X63">
        <f ca="1"/>
        <v>0</v>
      </c>
      <c r="Y63">
        <f ca="1"/>
        <v>0</v>
      </c>
      <c r="Z63">
        <f ca="1"/>
        <v>0</v>
      </c>
      <c r="AA63">
        <f ca="1"/>
        <v>0</v>
      </c>
      <c r="AB63">
        <f ca="1"/>
        <v>0</v>
      </c>
      <c r="AC63">
        <f ca="1"/>
        <v>0</v>
      </c>
      <c r="AD63">
        <f ca="1"/>
        <v>0</v>
      </c>
      <c r="AE63">
        <f ca="1"/>
        <v>0</v>
      </c>
      <c r="AF63">
        <f ca="1"/>
        <v>0</v>
      </c>
      <c r="AG63">
        <f ca="1"/>
        <v>0</v>
      </c>
      <c r="AH63">
        <f ca="1"/>
        <v>0</v>
      </c>
      <c r="AI63">
        <f ca="1"/>
        <v>0</v>
      </c>
      <c r="AJ63">
        <f ca="1"/>
        <v>0</v>
      </c>
      <c r="AK63">
        <f ca="1"/>
        <v>0</v>
      </c>
      <c r="AL63">
        <f ca="1"/>
        <v>0</v>
      </c>
      <c r="AM63">
        <f ca="1"/>
        <v>0</v>
      </c>
      <c r="AN63" s="219">
        <v>2026</v>
      </c>
      <c r="AO63">
        <f ca="1"/>
        <v>-11.600000000000001</v>
      </c>
      <c r="AP63">
        <f ca="1"/>
        <v>0</v>
      </c>
      <c r="AQ63">
        <f ca="1"/>
        <v>0</v>
      </c>
      <c r="AR63">
        <f ca="1"/>
        <v>0</v>
      </c>
      <c r="AS63">
        <f ca="1"/>
        <v>0</v>
      </c>
      <c r="AT63">
        <f ca="1"/>
        <v>0</v>
      </c>
      <c r="AU63">
        <f ca="1"/>
        <v>0</v>
      </c>
      <c r="AV63">
        <f ca="1"/>
        <v>0</v>
      </c>
      <c r="AW63">
        <f ca="1"/>
        <v>0</v>
      </c>
      <c r="AX63">
        <f ca="1"/>
        <v>0</v>
      </c>
      <c r="AY63">
        <f ca="1"/>
        <v>0</v>
      </c>
      <c r="AZ63">
        <f ca="1"/>
        <v>0</v>
      </c>
      <c r="BA63">
        <f ca="1"/>
        <v>0</v>
      </c>
      <c r="BB63">
        <f ca="1"/>
        <v>0</v>
      </c>
      <c r="BC63">
        <f ca="1"/>
        <v>0</v>
      </c>
      <c r="BD63">
        <f ca="1"/>
        <v>0</v>
      </c>
      <c r="BE63">
        <f ca="1"/>
        <v>0</v>
      </c>
      <c r="BF63">
        <f ca="1"/>
        <v>0</v>
      </c>
      <c r="BG63">
        <f ca="1"/>
        <v>0</v>
      </c>
      <c r="BH63">
        <f ca="1"/>
        <v>0</v>
      </c>
    </row>
    <row r="64" spans="19:60" x14ac:dyDescent="0.3">
      <c r="S64" s="219">
        <v>2027</v>
      </c>
      <c r="T64">
        <f ca="1"/>
        <v>0</v>
      </c>
      <c r="U64">
        <f ca="1"/>
        <v>0</v>
      </c>
      <c r="V64">
        <f ca="1"/>
        <v>0</v>
      </c>
      <c r="W64">
        <f ca="1"/>
        <v>0</v>
      </c>
      <c r="X64">
        <f ca="1"/>
        <v>0</v>
      </c>
      <c r="Y64">
        <f ca="1"/>
        <v>0</v>
      </c>
      <c r="Z64">
        <f ca="1"/>
        <v>0</v>
      </c>
      <c r="AA64">
        <f ca="1"/>
        <v>0</v>
      </c>
      <c r="AB64">
        <f ca="1"/>
        <v>0</v>
      </c>
      <c r="AC64">
        <f ca="1"/>
        <v>0</v>
      </c>
      <c r="AD64">
        <f ca="1"/>
        <v>0</v>
      </c>
      <c r="AE64">
        <f ca="1"/>
        <v>0</v>
      </c>
      <c r="AF64">
        <f ca="1"/>
        <v>0</v>
      </c>
      <c r="AG64">
        <f ca="1"/>
        <v>0</v>
      </c>
      <c r="AH64">
        <f ca="1"/>
        <v>0</v>
      </c>
      <c r="AI64">
        <f ca="1"/>
        <v>0</v>
      </c>
      <c r="AJ64">
        <f ca="1"/>
        <v>0</v>
      </c>
      <c r="AK64">
        <f ca="1"/>
        <v>0</v>
      </c>
      <c r="AL64">
        <f ca="1"/>
        <v>0</v>
      </c>
      <c r="AM64">
        <f ca="1"/>
        <v>0</v>
      </c>
      <c r="AN64" s="219">
        <v>2027</v>
      </c>
      <c r="AO64">
        <f ca="1"/>
        <v>0</v>
      </c>
      <c r="AP64">
        <f ca="1"/>
        <v>0</v>
      </c>
      <c r="AQ64">
        <f ca="1"/>
        <v>0</v>
      </c>
      <c r="AR64">
        <f ca="1"/>
        <v>0</v>
      </c>
      <c r="AS64">
        <f ca="1"/>
        <v>0</v>
      </c>
      <c r="AT64">
        <f ca="1"/>
        <v>-0.12</v>
      </c>
      <c r="AU64">
        <f ca="1"/>
        <v>0</v>
      </c>
      <c r="AV64">
        <f ca="1"/>
        <v>0</v>
      </c>
      <c r="AW64">
        <f ca="1"/>
        <v>0</v>
      </c>
      <c r="AX64">
        <f ca="1"/>
        <v>0</v>
      </c>
      <c r="AY64">
        <f ca="1"/>
        <v>0</v>
      </c>
      <c r="AZ64">
        <f ca="1"/>
        <v>0</v>
      </c>
      <c r="BA64">
        <f ca="1"/>
        <v>0</v>
      </c>
      <c r="BB64">
        <f ca="1"/>
        <v>0</v>
      </c>
      <c r="BC64">
        <f ca="1"/>
        <v>0</v>
      </c>
      <c r="BD64">
        <f ca="1"/>
        <v>0</v>
      </c>
      <c r="BE64">
        <f ca="1"/>
        <v>0</v>
      </c>
      <c r="BF64">
        <f ca="1"/>
        <v>0</v>
      </c>
      <c r="BG64">
        <f ca="1"/>
        <v>0</v>
      </c>
      <c r="BH64">
        <f ca="1"/>
        <v>0</v>
      </c>
    </row>
    <row r="65" spans="19:60" x14ac:dyDescent="0.3">
      <c r="S65" s="219">
        <v>2028</v>
      </c>
      <c r="T65">
        <f ca="1"/>
        <v>0</v>
      </c>
      <c r="U65">
        <f ca="1"/>
        <v>0</v>
      </c>
      <c r="V65">
        <f ca="1"/>
        <v>0</v>
      </c>
      <c r="W65">
        <f ca="1"/>
        <v>0</v>
      </c>
      <c r="X65">
        <f ca="1"/>
        <v>0</v>
      </c>
      <c r="Y65">
        <f ca="1"/>
        <v>0</v>
      </c>
      <c r="Z65">
        <f ca="1"/>
        <v>0</v>
      </c>
      <c r="AA65">
        <f ca="1"/>
        <v>0</v>
      </c>
      <c r="AB65">
        <f ca="1"/>
        <v>0</v>
      </c>
      <c r="AC65">
        <f ca="1"/>
        <v>0</v>
      </c>
      <c r="AD65">
        <f ca="1"/>
        <v>0</v>
      </c>
      <c r="AE65">
        <f ca="1"/>
        <v>0</v>
      </c>
      <c r="AF65">
        <f ca="1"/>
        <v>0</v>
      </c>
      <c r="AG65">
        <f ca="1"/>
        <v>0</v>
      </c>
      <c r="AH65">
        <f ca="1"/>
        <v>0</v>
      </c>
      <c r="AI65">
        <f ca="1"/>
        <v>0</v>
      </c>
      <c r="AJ65">
        <f ca="1"/>
        <v>0</v>
      </c>
      <c r="AK65">
        <f ca="1"/>
        <v>0</v>
      </c>
      <c r="AL65">
        <f ca="1"/>
        <v>0</v>
      </c>
      <c r="AM65">
        <f ca="1"/>
        <v>0</v>
      </c>
      <c r="AN65" s="219">
        <v>2028</v>
      </c>
      <c r="AO65">
        <f ca="1"/>
        <v>0</v>
      </c>
      <c r="AP65">
        <f ca="1"/>
        <v>0</v>
      </c>
      <c r="AQ65">
        <f ca="1"/>
        <v>0</v>
      </c>
      <c r="AR65">
        <f ca="1"/>
        <v>0</v>
      </c>
      <c r="AS65">
        <f ca="1"/>
        <v>0</v>
      </c>
      <c r="AT65">
        <f ca="1"/>
        <v>-1.28</v>
      </c>
      <c r="AU65">
        <f ca="1"/>
        <v>0</v>
      </c>
      <c r="AV65">
        <f ca="1"/>
        <v>0</v>
      </c>
      <c r="AW65">
        <f ca="1"/>
        <v>0</v>
      </c>
      <c r="AX65">
        <f ca="1"/>
        <v>0</v>
      </c>
      <c r="AY65">
        <f ca="1"/>
        <v>0</v>
      </c>
      <c r="AZ65">
        <f ca="1"/>
        <v>0</v>
      </c>
      <c r="BA65">
        <f ca="1"/>
        <v>0</v>
      </c>
      <c r="BB65">
        <f ca="1"/>
        <v>0</v>
      </c>
      <c r="BC65">
        <f ca="1"/>
        <v>0</v>
      </c>
      <c r="BD65">
        <f ca="1"/>
        <v>0</v>
      </c>
      <c r="BE65">
        <f ca="1"/>
        <v>0</v>
      </c>
      <c r="BF65">
        <f ca="1"/>
        <v>0</v>
      </c>
      <c r="BG65">
        <f ca="1"/>
        <v>0</v>
      </c>
      <c r="BH65">
        <f ca="1"/>
        <v>0</v>
      </c>
    </row>
    <row r="66" spans="19:60" x14ac:dyDescent="0.3">
      <c r="S66" s="219">
        <v>2029</v>
      </c>
      <c r="T66">
        <f ca="1"/>
        <v>0</v>
      </c>
      <c r="U66">
        <f ca="1"/>
        <v>0</v>
      </c>
      <c r="V66">
        <f ca="1"/>
        <v>0</v>
      </c>
      <c r="W66">
        <f ca="1"/>
        <v>0</v>
      </c>
      <c r="X66">
        <f ca="1"/>
        <v>0</v>
      </c>
      <c r="Y66">
        <f ca="1"/>
        <v>0</v>
      </c>
      <c r="Z66">
        <f ca="1"/>
        <v>0</v>
      </c>
      <c r="AA66">
        <f ca="1"/>
        <v>0</v>
      </c>
      <c r="AB66">
        <f ca="1"/>
        <v>0</v>
      </c>
      <c r="AC66">
        <f ca="1"/>
        <v>0</v>
      </c>
      <c r="AD66">
        <f ca="1"/>
        <v>0</v>
      </c>
      <c r="AE66">
        <f ca="1"/>
        <v>0</v>
      </c>
      <c r="AF66">
        <f ca="1"/>
        <v>0</v>
      </c>
      <c r="AG66">
        <f ca="1"/>
        <v>0</v>
      </c>
      <c r="AH66">
        <f ca="1"/>
        <v>0</v>
      </c>
      <c r="AI66">
        <f ca="1"/>
        <v>0</v>
      </c>
      <c r="AJ66">
        <f ca="1"/>
        <v>0</v>
      </c>
      <c r="AK66">
        <f ca="1"/>
        <v>0</v>
      </c>
      <c r="AL66">
        <f ca="1"/>
        <v>0</v>
      </c>
      <c r="AM66">
        <f ca="1"/>
        <v>0</v>
      </c>
      <c r="AN66" s="219">
        <v>2029</v>
      </c>
      <c r="AO66">
        <f ca="1"/>
        <v>0</v>
      </c>
      <c r="AP66">
        <f ca="1"/>
        <v>0</v>
      </c>
      <c r="AQ66">
        <f ca="1"/>
        <v>0</v>
      </c>
      <c r="AR66">
        <f ca="1"/>
        <v>0</v>
      </c>
      <c r="AS66">
        <f ca="1"/>
        <v>0</v>
      </c>
      <c r="AT66">
        <f ca="1"/>
        <v>-5.96</v>
      </c>
      <c r="AU66">
        <f ca="1"/>
        <v>0</v>
      </c>
      <c r="AV66">
        <f ca="1"/>
        <v>0</v>
      </c>
      <c r="AW66">
        <f ca="1"/>
        <v>0</v>
      </c>
      <c r="AX66">
        <f ca="1"/>
        <v>0</v>
      </c>
      <c r="AY66">
        <f ca="1"/>
        <v>0</v>
      </c>
      <c r="AZ66">
        <f ca="1"/>
        <v>0</v>
      </c>
      <c r="BA66">
        <f ca="1"/>
        <v>0</v>
      </c>
      <c r="BB66">
        <f ca="1"/>
        <v>0</v>
      </c>
      <c r="BC66">
        <f ca="1"/>
        <v>0</v>
      </c>
      <c r="BD66">
        <f ca="1"/>
        <v>0</v>
      </c>
      <c r="BE66">
        <f ca="1"/>
        <v>0</v>
      </c>
      <c r="BF66">
        <f ca="1"/>
        <v>0</v>
      </c>
      <c r="BG66">
        <f ca="1"/>
        <v>0</v>
      </c>
      <c r="BH66">
        <f ca="1"/>
        <v>0</v>
      </c>
    </row>
    <row r="67" spans="19:60" x14ac:dyDescent="0.3">
      <c r="S67" s="219">
        <v>2030</v>
      </c>
      <c r="T67">
        <f ca="1"/>
        <v>0</v>
      </c>
      <c r="U67">
        <f ca="1"/>
        <v>0</v>
      </c>
      <c r="V67">
        <f ca="1"/>
        <v>0</v>
      </c>
      <c r="W67">
        <f ca="1"/>
        <v>0</v>
      </c>
      <c r="X67">
        <f ca="1"/>
        <v>0</v>
      </c>
      <c r="Y67">
        <f ca="1"/>
        <v>0</v>
      </c>
      <c r="Z67">
        <f ca="1"/>
        <v>0</v>
      </c>
      <c r="AA67">
        <f ca="1"/>
        <v>0</v>
      </c>
      <c r="AB67">
        <f ca="1"/>
        <v>0</v>
      </c>
      <c r="AC67">
        <f ca="1"/>
        <v>0</v>
      </c>
      <c r="AD67">
        <f ca="1"/>
        <v>0</v>
      </c>
      <c r="AE67">
        <f ca="1"/>
        <v>0</v>
      </c>
      <c r="AF67">
        <f ca="1"/>
        <v>0</v>
      </c>
      <c r="AG67">
        <f ca="1"/>
        <v>0</v>
      </c>
      <c r="AH67">
        <f ca="1"/>
        <v>0</v>
      </c>
      <c r="AI67">
        <f ca="1"/>
        <v>0</v>
      </c>
      <c r="AJ67">
        <f ca="1"/>
        <v>0</v>
      </c>
      <c r="AK67">
        <f ca="1"/>
        <v>0</v>
      </c>
      <c r="AL67">
        <f ca="1"/>
        <v>0</v>
      </c>
      <c r="AM67">
        <f ca="1"/>
        <v>0</v>
      </c>
      <c r="AN67" s="219">
        <v>2030</v>
      </c>
      <c r="AO67">
        <f ca="1"/>
        <v>0</v>
      </c>
      <c r="AP67">
        <f ca="1"/>
        <v>0</v>
      </c>
      <c r="AQ67">
        <f ca="1"/>
        <v>0</v>
      </c>
      <c r="AR67">
        <f ca="1"/>
        <v>0</v>
      </c>
      <c r="AS67">
        <f ca="1"/>
        <v>0</v>
      </c>
      <c r="AT67">
        <f ca="1"/>
        <v>-10.3</v>
      </c>
      <c r="AU67">
        <f ca="1"/>
        <v>0</v>
      </c>
      <c r="AV67">
        <f ca="1"/>
        <v>0</v>
      </c>
      <c r="AW67">
        <f ca="1"/>
        <v>0</v>
      </c>
      <c r="AX67">
        <f ca="1"/>
        <v>0</v>
      </c>
      <c r="AY67">
        <f ca="1"/>
        <v>0</v>
      </c>
      <c r="AZ67">
        <f ca="1"/>
        <v>0</v>
      </c>
      <c r="BA67">
        <f ca="1"/>
        <v>0</v>
      </c>
      <c r="BB67">
        <f ca="1"/>
        <v>0</v>
      </c>
      <c r="BC67">
        <f ca="1"/>
        <v>0</v>
      </c>
      <c r="BD67">
        <f ca="1"/>
        <v>0</v>
      </c>
      <c r="BE67">
        <f ca="1"/>
        <v>0</v>
      </c>
      <c r="BF67">
        <f ca="1"/>
        <v>0</v>
      </c>
      <c r="BG67">
        <f ca="1"/>
        <v>0</v>
      </c>
      <c r="BH67">
        <f ca="1"/>
        <v>0</v>
      </c>
    </row>
    <row r="68" spans="19:60" x14ac:dyDescent="0.3">
      <c r="S68" s="219">
        <v>2031</v>
      </c>
      <c r="T68">
        <f ca="1"/>
        <v>0</v>
      </c>
      <c r="U68">
        <f ca="1"/>
        <v>0</v>
      </c>
      <c r="V68">
        <f ca="1"/>
        <v>0</v>
      </c>
      <c r="W68">
        <f ca="1"/>
        <v>0</v>
      </c>
      <c r="X68">
        <f ca="1"/>
        <v>0</v>
      </c>
      <c r="Y68">
        <f ca="1"/>
        <v>0</v>
      </c>
      <c r="Z68">
        <f ca="1"/>
        <v>0</v>
      </c>
      <c r="AA68">
        <f ca="1"/>
        <v>0</v>
      </c>
      <c r="AB68">
        <f ca="1"/>
        <v>0</v>
      </c>
      <c r="AC68">
        <f ca="1"/>
        <v>0</v>
      </c>
      <c r="AD68">
        <f ca="1"/>
        <v>0</v>
      </c>
      <c r="AE68">
        <f ca="1"/>
        <v>0</v>
      </c>
      <c r="AF68">
        <f ca="1"/>
        <v>0</v>
      </c>
      <c r="AG68">
        <f ca="1"/>
        <v>0</v>
      </c>
      <c r="AH68">
        <f ca="1"/>
        <v>0</v>
      </c>
      <c r="AI68">
        <f ca="1"/>
        <v>0</v>
      </c>
      <c r="AJ68">
        <f ca="1"/>
        <v>0</v>
      </c>
      <c r="AK68">
        <f ca="1"/>
        <v>0</v>
      </c>
      <c r="AL68">
        <f ca="1"/>
        <v>0</v>
      </c>
      <c r="AM68">
        <f ca="1"/>
        <v>0</v>
      </c>
      <c r="AN68" s="219">
        <v>2031</v>
      </c>
      <c r="AO68">
        <f ca="1"/>
        <v>0</v>
      </c>
      <c r="AP68">
        <f ca="1"/>
        <v>0</v>
      </c>
      <c r="AQ68">
        <f ca="1"/>
        <v>0</v>
      </c>
      <c r="AR68">
        <f ca="1"/>
        <v>0</v>
      </c>
      <c r="AS68">
        <f ca="1"/>
        <v>0</v>
      </c>
      <c r="AT68">
        <f ca="1"/>
        <v>-2.3200000000000003</v>
      </c>
      <c r="AU68">
        <f ca="1"/>
        <v>0</v>
      </c>
      <c r="AV68">
        <f ca="1"/>
        <v>0</v>
      </c>
      <c r="AW68">
        <f ca="1"/>
        <v>0</v>
      </c>
      <c r="AX68">
        <f ca="1"/>
        <v>0</v>
      </c>
      <c r="AY68">
        <f ca="1"/>
        <v>0</v>
      </c>
      <c r="AZ68">
        <f ca="1"/>
        <v>0</v>
      </c>
      <c r="BA68">
        <f ca="1"/>
        <v>0</v>
      </c>
      <c r="BB68">
        <f ca="1"/>
        <v>0</v>
      </c>
      <c r="BC68">
        <f ca="1"/>
        <v>0</v>
      </c>
      <c r="BD68">
        <f ca="1"/>
        <v>0</v>
      </c>
      <c r="BE68">
        <f ca="1"/>
        <v>0</v>
      </c>
      <c r="BF68">
        <f ca="1"/>
        <v>0</v>
      </c>
      <c r="BG68">
        <f ca="1"/>
        <v>0</v>
      </c>
      <c r="BH68">
        <f ca="1"/>
        <v>0</v>
      </c>
    </row>
    <row r="69" spans="19:60" x14ac:dyDescent="0.3">
      <c r="S69" s="219">
        <v>2032</v>
      </c>
      <c r="T69">
        <f ca="1"/>
        <v>0</v>
      </c>
      <c r="U69">
        <f ca="1"/>
        <v>0</v>
      </c>
      <c r="V69">
        <f ca="1"/>
        <v>0</v>
      </c>
      <c r="W69">
        <f ca="1"/>
        <v>0</v>
      </c>
      <c r="X69">
        <f ca="1"/>
        <v>0</v>
      </c>
      <c r="Y69">
        <f ca="1"/>
        <v>0</v>
      </c>
      <c r="Z69">
        <f ca="1"/>
        <v>0</v>
      </c>
      <c r="AA69">
        <f ca="1"/>
        <v>0</v>
      </c>
      <c r="AB69">
        <f ca="1"/>
        <v>0</v>
      </c>
      <c r="AC69">
        <f ca="1"/>
        <v>0</v>
      </c>
      <c r="AD69">
        <f ca="1"/>
        <v>0</v>
      </c>
      <c r="AE69">
        <f ca="1"/>
        <v>0</v>
      </c>
      <c r="AF69">
        <f ca="1"/>
        <v>0</v>
      </c>
      <c r="AG69">
        <f ca="1"/>
        <v>0</v>
      </c>
      <c r="AH69">
        <f ca="1"/>
        <v>0</v>
      </c>
      <c r="AI69">
        <f ca="1"/>
        <v>0</v>
      </c>
      <c r="AJ69">
        <f ca="1"/>
        <v>0</v>
      </c>
      <c r="AK69">
        <f ca="1"/>
        <v>0</v>
      </c>
      <c r="AL69">
        <f ca="1"/>
        <v>0</v>
      </c>
      <c r="AM69">
        <f ca="1"/>
        <v>0</v>
      </c>
      <c r="AN69" s="219">
        <v>2032</v>
      </c>
      <c r="AO69">
        <f ca="1"/>
        <v>0</v>
      </c>
      <c r="AP69">
        <f ca="1"/>
        <v>0</v>
      </c>
      <c r="AQ69">
        <f ca="1"/>
        <v>0</v>
      </c>
      <c r="AR69">
        <f ca="1"/>
        <v>0</v>
      </c>
      <c r="AS69">
        <f ca="1"/>
        <v>0</v>
      </c>
      <c r="AT69">
        <f ca="1"/>
        <v>0</v>
      </c>
      <c r="AU69">
        <f ca="1"/>
        <v>0</v>
      </c>
      <c r="AV69">
        <f ca="1"/>
        <v>0</v>
      </c>
      <c r="AW69">
        <f ca="1"/>
        <v>0</v>
      </c>
      <c r="AX69">
        <f ca="1"/>
        <v>0</v>
      </c>
      <c r="AY69">
        <f ca="1"/>
        <v>0</v>
      </c>
      <c r="AZ69">
        <f ca="1"/>
        <v>0</v>
      </c>
      <c r="BA69">
        <f ca="1"/>
        <v>0</v>
      </c>
      <c r="BB69">
        <f ca="1"/>
        <v>0</v>
      </c>
      <c r="BC69">
        <f ca="1"/>
        <v>0</v>
      </c>
      <c r="BD69">
        <f ca="1"/>
        <v>0</v>
      </c>
      <c r="BE69">
        <f ca="1"/>
        <v>0</v>
      </c>
      <c r="BF69">
        <f ca="1"/>
        <v>0</v>
      </c>
      <c r="BG69">
        <f ca="1"/>
        <v>0</v>
      </c>
      <c r="BH69">
        <f ca="1"/>
        <v>0</v>
      </c>
    </row>
    <row r="70" spans="19:60" x14ac:dyDescent="0.3">
      <c r="S70" s="219">
        <v>2033</v>
      </c>
      <c r="T70">
        <f ca="1"/>
        <v>-0.1</v>
      </c>
      <c r="U70">
        <f ca="1"/>
        <v>0</v>
      </c>
      <c r="V70">
        <f ca="1"/>
        <v>0</v>
      </c>
      <c r="W70">
        <f ca="1"/>
        <v>0</v>
      </c>
      <c r="X70">
        <f ca="1"/>
        <v>0</v>
      </c>
      <c r="Y70">
        <f ca="1"/>
        <v>0</v>
      </c>
      <c r="Z70">
        <f ca="1"/>
        <v>0</v>
      </c>
      <c r="AA70">
        <f ca="1"/>
        <v>0</v>
      </c>
      <c r="AB70">
        <f ca="1"/>
        <v>0</v>
      </c>
      <c r="AC70">
        <f ca="1"/>
        <v>0</v>
      </c>
      <c r="AD70">
        <f ca="1"/>
        <v>0</v>
      </c>
      <c r="AE70">
        <f ca="1"/>
        <v>0</v>
      </c>
      <c r="AF70">
        <f ca="1"/>
        <v>0</v>
      </c>
      <c r="AG70">
        <f ca="1"/>
        <v>0</v>
      </c>
      <c r="AH70">
        <f ca="1"/>
        <v>0</v>
      </c>
      <c r="AI70">
        <f ca="1"/>
        <v>0</v>
      </c>
      <c r="AJ70">
        <f ca="1"/>
        <v>0</v>
      </c>
      <c r="AK70">
        <f ca="1"/>
        <v>0</v>
      </c>
      <c r="AL70">
        <f ca="1"/>
        <v>0</v>
      </c>
      <c r="AM70">
        <f ca="1"/>
        <v>0</v>
      </c>
      <c r="AN70" s="219">
        <v>2033</v>
      </c>
      <c r="AO70">
        <f ca="1"/>
        <v>0</v>
      </c>
      <c r="AP70">
        <f ca="1"/>
        <v>0</v>
      </c>
      <c r="AQ70">
        <f ca="1"/>
        <v>0</v>
      </c>
      <c r="AR70">
        <f ca="1"/>
        <v>0</v>
      </c>
      <c r="AS70">
        <f ca="1"/>
        <v>0</v>
      </c>
      <c r="AT70">
        <f ca="1"/>
        <v>0</v>
      </c>
      <c r="AU70">
        <f ca="1"/>
        <v>0</v>
      </c>
      <c r="AV70">
        <f ca="1"/>
        <v>0</v>
      </c>
      <c r="AW70">
        <f ca="1"/>
        <v>0</v>
      </c>
      <c r="AX70">
        <f ca="1"/>
        <v>0</v>
      </c>
      <c r="AY70">
        <f ca="1"/>
        <v>0</v>
      </c>
      <c r="AZ70">
        <f ca="1"/>
        <v>-0.3</v>
      </c>
      <c r="BA70">
        <f ca="1"/>
        <v>0</v>
      </c>
      <c r="BB70">
        <f ca="1"/>
        <v>0</v>
      </c>
      <c r="BC70">
        <f ca="1"/>
        <v>0</v>
      </c>
      <c r="BD70">
        <f ca="1"/>
        <v>0</v>
      </c>
      <c r="BE70">
        <f ca="1"/>
        <v>0</v>
      </c>
      <c r="BF70">
        <f ca="1"/>
        <v>0</v>
      </c>
      <c r="BG70">
        <f ca="1"/>
        <v>0</v>
      </c>
      <c r="BH70">
        <f ca="1"/>
        <v>0</v>
      </c>
    </row>
    <row r="71" spans="19:60" x14ac:dyDescent="0.3">
      <c r="S71" s="219">
        <v>2034</v>
      </c>
      <c r="T71">
        <f ca="1"/>
        <v>-0.3</v>
      </c>
      <c r="U71">
        <f ca="1"/>
        <v>0</v>
      </c>
      <c r="V71">
        <f ca="1"/>
        <v>0</v>
      </c>
      <c r="W71">
        <f ca="1"/>
        <v>0</v>
      </c>
      <c r="X71">
        <f ca="1"/>
        <v>0</v>
      </c>
      <c r="Y71">
        <f ca="1"/>
        <v>0</v>
      </c>
      <c r="Z71">
        <f ca="1"/>
        <v>0</v>
      </c>
      <c r="AA71">
        <f ca="1"/>
        <v>0</v>
      </c>
      <c r="AB71">
        <f ca="1"/>
        <v>0</v>
      </c>
      <c r="AC71">
        <f ca="1"/>
        <v>0</v>
      </c>
      <c r="AD71">
        <f ca="1"/>
        <v>0</v>
      </c>
      <c r="AE71">
        <f ca="1"/>
        <v>0</v>
      </c>
      <c r="AF71">
        <f ca="1"/>
        <v>0</v>
      </c>
      <c r="AG71">
        <f ca="1"/>
        <v>0</v>
      </c>
      <c r="AH71">
        <f ca="1"/>
        <v>0</v>
      </c>
      <c r="AI71">
        <f ca="1"/>
        <v>0</v>
      </c>
      <c r="AJ71">
        <f ca="1"/>
        <v>0</v>
      </c>
      <c r="AK71">
        <f ca="1"/>
        <v>0</v>
      </c>
      <c r="AL71">
        <f ca="1"/>
        <v>0</v>
      </c>
      <c r="AM71">
        <f ca="1"/>
        <v>0</v>
      </c>
      <c r="AN71" s="219">
        <v>2034</v>
      </c>
      <c r="AO71">
        <f ca="1"/>
        <v>0</v>
      </c>
      <c r="AP71">
        <f ca="1"/>
        <v>0</v>
      </c>
      <c r="AQ71">
        <f ca="1"/>
        <v>0</v>
      </c>
      <c r="AR71">
        <f ca="1"/>
        <v>0</v>
      </c>
      <c r="AS71">
        <f ca="1"/>
        <v>0</v>
      </c>
      <c r="AT71">
        <f ca="1"/>
        <v>0</v>
      </c>
      <c r="AU71">
        <f ca="1"/>
        <v>0</v>
      </c>
      <c r="AV71">
        <f ca="1"/>
        <v>0</v>
      </c>
      <c r="AW71">
        <f ca="1"/>
        <v>0</v>
      </c>
      <c r="AX71">
        <f ca="1"/>
        <v>0</v>
      </c>
      <c r="AY71">
        <f ca="1"/>
        <v>0</v>
      </c>
      <c r="AZ71">
        <f ca="1"/>
        <v>-3.2</v>
      </c>
      <c r="BA71">
        <f ca="1"/>
        <v>0</v>
      </c>
      <c r="BB71">
        <f ca="1"/>
        <v>0</v>
      </c>
      <c r="BC71">
        <f ca="1"/>
        <v>0</v>
      </c>
      <c r="BD71">
        <f ca="1"/>
        <v>0</v>
      </c>
      <c r="BE71">
        <f ca="1"/>
        <v>0</v>
      </c>
      <c r="BF71">
        <f ca="1"/>
        <v>0</v>
      </c>
      <c r="BG71">
        <f ca="1"/>
        <v>0</v>
      </c>
      <c r="BH71">
        <f ca="1"/>
        <v>0</v>
      </c>
    </row>
    <row r="72" spans="19:60" x14ac:dyDescent="0.3">
      <c r="S72" s="219">
        <v>2035</v>
      </c>
      <c r="T72">
        <f ca="1"/>
        <v>-1.0999999999999999</v>
      </c>
      <c r="U72">
        <f ca="1"/>
        <v>0</v>
      </c>
      <c r="V72">
        <f ca="1"/>
        <v>0</v>
      </c>
      <c r="W72">
        <f ca="1"/>
        <v>0</v>
      </c>
      <c r="X72">
        <f ca="1"/>
        <v>0</v>
      </c>
      <c r="Y72">
        <f ca="1"/>
        <v>0</v>
      </c>
      <c r="Z72">
        <f ca="1"/>
        <v>0</v>
      </c>
      <c r="AA72">
        <f ca="1"/>
        <v>0</v>
      </c>
      <c r="AB72">
        <f ca="1"/>
        <v>0</v>
      </c>
      <c r="AC72">
        <f ca="1"/>
        <v>0</v>
      </c>
      <c r="AD72">
        <f ca="1"/>
        <v>0</v>
      </c>
      <c r="AE72">
        <f ca="1"/>
        <v>0</v>
      </c>
      <c r="AF72">
        <f ca="1"/>
        <v>0</v>
      </c>
      <c r="AG72">
        <f ca="1"/>
        <v>0</v>
      </c>
      <c r="AH72">
        <f ca="1"/>
        <v>0</v>
      </c>
      <c r="AI72">
        <f ca="1"/>
        <v>0</v>
      </c>
      <c r="AJ72">
        <f ca="1"/>
        <v>0</v>
      </c>
      <c r="AK72">
        <f ca="1"/>
        <v>0</v>
      </c>
      <c r="AL72">
        <f ca="1"/>
        <v>0</v>
      </c>
      <c r="AM72">
        <f ca="1"/>
        <v>0</v>
      </c>
      <c r="AN72" s="219">
        <v>2035</v>
      </c>
      <c r="AO72">
        <f ca="1"/>
        <v>0</v>
      </c>
      <c r="AP72">
        <f ca="1"/>
        <v>0</v>
      </c>
      <c r="AQ72">
        <f ca="1"/>
        <v>0</v>
      </c>
      <c r="AR72">
        <f ca="1"/>
        <v>0</v>
      </c>
      <c r="AS72">
        <f ca="1"/>
        <v>0</v>
      </c>
      <c r="AT72">
        <f ca="1"/>
        <v>0</v>
      </c>
      <c r="AU72">
        <f ca="1"/>
        <v>0</v>
      </c>
      <c r="AV72">
        <f ca="1"/>
        <v>0</v>
      </c>
      <c r="AW72">
        <f ca="1"/>
        <v>0</v>
      </c>
      <c r="AX72">
        <f ca="1"/>
        <v>0</v>
      </c>
      <c r="AY72">
        <f ca="1"/>
        <v>0</v>
      </c>
      <c r="AZ72">
        <f ca="1"/>
        <v>-14.899999999999999</v>
      </c>
      <c r="BA72">
        <f ca="1"/>
        <v>0</v>
      </c>
      <c r="BB72">
        <f ca="1"/>
        <v>0</v>
      </c>
      <c r="BC72">
        <f ca="1"/>
        <v>0</v>
      </c>
      <c r="BD72">
        <f ca="1"/>
        <v>0</v>
      </c>
      <c r="BE72">
        <f ca="1"/>
        <v>0</v>
      </c>
      <c r="BF72">
        <f ca="1"/>
        <v>0</v>
      </c>
      <c r="BG72">
        <f ca="1"/>
        <v>0</v>
      </c>
      <c r="BH72">
        <f ca="1"/>
        <v>0</v>
      </c>
    </row>
    <row r="73" spans="19:60" x14ac:dyDescent="0.3">
      <c r="S73" s="219">
        <v>2036</v>
      </c>
      <c r="T73">
        <f ca="1"/>
        <v>-3.2</v>
      </c>
      <c r="U73">
        <f ca="1"/>
        <v>0</v>
      </c>
      <c r="V73">
        <f ca="1"/>
        <v>0</v>
      </c>
      <c r="W73">
        <f ca="1"/>
        <v>0</v>
      </c>
      <c r="X73">
        <f ca="1"/>
        <v>0</v>
      </c>
      <c r="Y73">
        <f ca="1"/>
        <v>0</v>
      </c>
      <c r="Z73">
        <f ca="1"/>
        <v>0</v>
      </c>
      <c r="AA73">
        <f ca="1"/>
        <v>0</v>
      </c>
      <c r="AB73">
        <f ca="1"/>
        <v>0</v>
      </c>
      <c r="AC73">
        <f ca="1"/>
        <v>0</v>
      </c>
      <c r="AD73">
        <f ca="1"/>
        <v>0</v>
      </c>
      <c r="AE73">
        <f ca="1"/>
        <v>0</v>
      </c>
      <c r="AF73">
        <f ca="1"/>
        <v>0</v>
      </c>
      <c r="AG73">
        <f ca="1"/>
        <v>0</v>
      </c>
      <c r="AH73">
        <f ca="1"/>
        <v>0</v>
      </c>
      <c r="AI73">
        <f ca="1"/>
        <v>0</v>
      </c>
      <c r="AJ73">
        <f ca="1"/>
        <v>0</v>
      </c>
      <c r="AK73">
        <f ca="1"/>
        <v>0</v>
      </c>
      <c r="AL73">
        <f ca="1"/>
        <v>0</v>
      </c>
      <c r="AM73">
        <f ca="1"/>
        <v>0</v>
      </c>
      <c r="AN73" s="219">
        <v>2036</v>
      </c>
      <c r="AO73">
        <f ca="1"/>
        <v>0</v>
      </c>
      <c r="AP73">
        <f ca="1"/>
        <v>0</v>
      </c>
      <c r="AQ73">
        <f ca="1"/>
        <v>0</v>
      </c>
      <c r="AR73">
        <f ca="1"/>
        <v>0</v>
      </c>
      <c r="AS73">
        <f ca="1"/>
        <v>0</v>
      </c>
      <c r="AT73">
        <f ca="1"/>
        <v>0</v>
      </c>
      <c r="AU73">
        <f ca="1"/>
        <v>0</v>
      </c>
      <c r="AV73">
        <f ca="1"/>
        <v>0</v>
      </c>
      <c r="AW73">
        <f ca="1"/>
        <v>0</v>
      </c>
      <c r="AX73">
        <f ca="1"/>
        <v>0</v>
      </c>
      <c r="AY73">
        <f ca="1"/>
        <v>0</v>
      </c>
      <c r="AZ73">
        <f ca="1"/>
        <v>-25.75</v>
      </c>
      <c r="BA73">
        <f ca="1"/>
        <v>0</v>
      </c>
      <c r="BB73">
        <f ca="1"/>
        <v>0</v>
      </c>
      <c r="BC73">
        <f ca="1"/>
        <v>0</v>
      </c>
      <c r="BD73">
        <f ca="1"/>
        <v>0</v>
      </c>
      <c r="BE73">
        <f ca="1"/>
        <v>0</v>
      </c>
      <c r="BF73">
        <f ca="1"/>
        <v>0</v>
      </c>
      <c r="BG73">
        <f ca="1"/>
        <v>0</v>
      </c>
      <c r="BH73">
        <f ca="1"/>
        <v>0</v>
      </c>
    </row>
    <row r="74" spans="19:60" x14ac:dyDescent="0.3">
      <c r="S74" s="219">
        <v>2037</v>
      </c>
      <c r="T74">
        <f ca="1"/>
        <v>-7.6</v>
      </c>
      <c r="U74">
        <f ca="1"/>
        <v>0</v>
      </c>
      <c r="V74">
        <f ca="1"/>
        <v>0</v>
      </c>
      <c r="W74">
        <f ca="1"/>
        <v>0</v>
      </c>
      <c r="X74">
        <f ca="1"/>
        <v>0</v>
      </c>
      <c r="Y74">
        <f ca="1"/>
        <v>0</v>
      </c>
      <c r="Z74">
        <f ca="1"/>
        <v>0</v>
      </c>
      <c r="AA74">
        <f ca="1"/>
        <v>0</v>
      </c>
      <c r="AB74">
        <f ca="1"/>
        <v>0</v>
      </c>
      <c r="AC74">
        <f ca="1"/>
        <v>0</v>
      </c>
      <c r="AD74">
        <f ca="1"/>
        <v>0</v>
      </c>
      <c r="AE74">
        <f ca="1"/>
        <v>0</v>
      </c>
      <c r="AF74">
        <f ca="1"/>
        <v>0</v>
      </c>
      <c r="AG74">
        <f ca="1"/>
        <v>0</v>
      </c>
      <c r="AH74">
        <f ca="1"/>
        <v>0</v>
      </c>
      <c r="AI74">
        <f ca="1"/>
        <v>0</v>
      </c>
      <c r="AJ74">
        <f ca="1"/>
        <v>0</v>
      </c>
      <c r="AK74">
        <f ca="1"/>
        <v>0</v>
      </c>
      <c r="AL74">
        <f ca="1"/>
        <v>0</v>
      </c>
      <c r="AM74">
        <f ca="1"/>
        <v>0</v>
      </c>
      <c r="AN74" s="219">
        <v>2037</v>
      </c>
      <c r="AO74">
        <f ca="1"/>
        <v>0</v>
      </c>
      <c r="AP74">
        <f ca="1"/>
        <v>0</v>
      </c>
      <c r="AQ74">
        <f ca="1"/>
        <v>0</v>
      </c>
      <c r="AR74">
        <f ca="1"/>
        <v>0</v>
      </c>
      <c r="AS74">
        <f ca="1"/>
        <v>0</v>
      </c>
      <c r="AT74">
        <f ca="1"/>
        <v>0</v>
      </c>
      <c r="AU74">
        <f ca="1"/>
        <v>0</v>
      </c>
      <c r="AV74">
        <f ca="1"/>
        <v>0</v>
      </c>
      <c r="AW74">
        <f ca="1"/>
        <v>0</v>
      </c>
      <c r="AX74">
        <f ca="1"/>
        <v>0</v>
      </c>
      <c r="AY74">
        <f ca="1"/>
        <v>0</v>
      </c>
      <c r="AZ74">
        <f ca="1"/>
        <v>-5.8000000000000007</v>
      </c>
      <c r="BA74">
        <f ca="1"/>
        <v>0</v>
      </c>
      <c r="BB74">
        <f ca="1"/>
        <v>0</v>
      </c>
      <c r="BC74">
        <f ca="1"/>
        <v>0</v>
      </c>
      <c r="BD74">
        <f ca="1"/>
        <v>0</v>
      </c>
      <c r="BE74">
        <f ca="1"/>
        <v>0</v>
      </c>
      <c r="BF74">
        <f ca="1"/>
        <v>0</v>
      </c>
      <c r="BG74">
        <f ca="1"/>
        <v>0</v>
      </c>
      <c r="BH74">
        <f ca="1"/>
        <v>0</v>
      </c>
    </row>
    <row r="75" spans="19:60" x14ac:dyDescent="0.3">
      <c r="S75" s="219">
        <v>2038</v>
      </c>
      <c r="T75">
        <f ca="1"/>
        <v>-14.899999999999999</v>
      </c>
      <c r="U75">
        <f ca="1"/>
        <v>0</v>
      </c>
      <c r="V75">
        <f ca="1"/>
        <v>0</v>
      </c>
      <c r="W75">
        <f ca="1"/>
        <v>0</v>
      </c>
      <c r="X75">
        <f ca="1"/>
        <v>0</v>
      </c>
      <c r="Y75">
        <f ca="1"/>
        <v>0</v>
      </c>
      <c r="Z75">
        <f ca="1"/>
        <v>0</v>
      </c>
      <c r="AA75">
        <f ca="1"/>
        <v>0</v>
      </c>
      <c r="AB75">
        <f ca="1"/>
        <v>0</v>
      </c>
      <c r="AC75">
        <f ca="1"/>
        <v>0</v>
      </c>
      <c r="AD75">
        <f ca="1"/>
        <v>0</v>
      </c>
      <c r="AE75">
        <f ca="1"/>
        <v>0</v>
      </c>
      <c r="AF75">
        <f ca="1"/>
        <v>0</v>
      </c>
      <c r="AG75">
        <f ca="1"/>
        <v>0</v>
      </c>
      <c r="AH75">
        <f ca="1"/>
        <v>0</v>
      </c>
      <c r="AI75">
        <f ca="1"/>
        <v>0</v>
      </c>
      <c r="AJ75">
        <f ca="1"/>
        <v>0</v>
      </c>
      <c r="AK75">
        <f ca="1"/>
        <v>0</v>
      </c>
      <c r="AL75">
        <f ca="1"/>
        <v>0</v>
      </c>
      <c r="AM75">
        <f ca="1"/>
        <v>0</v>
      </c>
      <c r="AN75" s="219">
        <v>2038</v>
      </c>
      <c r="AO75">
        <f ca="1"/>
        <v>0</v>
      </c>
      <c r="AP75">
        <f ca="1"/>
        <v>0</v>
      </c>
      <c r="AQ75">
        <f ca="1"/>
        <v>0</v>
      </c>
      <c r="AR75">
        <f ca="1"/>
        <v>0</v>
      </c>
      <c r="AS75">
        <f ca="1"/>
        <v>0</v>
      </c>
      <c r="AT75">
        <f ca="1"/>
        <v>0</v>
      </c>
      <c r="AU75">
        <f ca="1"/>
        <v>0</v>
      </c>
      <c r="AV75">
        <f ca="1"/>
        <v>0</v>
      </c>
      <c r="AW75">
        <f ca="1"/>
        <v>0</v>
      </c>
      <c r="AX75">
        <f ca="1"/>
        <v>0</v>
      </c>
      <c r="AY75">
        <f ca="1"/>
        <v>0</v>
      </c>
      <c r="AZ75">
        <f ca="1"/>
        <v>0</v>
      </c>
      <c r="BA75">
        <f ca="1"/>
        <v>0</v>
      </c>
      <c r="BB75">
        <f ca="1"/>
        <v>0</v>
      </c>
      <c r="BC75">
        <f ca="1"/>
        <v>0</v>
      </c>
      <c r="BD75">
        <f ca="1"/>
        <v>0</v>
      </c>
      <c r="BE75">
        <f ca="1"/>
        <v>0</v>
      </c>
      <c r="BF75">
        <f ca="1"/>
        <v>0</v>
      </c>
      <c r="BG75">
        <f ca="1"/>
        <v>0</v>
      </c>
      <c r="BH75">
        <f ca="1"/>
        <v>0</v>
      </c>
    </row>
    <row r="76" spans="19:60" x14ac:dyDescent="0.3">
      <c r="S76" s="219">
        <v>2039</v>
      </c>
      <c r="T76">
        <f ca="1"/>
        <v>-23.1</v>
      </c>
      <c r="U76">
        <f ca="1"/>
        <v>0</v>
      </c>
      <c r="V76">
        <f ca="1"/>
        <v>0</v>
      </c>
      <c r="W76">
        <f ca="1"/>
        <v>0</v>
      </c>
      <c r="X76">
        <f ca="1"/>
        <v>0</v>
      </c>
      <c r="Y76">
        <f ca="1"/>
        <v>0</v>
      </c>
      <c r="Z76">
        <f ca="1"/>
        <v>0</v>
      </c>
      <c r="AA76">
        <f ca="1"/>
        <v>0</v>
      </c>
      <c r="AB76">
        <f ca="1"/>
        <v>0</v>
      </c>
      <c r="AC76">
        <f ca="1"/>
        <v>0</v>
      </c>
      <c r="AD76">
        <f ca="1"/>
        <v>0</v>
      </c>
      <c r="AE76">
        <f ca="1"/>
        <v>0</v>
      </c>
      <c r="AF76">
        <f ca="1"/>
        <v>0</v>
      </c>
      <c r="AG76">
        <f ca="1"/>
        <v>0</v>
      </c>
      <c r="AH76">
        <f ca="1"/>
        <v>0</v>
      </c>
      <c r="AI76">
        <f ca="1"/>
        <v>0</v>
      </c>
      <c r="AJ76">
        <f ca="1"/>
        <v>0</v>
      </c>
      <c r="AK76">
        <f ca="1"/>
        <v>0</v>
      </c>
      <c r="AL76">
        <f ca="1"/>
        <v>0</v>
      </c>
      <c r="AM76">
        <f ca="1"/>
        <v>0</v>
      </c>
      <c r="AN76" s="219">
        <v>2039</v>
      </c>
      <c r="AO76">
        <f ca="1"/>
        <v>0</v>
      </c>
      <c r="AP76">
        <f ca="1"/>
        <v>0</v>
      </c>
      <c r="AQ76">
        <f ca="1"/>
        <v>0</v>
      </c>
      <c r="AR76">
        <f ca="1"/>
        <v>0</v>
      </c>
      <c r="AS76">
        <f ca="1"/>
        <v>0</v>
      </c>
      <c r="AT76">
        <f ca="1"/>
        <v>0</v>
      </c>
      <c r="AU76">
        <f ca="1"/>
        <v>0</v>
      </c>
      <c r="AV76">
        <f ca="1"/>
        <v>0</v>
      </c>
      <c r="AW76">
        <f ca="1"/>
        <v>0</v>
      </c>
      <c r="AX76">
        <f ca="1"/>
        <v>0</v>
      </c>
      <c r="AY76">
        <f ca="1"/>
        <v>0</v>
      </c>
      <c r="AZ76">
        <f ca="1"/>
        <v>0</v>
      </c>
      <c r="BA76">
        <f ca="1"/>
        <v>0</v>
      </c>
      <c r="BB76">
        <f ca="1"/>
        <v>0</v>
      </c>
      <c r="BC76">
        <f ca="1"/>
        <v>0</v>
      </c>
      <c r="BD76">
        <f ca="1"/>
        <v>0</v>
      </c>
      <c r="BE76">
        <f ca="1"/>
        <v>0</v>
      </c>
      <c r="BF76">
        <f ca="1"/>
        <v>0</v>
      </c>
      <c r="BG76">
        <f ca="1"/>
        <v>0</v>
      </c>
      <c r="BH76">
        <f ca="1"/>
        <v>0</v>
      </c>
    </row>
    <row r="77" spans="19:60" x14ac:dyDescent="0.3">
      <c r="S77" s="219">
        <v>2040</v>
      </c>
      <c r="T77">
        <f ca="1"/>
        <v>-25.8</v>
      </c>
      <c r="U77">
        <f ca="1"/>
        <v>0</v>
      </c>
      <c r="V77">
        <f ca="1"/>
        <v>0</v>
      </c>
      <c r="W77">
        <f ca="1"/>
        <v>0</v>
      </c>
      <c r="X77">
        <f ca="1"/>
        <v>0</v>
      </c>
      <c r="Y77">
        <f ca="1"/>
        <v>0</v>
      </c>
      <c r="Z77">
        <f ca="1"/>
        <v>0</v>
      </c>
      <c r="AA77">
        <f ca="1"/>
        <v>0</v>
      </c>
      <c r="AB77">
        <f ca="1"/>
        <v>0</v>
      </c>
      <c r="AC77">
        <f ca="1"/>
        <v>0</v>
      </c>
      <c r="AD77">
        <f ca="1"/>
        <v>0</v>
      </c>
      <c r="AE77">
        <f ca="1"/>
        <v>0</v>
      </c>
      <c r="AF77">
        <f ca="1"/>
        <v>0</v>
      </c>
      <c r="AG77">
        <f ca="1"/>
        <v>0</v>
      </c>
      <c r="AH77">
        <f ca="1"/>
        <v>0</v>
      </c>
      <c r="AI77">
        <f ca="1"/>
        <v>0</v>
      </c>
      <c r="AJ77">
        <f ca="1"/>
        <v>0</v>
      </c>
      <c r="AK77">
        <f ca="1"/>
        <v>0</v>
      </c>
      <c r="AL77">
        <f ca="1"/>
        <v>0</v>
      </c>
      <c r="AM77">
        <f ca="1"/>
        <v>0</v>
      </c>
      <c r="AN77" s="219">
        <v>2040</v>
      </c>
      <c r="AO77">
        <f ca="1"/>
        <v>0</v>
      </c>
      <c r="AP77">
        <f ca="1"/>
        <v>0</v>
      </c>
      <c r="AQ77">
        <f ca="1"/>
        <v>0</v>
      </c>
      <c r="AR77">
        <f ca="1"/>
        <v>0</v>
      </c>
      <c r="AS77">
        <f ca="1"/>
        <v>0</v>
      </c>
      <c r="AT77">
        <f ca="1"/>
        <v>0</v>
      </c>
      <c r="AU77">
        <f ca="1"/>
        <v>0</v>
      </c>
      <c r="AV77">
        <f ca="1"/>
        <v>0</v>
      </c>
      <c r="AW77">
        <f ca="1"/>
        <v>0</v>
      </c>
      <c r="AX77">
        <f ca="1"/>
        <v>0</v>
      </c>
      <c r="AY77">
        <f ca="1"/>
        <v>0</v>
      </c>
      <c r="AZ77">
        <f ca="1"/>
        <v>0</v>
      </c>
      <c r="BA77">
        <f ca="1"/>
        <v>0</v>
      </c>
      <c r="BB77">
        <f ca="1"/>
        <v>0</v>
      </c>
      <c r="BC77">
        <f ca="1"/>
        <v>0</v>
      </c>
      <c r="BD77">
        <f ca="1"/>
        <v>0</v>
      </c>
      <c r="BE77">
        <f ca="1"/>
        <v>0</v>
      </c>
      <c r="BF77">
        <f ca="1"/>
        <v>0</v>
      </c>
      <c r="BG77">
        <f ca="1"/>
        <v>0</v>
      </c>
      <c r="BH77">
        <f ca="1"/>
        <v>0</v>
      </c>
    </row>
    <row r="79" spans="19:60" x14ac:dyDescent="0.3">
      <c r="S79" s="14" t="s">
        <v>461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4" t="s">
        <v>461</v>
      </c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</row>
    <row r="80" spans="19:60" x14ac:dyDescent="0.3">
      <c r="S80" s="218" t="s">
        <v>126</v>
      </c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  <c r="AF80" s="201"/>
      <c r="AG80" s="201"/>
      <c r="AH80" s="201"/>
      <c r="AI80" s="201"/>
      <c r="AJ80" s="201"/>
      <c r="AK80" s="201"/>
      <c r="AL80" s="201"/>
      <c r="AM80" s="201"/>
      <c r="AN80" s="218" t="s">
        <v>126</v>
      </c>
      <c r="AO80" s="201"/>
      <c r="AP80" s="201"/>
      <c r="AQ80" s="201"/>
      <c r="AR80" s="201"/>
      <c r="AS80" s="201"/>
      <c r="AT80" s="201"/>
      <c r="AU80" s="201"/>
      <c r="AV80" s="201"/>
      <c r="AW80" s="201"/>
      <c r="AX80" s="201"/>
      <c r="AY80" s="201"/>
      <c r="AZ80" s="201"/>
      <c r="BA80" s="201"/>
      <c r="BB80" s="201"/>
      <c r="BC80" s="201"/>
      <c r="BD80" s="201"/>
      <c r="BE80" s="201"/>
      <c r="BF80" s="201"/>
      <c r="BG80" s="201"/>
      <c r="BH80" s="201"/>
    </row>
    <row r="81" spans="19:60" x14ac:dyDescent="0.3">
      <c r="S81" s="10"/>
      <c r="T81" s="227">
        <v>1</v>
      </c>
      <c r="U81" s="227">
        <v>2</v>
      </c>
      <c r="V81" s="227">
        <v>3</v>
      </c>
      <c r="W81" s="227">
        <v>4</v>
      </c>
      <c r="X81" s="227">
        <v>5</v>
      </c>
      <c r="Y81" s="227">
        <v>6</v>
      </c>
      <c r="Z81" s="227">
        <v>7</v>
      </c>
      <c r="AA81" s="227">
        <v>8</v>
      </c>
      <c r="AB81" s="227">
        <v>9</v>
      </c>
      <c r="AC81" s="227">
        <v>10</v>
      </c>
      <c r="AD81" s="227">
        <v>11</v>
      </c>
      <c r="AE81" s="227">
        <v>12</v>
      </c>
      <c r="AF81" s="227">
        <v>13</v>
      </c>
      <c r="AG81" s="227">
        <v>14</v>
      </c>
      <c r="AH81" s="227">
        <v>15</v>
      </c>
      <c r="AI81" s="227">
        <v>16</v>
      </c>
      <c r="AJ81" s="227">
        <v>17</v>
      </c>
      <c r="AK81" s="227">
        <v>18</v>
      </c>
      <c r="AL81" s="227">
        <v>19</v>
      </c>
      <c r="AM81" s="227">
        <v>20</v>
      </c>
      <c r="AN81" s="10"/>
      <c r="AO81" s="227">
        <v>1</v>
      </c>
      <c r="AP81" s="227">
        <v>2</v>
      </c>
      <c r="AQ81" s="227">
        <v>3</v>
      </c>
      <c r="AR81" s="227">
        <v>4</v>
      </c>
      <c r="AS81" s="227">
        <v>5</v>
      </c>
      <c r="AT81" s="227">
        <v>6</v>
      </c>
      <c r="AU81" s="227">
        <v>7</v>
      </c>
      <c r="AV81" s="227">
        <v>8</v>
      </c>
      <c r="AW81" s="227">
        <v>9</v>
      </c>
      <c r="AX81" s="227">
        <v>10</v>
      </c>
      <c r="AY81" s="227">
        <v>11</v>
      </c>
      <c r="AZ81" s="227">
        <v>12</v>
      </c>
      <c r="BA81" s="227">
        <v>13</v>
      </c>
      <c r="BB81" s="227">
        <v>14</v>
      </c>
      <c r="BC81" s="227">
        <v>15</v>
      </c>
      <c r="BD81" s="227">
        <v>16</v>
      </c>
      <c r="BE81" s="227">
        <v>17</v>
      </c>
      <c r="BF81" s="227">
        <v>18</v>
      </c>
      <c r="BG81" s="227">
        <v>19</v>
      </c>
      <c r="BH81" s="227">
        <v>20</v>
      </c>
    </row>
    <row r="82" spans="19:60" x14ac:dyDescent="0.3">
      <c r="S82" s="219">
        <v>2021</v>
      </c>
      <c r="T82" s="10">
        <f>ROUND(_xlfn.WEIBULL.DIST(COUNTA($S$82:$S82),$B$5,$C$3,FALSE),3)</f>
        <v>0</v>
      </c>
      <c r="U82" s="201">
        <v>0</v>
      </c>
      <c r="V82" s="201">
        <v>0</v>
      </c>
      <c r="W82" s="201">
        <v>0</v>
      </c>
      <c r="X82" s="201">
        <v>0</v>
      </c>
      <c r="Y82" s="201">
        <v>0</v>
      </c>
      <c r="Z82" s="201">
        <v>0</v>
      </c>
      <c r="AA82" s="201">
        <v>0</v>
      </c>
      <c r="AB82" s="201">
        <v>0</v>
      </c>
      <c r="AC82" s="201">
        <v>0</v>
      </c>
      <c r="AD82" s="201">
        <v>0</v>
      </c>
      <c r="AE82" s="201">
        <v>0</v>
      </c>
      <c r="AF82" s="201">
        <v>0</v>
      </c>
      <c r="AG82" s="201">
        <v>0</v>
      </c>
      <c r="AH82" s="201">
        <v>0</v>
      </c>
      <c r="AI82" s="201">
        <v>0</v>
      </c>
      <c r="AJ82" s="201">
        <v>0</v>
      </c>
      <c r="AK82" s="201">
        <v>0</v>
      </c>
      <c r="AL82" s="201">
        <v>0</v>
      </c>
      <c r="AM82" s="201">
        <v>0</v>
      </c>
      <c r="AN82" s="219">
        <v>2021</v>
      </c>
      <c r="AO82" s="10">
        <f t="array" ref="AO82">ROUND(_xlfn.WEIBULL.DIST(COUNTA($AN$82:$AN82),$B$5,$D$3,FALSE),3)</f>
        <v>0</v>
      </c>
      <c r="AP82" s="201">
        <v>0</v>
      </c>
      <c r="AQ82" s="201">
        <v>0</v>
      </c>
      <c r="AR82" s="201">
        <v>0</v>
      </c>
      <c r="AS82" s="201">
        <v>0</v>
      </c>
      <c r="AT82" s="201">
        <v>0</v>
      </c>
      <c r="AU82" s="201">
        <v>0</v>
      </c>
      <c r="AV82" s="201">
        <v>0</v>
      </c>
      <c r="AW82" s="201">
        <v>0</v>
      </c>
      <c r="AX82" s="201">
        <v>0</v>
      </c>
      <c r="AY82" s="201">
        <v>0</v>
      </c>
      <c r="AZ82" s="201">
        <v>0</v>
      </c>
      <c r="BA82" s="201">
        <v>0</v>
      </c>
      <c r="BB82" s="201">
        <v>0</v>
      </c>
      <c r="BC82" s="201">
        <v>0</v>
      </c>
      <c r="BD82" s="201">
        <v>0</v>
      </c>
      <c r="BE82" s="201">
        <v>0</v>
      </c>
      <c r="BF82" s="201">
        <v>0</v>
      </c>
      <c r="BG82" s="201">
        <v>0</v>
      </c>
      <c r="BH82" s="201">
        <v>0</v>
      </c>
    </row>
    <row r="83" spans="19:60" x14ac:dyDescent="0.3">
      <c r="S83" s="219">
        <v>2022</v>
      </c>
      <c r="T83" s="10">
        <f>ROUND(_xlfn.WEIBULL.DIST(COUNTA($S$82:$S83),$B$5,$C$3,FALSE),3)</f>
        <v>0</v>
      </c>
      <c r="U83" s="10">
        <f>ROUND(_xlfn.WEIBULL.DIST(COUNTA($S$83:$S83),$B$5,$C$3,FALSE),3)</f>
        <v>0</v>
      </c>
      <c r="V83" s="201">
        <v>0</v>
      </c>
      <c r="W83" s="201">
        <v>0</v>
      </c>
      <c r="X83" s="201">
        <v>0</v>
      </c>
      <c r="Y83" s="201">
        <v>0</v>
      </c>
      <c r="Z83" s="201">
        <v>0</v>
      </c>
      <c r="AA83" s="201">
        <v>0</v>
      </c>
      <c r="AB83" s="201">
        <v>0</v>
      </c>
      <c r="AC83" s="201">
        <v>0</v>
      </c>
      <c r="AD83" s="201">
        <v>0</v>
      </c>
      <c r="AE83" s="201">
        <v>0</v>
      </c>
      <c r="AF83" s="201">
        <v>0</v>
      </c>
      <c r="AG83" s="201">
        <v>0</v>
      </c>
      <c r="AH83" s="201">
        <v>0</v>
      </c>
      <c r="AI83" s="201">
        <v>0</v>
      </c>
      <c r="AJ83" s="201">
        <v>0</v>
      </c>
      <c r="AK83" s="201">
        <v>0</v>
      </c>
      <c r="AL83" s="201">
        <v>0</v>
      </c>
      <c r="AM83" s="201">
        <v>0</v>
      </c>
      <c r="AN83" s="219">
        <v>2022</v>
      </c>
      <c r="AO83" s="10">
        <f t="array" ref="AO83">ROUND(_xlfn.WEIBULL.DIST(COUNTA($AN$82:$AN83),$B$5,$D$3,FALSE),3)</f>
        <v>6.0000000000000001E-3</v>
      </c>
      <c r="AP83" s="10">
        <f>ROUND(_xlfn.WEIBULL.DIST(COUNTA($AN$83:$AN83),$B$5,$D$3,FALSE),3)</f>
        <v>0</v>
      </c>
      <c r="AQ83" s="201">
        <v>0</v>
      </c>
      <c r="AR83" s="201">
        <v>0</v>
      </c>
      <c r="AS83" s="201">
        <v>0</v>
      </c>
      <c r="AT83" s="201">
        <v>0</v>
      </c>
      <c r="AU83" s="201">
        <v>0</v>
      </c>
      <c r="AV83" s="201">
        <v>0</v>
      </c>
      <c r="AW83" s="201">
        <v>0</v>
      </c>
      <c r="AX83" s="201">
        <v>0</v>
      </c>
      <c r="AY83" s="201">
        <v>0</v>
      </c>
      <c r="AZ83" s="201">
        <v>0</v>
      </c>
      <c r="BA83" s="201">
        <v>0</v>
      </c>
      <c r="BB83" s="201">
        <v>0</v>
      </c>
      <c r="BC83" s="201">
        <v>0</v>
      </c>
      <c r="BD83" s="201">
        <v>0</v>
      </c>
      <c r="BE83" s="201">
        <v>0</v>
      </c>
      <c r="BF83" s="201">
        <v>0</v>
      </c>
      <c r="BG83" s="201">
        <v>0</v>
      </c>
      <c r="BH83" s="201">
        <v>0</v>
      </c>
    </row>
    <row r="84" spans="19:60" x14ac:dyDescent="0.3">
      <c r="S84" s="219">
        <v>2023</v>
      </c>
      <c r="T84" s="10">
        <f>ROUND(_xlfn.WEIBULL.DIST(COUNTA($S$82:$S84),$B$5,$C$3,FALSE),3)</f>
        <v>1E-3</v>
      </c>
      <c r="U84" s="10">
        <f>ROUND(_xlfn.WEIBULL.DIST(COUNTA($S$83:$S84),$B$5,$C$3,FALSE),3)</f>
        <v>0</v>
      </c>
      <c r="V84" s="10">
        <f>ROUND(_xlfn.WEIBULL.DIST(COUNTA($S$84:$S84),$B$5,$C$3,FALSE),3)</f>
        <v>0</v>
      </c>
      <c r="W84" s="201">
        <v>0</v>
      </c>
      <c r="X84" s="201">
        <v>0</v>
      </c>
      <c r="Y84" s="201">
        <v>0</v>
      </c>
      <c r="Z84" s="201">
        <v>0</v>
      </c>
      <c r="AA84" s="201">
        <v>0</v>
      </c>
      <c r="AB84" s="201">
        <v>0</v>
      </c>
      <c r="AC84" s="201">
        <v>0</v>
      </c>
      <c r="AD84" s="201">
        <v>0</v>
      </c>
      <c r="AE84" s="201">
        <v>0</v>
      </c>
      <c r="AF84" s="201">
        <v>0</v>
      </c>
      <c r="AG84" s="201">
        <v>0</v>
      </c>
      <c r="AH84" s="201">
        <v>0</v>
      </c>
      <c r="AI84" s="201">
        <v>0</v>
      </c>
      <c r="AJ84" s="201">
        <v>0</v>
      </c>
      <c r="AK84" s="201">
        <v>0</v>
      </c>
      <c r="AL84" s="201">
        <v>0</v>
      </c>
      <c r="AM84" s="201">
        <v>0</v>
      </c>
      <c r="AN84" s="219">
        <v>2023</v>
      </c>
      <c r="AO84" s="10">
        <f t="array" ref="AO84">ROUND(_xlfn.WEIBULL.DIST(COUNTA($AN$82:$AN84),$B$5,$D$3,FALSE),3)</f>
        <v>6.4000000000000001E-2</v>
      </c>
      <c r="AP84" s="10">
        <f>ROUND(_xlfn.WEIBULL.DIST(COUNTA($AN$83:$AN84),$B$5,$D$3,FALSE),3)</f>
        <v>6.0000000000000001E-3</v>
      </c>
      <c r="AQ84" s="10">
        <f>ROUND(_xlfn.WEIBULL.DIST(COUNTA($AN$84:$AN84),$B$5,$D$3,FALSE),3)</f>
        <v>0</v>
      </c>
      <c r="AR84" s="201">
        <v>0</v>
      </c>
      <c r="AS84" s="201">
        <v>0</v>
      </c>
      <c r="AT84" s="201">
        <v>0</v>
      </c>
      <c r="AU84" s="201">
        <v>0</v>
      </c>
      <c r="AV84" s="201">
        <v>0</v>
      </c>
      <c r="AW84" s="201">
        <v>0</v>
      </c>
      <c r="AX84" s="201">
        <v>0</v>
      </c>
      <c r="AY84" s="201">
        <v>0</v>
      </c>
      <c r="AZ84" s="201">
        <v>0</v>
      </c>
      <c r="BA84" s="201">
        <v>0</v>
      </c>
      <c r="BB84" s="201">
        <v>0</v>
      </c>
      <c r="BC84" s="201">
        <v>0</v>
      </c>
      <c r="BD84" s="201">
        <v>0</v>
      </c>
      <c r="BE84" s="201">
        <v>0</v>
      </c>
      <c r="BF84" s="201">
        <v>0</v>
      </c>
      <c r="BG84" s="201">
        <v>0</v>
      </c>
      <c r="BH84" s="201">
        <v>0</v>
      </c>
    </row>
    <row r="85" spans="19:60" x14ac:dyDescent="0.3">
      <c r="S85" s="219">
        <v>2024</v>
      </c>
      <c r="T85" s="10">
        <f>ROUND(_xlfn.WEIBULL.DIST(COUNTA($S$82:$S85),$B$5,$C$3,FALSE),3)</f>
        <v>3.0000000000000001E-3</v>
      </c>
      <c r="U85" s="10">
        <f>ROUND(_xlfn.WEIBULL.DIST(COUNTA($S$83:$S85),$B$5,$C$3,FALSE),3)</f>
        <v>1E-3</v>
      </c>
      <c r="V85" s="10">
        <f>ROUND(_xlfn.WEIBULL.DIST(COUNTA($S$84:$S85),$B$5,$C$3,FALSE),3)</f>
        <v>0</v>
      </c>
      <c r="W85" s="10">
        <f>ROUND(_xlfn.WEIBULL.DIST(COUNTA($S$85:$S85),$B$5,$C$3,FALSE),3)</f>
        <v>0</v>
      </c>
      <c r="X85" s="201">
        <v>0</v>
      </c>
      <c r="Y85" s="201">
        <v>0</v>
      </c>
      <c r="Z85" s="201">
        <v>0</v>
      </c>
      <c r="AA85" s="201">
        <v>0</v>
      </c>
      <c r="AB85" s="201">
        <v>0</v>
      </c>
      <c r="AC85" s="201">
        <v>0</v>
      </c>
      <c r="AD85" s="201">
        <v>0</v>
      </c>
      <c r="AE85" s="201">
        <v>0</v>
      </c>
      <c r="AF85" s="201">
        <v>0</v>
      </c>
      <c r="AG85" s="201">
        <v>0</v>
      </c>
      <c r="AH85" s="201">
        <v>0</v>
      </c>
      <c r="AI85" s="201">
        <v>0</v>
      </c>
      <c r="AJ85" s="201">
        <v>0</v>
      </c>
      <c r="AK85" s="201">
        <v>0</v>
      </c>
      <c r="AL85" s="201">
        <v>0</v>
      </c>
      <c r="AM85" s="201">
        <v>0</v>
      </c>
      <c r="AN85" s="219">
        <v>2024</v>
      </c>
      <c r="AO85" s="10">
        <f t="array" ref="AO85">ROUND(_xlfn.WEIBULL.DIST(COUNTA($AN$82:$AN85),$B$5,$D$3,FALSE),3)</f>
        <v>0.29799999999999999</v>
      </c>
      <c r="AP85" s="10">
        <f>ROUND(_xlfn.WEIBULL.DIST(COUNTA($AN$83:$AN85),$B$5,$D$3,FALSE),3)</f>
        <v>6.4000000000000001E-2</v>
      </c>
      <c r="AQ85" s="10">
        <f>ROUND(_xlfn.WEIBULL.DIST(COUNTA($AN$84:$AN85),$B$5,$D$3,FALSE),3)</f>
        <v>6.0000000000000001E-3</v>
      </c>
      <c r="AR85" s="10">
        <f>ROUND(_xlfn.WEIBULL.DIST(COUNTA($AN$85:$AN85),$B$5,$D$3,FALSE),3)</f>
        <v>0</v>
      </c>
      <c r="AS85" s="201">
        <v>0</v>
      </c>
      <c r="AT85" s="201">
        <v>0</v>
      </c>
      <c r="AU85" s="201">
        <v>0</v>
      </c>
      <c r="AV85" s="201">
        <v>0</v>
      </c>
      <c r="AW85" s="201">
        <v>0</v>
      </c>
      <c r="AX85" s="201">
        <v>0</v>
      </c>
      <c r="AY85" s="201">
        <v>0</v>
      </c>
      <c r="AZ85" s="201">
        <v>0</v>
      </c>
      <c r="BA85" s="201">
        <v>0</v>
      </c>
      <c r="BB85" s="201">
        <v>0</v>
      </c>
      <c r="BC85" s="201">
        <v>0</v>
      </c>
      <c r="BD85" s="201">
        <v>0</v>
      </c>
      <c r="BE85" s="201">
        <v>0</v>
      </c>
      <c r="BF85" s="201">
        <v>0</v>
      </c>
      <c r="BG85" s="201">
        <v>0</v>
      </c>
      <c r="BH85" s="201">
        <v>0</v>
      </c>
    </row>
    <row r="86" spans="19:60" x14ac:dyDescent="0.3">
      <c r="S86" s="219">
        <v>2025</v>
      </c>
      <c r="T86" s="10">
        <f>ROUND(_xlfn.WEIBULL.DIST(COUNTA($S$82:$S86),$B$5,$C$3,FALSE),3)</f>
        <v>1.0999999999999999E-2</v>
      </c>
      <c r="U86" s="10">
        <f>ROUND(_xlfn.WEIBULL.DIST(COUNTA($S$83:$S86),$B$5,$C$3,FALSE),3)</f>
        <v>3.0000000000000001E-3</v>
      </c>
      <c r="V86" s="10">
        <f>ROUND(_xlfn.WEIBULL.DIST(COUNTA($S$84:$S86),$B$5,$C$3,FALSE),3)</f>
        <v>1E-3</v>
      </c>
      <c r="W86" s="10">
        <f>ROUND(_xlfn.WEIBULL.DIST(COUNTA($S$85:$S86),$B$5,$C$3,FALSE),3)</f>
        <v>0</v>
      </c>
      <c r="X86" s="10">
        <f>ROUND(_xlfn.WEIBULL.DIST(COUNTA($S$86:$S86),$B$5,$C$3,FALSE),3)</f>
        <v>0</v>
      </c>
      <c r="Y86" s="201">
        <v>0</v>
      </c>
      <c r="Z86" s="201">
        <v>0</v>
      </c>
      <c r="AA86" s="201">
        <v>0</v>
      </c>
      <c r="AB86" s="201">
        <v>0</v>
      </c>
      <c r="AC86" s="201">
        <v>0</v>
      </c>
      <c r="AD86" s="201">
        <v>0</v>
      </c>
      <c r="AE86" s="201">
        <v>0</v>
      </c>
      <c r="AF86" s="201">
        <v>0</v>
      </c>
      <c r="AG86" s="201">
        <v>0</v>
      </c>
      <c r="AH86" s="201">
        <v>0</v>
      </c>
      <c r="AI86" s="201">
        <v>0</v>
      </c>
      <c r="AJ86" s="201">
        <v>0</v>
      </c>
      <c r="AK86" s="201">
        <v>0</v>
      </c>
      <c r="AL86" s="201">
        <v>0</v>
      </c>
      <c r="AM86" s="201">
        <v>0</v>
      </c>
      <c r="AN86" s="219">
        <v>2025</v>
      </c>
      <c r="AO86" s="10">
        <f t="array" ref="AO86">ROUND(_xlfn.WEIBULL.DIST(COUNTA($AN$82:$AN86),$B$5,$D$3,FALSE),3)</f>
        <v>0.51500000000000001</v>
      </c>
      <c r="AP86" s="10">
        <f>ROUND(_xlfn.WEIBULL.DIST(COUNTA($AN$83:$AN86),$B$5,$D$3,FALSE),3)</f>
        <v>0.29799999999999999</v>
      </c>
      <c r="AQ86" s="10">
        <f>ROUND(_xlfn.WEIBULL.DIST(COUNTA($AN$84:$AN86),$B$5,$D$3,FALSE),3)</f>
        <v>6.4000000000000001E-2</v>
      </c>
      <c r="AR86" s="10">
        <f>ROUND(_xlfn.WEIBULL.DIST(COUNTA($AN$85:$AN86),$B$5,$D$3,FALSE),3)</f>
        <v>6.0000000000000001E-3</v>
      </c>
      <c r="AS86" s="10">
        <f>ROUND(_xlfn.WEIBULL.DIST(COUNTA($AN$86:$AN86),$B$5,$D$3,FALSE),3)</f>
        <v>0</v>
      </c>
      <c r="AT86" s="201">
        <v>0</v>
      </c>
      <c r="AU86" s="201">
        <v>0</v>
      </c>
      <c r="AV86" s="201">
        <v>0</v>
      </c>
      <c r="AW86" s="201">
        <v>0</v>
      </c>
      <c r="AX86" s="201">
        <v>0</v>
      </c>
      <c r="AY86" s="201">
        <v>0</v>
      </c>
      <c r="AZ86" s="201">
        <v>0</v>
      </c>
      <c r="BA86" s="201">
        <v>0</v>
      </c>
      <c r="BB86" s="201">
        <v>0</v>
      </c>
      <c r="BC86" s="201">
        <v>0</v>
      </c>
      <c r="BD86" s="201">
        <v>0</v>
      </c>
      <c r="BE86" s="201">
        <v>0</v>
      </c>
      <c r="BF86" s="201">
        <v>0</v>
      </c>
      <c r="BG86" s="201">
        <v>0</v>
      </c>
      <c r="BH86" s="201">
        <v>0</v>
      </c>
    </row>
    <row r="87" spans="19:60" x14ac:dyDescent="0.3">
      <c r="S87" s="219">
        <v>2026</v>
      </c>
      <c r="T87" s="10">
        <f>ROUND(_xlfn.WEIBULL.DIST(COUNTA($S$82:$S87),$B$5,$C$3,FALSE),3)</f>
        <v>3.2000000000000001E-2</v>
      </c>
      <c r="U87" s="10">
        <f>ROUND(_xlfn.WEIBULL.DIST(COUNTA($S$83:$S87),$B$5,$C$3,FALSE),3)</f>
        <v>1.0999999999999999E-2</v>
      </c>
      <c r="V87" s="10">
        <f>ROUND(_xlfn.WEIBULL.DIST(COUNTA($S$84:$S87),$B$5,$C$3,FALSE),3)</f>
        <v>3.0000000000000001E-3</v>
      </c>
      <c r="W87" s="10">
        <f>ROUND(_xlfn.WEIBULL.DIST(COUNTA($S$85:$S87),$B$5,$C$3,FALSE),3)</f>
        <v>1E-3</v>
      </c>
      <c r="X87" s="10">
        <f>ROUND(_xlfn.WEIBULL.DIST(COUNTA($S$86:$S87),$B$5,$C$3,FALSE),3)</f>
        <v>0</v>
      </c>
      <c r="Y87" s="10">
        <f>ROUND(_xlfn.WEIBULL.DIST(COUNTA($S$87:$S87),$B$5,$C$3,FALSE),3)</f>
        <v>0</v>
      </c>
      <c r="Z87" s="201">
        <v>0</v>
      </c>
      <c r="AA87" s="201">
        <v>0</v>
      </c>
      <c r="AB87" s="201">
        <v>0</v>
      </c>
      <c r="AC87" s="201">
        <v>0</v>
      </c>
      <c r="AD87" s="201">
        <v>0</v>
      </c>
      <c r="AE87" s="201">
        <v>0</v>
      </c>
      <c r="AF87" s="201">
        <v>0</v>
      </c>
      <c r="AG87" s="201">
        <v>0</v>
      </c>
      <c r="AH87" s="201">
        <v>0</v>
      </c>
      <c r="AI87" s="201">
        <v>0</v>
      </c>
      <c r="AJ87" s="201">
        <v>0</v>
      </c>
      <c r="AK87" s="201">
        <v>0</v>
      </c>
      <c r="AL87" s="201">
        <v>0</v>
      </c>
      <c r="AM87" s="201">
        <v>0</v>
      </c>
      <c r="AN87" s="219">
        <v>2026</v>
      </c>
      <c r="AO87" s="10">
        <f t="array" ref="AO87">ROUND(_xlfn.WEIBULL.DIST(COUNTA($AN$82:$AN87),$B$5,$D$3,FALSE),3)</f>
        <v>0.11600000000000001</v>
      </c>
      <c r="AP87" s="10">
        <f>ROUND(_xlfn.WEIBULL.DIST(COUNTA($AN$83:$AN87),$B$5,$D$3,FALSE),3)</f>
        <v>0.51500000000000001</v>
      </c>
      <c r="AQ87" s="10">
        <f>ROUND(_xlfn.WEIBULL.DIST(COUNTA($AN$84:$AN87),$B$5,$D$3,FALSE),3)</f>
        <v>0.29799999999999999</v>
      </c>
      <c r="AR87" s="10">
        <f>ROUND(_xlfn.WEIBULL.DIST(COUNTA($AN$85:$AN87),$B$5,$D$3,FALSE),3)</f>
        <v>6.4000000000000001E-2</v>
      </c>
      <c r="AS87" s="10">
        <f>ROUND(_xlfn.WEIBULL.DIST(COUNTA($AN$86:$AN87),$B$5,$D$3,FALSE),3)</f>
        <v>6.0000000000000001E-3</v>
      </c>
      <c r="AT87" s="10">
        <f>ROUND(_xlfn.WEIBULL.DIST(COUNTA($AN$87:$AN87),$B$5,$D$3,FALSE),3)</f>
        <v>0</v>
      </c>
      <c r="AU87" s="201">
        <v>0</v>
      </c>
      <c r="AV87" s="201">
        <v>0</v>
      </c>
      <c r="AW87" s="201">
        <v>0</v>
      </c>
      <c r="AX87" s="201">
        <v>0</v>
      </c>
      <c r="AY87" s="201">
        <v>0</v>
      </c>
      <c r="AZ87" s="201">
        <v>0</v>
      </c>
      <c r="BA87" s="201">
        <v>0</v>
      </c>
      <c r="BB87" s="201">
        <v>0</v>
      </c>
      <c r="BC87" s="201">
        <v>0</v>
      </c>
      <c r="BD87" s="201">
        <v>0</v>
      </c>
      <c r="BE87" s="201">
        <v>0</v>
      </c>
      <c r="BF87" s="201">
        <v>0</v>
      </c>
      <c r="BG87" s="201">
        <v>0</v>
      </c>
      <c r="BH87" s="201">
        <v>0</v>
      </c>
    </row>
    <row r="88" spans="19:60" x14ac:dyDescent="0.3">
      <c r="S88" s="219">
        <v>2027</v>
      </c>
      <c r="T88" s="10">
        <f>ROUND(_xlfn.WEIBULL.DIST(COUNTA($S$82:$S88),$B$5,$C$3,FALSE),3)</f>
        <v>7.5999999999999998E-2</v>
      </c>
      <c r="U88" s="10">
        <f>ROUND(_xlfn.WEIBULL.DIST(COUNTA($S$83:$S88),$B$5,$C$3,FALSE),3)</f>
        <v>3.2000000000000001E-2</v>
      </c>
      <c r="V88" s="10">
        <f>ROUND(_xlfn.WEIBULL.DIST(COUNTA($S$84:$S88),$B$5,$C$3,FALSE),3)</f>
        <v>1.0999999999999999E-2</v>
      </c>
      <c r="W88" s="10">
        <f>ROUND(_xlfn.WEIBULL.DIST(COUNTA($S$85:$S88),$B$5,$C$3,FALSE),3)</f>
        <v>3.0000000000000001E-3</v>
      </c>
      <c r="X88" s="10">
        <f>ROUND(_xlfn.WEIBULL.DIST(COUNTA($S$86:$S88),$B$5,$C$3,FALSE),3)</f>
        <v>1E-3</v>
      </c>
      <c r="Y88" s="10">
        <f>ROUND(_xlfn.WEIBULL.DIST(COUNTA($S$87:$S88),$B$5,$C$3,FALSE),3)</f>
        <v>0</v>
      </c>
      <c r="Z88" s="10">
        <f>ROUND(_xlfn.WEIBULL.DIST(COUNTA($S$88:$S88),$B$5,$C$3,FALSE),3)</f>
        <v>0</v>
      </c>
      <c r="AA88" s="201">
        <v>0</v>
      </c>
      <c r="AB88" s="201">
        <v>0</v>
      </c>
      <c r="AC88" s="201">
        <v>0</v>
      </c>
      <c r="AD88" s="201">
        <v>0</v>
      </c>
      <c r="AE88" s="201">
        <v>0</v>
      </c>
      <c r="AF88" s="201">
        <v>0</v>
      </c>
      <c r="AG88" s="201">
        <v>0</v>
      </c>
      <c r="AH88" s="201">
        <v>0</v>
      </c>
      <c r="AI88" s="201">
        <v>0</v>
      </c>
      <c r="AJ88" s="201">
        <v>0</v>
      </c>
      <c r="AK88" s="201">
        <v>0</v>
      </c>
      <c r="AL88" s="201">
        <v>0</v>
      </c>
      <c r="AM88" s="201">
        <v>0</v>
      </c>
      <c r="AN88" s="219">
        <v>2027</v>
      </c>
      <c r="AO88" s="10">
        <f t="array" ref="AO88">ROUND(_xlfn.WEIBULL.DIST(COUNTA($AN$82:$AN88),$B$5,$D$3,FALSE),3)</f>
        <v>0</v>
      </c>
      <c r="AP88" s="10">
        <f>ROUND(_xlfn.WEIBULL.DIST(COUNTA($AN$83:$AN88),$B$5,$D$3,FALSE),3)</f>
        <v>0.11600000000000001</v>
      </c>
      <c r="AQ88" s="10">
        <f>ROUND(_xlfn.WEIBULL.DIST(COUNTA($AN$84:$AN88),$B$5,$D$3,FALSE),3)</f>
        <v>0.51500000000000001</v>
      </c>
      <c r="AR88" s="10">
        <f>ROUND(_xlfn.WEIBULL.DIST(COUNTA($AN$85:$AN88),$B$5,$D$3,FALSE),3)</f>
        <v>0.29799999999999999</v>
      </c>
      <c r="AS88" s="10">
        <f>ROUND(_xlfn.WEIBULL.DIST(COUNTA($AN$86:$AN88),$B$5,$D$3,FALSE),3)</f>
        <v>6.4000000000000001E-2</v>
      </c>
      <c r="AT88" s="10">
        <f>ROUND(_xlfn.WEIBULL.DIST(COUNTA($AN$87:$AN88),$B$5,$D$3,FALSE),3)</f>
        <v>6.0000000000000001E-3</v>
      </c>
      <c r="AU88" s="10">
        <f>ROUND(_xlfn.WEIBULL.DIST(COUNTA($AN$88:$AN88),$B$5,$D$3,FALSE),3)</f>
        <v>0</v>
      </c>
      <c r="AV88" s="201">
        <v>0</v>
      </c>
      <c r="AW88" s="201">
        <v>0</v>
      </c>
      <c r="AX88" s="201">
        <v>0</v>
      </c>
      <c r="AY88" s="201">
        <v>0</v>
      </c>
      <c r="AZ88" s="201">
        <v>0</v>
      </c>
      <c r="BA88" s="201">
        <v>0</v>
      </c>
      <c r="BB88" s="201">
        <v>0</v>
      </c>
      <c r="BC88" s="201">
        <v>0</v>
      </c>
      <c r="BD88" s="201">
        <v>0</v>
      </c>
      <c r="BE88" s="201">
        <v>0</v>
      </c>
      <c r="BF88" s="201">
        <v>0</v>
      </c>
      <c r="BG88" s="201">
        <v>0</v>
      </c>
      <c r="BH88" s="201">
        <v>0</v>
      </c>
    </row>
    <row r="89" spans="19:60" x14ac:dyDescent="0.3">
      <c r="S89" s="219">
        <v>2028</v>
      </c>
      <c r="T89" s="10">
        <f>ROUND(_xlfn.WEIBULL.DIST(COUNTA($S$82:$S89),$B$5,$C$3,FALSE),3)</f>
        <v>0.14899999999999999</v>
      </c>
      <c r="U89" s="10">
        <f>ROUND(_xlfn.WEIBULL.DIST(COUNTA($S$83:$S89),$B$5,$C$3,FALSE),3)</f>
        <v>7.5999999999999998E-2</v>
      </c>
      <c r="V89" s="10">
        <f>ROUND(_xlfn.WEIBULL.DIST(COUNTA($S$84:$S89),$B$5,$C$3,FALSE),3)</f>
        <v>3.2000000000000001E-2</v>
      </c>
      <c r="W89" s="10">
        <f>ROUND(_xlfn.WEIBULL.DIST(COUNTA($S$85:$S89),$B$5,$C$3,FALSE),3)</f>
        <v>1.0999999999999999E-2</v>
      </c>
      <c r="X89" s="10">
        <f>ROUND(_xlfn.WEIBULL.DIST(COUNTA($S$86:$S89),$B$5,$C$3,FALSE),3)</f>
        <v>3.0000000000000001E-3</v>
      </c>
      <c r="Y89" s="10">
        <f>ROUND(_xlfn.WEIBULL.DIST(COUNTA($S$87:$S89),$B$5,$C$3,FALSE),3)</f>
        <v>1E-3</v>
      </c>
      <c r="Z89" s="10">
        <f>ROUND(_xlfn.WEIBULL.DIST(COUNTA($S$88:$S89),$B$5,$C$3,FALSE),3)</f>
        <v>0</v>
      </c>
      <c r="AA89" s="10">
        <f>ROUND(_xlfn.WEIBULL.DIST(COUNTA($S$89:$S89),$B$5,$C$3,FALSE),3)</f>
        <v>0</v>
      </c>
      <c r="AB89" s="201">
        <v>0</v>
      </c>
      <c r="AC89" s="201">
        <v>0</v>
      </c>
      <c r="AD89" s="201">
        <v>0</v>
      </c>
      <c r="AE89" s="201">
        <v>0</v>
      </c>
      <c r="AF89" s="201">
        <v>0</v>
      </c>
      <c r="AG89" s="201">
        <v>0</v>
      </c>
      <c r="AH89" s="201">
        <v>0</v>
      </c>
      <c r="AI89" s="201">
        <v>0</v>
      </c>
      <c r="AJ89" s="201">
        <v>0</v>
      </c>
      <c r="AK89" s="201">
        <v>0</v>
      </c>
      <c r="AL89" s="201">
        <v>0</v>
      </c>
      <c r="AM89" s="201">
        <v>0</v>
      </c>
      <c r="AN89" s="219">
        <v>2028</v>
      </c>
      <c r="AO89" s="10">
        <f t="array" ref="AO89">ROUND(_xlfn.WEIBULL.DIST(COUNTA($AN$82:$AN89),$B$5,$D$3,FALSE),3)</f>
        <v>0</v>
      </c>
      <c r="AP89" s="10">
        <f>ROUND(_xlfn.WEIBULL.DIST(COUNTA($AN$83:$AN89),$B$5,$D$3,FALSE),3)</f>
        <v>0</v>
      </c>
      <c r="AQ89" s="10">
        <f>ROUND(_xlfn.WEIBULL.DIST(COUNTA($AN$84:$AN89),$B$5,$D$3,FALSE),3)</f>
        <v>0.11600000000000001</v>
      </c>
      <c r="AR89" s="10">
        <f>ROUND(_xlfn.WEIBULL.DIST(COUNTA($AN$85:$AN89),$B$5,$D$3,FALSE),3)</f>
        <v>0.51500000000000001</v>
      </c>
      <c r="AS89" s="10">
        <f>ROUND(_xlfn.WEIBULL.DIST(COUNTA($AN$86:$AN89),$B$5,$D$3,FALSE),3)</f>
        <v>0.29799999999999999</v>
      </c>
      <c r="AT89" s="10">
        <f>ROUND(_xlfn.WEIBULL.DIST(COUNTA($AN$87:$AN89),$B$5,$D$3,FALSE),3)</f>
        <v>6.4000000000000001E-2</v>
      </c>
      <c r="AU89" s="10">
        <f>ROUND(_xlfn.WEIBULL.DIST(COUNTA($AN$88:$AN89),$B$5,$D$3,FALSE),3)</f>
        <v>6.0000000000000001E-3</v>
      </c>
      <c r="AV89" s="10">
        <f>ROUND(_xlfn.WEIBULL.DIST(COUNTA($AN$89:$AN89),$B$5,$D$3,FALSE),3)</f>
        <v>0</v>
      </c>
      <c r="AW89" s="201">
        <v>0</v>
      </c>
      <c r="AX89" s="201">
        <v>0</v>
      </c>
      <c r="AY89" s="201">
        <v>0</v>
      </c>
      <c r="AZ89" s="201">
        <v>0</v>
      </c>
      <c r="BA89" s="201">
        <v>0</v>
      </c>
      <c r="BB89" s="201">
        <v>0</v>
      </c>
      <c r="BC89" s="201">
        <v>0</v>
      </c>
      <c r="BD89" s="201">
        <v>0</v>
      </c>
      <c r="BE89" s="201">
        <v>0</v>
      </c>
      <c r="BF89" s="201">
        <v>0</v>
      </c>
      <c r="BG89" s="201">
        <v>0</v>
      </c>
      <c r="BH89" s="201">
        <v>0</v>
      </c>
    </row>
    <row r="90" spans="19:60" x14ac:dyDescent="0.3">
      <c r="S90" s="219">
        <v>2029</v>
      </c>
      <c r="T90" s="10">
        <f>ROUND(_xlfn.WEIBULL.DIST(COUNTA($S$82:$S90),$B$5,$C$3,FALSE),3)</f>
        <v>0.23100000000000001</v>
      </c>
      <c r="U90" s="10">
        <f>ROUND(_xlfn.WEIBULL.DIST(COUNTA($S$83:$S90),$B$5,$C$3,FALSE),3)</f>
        <v>0.14899999999999999</v>
      </c>
      <c r="V90" s="10">
        <f>ROUND(_xlfn.WEIBULL.DIST(COUNTA($S$84:$S90),$B$5,$C$3,FALSE),3)</f>
        <v>7.5999999999999998E-2</v>
      </c>
      <c r="W90" s="10">
        <f>ROUND(_xlfn.WEIBULL.DIST(COUNTA($S$85:$S90),$B$5,$C$3,FALSE),3)</f>
        <v>3.2000000000000001E-2</v>
      </c>
      <c r="X90" s="10">
        <f>ROUND(_xlfn.WEIBULL.DIST(COUNTA($S$86:$S90),$B$5,$C$3,FALSE),3)</f>
        <v>1.0999999999999999E-2</v>
      </c>
      <c r="Y90" s="10">
        <f>ROUND(_xlfn.WEIBULL.DIST(COUNTA($S$87:$S90),$B$5,$C$3,FALSE),3)</f>
        <v>3.0000000000000001E-3</v>
      </c>
      <c r="Z90" s="10">
        <f>ROUND(_xlfn.WEIBULL.DIST(COUNTA($S$88:$S90),$B$5,$C$3,FALSE),3)</f>
        <v>1E-3</v>
      </c>
      <c r="AA90" s="10">
        <f>ROUND(_xlfn.WEIBULL.DIST(COUNTA($S$89:$S90),$B$5,$C$3,FALSE),3)</f>
        <v>0</v>
      </c>
      <c r="AB90" s="10">
        <f>ROUND(_xlfn.WEIBULL.DIST(COUNTA($S$90:$S90),$B$5,$C$3,FALSE),3)</f>
        <v>0</v>
      </c>
      <c r="AC90" s="201">
        <v>0</v>
      </c>
      <c r="AD90" s="201">
        <v>0</v>
      </c>
      <c r="AE90" s="201">
        <v>0</v>
      </c>
      <c r="AF90" s="201">
        <v>0</v>
      </c>
      <c r="AG90" s="201">
        <v>0</v>
      </c>
      <c r="AH90" s="201">
        <v>0</v>
      </c>
      <c r="AI90" s="201">
        <v>0</v>
      </c>
      <c r="AJ90" s="201">
        <v>0</v>
      </c>
      <c r="AK90" s="201">
        <v>0</v>
      </c>
      <c r="AL90" s="201">
        <v>0</v>
      </c>
      <c r="AM90" s="201">
        <v>0</v>
      </c>
      <c r="AN90" s="219">
        <v>2029</v>
      </c>
      <c r="AO90" s="10">
        <f t="array" ref="AO90">ROUND(_xlfn.WEIBULL.DIST(COUNTA($AN$82:$AN90),$B$5,$D$3,FALSE),3)</f>
        <v>0</v>
      </c>
      <c r="AP90" s="10">
        <f>ROUND(_xlfn.WEIBULL.DIST(COUNTA($AN$83:$AN90),$B$5,$D$3,FALSE),3)</f>
        <v>0</v>
      </c>
      <c r="AQ90" s="10">
        <f>ROUND(_xlfn.WEIBULL.DIST(COUNTA($AN$84:$AN90),$B$5,$D$3,FALSE),3)</f>
        <v>0</v>
      </c>
      <c r="AR90" s="10">
        <f>ROUND(_xlfn.WEIBULL.DIST(COUNTA($AN$85:$AN90),$B$5,$D$3,FALSE),3)</f>
        <v>0.11600000000000001</v>
      </c>
      <c r="AS90" s="10">
        <f>ROUND(_xlfn.WEIBULL.DIST(COUNTA($AN$86:$AN90),$B$5,$D$3,FALSE),3)</f>
        <v>0.51500000000000001</v>
      </c>
      <c r="AT90" s="10">
        <f>ROUND(_xlfn.WEIBULL.DIST(COUNTA($AN$87:$AN90),$B$5,$D$3,FALSE),3)</f>
        <v>0.29799999999999999</v>
      </c>
      <c r="AU90" s="10">
        <f>ROUND(_xlfn.WEIBULL.DIST(COUNTA($AN$88:$AN90),$B$5,$D$3,FALSE),3)</f>
        <v>6.4000000000000001E-2</v>
      </c>
      <c r="AV90" s="10">
        <f>ROUND(_xlfn.WEIBULL.DIST(COUNTA($AN$89:$AN90),$B$5,$D$3,FALSE),3)</f>
        <v>6.0000000000000001E-3</v>
      </c>
      <c r="AW90" s="10">
        <f>ROUND(_xlfn.WEIBULL.DIST(COUNTA($AN$90:$AN90),$B$5,$D$3,FALSE),3)</f>
        <v>0</v>
      </c>
      <c r="AX90" s="201">
        <v>0</v>
      </c>
      <c r="AY90" s="201">
        <v>0</v>
      </c>
      <c r="AZ90" s="201">
        <v>0</v>
      </c>
      <c r="BA90" s="201">
        <v>0</v>
      </c>
      <c r="BB90" s="201">
        <v>0</v>
      </c>
      <c r="BC90" s="201">
        <v>0</v>
      </c>
      <c r="BD90" s="201">
        <v>0</v>
      </c>
      <c r="BE90" s="201">
        <v>0</v>
      </c>
      <c r="BF90" s="201">
        <v>0</v>
      </c>
      <c r="BG90" s="201">
        <v>0</v>
      </c>
      <c r="BH90" s="201">
        <v>0</v>
      </c>
    </row>
    <row r="91" spans="19:60" x14ac:dyDescent="0.3">
      <c r="S91" s="219">
        <v>2030</v>
      </c>
      <c r="T91" s="10">
        <f>ROUND(_xlfn.WEIBULL.DIST(COUNTA($S$82:$S91),$B$5,$C$3,FALSE),3)</f>
        <v>0.25800000000000001</v>
      </c>
      <c r="U91" s="10">
        <f>ROUND(_xlfn.WEIBULL.DIST(COUNTA($S$83:$S91),$B$5,$C$3,FALSE),3)</f>
        <v>0.23100000000000001</v>
      </c>
      <c r="V91" s="10">
        <f>ROUND(_xlfn.WEIBULL.DIST(COUNTA($S$84:$S91),$B$5,$C$3,FALSE),3)</f>
        <v>0.14899999999999999</v>
      </c>
      <c r="W91" s="10">
        <f>ROUND(_xlfn.WEIBULL.DIST(COUNTA($S$85:$S91),$B$5,$C$3,FALSE),3)</f>
        <v>7.5999999999999998E-2</v>
      </c>
      <c r="X91" s="10">
        <f>ROUND(_xlfn.WEIBULL.DIST(COUNTA($S$86:$S91),$B$5,$C$3,FALSE),3)</f>
        <v>3.2000000000000001E-2</v>
      </c>
      <c r="Y91" s="10">
        <f>ROUND(_xlfn.WEIBULL.DIST(COUNTA($S$87:$S91),$B$5,$C$3,FALSE),3)</f>
        <v>1.0999999999999999E-2</v>
      </c>
      <c r="Z91" s="10">
        <f>ROUND(_xlfn.WEIBULL.DIST(COUNTA($S$88:$S91),$B$5,$C$3,FALSE),3)</f>
        <v>3.0000000000000001E-3</v>
      </c>
      <c r="AA91" s="10">
        <f>ROUND(_xlfn.WEIBULL.DIST(COUNTA($S$89:$S91),$B$5,$C$3,FALSE),3)</f>
        <v>1E-3</v>
      </c>
      <c r="AB91" s="10">
        <f>ROUND(_xlfn.WEIBULL.DIST(COUNTA($S$90:$S91),$B$5,$C$3,FALSE),3)</f>
        <v>0</v>
      </c>
      <c r="AC91" s="10">
        <f>ROUND(_xlfn.WEIBULL.DIST(COUNTA($S$91:$S91),$B$5,$C$3,FALSE),3)</f>
        <v>0</v>
      </c>
      <c r="AD91" s="201">
        <v>0</v>
      </c>
      <c r="AE91" s="201">
        <v>0</v>
      </c>
      <c r="AF91" s="201">
        <v>0</v>
      </c>
      <c r="AG91" s="201">
        <v>0</v>
      </c>
      <c r="AH91" s="201">
        <v>0</v>
      </c>
      <c r="AI91" s="201">
        <v>0</v>
      </c>
      <c r="AJ91" s="201">
        <v>0</v>
      </c>
      <c r="AK91" s="201">
        <v>0</v>
      </c>
      <c r="AL91" s="201">
        <v>0</v>
      </c>
      <c r="AM91" s="201">
        <v>0</v>
      </c>
      <c r="AN91" s="219">
        <v>2030</v>
      </c>
      <c r="AO91" s="10">
        <f t="array" ref="AO91">ROUND(_xlfn.WEIBULL.DIST(COUNTA($AN$82:$AN91),$B$5,$D$3,FALSE),3)</f>
        <v>0</v>
      </c>
      <c r="AP91" s="10">
        <f>ROUND(_xlfn.WEIBULL.DIST(COUNTA($AN$83:$AN91),$B$5,$D$3,FALSE),3)</f>
        <v>0</v>
      </c>
      <c r="AQ91" s="10">
        <f>ROUND(_xlfn.WEIBULL.DIST(COUNTA($AN$84:$AN91),$B$5,$D$3,FALSE),3)</f>
        <v>0</v>
      </c>
      <c r="AR91" s="10">
        <f>ROUND(_xlfn.WEIBULL.DIST(COUNTA($AN$85:$AN91),$B$5,$D$3,FALSE),3)</f>
        <v>0</v>
      </c>
      <c r="AS91" s="10">
        <f>ROUND(_xlfn.WEIBULL.DIST(COUNTA($AN$86:$AN91),$B$5,$D$3,FALSE),3)</f>
        <v>0.11600000000000001</v>
      </c>
      <c r="AT91" s="10">
        <f>ROUND(_xlfn.WEIBULL.DIST(COUNTA($AN$87:$AN91),$B$5,$D$3,FALSE),3)</f>
        <v>0.51500000000000001</v>
      </c>
      <c r="AU91" s="10">
        <f>ROUND(_xlfn.WEIBULL.DIST(COUNTA($AN$88:$AN91),$B$5,$D$3,FALSE),3)</f>
        <v>0.29799999999999999</v>
      </c>
      <c r="AV91" s="10">
        <f>ROUND(_xlfn.WEIBULL.DIST(COUNTA($AN$89:$AN91),$B$5,$D$3,FALSE),3)</f>
        <v>6.4000000000000001E-2</v>
      </c>
      <c r="AW91" s="10">
        <f>ROUND(_xlfn.WEIBULL.DIST(COUNTA($AN$90:$AN91),$B$5,$D$3,FALSE),3)</f>
        <v>6.0000000000000001E-3</v>
      </c>
      <c r="AX91" s="10">
        <f>ROUND(_xlfn.WEIBULL.DIST(COUNTA($AN$91:$AN91),$B$5,$D$3,FALSE),3)</f>
        <v>0</v>
      </c>
      <c r="AY91" s="201">
        <v>0</v>
      </c>
      <c r="AZ91" s="201">
        <v>0</v>
      </c>
      <c r="BA91" s="201">
        <v>0</v>
      </c>
      <c r="BB91" s="201">
        <v>0</v>
      </c>
      <c r="BC91" s="201">
        <v>0</v>
      </c>
      <c r="BD91" s="201">
        <v>0</v>
      </c>
      <c r="BE91" s="201">
        <v>0</v>
      </c>
      <c r="BF91" s="201">
        <v>0</v>
      </c>
      <c r="BG91" s="201">
        <v>0</v>
      </c>
      <c r="BH91" s="201">
        <v>0</v>
      </c>
    </row>
    <row r="92" spans="19:60" x14ac:dyDescent="0.3">
      <c r="S92" s="219">
        <v>2031</v>
      </c>
      <c r="T92" s="10">
        <f>ROUND(_xlfn.WEIBULL.DIST(COUNTA($S$82:$S92),$B$5,$C$3,FALSE),3)</f>
        <v>0.17699999999999999</v>
      </c>
      <c r="U92" s="10">
        <f>ROUND(_xlfn.WEIBULL.DIST(COUNTA($S$83:$S92),$B$5,$C$3,FALSE),3)</f>
        <v>0.25800000000000001</v>
      </c>
      <c r="V92" s="10">
        <f>ROUND(_xlfn.WEIBULL.DIST(COUNTA($S$84:$S92),$B$5,$C$3,FALSE),3)</f>
        <v>0.23100000000000001</v>
      </c>
      <c r="W92" s="10">
        <f>ROUND(_xlfn.WEIBULL.DIST(COUNTA($S$85:$S92),$B$5,$C$3,FALSE),3)</f>
        <v>0.14899999999999999</v>
      </c>
      <c r="X92" s="10">
        <f>ROUND(_xlfn.WEIBULL.DIST(COUNTA($S$86:$S92),$B$5,$C$3,FALSE),3)</f>
        <v>7.5999999999999998E-2</v>
      </c>
      <c r="Y92" s="10">
        <f>ROUND(_xlfn.WEIBULL.DIST(COUNTA($S$87:$S92),$B$5,$C$3,FALSE),3)</f>
        <v>3.2000000000000001E-2</v>
      </c>
      <c r="Z92" s="10">
        <f>ROUND(_xlfn.WEIBULL.DIST(COUNTA($S$88:$S92),$B$5,$C$3,FALSE),3)</f>
        <v>1.0999999999999999E-2</v>
      </c>
      <c r="AA92" s="10">
        <f>ROUND(_xlfn.WEIBULL.DIST(COUNTA($S$89:$S92),$B$5,$C$3,FALSE),3)</f>
        <v>3.0000000000000001E-3</v>
      </c>
      <c r="AB92" s="10">
        <f>ROUND(_xlfn.WEIBULL.DIST(COUNTA($S$90:$S92),$B$5,$C$3,FALSE),3)</f>
        <v>1E-3</v>
      </c>
      <c r="AC92" s="10">
        <f>ROUND(_xlfn.WEIBULL.DIST(COUNTA($S$91:$S92),$B$5,$C$3,FALSE),3)</f>
        <v>0</v>
      </c>
      <c r="AD92" s="10">
        <f>ROUND(_xlfn.WEIBULL.DIST(COUNTA($S$92:$S92),$B$5,$C$3,FALSE),3)</f>
        <v>0</v>
      </c>
      <c r="AE92" s="201">
        <v>0</v>
      </c>
      <c r="AF92" s="201">
        <v>0</v>
      </c>
      <c r="AG92" s="201">
        <v>0</v>
      </c>
      <c r="AH92" s="201">
        <v>0</v>
      </c>
      <c r="AI92" s="201">
        <v>0</v>
      </c>
      <c r="AJ92" s="201">
        <v>0</v>
      </c>
      <c r="AK92" s="201">
        <v>0</v>
      </c>
      <c r="AL92" s="201">
        <v>0</v>
      </c>
      <c r="AM92" s="201">
        <v>0</v>
      </c>
      <c r="AN92" s="219">
        <v>2031</v>
      </c>
      <c r="AO92" s="10">
        <f t="array" ref="AO92">ROUND(_xlfn.WEIBULL.DIST(COUNTA($AN$82:$AN92),$B$5,$D$3,FALSE),3)</f>
        <v>0</v>
      </c>
      <c r="AP92" s="10">
        <f>ROUND(_xlfn.WEIBULL.DIST(COUNTA($AN$83:$AN92),$B$5,$D$3,FALSE),3)</f>
        <v>0</v>
      </c>
      <c r="AQ92" s="10">
        <f>ROUND(_xlfn.WEIBULL.DIST(COUNTA($AN$84:$AN92),$B$5,$D$3,FALSE),3)</f>
        <v>0</v>
      </c>
      <c r="AR92" s="10">
        <f>ROUND(_xlfn.WEIBULL.DIST(COUNTA($AN$85:$AN92),$B$5,$D$3,FALSE),3)</f>
        <v>0</v>
      </c>
      <c r="AS92" s="10">
        <f>ROUND(_xlfn.WEIBULL.DIST(COUNTA($AN$86:$AN92),$B$5,$D$3,FALSE),3)</f>
        <v>0</v>
      </c>
      <c r="AT92" s="10">
        <f>ROUND(_xlfn.WEIBULL.DIST(COUNTA($AN$87:$AN92),$B$5,$D$3,FALSE),3)</f>
        <v>0.11600000000000001</v>
      </c>
      <c r="AU92" s="10">
        <f>ROUND(_xlfn.WEIBULL.DIST(COUNTA($AN$88:$AN92),$B$5,$D$3,FALSE),3)</f>
        <v>0.51500000000000001</v>
      </c>
      <c r="AV92" s="10">
        <f>ROUND(_xlfn.WEIBULL.DIST(COUNTA($AN$89:$AN92),$B$5,$D$3,FALSE),3)</f>
        <v>0.29799999999999999</v>
      </c>
      <c r="AW92" s="10">
        <f>ROUND(_xlfn.WEIBULL.DIST(COUNTA($AN$90:$AN92),$B$5,$D$3,FALSE),3)</f>
        <v>6.4000000000000001E-2</v>
      </c>
      <c r="AX92" s="10">
        <f>ROUND(_xlfn.WEIBULL.DIST(COUNTA($AN$91:$AN92),$B$5,$D$3,FALSE),3)</f>
        <v>6.0000000000000001E-3</v>
      </c>
      <c r="AY92" s="10">
        <f>ROUND(_xlfn.WEIBULL.DIST(COUNTA($AN$92:$AN92),$B$5,$D$3,FALSE),3)</f>
        <v>0</v>
      </c>
      <c r="AZ92" s="201">
        <v>0</v>
      </c>
      <c r="BA92" s="201">
        <v>0</v>
      </c>
      <c r="BB92" s="201">
        <v>0</v>
      </c>
      <c r="BC92" s="201">
        <v>0</v>
      </c>
      <c r="BD92" s="201">
        <v>0</v>
      </c>
      <c r="BE92" s="201">
        <v>0</v>
      </c>
      <c r="BF92" s="201">
        <v>0</v>
      </c>
      <c r="BG92" s="201">
        <v>0</v>
      </c>
      <c r="BH92" s="201">
        <v>0</v>
      </c>
    </row>
    <row r="93" spans="19:60" x14ac:dyDescent="0.3">
      <c r="S93" s="219">
        <v>2032</v>
      </c>
      <c r="T93" s="10">
        <f>ROUND(_xlfn.WEIBULL.DIST(COUNTA($S$82:$S93),$B$5,$C$3,FALSE),3)</f>
        <v>5.8000000000000003E-2</v>
      </c>
      <c r="U93" s="10">
        <f>ROUND(_xlfn.WEIBULL.DIST(COUNTA($S$83:$S93),$B$5,$C$3,FALSE),3)</f>
        <v>0.17699999999999999</v>
      </c>
      <c r="V93" s="10">
        <f>ROUND(_xlfn.WEIBULL.DIST(COUNTA($S$84:$S93),$B$5,$C$3,FALSE),3)</f>
        <v>0.25800000000000001</v>
      </c>
      <c r="W93" s="10">
        <f>ROUND(_xlfn.WEIBULL.DIST(COUNTA($S$85:$S93),$B$5,$C$3,FALSE),3)</f>
        <v>0.23100000000000001</v>
      </c>
      <c r="X93" s="10">
        <f>ROUND(_xlfn.WEIBULL.DIST(COUNTA($S$86:$S93),$B$5,$C$3,FALSE),3)</f>
        <v>0.14899999999999999</v>
      </c>
      <c r="Y93" s="10">
        <f>ROUND(_xlfn.WEIBULL.DIST(COUNTA($S$87:$S93),$B$5,$C$3,FALSE),3)</f>
        <v>7.5999999999999998E-2</v>
      </c>
      <c r="Z93" s="10">
        <f>ROUND(_xlfn.WEIBULL.DIST(COUNTA($S$88:$S93),$B$5,$C$3,FALSE),3)</f>
        <v>3.2000000000000001E-2</v>
      </c>
      <c r="AA93" s="10">
        <f>ROUND(_xlfn.WEIBULL.DIST(COUNTA($S$89:$S93),$B$5,$C$3,FALSE),3)</f>
        <v>1.0999999999999999E-2</v>
      </c>
      <c r="AB93" s="10">
        <f>ROUND(_xlfn.WEIBULL.DIST(COUNTA($S$90:$S93),$B$5,$C$3,FALSE),3)</f>
        <v>3.0000000000000001E-3</v>
      </c>
      <c r="AC93" s="10">
        <f>ROUND(_xlfn.WEIBULL.DIST(COUNTA($S$91:$S93),$B$5,$C$3,FALSE),3)</f>
        <v>1E-3</v>
      </c>
      <c r="AD93" s="10">
        <f>ROUND(_xlfn.WEIBULL.DIST(COUNTA($S$92:$S93),$B$5,$C$3,FALSE),3)</f>
        <v>0</v>
      </c>
      <c r="AE93" s="10">
        <f>ROUND(_xlfn.WEIBULL.DIST(COUNTA($S$93:$S93),$B$5,$C$3,FALSE),3)</f>
        <v>0</v>
      </c>
      <c r="AF93" s="201">
        <v>0</v>
      </c>
      <c r="AG93" s="201">
        <v>0</v>
      </c>
      <c r="AH93" s="201">
        <v>0</v>
      </c>
      <c r="AI93" s="201">
        <v>0</v>
      </c>
      <c r="AJ93" s="201">
        <v>0</v>
      </c>
      <c r="AK93" s="201">
        <v>0</v>
      </c>
      <c r="AL93" s="201">
        <v>0</v>
      </c>
      <c r="AM93" s="201">
        <v>0</v>
      </c>
      <c r="AN93" s="219">
        <v>2032</v>
      </c>
      <c r="AO93" s="10">
        <f t="array" ref="AO93">ROUND(_xlfn.WEIBULL.DIST(COUNTA($AN$82:$AN93),$B$5,$D$3,FALSE),3)</f>
        <v>0</v>
      </c>
      <c r="AP93" s="10">
        <f>ROUND(_xlfn.WEIBULL.DIST(COUNTA($AN$83:$AN93),$B$5,$D$3,FALSE),3)</f>
        <v>0</v>
      </c>
      <c r="AQ93" s="10">
        <f>ROUND(_xlfn.WEIBULL.DIST(COUNTA($AN$84:$AN93),$B$5,$D$3,FALSE),3)</f>
        <v>0</v>
      </c>
      <c r="AR93" s="10">
        <f>ROUND(_xlfn.WEIBULL.DIST(COUNTA($AN$85:$AN93),$B$5,$D$3,FALSE),3)</f>
        <v>0</v>
      </c>
      <c r="AS93" s="10">
        <f>ROUND(_xlfn.WEIBULL.DIST(COUNTA($AN$86:$AN93),$B$5,$D$3,FALSE),3)</f>
        <v>0</v>
      </c>
      <c r="AT93" s="10">
        <f>ROUND(_xlfn.WEIBULL.DIST(COUNTA($AN$87:$AN93),$B$5,$D$3,FALSE),3)</f>
        <v>0</v>
      </c>
      <c r="AU93" s="10">
        <f>ROUND(_xlfn.WEIBULL.DIST(COUNTA($AN$88:$AN93),$B$5,$D$3,FALSE),3)</f>
        <v>0.11600000000000001</v>
      </c>
      <c r="AV93" s="10">
        <f>ROUND(_xlfn.WEIBULL.DIST(COUNTA($AN$89:$AN93),$B$5,$D$3,FALSE),3)</f>
        <v>0.51500000000000001</v>
      </c>
      <c r="AW93" s="10">
        <f>ROUND(_xlfn.WEIBULL.DIST(COUNTA($AN$90:$AN93),$B$5,$D$3,FALSE),3)</f>
        <v>0.29799999999999999</v>
      </c>
      <c r="AX93" s="10">
        <f>ROUND(_xlfn.WEIBULL.DIST(COUNTA($AN$91:$AN93),$B$5,$D$3,FALSE),3)</f>
        <v>6.4000000000000001E-2</v>
      </c>
      <c r="AY93" s="10">
        <f>ROUND(_xlfn.WEIBULL.DIST(COUNTA($AN$92:$AN93),$B$5,$D$3,FALSE),3)</f>
        <v>6.0000000000000001E-3</v>
      </c>
      <c r="AZ93" s="10">
        <f>ROUND(_xlfn.WEIBULL.DIST(COUNTA($AN$93:$AN93),$B$5,$D$3,FALSE),3)</f>
        <v>0</v>
      </c>
      <c r="BA93" s="201">
        <v>0</v>
      </c>
      <c r="BB93" s="201">
        <v>0</v>
      </c>
      <c r="BC93" s="201">
        <v>0</v>
      </c>
      <c r="BD93" s="201">
        <v>0</v>
      </c>
      <c r="BE93" s="201">
        <v>0</v>
      </c>
      <c r="BF93" s="201">
        <v>0</v>
      </c>
      <c r="BG93" s="201">
        <v>0</v>
      </c>
      <c r="BH93" s="201">
        <v>0</v>
      </c>
    </row>
    <row r="94" spans="19:60" x14ac:dyDescent="0.3">
      <c r="S94" s="219">
        <v>2033</v>
      </c>
      <c r="T94" s="10">
        <f>ROUND(_xlfn.WEIBULL.DIST(COUNTA($S$82:$S94),$B$5,$C$3,FALSE),3)</f>
        <v>6.0000000000000001E-3</v>
      </c>
      <c r="U94" s="10">
        <f>ROUND(_xlfn.WEIBULL.DIST(COUNTA($S$83:$S94),$B$5,$C$3,FALSE),3)</f>
        <v>5.8000000000000003E-2</v>
      </c>
      <c r="V94" s="10">
        <f>ROUND(_xlfn.WEIBULL.DIST(COUNTA($S$84:$S94),$B$5,$C$3,FALSE),3)</f>
        <v>0.17699999999999999</v>
      </c>
      <c r="W94" s="10">
        <f>ROUND(_xlfn.WEIBULL.DIST(COUNTA($S$85:$S94),$B$5,$C$3,FALSE),3)</f>
        <v>0.25800000000000001</v>
      </c>
      <c r="X94" s="10">
        <f>ROUND(_xlfn.WEIBULL.DIST(COUNTA($S$86:$S94),$B$5,$C$3,FALSE),3)</f>
        <v>0.23100000000000001</v>
      </c>
      <c r="Y94" s="10">
        <f>ROUND(_xlfn.WEIBULL.DIST(COUNTA($S$87:$S94),$B$5,$C$3,FALSE),3)</f>
        <v>0.14899999999999999</v>
      </c>
      <c r="Z94" s="10">
        <f>ROUND(_xlfn.WEIBULL.DIST(COUNTA($S$88:$S94),$B$5,$C$3,FALSE),3)</f>
        <v>7.5999999999999998E-2</v>
      </c>
      <c r="AA94" s="10">
        <f>ROUND(_xlfn.WEIBULL.DIST(COUNTA($S$89:$S94),$B$5,$C$3,FALSE),3)</f>
        <v>3.2000000000000001E-2</v>
      </c>
      <c r="AB94" s="10">
        <f>ROUND(_xlfn.WEIBULL.DIST(COUNTA($S$90:$S94),$B$5,$C$3,FALSE),3)</f>
        <v>1.0999999999999999E-2</v>
      </c>
      <c r="AC94" s="10">
        <f>ROUND(_xlfn.WEIBULL.DIST(COUNTA($S$91:$S94),$B$5,$C$3,FALSE),3)</f>
        <v>3.0000000000000001E-3</v>
      </c>
      <c r="AD94" s="10">
        <f>ROUND(_xlfn.WEIBULL.DIST(COUNTA($S$92:$S94),$B$5,$C$3,FALSE),3)</f>
        <v>1E-3</v>
      </c>
      <c r="AE94" s="10">
        <f>ROUND(_xlfn.WEIBULL.DIST(COUNTA($S$93:$S94),$B$5,$C$3,FALSE),3)</f>
        <v>0</v>
      </c>
      <c r="AF94" s="10">
        <f>ROUND(_xlfn.WEIBULL.DIST(COUNTA($S$94:$S94),$B$5,$C$3,FALSE),3)</f>
        <v>0</v>
      </c>
      <c r="AG94" s="201">
        <v>0</v>
      </c>
      <c r="AH94" s="201">
        <v>0</v>
      </c>
      <c r="AI94" s="201">
        <v>0</v>
      </c>
      <c r="AJ94" s="201">
        <v>0</v>
      </c>
      <c r="AK94" s="201">
        <v>0</v>
      </c>
      <c r="AL94" s="201">
        <v>0</v>
      </c>
      <c r="AM94" s="201">
        <v>0</v>
      </c>
      <c r="AN94" s="219">
        <v>2033</v>
      </c>
      <c r="AO94" s="10">
        <f t="array" ref="AO94">ROUND(_xlfn.WEIBULL.DIST(COUNTA($AN$82:$AN94),$B$5,$D$3,FALSE),3)</f>
        <v>0</v>
      </c>
      <c r="AP94" s="10">
        <f>ROUND(_xlfn.WEIBULL.DIST(COUNTA($AN$83:$AN94),$B$5,$D$3,FALSE),3)</f>
        <v>0</v>
      </c>
      <c r="AQ94" s="10">
        <f>ROUND(_xlfn.WEIBULL.DIST(COUNTA($AN$84:$AN94),$B$5,$D$3,FALSE),3)</f>
        <v>0</v>
      </c>
      <c r="AR94" s="10">
        <f>ROUND(_xlfn.WEIBULL.DIST(COUNTA($AN$85:$AN94),$B$5,$D$3,FALSE),3)</f>
        <v>0</v>
      </c>
      <c r="AS94" s="10">
        <f>ROUND(_xlfn.WEIBULL.DIST(COUNTA($AN$86:$AN94),$B$5,$D$3,FALSE),3)</f>
        <v>0</v>
      </c>
      <c r="AT94" s="10">
        <f>ROUND(_xlfn.WEIBULL.DIST(COUNTA($AN$87:$AN94),$B$5,$D$3,FALSE),3)</f>
        <v>0</v>
      </c>
      <c r="AU94" s="10">
        <f>ROUND(_xlfn.WEIBULL.DIST(COUNTA($AN$88:$AN94),$B$5,$D$3,FALSE),3)</f>
        <v>0</v>
      </c>
      <c r="AV94" s="10">
        <f>ROUND(_xlfn.WEIBULL.DIST(COUNTA($AN$89:$AN94),$B$5,$D$3,FALSE),3)</f>
        <v>0.11600000000000001</v>
      </c>
      <c r="AW94" s="10">
        <f>ROUND(_xlfn.WEIBULL.DIST(COUNTA($AN$90:$AN94),$B$5,$D$3,FALSE),3)</f>
        <v>0.51500000000000001</v>
      </c>
      <c r="AX94" s="10">
        <f>ROUND(_xlfn.WEIBULL.DIST(COUNTA($AN$91:$AN94),$B$5,$D$3,FALSE),3)</f>
        <v>0.29799999999999999</v>
      </c>
      <c r="AY94" s="10">
        <f>ROUND(_xlfn.WEIBULL.DIST(COUNTA($AN$92:$AN94),$B$5,$D$3,FALSE),3)</f>
        <v>6.4000000000000001E-2</v>
      </c>
      <c r="AZ94" s="10">
        <f>ROUND(_xlfn.WEIBULL.DIST(COUNTA($AN$93:$AN94),$B$5,$D$3,FALSE),3)</f>
        <v>6.0000000000000001E-3</v>
      </c>
      <c r="BA94" s="10">
        <f>ROUND(_xlfn.WEIBULL.DIST(COUNTA($AN$94:$AN94),$B$5,$D$3,FALSE),3)</f>
        <v>0</v>
      </c>
      <c r="BB94" s="201">
        <v>0</v>
      </c>
      <c r="BC94" s="201">
        <v>0</v>
      </c>
      <c r="BD94" s="201">
        <v>0</v>
      </c>
      <c r="BE94" s="201">
        <v>0</v>
      </c>
      <c r="BF94" s="201">
        <v>0</v>
      </c>
      <c r="BG94" s="201">
        <v>0</v>
      </c>
      <c r="BH94" s="201">
        <v>0</v>
      </c>
    </row>
    <row r="95" spans="19:60" x14ac:dyDescent="0.3">
      <c r="S95" s="219">
        <v>2034</v>
      </c>
      <c r="T95" s="10">
        <f>ROUND(_xlfn.WEIBULL.DIST(COUNTA($S$82:$S95),$B$5,$C$3,FALSE),3)</f>
        <v>0</v>
      </c>
      <c r="U95" s="10">
        <f>ROUND(_xlfn.WEIBULL.DIST(COUNTA($S$83:$S95),$B$5,$C$3,FALSE),3)</f>
        <v>6.0000000000000001E-3</v>
      </c>
      <c r="V95" s="10">
        <f>ROUND(_xlfn.WEIBULL.DIST(COUNTA($S$84:$S95),$B$5,$C$3,FALSE),3)</f>
        <v>5.8000000000000003E-2</v>
      </c>
      <c r="W95" s="10">
        <f>ROUND(_xlfn.WEIBULL.DIST(COUNTA($S$85:$S95),$B$5,$C$3,FALSE),3)</f>
        <v>0.17699999999999999</v>
      </c>
      <c r="X95" s="10">
        <f>ROUND(_xlfn.WEIBULL.DIST(COUNTA($S$86:$S95),$B$5,$C$3,FALSE),3)</f>
        <v>0.25800000000000001</v>
      </c>
      <c r="Y95" s="10">
        <f>ROUND(_xlfn.WEIBULL.DIST(COUNTA($S$87:$S95),$B$5,$C$3,FALSE),3)</f>
        <v>0.23100000000000001</v>
      </c>
      <c r="Z95" s="10">
        <f>ROUND(_xlfn.WEIBULL.DIST(COUNTA($S$88:$S95),$B$5,$C$3,FALSE),3)</f>
        <v>0.14899999999999999</v>
      </c>
      <c r="AA95" s="10">
        <f>ROUND(_xlfn.WEIBULL.DIST(COUNTA($S$89:$S95),$B$5,$C$3,FALSE),3)</f>
        <v>7.5999999999999998E-2</v>
      </c>
      <c r="AB95" s="10">
        <f>ROUND(_xlfn.WEIBULL.DIST(COUNTA($S$90:$S95),$B$5,$C$3,FALSE),3)</f>
        <v>3.2000000000000001E-2</v>
      </c>
      <c r="AC95" s="10">
        <f>ROUND(_xlfn.WEIBULL.DIST(COUNTA($S$91:$S95),$B$5,$C$3,FALSE),3)</f>
        <v>1.0999999999999999E-2</v>
      </c>
      <c r="AD95" s="10">
        <f>ROUND(_xlfn.WEIBULL.DIST(COUNTA($S$92:$S95),$B$5,$C$3,FALSE),3)</f>
        <v>3.0000000000000001E-3</v>
      </c>
      <c r="AE95" s="10">
        <f>ROUND(_xlfn.WEIBULL.DIST(COUNTA($S$93:$S95),$B$5,$C$3,FALSE),3)</f>
        <v>1E-3</v>
      </c>
      <c r="AF95" s="10">
        <f>ROUND(_xlfn.WEIBULL.DIST(COUNTA($S$94:$S95),$B$5,$C$3,FALSE),3)</f>
        <v>0</v>
      </c>
      <c r="AG95" s="10">
        <f>ROUND(_xlfn.WEIBULL.DIST(COUNTA($S$95:$S95),$B$5,$C$3,FALSE),3)</f>
        <v>0</v>
      </c>
      <c r="AH95" s="201">
        <v>0</v>
      </c>
      <c r="AI95" s="201">
        <v>0</v>
      </c>
      <c r="AJ95" s="201">
        <v>0</v>
      </c>
      <c r="AK95" s="201">
        <v>0</v>
      </c>
      <c r="AL95" s="201">
        <v>0</v>
      </c>
      <c r="AM95" s="201">
        <v>0</v>
      </c>
      <c r="AN95" s="219">
        <v>2034</v>
      </c>
      <c r="AO95" s="10">
        <f t="array" ref="AO95">ROUND(_xlfn.WEIBULL.DIST(COUNTA($AN$82:$AN95),$B$5,$D$3,FALSE),3)</f>
        <v>0</v>
      </c>
      <c r="AP95" s="10">
        <f>ROUND(_xlfn.WEIBULL.DIST(COUNTA($AN$83:$AN95),$B$5,$D$3,FALSE),3)</f>
        <v>0</v>
      </c>
      <c r="AQ95" s="10">
        <f>ROUND(_xlfn.WEIBULL.DIST(COUNTA($AN$84:$AN95),$B$5,$D$3,FALSE),3)</f>
        <v>0</v>
      </c>
      <c r="AR95" s="10">
        <f>ROUND(_xlfn.WEIBULL.DIST(COUNTA($AN$85:$AN95),$B$5,$D$3,FALSE),3)</f>
        <v>0</v>
      </c>
      <c r="AS95" s="10">
        <f>ROUND(_xlfn.WEIBULL.DIST(COUNTA($AN$86:$AN95),$B$5,$D$3,FALSE),3)</f>
        <v>0</v>
      </c>
      <c r="AT95" s="10">
        <f>ROUND(_xlfn.WEIBULL.DIST(COUNTA($AN$87:$AN95),$B$5,$D$3,FALSE),3)</f>
        <v>0</v>
      </c>
      <c r="AU95" s="10">
        <f>ROUND(_xlfn.WEIBULL.DIST(COUNTA($AN$88:$AN95),$B$5,$D$3,FALSE),3)</f>
        <v>0</v>
      </c>
      <c r="AV95" s="10">
        <f>ROUND(_xlfn.WEIBULL.DIST(COUNTA($AN$89:$AN95),$B$5,$D$3,FALSE),3)</f>
        <v>0</v>
      </c>
      <c r="AW95" s="10">
        <f>ROUND(_xlfn.WEIBULL.DIST(COUNTA($AN$90:$AN95),$B$5,$D$3,FALSE),3)</f>
        <v>0.11600000000000001</v>
      </c>
      <c r="AX95" s="10">
        <f>ROUND(_xlfn.WEIBULL.DIST(COUNTA($AN$91:$AN95),$B$5,$D$3,FALSE),3)</f>
        <v>0.51500000000000001</v>
      </c>
      <c r="AY95" s="10">
        <f>ROUND(_xlfn.WEIBULL.DIST(COUNTA($AN$92:$AN95),$B$5,$D$3,FALSE),3)</f>
        <v>0.29799999999999999</v>
      </c>
      <c r="AZ95" s="10">
        <f>ROUND(_xlfn.WEIBULL.DIST(COUNTA($AN$93:$AN95),$B$5,$D$3,FALSE),3)</f>
        <v>6.4000000000000001E-2</v>
      </c>
      <c r="BA95" s="10">
        <f>ROUND(_xlfn.WEIBULL.DIST(COUNTA($AN$94:$AN95),$B$5,$D$3,FALSE),3)</f>
        <v>6.0000000000000001E-3</v>
      </c>
      <c r="BB95" s="10">
        <f>ROUND(_xlfn.WEIBULL.DIST(COUNTA($AN$95:$AN95),$B$5,$D$3,FALSE),3)</f>
        <v>0</v>
      </c>
      <c r="BC95" s="201">
        <v>0</v>
      </c>
      <c r="BD95" s="201">
        <v>0</v>
      </c>
      <c r="BE95" s="201">
        <v>0</v>
      </c>
      <c r="BF95" s="201">
        <v>0</v>
      </c>
      <c r="BG95" s="201">
        <v>0</v>
      </c>
      <c r="BH95" s="201">
        <v>0</v>
      </c>
    </row>
    <row r="96" spans="19:60" x14ac:dyDescent="0.3">
      <c r="S96" s="219">
        <v>2035</v>
      </c>
      <c r="T96" s="10">
        <f>ROUND(_xlfn.WEIBULL.DIST(COUNTA($S$82:$S96),$B$5,$C$3,FALSE),3)</f>
        <v>0</v>
      </c>
      <c r="U96" s="10">
        <f>ROUND(_xlfn.WEIBULL.DIST(COUNTA($S$83:$S96),$B$5,$C$3,FALSE),3)</f>
        <v>0</v>
      </c>
      <c r="V96" s="10">
        <f>ROUND(_xlfn.WEIBULL.DIST(COUNTA($S$84:$S96),$B$5,$C$3,FALSE),3)</f>
        <v>6.0000000000000001E-3</v>
      </c>
      <c r="W96" s="10">
        <f>ROUND(_xlfn.WEIBULL.DIST(COUNTA($S$85:$S96),$B$5,$C$3,FALSE),3)</f>
        <v>5.8000000000000003E-2</v>
      </c>
      <c r="X96" s="10">
        <f>ROUND(_xlfn.WEIBULL.DIST(COUNTA($S$86:$S96),$B$5,$C$3,FALSE),3)</f>
        <v>0.17699999999999999</v>
      </c>
      <c r="Y96" s="10">
        <f>ROUND(_xlfn.WEIBULL.DIST(COUNTA($S$87:$S96),$B$5,$C$3,FALSE),3)</f>
        <v>0.25800000000000001</v>
      </c>
      <c r="Z96" s="10">
        <f>ROUND(_xlfn.WEIBULL.DIST(COUNTA($S$88:$S96),$B$5,$C$3,FALSE),3)</f>
        <v>0.23100000000000001</v>
      </c>
      <c r="AA96" s="10">
        <f>ROUND(_xlfn.WEIBULL.DIST(COUNTA($S$89:$S96),$B$5,$C$3,FALSE),3)</f>
        <v>0.14899999999999999</v>
      </c>
      <c r="AB96" s="10">
        <f>ROUND(_xlfn.WEIBULL.DIST(COUNTA($S$90:$S96),$B$5,$C$3,FALSE),3)</f>
        <v>7.5999999999999998E-2</v>
      </c>
      <c r="AC96" s="10">
        <f>ROUND(_xlfn.WEIBULL.DIST(COUNTA($S$91:$S96),$B$5,$C$3,FALSE),3)</f>
        <v>3.2000000000000001E-2</v>
      </c>
      <c r="AD96" s="10">
        <f>ROUND(_xlfn.WEIBULL.DIST(COUNTA($S$92:$S96),$B$5,$C$3,FALSE),3)</f>
        <v>1.0999999999999999E-2</v>
      </c>
      <c r="AE96" s="10">
        <f>ROUND(_xlfn.WEIBULL.DIST(COUNTA($S$93:$S96),$B$5,$C$3,FALSE),3)</f>
        <v>3.0000000000000001E-3</v>
      </c>
      <c r="AF96" s="10">
        <f>ROUND(_xlfn.WEIBULL.DIST(COUNTA($S$94:$S96),$B$5,$C$3,FALSE),3)</f>
        <v>1E-3</v>
      </c>
      <c r="AG96" s="10">
        <f>ROUND(_xlfn.WEIBULL.DIST(COUNTA($S$95:$S96),$B$5,$C$3,FALSE),3)</f>
        <v>0</v>
      </c>
      <c r="AH96" s="10">
        <f>ROUND(_xlfn.WEIBULL.DIST(COUNTA($S$96:$S96),$B$5,$C$3,FALSE),3)</f>
        <v>0</v>
      </c>
      <c r="AI96" s="201">
        <v>0</v>
      </c>
      <c r="AJ96" s="201">
        <v>0</v>
      </c>
      <c r="AK96" s="201">
        <v>0</v>
      </c>
      <c r="AL96" s="201">
        <v>0</v>
      </c>
      <c r="AM96" s="201">
        <v>0</v>
      </c>
      <c r="AN96" s="219">
        <v>2035</v>
      </c>
      <c r="AO96" s="10">
        <f t="array" ref="AO96">ROUND(_xlfn.WEIBULL.DIST(COUNTA($AN$82:$AN96),$B$5,$D$3,FALSE),3)</f>
        <v>0</v>
      </c>
      <c r="AP96" s="10">
        <f>ROUND(_xlfn.WEIBULL.DIST(COUNTA($AN$83:$AN96),$B$5,$D$3,FALSE),3)</f>
        <v>0</v>
      </c>
      <c r="AQ96" s="10">
        <f>ROUND(_xlfn.WEIBULL.DIST(COUNTA($AN$84:$AN96),$B$5,$D$3,FALSE),3)</f>
        <v>0</v>
      </c>
      <c r="AR96" s="10">
        <f>ROUND(_xlfn.WEIBULL.DIST(COUNTA($AN$85:$AN96),$B$5,$D$3,FALSE),3)</f>
        <v>0</v>
      </c>
      <c r="AS96" s="10">
        <f>ROUND(_xlfn.WEIBULL.DIST(COUNTA($AN$86:$AN96),$B$5,$D$3,FALSE),3)</f>
        <v>0</v>
      </c>
      <c r="AT96" s="10">
        <f>ROUND(_xlfn.WEIBULL.DIST(COUNTA($AN$87:$AN96),$B$5,$D$3,FALSE),3)</f>
        <v>0</v>
      </c>
      <c r="AU96" s="10">
        <f>ROUND(_xlfn.WEIBULL.DIST(COUNTA($AN$88:$AN96),$B$5,$D$3,FALSE),3)</f>
        <v>0</v>
      </c>
      <c r="AV96" s="10">
        <f>ROUND(_xlfn.WEIBULL.DIST(COUNTA($AN$89:$AN96),$B$5,$D$3,FALSE),3)</f>
        <v>0</v>
      </c>
      <c r="AW96" s="10">
        <f>ROUND(_xlfn.WEIBULL.DIST(COUNTA($AN$90:$AN96),$B$5,$D$3,FALSE),3)</f>
        <v>0</v>
      </c>
      <c r="AX96" s="10">
        <f>ROUND(_xlfn.WEIBULL.DIST(COUNTA($AN$91:$AN96),$B$5,$D$3,FALSE),3)</f>
        <v>0.11600000000000001</v>
      </c>
      <c r="AY96" s="10">
        <f>ROUND(_xlfn.WEIBULL.DIST(COUNTA($AN$92:$AN96),$B$5,$D$3,FALSE),3)</f>
        <v>0.51500000000000001</v>
      </c>
      <c r="AZ96" s="10">
        <f>ROUND(_xlfn.WEIBULL.DIST(COUNTA($AN$93:$AN96),$B$5,$D$3,FALSE),3)</f>
        <v>0.29799999999999999</v>
      </c>
      <c r="BA96" s="10">
        <f>ROUND(_xlfn.WEIBULL.DIST(COUNTA($AN$94:$AN96),$B$5,$D$3,FALSE),3)</f>
        <v>6.4000000000000001E-2</v>
      </c>
      <c r="BB96" s="10">
        <f>ROUND(_xlfn.WEIBULL.DIST(COUNTA($AN$95:$AN96),$B$5,$D$3,FALSE),3)</f>
        <v>6.0000000000000001E-3</v>
      </c>
      <c r="BC96" s="10">
        <f>ROUND(_xlfn.WEIBULL.DIST(COUNTA($AN$96:$AN96),$B$5,$D$3,FALSE),3)</f>
        <v>0</v>
      </c>
      <c r="BD96" s="201">
        <v>0</v>
      </c>
      <c r="BE96" s="201">
        <v>0</v>
      </c>
      <c r="BF96" s="201">
        <v>0</v>
      </c>
      <c r="BG96" s="201">
        <v>0</v>
      </c>
      <c r="BH96" s="201">
        <v>0</v>
      </c>
    </row>
    <row r="97" spans="19:60" x14ac:dyDescent="0.3">
      <c r="S97" s="219">
        <v>2036</v>
      </c>
      <c r="T97" s="10">
        <f>ROUND(_xlfn.WEIBULL.DIST(COUNTA($S$82:$S97),$B$5,$C$3,FALSE),3)</f>
        <v>0</v>
      </c>
      <c r="U97" s="10">
        <f>ROUND(_xlfn.WEIBULL.DIST(COUNTA($S$83:$S97),$B$5,$C$3,FALSE),3)</f>
        <v>0</v>
      </c>
      <c r="V97" s="10">
        <f>ROUND(_xlfn.WEIBULL.DIST(COUNTA($S$84:$S97),$B$5,$C$3,FALSE),3)</f>
        <v>0</v>
      </c>
      <c r="W97" s="10">
        <f>ROUND(_xlfn.WEIBULL.DIST(COUNTA($S$85:$S97),$B$5,$C$3,FALSE),3)</f>
        <v>6.0000000000000001E-3</v>
      </c>
      <c r="X97" s="10">
        <f>ROUND(_xlfn.WEIBULL.DIST(COUNTA($S$86:$S97),$B$5,$C$3,FALSE),3)</f>
        <v>5.8000000000000003E-2</v>
      </c>
      <c r="Y97" s="10">
        <f>ROUND(_xlfn.WEIBULL.DIST(COUNTA($S$87:$S97),$B$5,$C$3,FALSE),3)</f>
        <v>0.17699999999999999</v>
      </c>
      <c r="Z97" s="10">
        <f>ROUND(_xlfn.WEIBULL.DIST(COUNTA($S$88:$S97),$B$5,$C$3,FALSE),3)</f>
        <v>0.25800000000000001</v>
      </c>
      <c r="AA97" s="10">
        <f>ROUND(_xlfn.WEIBULL.DIST(COUNTA($S$89:$S97),$B$5,$C$3,FALSE),3)</f>
        <v>0.23100000000000001</v>
      </c>
      <c r="AB97" s="10">
        <f>ROUND(_xlfn.WEIBULL.DIST(COUNTA($S$90:$S97),$B$5,$C$3,FALSE),3)</f>
        <v>0.14899999999999999</v>
      </c>
      <c r="AC97" s="10">
        <f>ROUND(_xlfn.WEIBULL.DIST(COUNTA($S$91:$S97),$B$5,$C$3,FALSE),3)</f>
        <v>7.5999999999999998E-2</v>
      </c>
      <c r="AD97" s="10">
        <f>ROUND(_xlfn.WEIBULL.DIST(COUNTA($S$92:$S97),$B$5,$C$3,FALSE),3)</f>
        <v>3.2000000000000001E-2</v>
      </c>
      <c r="AE97" s="10">
        <f>ROUND(_xlfn.WEIBULL.DIST(COUNTA($S$93:$S97),$B$5,$C$3,FALSE),3)</f>
        <v>1.0999999999999999E-2</v>
      </c>
      <c r="AF97" s="10">
        <f>ROUND(_xlfn.WEIBULL.DIST(COUNTA($S$94:$S97),$B$5,$C$3,FALSE),3)</f>
        <v>3.0000000000000001E-3</v>
      </c>
      <c r="AG97" s="10">
        <f>ROUND(_xlfn.WEIBULL.DIST(COUNTA($S$95:$S97),$B$5,$C$3,FALSE),3)</f>
        <v>1E-3</v>
      </c>
      <c r="AH97" s="10">
        <f>ROUND(_xlfn.WEIBULL.DIST(COUNTA($S$96:$S97),$B$5,$C$3,FALSE),3)</f>
        <v>0</v>
      </c>
      <c r="AI97" s="10">
        <f>ROUND(_xlfn.WEIBULL.DIST(COUNTA($S$97:$S97),$B$5,$C$3,FALSE),3)</f>
        <v>0</v>
      </c>
      <c r="AJ97" s="201">
        <v>0</v>
      </c>
      <c r="AK97" s="201">
        <v>0</v>
      </c>
      <c r="AL97" s="201">
        <v>0</v>
      </c>
      <c r="AM97" s="201">
        <v>0</v>
      </c>
      <c r="AN97" s="219">
        <v>2036</v>
      </c>
      <c r="AO97" s="10">
        <f t="array" ref="AO97">ROUND(_xlfn.WEIBULL.DIST(COUNTA($AN$82:$AN97),$B$5,$D$3,FALSE),3)</f>
        <v>0</v>
      </c>
      <c r="AP97" s="10">
        <f>ROUND(_xlfn.WEIBULL.DIST(COUNTA($AN$83:$AN97),$B$5,$D$3,FALSE),3)</f>
        <v>0</v>
      </c>
      <c r="AQ97" s="10">
        <f>ROUND(_xlfn.WEIBULL.DIST(COUNTA($AN$84:$AN97),$B$5,$D$3,FALSE),3)</f>
        <v>0</v>
      </c>
      <c r="AR97" s="10">
        <f>ROUND(_xlfn.WEIBULL.DIST(COUNTA($AN$85:$AN97),$B$5,$D$3,FALSE),3)</f>
        <v>0</v>
      </c>
      <c r="AS97" s="10">
        <f>ROUND(_xlfn.WEIBULL.DIST(COUNTA($AN$86:$AN97),$B$5,$D$3,FALSE),3)</f>
        <v>0</v>
      </c>
      <c r="AT97" s="10">
        <f>ROUND(_xlfn.WEIBULL.DIST(COUNTA($AN$87:$AN97),$B$5,$D$3,FALSE),3)</f>
        <v>0</v>
      </c>
      <c r="AU97" s="10">
        <f>ROUND(_xlfn.WEIBULL.DIST(COUNTA($AN$88:$AN97),$B$5,$D$3,FALSE),3)</f>
        <v>0</v>
      </c>
      <c r="AV97" s="10">
        <f>ROUND(_xlfn.WEIBULL.DIST(COUNTA($AN$89:$AN97),$B$5,$D$3,FALSE),3)</f>
        <v>0</v>
      </c>
      <c r="AW97" s="10">
        <f>ROUND(_xlfn.WEIBULL.DIST(COUNTA($AN$90:$AN97),$B$5,$D$3,FALSE),3)</f>
        <v>0</v>
      </c>
      <c r="AX97" s="10">
        <f>ROUND(_xlfn.WEIBULL.DIST(COUNTA($AN$91:$AN97),$B$5,$D$3,FALSE),3)</f>
        <v>0</v>
      </c>
      <c r="AY97" s="10">
        <f>ROUND(_xlfn.WEIBULL.DIST(COUNTA($AN$92:$AN97),$B$5,$D$3,FALSE),3)</f>
        <v>0.11600000000000001</v>
      </c>
      <c r="AZ97" s="10">
        <f>ROUND(_xlfn.WEIBULL.DIST(COUNTA($AN$93:$AN97),$B$5,$D$3,FALSE),3)</f>
        <v>0.51500000000000001</v>
      </c>
      <c r="BA97" s="10">
        <f>ROUND(_xlfn.WEIBULL.DIST(COUNTA($AN$94:$AN97),$B$5,$D$3,FALSE),3)</f>
        <v>0.29799999999999999</v>
      </c>
      <c r="BB97" s="10">
        <f>ROUND(_xlfn.WEIBULL.DIST(COUNTA($AN$95:$AN97),$B$5,$D$3,FALSE),3)</f>
        <v>6.4000000000000001E-2</v>
      </c>
      <c r="BC97" s="10">
        <f>ROUND(_xlfn.WEIBULL.DIST(COUNTA($AN$96:$AN97),$B$5,$D$3,FALSE),3)</f>
        <v>6.0000000000000001E-3</v>
      </c>
      <c r="BD97" s="10">
        <f>ROUND(_xlfn.WEIBULL.DIST(COUNTA($AN$97:$AN97),$B$5,$D$3,FALSE),3)</f>
        <v>0</v>
      </c>
      <c r="BE97" s="201">
        <v>0</v>
      </c>
      <c r="BF97" s="201">
        <v>0</v>
      </c>
      <c r="BG97" s="201">
        <v>0</v>
      </c>
      <c r="BH97" s="201">
        <v>0</v>
      </c>
    </row>
    <row r="98" spans="19:60" x14ac:dyDescent="0.3">
      <c r="S98" s="219">
        <v>2037</v>
      </c>
      <c r="T98" s="10">
        <f>ROUND(_xlfn.WEIBULL.DIST(COUNTA($S$82:$S98),$B$5,$C$3,FALSE),3)</f>
        <v>0</v>
      </c>
      <c r="U98" s="10">
        <f>ROUND(_xlfn.WEIBULL.DIST(COUNTA($S$83:$S98),$B$5,$C$3,FALSE),3)</f>
        <v>0</v>
      </c>
      <c r="V98" s="10">
        <f>ROUND(_xlfn.WEIBULL.DIST(COUNTA($S$84:$S98),$B$5,$C$3,FALSE),3)</f>
        <v>0</v>
      </c>
      <c r="W98" s="10">
        <f>ROUND(_xlfn.WEIBULL.DIST(COUNTA($S$85:$S98),$B$5,$C$3,FALSE),3)</f>
        <v>0</v>
      </c>
      <c r="X98" s="10">
        <f>ROUND(_xlfn.WEIBULL.DIST(COUNTA($S$86:$S98),$B$5,$C$3,FALSE),3)</f>
        <v>6.0000000000000001E-3</v>
      </c>
      <c r="Y98" s="10">
        <f>ROUND(_xlfn.WEIBULL.DIST(COUNTA($S$87:$S98),$B$5,$C$3,FALSE),3)</f>
        <v>5.8000000000000003E-2</v>
      </c>
      <c r="Z98" s="10">
        <f>ROUND(_xlfn.WEIBULL.DIST(COUNTA($S$88:$S98),$B$5,$C$3,FALSE),3)</f>
        <v>0.17699999999999999</v>
      </c>
      <c r="AA98" s="10">
        <f>ROUND(_xlfn.WEIBULL.DIST(COUNTA($S$89:$S98),$B$5,$C$3,FALSE),3)</f>
        <v>0.25800000000000001</v>
      </c>
      <c r="AB98" s="10">
        <f>ROUND(_xlfn.WEIBULL.DIST(COUNTA($S$90:$S98),$B$5,$C$3,FALSE),3)</f>
        <v>0.23100000000000001</v>
      </c>
      <c r="AC98" s="10">
        <f>ROUND(_xlfn.WEIBULL.DIST(COUNTA($S$91:$S98),$B$5,$C$3,FALSE),3)</f>
        <v>0.14899999999999999</v>
      </c>
      <c r="AD98" s="10">
        <f>ROUND(_xlfn.WEIBULL.DIST(COUNTA($S$92:$S98),$B$5,$C$3,FALSE),3)</f>
        <v>7.5999999999999998E-2</v>
      </c>
      <c r="AE98" s="10">
        <f>ROUND(_xlfn.WEIBULL.DIST(COUNTA($S$93:$S98),$B$5,$C$3,FALSE),3)</f>
        <v>3.2000000000000001E-2</v>
      </c>
      <c r="AF98" s="10">
        <f>ROUND(_xlfn.WEIBULL.DIST(COUNTA($S$94:$S98),$B$5,$C$3,FALSE),3)</f>
        <v>1.0999999999999999E-2</v>
      </c>
      <c r="AG98" s="10">
        <f>ROUND(_xlfn.WEIBULL.DIST(COUNTA($S$95:$S98),$B$5,$C$3,FALSE),3)</f>
        <v>3.0000000000000001E-3</v>
      </c>
      <c r="AH98" s="10">
        <f>ROUND(_xlfn.WEIBULL.DIST(COUNTA($S$96:$S98),$B$5,$C$3,FALSE),3)</f>
        <v>1E-3</v>
      </c>
      <c r="AI98" s="10">
        <f>ROUND(_xlfn.WEIBULL.DIST(COUNTA($S$97:$S98),$B$5,$C$3,FALSE),3)</f>
        <v>0</v>
      </c>
      <c r="AJ98" s="10">
        <f>ROUND(_xlfn.WEIBULL.DIST(COUNTA($S$98:$S98),$B$5,$C$3,FALSE),3)</f>
        <v>0</v>
      </c>
      <c r="AK98" s="201">
        <v>0</v>
      </c>
      <c r="AL98" s="201">
        <v>0</v>
      </c>
      <c r="AM98" s="201">
        <v>0</v>
      </c>
      <c r="AN98" s="219">
        <v>2037</v>
      </c>
      <c r="AO98" s="10">
        <f t="array" ref="AO98">ROUND(_xlfn.WEIBULL.DIST(COUNTA($AN$82:$AN98),$B$5,$D$3,FALSE),3)</f>
        <v>0</v>
      </c>
      <c r="AP98" s="10">
        <f>ROUND(_xlfn.WEIBULL.DIST(COUNTA($AN$83:$AN98),$B$5,$D$3,FALSE),3)</f>
        <v>0</v>
      </c>
      <c r="AQ98" s="10">
        <f>ROUND(_xlfn.WEIBULL.DIST(COUNTA($AN$84:$AN98),$B$5,$D$3,FALSE),3)</f>
        <v>0</v>
      </c>
      <c r="AR98" s="10">
        <f>ROUND(_xlfn.WEIBULL.DIST(COUNTA($AN$85:$AN98),$B$5,$D$3,FALSE),3)</f>
        <v>0</v>
      </c>
      <c r="AS98" s="10">
        <f>ROUND(_xlfn.WEIBULL.DIST(COUNTA($AN$86:$AN98),$B$5,$D$3,FALSE),3)</f>
        <v>0</v>
      </c>
      <c r="AT98" s="10">
        <f>ROUND(_xlfn.WEIBULL.DIST(COUNTA($AN$87:$AN98),$B$5,$D$3,FALSE),3)</f>
        <v>0</v>
      </c>
      <c r="AU98" s="10">
        <f>ROUND(_xlfn.WEIBULL.DIST(COUNTA($AN$88:$AN98),$B$5,$D$3,FALSE),3)</f>
        <v>0</v>
      </c>
      <c r="AV98" s="10">
        <f>ROUND(_xlfn.WEIBULL.DIST(COUNTA($AN$89:$AN98),$B$5,$D$3,FALSE),3)</f>
        <v>0</v>
      </c>
      <c r="AW98" s="10">
        <f>ROUND(_xlfn.WEIBULL.DIST(COUNTA($AN$90:$AN98),$B$5,$D$3,FALSE),3)</f>
        <v>0</v>
      </c>
      <c r="AX98" s="10">
        <f>ROUND(_xlfn.WEIBULL.DIST(COUNTA($AN$91:$AN98),$B$5,$D$3,FALSE),3)</f>
        <v>0</v>
      </c>
      <c r="AY98" s="10">
        <f>ROUND(_xlfn.WEIBULL.DIST(COUNTA($AN$92:$AN98),$B$5,$D$3,FALSE),3)</f>
        <v>0</v>
      </c>
      <c r="AZ98" s="10">
        <f>ROUND(_xlfn.WEIBULL.DIST(COUNTA($AN$93:$AN98),$B$5,$D$3,FALSE),3)</f>
        <v>0.11600000000000001</v>
      </c>
      <c r="BA98" s="10">
        <f>ROUND(_xlfn.WEIBULL.DIST(COUNTA($AN$94:$AN98),$B$5,$D$3,FALSE),3)</f>
        <v>0.51500000000000001</v>
      </c>
      <c r="BB98" s="10">
        <f>ROUND(_xlfn.WEIBULL.DIST(COUNTA($AN$95:$AN98),$B$5,$D$3,FALSE),3)</f>
        <v>0.29799999999999999</v>
      </c>
      <c r="BC98" s="10">
        <f>ROUND(_xlfn.WEIBULL.DIST(COUNTA($AN$96:$AN98),$B$5,$D$3,FALSE),3)</f>
        <v>6.4000000000000001E-2</v>
      </c>
      <c r="BD98" s="10">
        <f>ROUND(_xlfn.WEIBULL.DIST(COUNTA($AN$97:$AN98),$B$5,$D$3,FALSE),3)</f>
        <v>6.0000000000000001E-3</v>
      </c>
      <c r="BE98" s="10">
        <f>ROUND(_xlfn.WEIBULL.DIST(COUNTA($AN$98:$AN98),$B$5,$D$3,FALSE),3)</f>
        <v>0</v>
      </c>
      <c r="BF98" s="201">
        <v>0</v>
      </c>
      <c r="BG98" s="201">
        <v>0</v>
      </c>
      <c r="BH98" s="201">
        <v>0</v>
      </c>
    </row>
    <row r="99" spans="19:60" x14ac:dyDescent="0.3">
      <c r="S99" s="219">
        <v>2038</v>
      </c>
      <c r="T99" s="10">
        <f>ROUND(_xlfn.WEIBULL.DIST(COUNTA($S$82:$S99),$B$5,$C$3,FALSE),3)</f>
        <v>0</v>
      </c>
      <c r="U99" s="10">
        <f>ROUND(_xlfn.WEIBULL.DIST(COUNTA($S$83:$S99),$B$5,$C$3,FALSE),3)</f>
        <v>0</v>
      </c>
      <c r="V99" s="10">
        <f>ROUND(_xlfn.WEIBULL.DIST(COUNTA($S$84:$S99),$B$5,$C$3,FALSE),3)</f>
        <v>0</v>
      </c>
      <c r="W99" s="10">
        <f>ROUND(_xlfn.WEIBULL.DIST(COUNTA($S$85:$S99),$B$5,$C$3,FALSE),3)</f>
        <v>0</v>
      </c>
      <c r="X99" s="10">
        <f>ROUND(_xlfn.WEIBULL.DIST(COUNTA($S$86:$S99),$B$5,$C$3,FALSE),3)</f>
        <v>0</v>
      </c>
      <c r="Y99" s="10">
        <f>ROUND(_xlfn.WEIBULL.DIST(COUNTA($S$87:$S99),$B$5,$C$3,FALSE),3)</f>
        <v>6.0000000000000001E-3</v>
      </c>
      <c r="Z99" s="10">
        <f>ROUND(_xlfn.WEIBULL.DIST(COUNTA($S$88:$S99),$B$5,$C$3,FALSE),3)</f>
        <v>5.8000000000000003E-2</v>
      </c>
      <c r="AA99" s="10">
        <f>ROUND(_xlfn.WEIBULL.DIST(COUNTA($S$89:$S99),$B$5,$C$3,FALSE),3)</f>
        <v>0.17699999999999999</v>
      </c>
      <c r="AB99" s="10">
        <f>ROUND(_xlfn.WEIBULL.DIST(COUNTA($S$90:$S99),$B$5,$C$3,FALSE),3)</f>
        <v>0.25800000000000001</v>
      </c>
      <c r="AC99" s="10">
        <f>ROUND(_xlfn.WEIBULL.DIST(COUNTA($S$91:$S99),$B$5,$C$3,FALSE),3)</f>
        <v>0.23100000000000001</v>
      </c>
      <c r="AD99" s="10">
        <f>ROUND(_xlfn.WEIBULL.DIST(COUNTA($S$92:$S99),$B$5,$C$3,FALSE),3)</f>
        <v>0.14899999999999999</v>
      </c>
      <c r="AE99" s="10">
        <f>ROUND(_xlfn.WEIBULL.DIST(COUNTA($S$93:$S99),$B$5,$C$3,FALSE),3)</f>
        <v>7.5999999999999998E-2</v>
      </c>
      <c r="AF99" s="10">
        <f>ROUND(_xlfn.WEIBULL.DIST(COUNTA($S$94:$S99),$B$5,$C$3,FALSE),3)</f>
        <v>3.2000000000000001E-2</v>
      </c>
      <c r="AG99" s="10">
        <f>ROUND(_xlfn.WEIBULL.DIST(COUNTA($S$95:$S99),$B$5,$C$3,FALSE),3)</f>
        <v>1.0999999999999999E-2</v>
      </c>
      <c r="AH99" s="10">
        <f>ROUND(_xlfn.WEIBULL.DIST(COUNTA($S$96:$S99),$B$5,$C$3,FALSE),3)</f>
        <v>3.0000000000000001E-3</v>
      </c>
      <c r="AI99" s="10">
        <f>ROUND(_xlfn.WEIBULL.DIST(COUNTA($S$97:$S99),$B$5,$C$3,FALSE),3)</f>
        <v>1E-3</v>
      </c>
      <c r="AJ99" s="10">
        <f>ROUND(_xlfn.WEIBULL.DIST(COUNTA($S$98:$S99),$B$5,$C$3,FALSE),3)</f>
        <v>0</v>
      </c>
      <c r="AK99" s="10">
        <f>ROUND(_xlfn.WEIBULL.DIST(COUNTA($S$99:$S99),$B$5,$C$3,FALSE),3)</f>
        <v>0</v>
      </c>
      <c r="AL99" s="201">
        <v>0</v>
      </c>
      <c r="AM99" s="201">
        <v>0</v>
      </c>
      <c r="AN99" s="219">
        <v>2038</v>
      </c>
      <c r="AO99" s="10">
        <f t="array" ref="AO99">ROUND(_xlfn.WEIBULL.DIST(COUNTA($AN$82:$AN99),$B$5,$D$3,FALSE),3)</f>
        <v>0</v>
      </c>
      <c r="AP99" s="10">
        <f>ROUND(_xlfn.WEIBULL.DIST(COUNTA($AN$83:$AN99),$B$5,$D$3,FALSE),3)</f>
        <v>0</v>
      </c>
      <c r="AQ99" s="10">
        <f>ROUND(_xlfn.WEIBULL.DIST(COUNTA($AN$84:$AN99),$B$5,$D$3,FALSE),3)</f>
        <v>0</v>
      </c>
      <c r="AR99" s="10">
        <f>ROUND(_xlfn.WEIBULL.DIST(COUNTA($AN$85:$AN99),$B$5,$D$3,FALSE),3)</f>
        <v>0</v>
      </c>
      <c r="AS99" s="10">
        <f>ROUND(_xlfn.WEIBULL.DIST(COUNTA($AN$86:$AN99),$B$5,$D$3,FALSE),3)</f>
        <v>0</v>
      </c>
      <c r="AT99" s="10">
        <f>ROUND(_xlfn.WEIBULL.DIST(COUNTA($AN$87:$AN99),$B$5,$D$3,FALSE),3)</f>
        <v>0</v>
      </c>
      <c r="AU99" s="10">
        <f>ROUND(_xlfn.WEIBULL.DIST(COUNTA($AN$88:$AN99),$B$5,$D$3,FALSE),3)</f>
        <v>0</v>
      </c>
      <c r="AV99" s="10">
        <f>ROUND(_xlfn.WEIBULL.DIST(COUNTA($AN$89:$AN99),$B$5,$D$3,FALSE),3)</f>
        <v>0</v>
      </c>
      <c r="AW99" s="10">
        <f>ROUND(_xlfn.WEIBULL.DIST(COUNTA($AN$90:$AN99),$B$5,$D$3,FALSE),3)</f>
        <v>0</v>
      </c>
      <c r="AX99" s="10">
        <f>ROUND(_xlfn.WEIBULL.DIST(COUNTA($AN$91:$AN99),$B$5,$D$3,FALSE),3)</f>
        <v>0</v>
      </c>
      <c r="AY99" s="10">
        <f>ROUND(_xlfn.WEIBULL.DIST(COUNTA($AN$92:$AN99),$B$5,$D$3,FALSE),3)</f>
        <v>0</v>
      </c>
      <c r="AZ99" s="10">
        <f>ROUND(_xlfn.WEIBULL.DIST(COUNTA($AN$93:$AN99),$B$5,$D$3,FALSE),3)</f>
        <v>0</v>
      </c>
      <c r="BA99" s="10">
        <f>ROUND(_xlfn.WEIBULL.DIST(COUNTA($AN$94:$AN99),$B$5,$D$3,FALSE),3)</f>
        <v>0.11600000000000001</v>
      </c>
      <c r="BB99" s="10">
        <f>ROUND(_xlfn.WEIBULL.DIST(COUNTA($AN$95:$AN99),$B$5,$D$3,FALSE),3)</f>
        <v>0.51500000000000001</v>
      </c>
      <c r="BC99" s="10">
        <f>ROUND(_xlfn.WEIBULL.DIST(COUNTA($AN$96:$AN99),$B$5,$D$3,FALSE),3)</f>
        <v>0.29799999999999999</v>
      </c>
      <c r="BD99" s="10">
        <f>ROUND(_xlfn.WEIBULL.DIST(COUNTA($AN$97:$AN99),$B$5,$D$3,FALSE),3)</f>
        <v>6.4000000000000001E-2</v>
      </c>
      <c r="BE99" s="10">
        <f>ROUND(_xlfn.WEIBULL.DIST(COUNTA($AN$98:$AN99),$B$5,$D$3,FALSE),3)</f>
        <v>6.0000000000000001E-3</v>
      </c>
      <c r="BF99" s="10">
        <f>ROUND(_xlfn.WEIBULL.DIST(COUNTA($AN$99:$AN99),$B$5,$D$3,FALSE),3)</f>
        <v>0</v>
      </c>
      <c r="BG99" s="201">
        <v>0</v>
      </c>
      <c r="BH99" s="201">
        <v>0</v>
      </c>
    </row>
    <row r="100" spans="19:60" x14ac:dyDescent="0.3">
      <c r="S100" s="219">
        <v>2039</v>
      </c>
      <c r="T100" s="10">
        <f>ROUND(_xlfn.WEIBULL.DIST(COUNTA($S$82:$S100),$B$5,$C$3,FALSE),3)</f>
        <v>0</v>
      </c>
      <c r="U100" s="10">
        <f>ROUND(_xlfn.WEIBULL.DIST(COUNTA($S$83:$S100),$B$5,$C$3,FALSE),3)</f>
        <v>0</v>
      </c>
      <c r="V100" s="10">
        <f>ROUND(_xlfn.WEIBULL.DIST(COUNTA($S$84:$S100),$B$5,$C$3,FALSE),3)</f>
        <v>0</v>
      </c>
      <c r="W100" s="10">
        <f>ROUND(_xlfn.WEIBULL.DIST(COUNTA($S$85:$S100),$B$5,$C$3,FALSE),3)</f>
        <v>0</v>
      </c>
      <c r="X100" s="10">
        <f>ROUND(_xlfn.WEIBULL.DIST(COUNTA($S$86:$S100),$B$5,$C$3,FALSE),3)</f>
        <v>0</v>
      </c>
      <c r="Y100" s="10">
        <f>ROUND(_xlfn.WEIBULL.DIST(COUNTA($S$87:$S100),$B$5,$C$3,FALSE),3)</f>
        <v>0</v>
      </c>
      <c r="Z100" s="10">
        <f>ROUND(_xlfn.WEIBULL.DIST(COUNTA($S$88:$S100),$B$5,$C$3,FALSE),3)</f>
        <v>6.0000000000000001E-3</v>
      </c>
      <c r="AA100" s="10">
        <f>ROUND(_xlfn.WEIBULL.DIST(COUNTA($S$89:$S100),$B$5,$C$3,FALSE),3)</f>
        <v>5.8000000000000003E-2</v>
      </c>
      <c r="AB100" s="10">
        <f>ROUND(_xlfn.WEIBULL.DIST(COUNTA($S$90:$S100),$B$5,$C$3,FALSE),3)</f>
        <v>0.17699999999999999</v>
      </c>
      <c r="AC100" s="10">
        <f>ROUND(_xlfn.WEIBULL.DIST(COUNTA($S$91:$S100),$B$5,$C$3,FALSE),3)</f>
        <v>0.25800000000000001</v>
      </c>
      <c r="AD100" s="10">
        <f>ROUND(_xlfn.WEIBULL.DIST(COUNTA($S$92:$S100),$B$5,$C$3,FALSE),3)</f>
        <v>0.23100000000000001</v>
      </c>
      <c r="AE100" s="10">
        <f>ROUND(_xlfn.WEIBULL.DIST(COUNTA($S$93:$S100),$B$5,$C$3,FALSE),3)</f>
        <v>0.14899999999999999</v>
      </c>
      <c r="AF100" s="10">
        <f>ROUND(_xlfn.WEIBULL.DIST(COUNTA($S$94:$S100),$B$5,$C$3,FALSE),3)</f>
        <v>7.5999999999999998E-2</v>
      </c>
      <c r="AG100" s="10">
        <f>ROUND(_xlfn.WEIBULL.DIST(COUNTA($S$95:$S100),$B$5,$C$3,FALSE),3)</f>
        <v>3.2000000000000001E-2</v>
      </c>
      <c r="AH100" s="10">
        <f>ROUND(_xlfn.WEIBULL.DIST(COUNTA($S$96:$S100),$B$5,$C$3,FALSE),3)</f>
        <v>1.0999999999999999E-2</v>
      </c>
      <c r="AI100" s="10">
        <f>ROUND(_xlfn.WEIBULL.DIST(COUNTA($S$97:$S100),$B$5,$C$3,FALSE),3)</f>
        <v>3.0000000000000001E-3</v>
      </c>
      <c r="AJ100" s="10">
        <f>ROUND(_xlfn.WEIBULL.DIST(COUNTA($S$98:$S100),$B$5,$C$3,FALSE),3)</f>
        <v>1E-3</v>
      </c>
      <c r="AK100" s="10">
        <f>ROUND(_xlfn.WEIBULL.DIST(COUNTA($S$99:$S100),$B$5,$C$3,FALSE),3)</f>
        <v>0</v>
      </c>
      <c r="AL100" s="10">
        <f>ROUND(_xlfn.WEIBULL.DIST(COUNTA($S$100:$S100),$B$5,$C$3,FALSE),3)</f>
        <v>0</v>
      </c>
      <c r="AM100" s="201">
        <v>0</v>
      </c>
      <c r="AN100" s="219">
        <v>2039</v>
      </c>
      <c r="AO100" s="10">
        <f t="array" ref="AO100">ROUND(_xlfn.WEIBULL.DIST(COUNTA($AN$82:$AN100),$B$5,$D$3,FALSE),3)</f>
        <v>0</v>
      </c>
      <c r="AP100" s="10">
        <f>ROUND(_xlfn.WEIBULL.DIST(COUNTA($AN$83:$AN100),$B$5,$D$3,FALSE),3)</f>
        <v>0</v>
      </c>
      <c r="AQ100" s="10">
        <f>ROUND(_xlfn.WEIBULL.DIST(COUNTA($AN$84:$AN100),$B$5,$D$3,FALSE),3)</f>
        <v>0</v>
      </c>
      <c r="AR100" s="10">
        <f>ROUND(_xlfn.WEIBULL.DIST(COUNTA($AN$85:$AN100),$B$5,$D$3,FALSE),3)</f>
        <v>0</v>
      </c>
      <c r="AS100" s="10">
        <f>ROUND(_xlfn.WEIBULL.DIST(COUNTA($AN$86:$AN100),$B$5,$D$3,FALSE),3)</f>
        <v>0</v>
      </c>
      <c r="AT100" s="10">
        <f>ROUND(_xlfn.WEIBULL.DIST(COUNTA($AN$87:$AN100),$B$5,$D$3,FALSE),3)</f>
        <v>0</v>
      </c>
      <c r="AU100" s="10">
        <f>ROUND(_xlfn.WEIBULL.DIST(COUNTA($AN$88:$AN100),$B$5,$D$3,FALSE),3)</f>
        <v>0</v>
      </c>
      <c r="AV100" s="10">
        <f>ROUND(_xlfn.WEIBULL.DIST(COUNTA($AN$89:$AN100),$B$5,$D$3,FALSE),3)</f>
        <v>0</v>
      </c>
      <c r="AW100" s="10">
        <f>ROUND(_xlfn.WEIBULL.DIST(COUNTA($AN$90:$AN100),$B$5,$D$3,FALSE),3)</f>
        <v>0</v>
      </c>
      <c r="AX100" s="10">
        <f>ROUND(_xlfn.WEIBULL.DIST(COUNTA($AN$91:$AN100),$B$5,$D$3,FALSE),3)</f>
        <v>0</v>
      </c>
      <c r="AY100" s="10">
        <f>ROUND(_xlfn.WEIBULL.DIST(COUNTA($AN$92:$AN100),$B$5,$D$3,FALSE),3)</f>
        <v>0</v>
      </c>
      <c r="AZ100" s="10">
        <f>ROUND(_xlfn.WEIBULL.DIST(COUNTA($AN$93:$AN100),$B$5,$D$3,FALSE),3)</f>
        <v>0</v>
      </c>
      <c r="BA100" s="10">
        <f>ROUND(_xlfn.WEIBULL.DIST(COUNTA($AN$94:$AN100),$B$5,$D$3,FALSE),3)</f>
        <v>0</v>
      </c>
      <c r="BB100" s="10">
        <f>ROUND(_xlfn.WEIBULL.DIST(COUNTA($AN$95:$AN100),$B$5,$D$3,FALSE),3)</f>
        <v>0.11600000000000001</v>
      </c>
      <c r="BC100" s="10">
        <f>ROUND(_xlfn.WEIBULL.DIST(COUNTA($AN$96:$AN100),$B$5,$D$3,FALSE),3)</f>
        <v>0.51500000000000001</v>
      </c>
      <c r="BD100" s="10">
        <f>ROUND(_xlfn.WEIBULL.DIST(COUNTA($AN$97:$AN100),$B$5,$D$3,FALSE),3)</f>
        <v>0.29799999999999999</v>
      </c>
      <c r="BE100" s="10">
        <f>ROUND(_xlfn.WEIBULL.DIST(COUNTA($AN$98:$AN100),$B$5,$D$3,FALSE),3)</f>
        <v>6.4000000000000001E-2</v>
      </c>
      <c r="BF100" s="10">
        <f>ROUND(_xlfn.WEIBULL.DIST(COUNTA($AN$99:$AN100),$B$5,$D$3,FALSE),3)</f>
        <v>6.0000000000000001E-3</v>
      </c>
      <c r="BG100" s="10">
        <f>ROUND(_xlfn.WEIBULL.DIST(COUNTA($AN$100:$AN100),$B$5,$D$3,FALSE),3)</f>
        <v>0</v>
      </c>
      <c r="BH100" s="201">
        <v>0</v>
      </c>
    </row>
    <row r="101" spans="19:60" x14ac:dyDescent="0.3">
      <c r="S101" s="219">
        <v>2040</v>
      </c>
      <c r="T101" s="10">
        <f>ROUND(_xlfn.WEIBULL.DIST(COUNTA($S$82:$S101),$B$5,$C$3,FALSE),3)</f>
        <v>0</v>
      </c>
      <c r="U101" s="10">
        <f>ROUND(_xlfn.WEIBULL.DIST(COUNTA($S$83:$S101),$B$5,$C$3,FALSE),3)</f>
        <v>0</v>
      </c>
      <c r="V101" s="10">
        <f>ROUND(_xlfn.WEIBULL.DIST(COUNTA($S$84:$S101),$B$5,$C$3,FALSE),3)</f>
        <v>0</v>
      </c>
      <c r="W101" s="10">
        <f>ROUND(_xlfn.WEIBULL.DIST(COUNTA($S$85:$S101),$B$5,$C$3,FALSE),3)</f>
        <v>0</v>
      </c>
      <c r="X101" s="10">
        <f>ROUND(_xlfn.WEIBULL.DIST(COUNTA($S$86:$S101),$B$5,$C$3,FALSE),3)</f>
        <v>0</v>
      </c>
      <c r="Y101" s="10">
        <f>ROUND(_xlfn.WEIBULL.DIST(COUNTA($S$87:$S101),$B$5,$C$3,FALSE),3)</f>
        <v>0</v>
      </c>
      <c r="Z101" s="10">
        <f>ROUND(_xlfn.WEIBULL.DIST(COUNTA($S$88:$S101),$B$5,$C$3,FALSE),3)</f>
        <v>0</v>
      </c>
      <c r="AA101" s="10">
        <f>ROUND(_xlfn.WEIBULL.DIST(COUNTA($S$89:$S101),$B$5,$C$3,FALSE),3)</f>
        <v>6.0000000000000001E-3</v>
      </c>
      <c r="AB101" s="10">
        <f>ROUND(_xlfn.WEIBULL.DIST(COUNTA($S$90:$S101),$B$5,$C$3,FALSE),3)</f>
        <v>5.8000000000000003E-2</v>
      </c>
      <c r="AC101" s="10">
        <f>ROUND(_xlfn.WEIBULL.DIST(COUNTA($S$91:$S101),$B$5,$C$3,FALSE),3)</f>
        <v>0.17699999999999999</v>
      </c>
      <c r="AD101" s="10">
        <f>ROUND(_xlfn.WEIBULL.DIST(COUNTA($S$92:$S101),$B$5,$C$3,FALSE),3)</f>
        <v>0.25800000000000001</v>
      </c>
      <c r="AE101" s="10">
        <f>ROUND(_xlfn.WEIBULL.DIST(COUNTA($S$93:$S101),$B$5,$C$3,FALSE),3)</f>
        <v>0.23100000000000001</v>
      </c>
      <c r="AF101" s="10">
        <f>ROUND(_xlfn.WEIBULL.DIST(COUNTA($S$94:$S101),$B$5,$C$3,FALSE),3)</f>
        <v>0.14899999999999999</v>
      </c>
      <c r="AG101" s="10">
        <f>ROUND(_xlfn.WEIBULL.DIST(COUNTA($S$95:$S101),$B$5,$C$3,FALSE),3)</f>
        <v>7.5999999999999998E-2</v>
      </c>
      <c r="AH101" s="10">
        <f>ROUND(_xlfn.WEIBULL.DIST(COUNTA($S$96:$S101),$B$5,$C$3,FALSE),3)</f>
        <v>3.2000000000000001E-2</v>
      </c>
      <c r="AI101" s="10">
        <f>ROUND(_xlfn.WEIBULL.DIST(COUNTA($S$97:$S101),$B$5,$C$3,FALSE),3)</f>
        <v>1.0999999999999999E-2</v>
      </c>
      <c r="AJ101" s="10">
        <f>ROUND(_xlfn.WEIBULL.DIST(COUNTA($S$98:$S101),$B$5,$C$3,FALSE),3)</f>
        <v>3.0000000000000001E-3</v>
      </c>
      <c r="AK101" s="10">
        <f>ROUND(_xlfn.WEIBULL.DIST(COUNTA($S$99:$S101),$B$5,$C$3,FALSE),3)</f>
        <v>1E-3</v>
      </c>
      <c r="AL101" s="10">
        <f>ROUND(_xlfn.WEIBULL.DIST(COUNTA($S$100:$S101),$B$5,$C$3,FALSE),3)</f>
        <v>0</v>
      </c>
      <c r="AM101" s="10">
        <f>ROUND(_xlfn.WEIBULL.DIST(COUNTA($S$101:$S101),$B$5,$C$3,FALSE),3)</f>
        <v>0</v>
      </c>
      <c r="AN101" s="219">
        <v>2040</v>
      </c>
      <c r="AO101" s="10">
        <f t="array" ref="AO101">ROUND(_xlfn.WEIBULL.DIST(COUNTA($AN$82:$AN101),$B$5,$D$3,FALSE),3)</f>
        <v>0</v>
      </c>
      <c r="AP101" s="10">
        <f>ROUND(_xlfn.WEIBULL.DIST(COUNTA($AN$83:$AN101),$B$5,$D$3,FALSE),3)</f>
        <v>0</v>
      </c>
      <c r="AQ101" s="10">
        <f>ROUND(_xlfn.WEIBULL.DIST(COUNTA($AN$84:$AN101),$B$5,$D$3,FALSE),3)</f>
        <v>0</v>
      </c>
      <c r="AR101" s="10">
        <f>ROUND(_xlfn.WEIBULL.DIST(COUNTA($AN$85:$AN101),$B$5,$D$3,FALSE),3)</f>
        <v>0</v>
      </c>
      <c r="AS101" s="10">
        <f>ROUND(_xlfn.WEIBULL.DIST(COUNTA($AN$86:$AN101),$B$5,$D$3,FALSE),3)</f>
        <v>0</v>
      </c>
      <c r="AT101" s="10">
        <f>ROUND(_xlfn.WEIBULL.DIST(COUNTA($AN$87:$AN101),$B$5,$D$3,FALSE),3)</f>
        <v>0</v>
      </c>
      <c r="AU101" s="10">
        <f>ROUND(_xlfn.WEIBULL.DIST(COUNTA($AN$88:$AN101),$B$5,$D$3,FALSE),3)</f>
        <v>0</v>
      </c>
      <c r="AV101" s="10">
        <f>ROUND(_xlfn.WEIBULL.DIST(COUNTA($AN$89:$AN101),$B$5,$D$3,FALSE),3)</f>
        <v>0</v>
      </c>
      <c r="AW101" s="10">
        <f>ROUND(_xlfn.WEIBULL.DIST(COUNTA($AN$90:$AN101),$B$5,$D$3,FALSE),3)</f>
        <v>0</v>
      </c>
      <c r="AX101" s="10">
        <f>ROUND(_xlfn.WEIBULL.DIST(COUNTA($AN$91:$AN101),$B$5,$D$3,FALSE),3)</f>
        <v>0</v>
      </c>
      <c r="AY101" s="10">
        <f>ROUND(_xlfn.WEIBULL.DIST(COUNTA($AN$92:$AN101),$B$5,$D$3,FALSE),3)</f>
        <v>0</v>
      </c>
      <c r="AZ101" s="10">
        <f>ROUND(_xlfn.WEIBULL.DIST(COUNTA($AN$93:$AN101),$B$5,$D$3,FALSE),3)</f>
        <v>0</v>
      </c>
      <c r="BA101" s="10">
        <f>ROUND(_xlfn.WEIBULL.DIST(COUNTA($AN$94:$AN101),$B$5,$D$3,FALSE),3)</f>
        <v>0</v>
      </c>
      <c r="BB101" s="10">
        <f>ROUND(_xlfn.WEIBULL.DIST(COUNTA($AN$95:$AN101),$B$5,$D$3,FALSE),3)</f>
        <v>0</v>
      </c>
      <c r="BC101" s="10">
        <f>ROUND(_xlfn.WEIBULL.DIST(COUNTA($AN$96:$AN101),$B$5,$D$3,FALSE),3)</f>
        <v>0.11600000000000001</v>
      </c>
      <c r="BD101" s="10">
        <f>ROUND(_xlfn.WEIBULL.DIST(COUNTA($AN$97:$AN101),$B$5,$D$3,FALSE),3)</f>
        <v>0.51500000000000001</v>
      </c>
      <c r="BE101" s="10">
        <f>ROUND(_xlfn.WEIBULL.DIST(COUNTA($AN$98:$AN101),$B$5,$D$3,FALSE),3)</f>
        <v>0.29799999999999999</v>
      </c>
      <c r="BF101" s="10">
        <f>ROUND(_xlfn.WEIBULL.DIST(COUNTA($AN$99:$AN101),$B$5,$D$3,FALSE),3)</f>
        <v>6.4000000000000001E-2</v>
      </c>
      <c r="BG101" s="10">
        <f>ROUND(_xlfn.WEIBULL.DIST(COUNTA($AN$100:$AN101),$B$5,$D$3,FALSE),3)</f>
        <v>6.0000000000000001E-3</v>
      </c>
      <c r="BH101" s="10">
        <f>ROUND(_xlfn.WEIBULL.DIST(COUNTA($AN$101:$AN101),$B$5,$D$3,FALSE),3)</f>
        <v>0</v>
      </c>
    </row>
  </sheetData>
  <conditionalFormatting sqref="G10:H29 S10:T29">
    <cfRule type="cellIs" dxfId="2" priority="3" operator="equal">
      <formula>1</formula>
    </cfRule>
  </conditionalFormatting>
  <conditionalFormatting sqref="P10:Q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5FC2-8D85-42C4-93F5-101DAE3496AF}">
  <sheetPr>
    <tabColor theme="5" tint="-0.249977111117893"/>
  </sheetPr>
  <dimension ref="A1:AY77"/>
  <sheetViews>
    <sheetView zoomScale="55" zoomScaleNormal="55" workbookViewId="0">
      <selection activeCell="S11" sqref="S11"/>
    </sheetView>
  </sheetViews>
  <sheetFormatPr defaultRowHeight="14.4" x14ac:dyDescent="0.3"/>
  <cols>
    <col min="1" max="1" width="19.33203125" bestFit="1" customWidth="1"/>
    <col min="13" max="13" width="14.44140625" bestFit="1" customWidth="1"/>
    <col min="14" max="14" width="9.77734375" bestFit="1" customWidth="1"/>
    <col min="19" max="20" width="9.77734375" bestFit="1" customWidth="1"/>
    <col min="22" max="23" width="9.77734375" bestFit="1" customWidth="1"/>
  </cols>
  <sheetData>
    <row r="1" spans="1:30" x14ac:dyDescent="0.3">
      <c r="E1" s="218" t="s">
        <v>126</v>
      </c>
      <c r="F1" s="218" t="s">
        <v>213</v>
      </c>
    </row>
    <row r="2" spans="1:30" x14ac:dyDescent="0.3">
      <c r="A2" s="217" t="s">
        <v>669</v>
      </c>
      <c r="D2" s="10"/>
      <c r="E2" s="10">
        <v>10</v>
      </c>
      <c r="F2" s="10">
        <v>1</v>
      </c>
    </row>
    <row r="8" spans="1:30" x14ac:dyDescent="0.3">
      <c r="A8" s="10" t="s">
        <v>428</v>
      </c>
      <c r="B8" s="10" t="s">
        <v>64</v>
      </c>
      <c r="C8" s="10" t="s">
        <v>45</v>
      </c>
      <c r="D8" s="10"/>
      <c r="E8" s="9">
        <v>0.1</v>
      </c>
      <c r="F8" s="9">
        <v>0.1</v>
      </c>
    </row>
    <row r="9" spans="1:30" x14ac:dyDescent="0.3">
      <c r="A9" s="10" t="s">
        <v>429</v>
      </c>
      <c r="B9" s="10" t="s">
        <v>258</v>
      </c>
      <c r="C9" s="10" t="s">
        <v>46</v>
      </c>
      <c r="D9" s="10"/>
      <c r="E9" s="3">
        <v>600</v>
      </c>
      <c r="F9" s="3">
        <v>1500</v>
      </c>
      <c r="J9" s="198" t="s">
        <v>437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Z9" s="198" t="s">
        <v>439</v>
      </c>
      <c r="AA9" s="9"/>
      <c r="AB9" s="9"/>
      <c r="AC9" s="9"/>
      <c r="AD9" s="9"/>
    </row>
    <row r="10" spans="1:30" x14ac:dyDescent="0.3">
      <c r="J10" s="10" t="s">
        <v>444</v>
      </c>
      <c r="K10" s="10"/>
      <c r="L10" s="10"/>
      <c r="M10" s="10"/>
      <c r="N10" s="10"/>
      <c r="O10" s="10"/>
      <c r="P10" s="221" t="s">
        <v>670</v>
      </c>
      <c r="Q10" s="222"/>
      <c r="R10" s="10"/>
      <c r="S10" s="10" t="s">
        <v>677</v>
      </c>
      <c r="T10" s="10"/>
      <c r="V10" t="s">
        <v>676</v>
      </c>
      <c r="W10" s="10"/>
      <c r="Z10" s="10"/>
      <c r="AA10" s="10"/>
      <c r="AB10" s="10"/>
      <c r="AC10" s="10" t="s">
        <v>451</v>
      </c>
      <c r="AD10" s="10"/>
    </row>
    <row r="11" spans="1:30" x14ac:dyDescent="0.3">
      <c r="J11" s="11" t="s">
        <v>126</v>
      </c>
      <c r="K11" s="11" t="s">
        <v>213</v>
      </c>
      <c r="L11" s="10"/>
      <c r="M11" s="11"/>
      <c r="N11" s="11"/>
      <c r="O11" s="10"/>
      <c r="P11" s="199" t="s">
        <v>126</v>
      </c>
      <c r="Q11" s="220" t="s">
        <v>213</v>
      </c>
      <c r="R11" s="10"/>
      <c r="S11" s="199" t="s">
        <v>126</v>
      </c>
      <c r="T11" s="220" t="s">
        <v>213</v>
      </c>
      <c r="V11" s="199" t="s">
        <v>126</v>
      </c>
      <c r="W11" s="220" t="s">
        <v>213</v>
      </c>
      <c r="Z11" s="11"/>
      <c r="AA11" s="11"/>
      <c r="AB11" s="10"/>
      <c r="AC11" s="11" t="s">
        <v>126</v>
      </c>
      <c r="AD11" s="11" t="s">
        <v>213</v>
      </c>
    </row>
    <row r="12" spans="1:30" x14ac:dyDescent="0.3">
      <c r="H12">
        <v>2011</v>
      </c>
      <c r="J12" s="5"/>
      <c r="K12" s="5"/>
      <c r="M12" s="10"/>
      <c r="N12" s="10"/>
      <c r="P12" s="223"/>
      <c r="Q12" s="224"/>
      <c r="S12" s="1"/>
      <c r="T12" s="1"/>
      <c r="V12" t="e" cm="1">
        <f t="array" ref="V12">MMULT(J22:K41,S22:T41)</f>
        <v>#VALUE!</v>
      </c>
    </row>
    <row r="13" spans="1:30" x14ac:dyDescent="0.3">
      <c r="H13">
        <v>2012</v>
      </c>
      <c r="J13" s="5"/>
      <c r="K13" s="5"/>
      <c r="M13" s="10"/>
      <c r="N13" s="10"/>
      <c r="P13" s="223"/>
      <c r="Q13" s="224"/>
      <c r="S13" s="1"/>
      <c r="T13" s="1"/>
    </row>
    <row r="14" spans="1:30" x14ac:dyDescent="0.3">
      <c r="H14">
        <v>2013</v>
      </c>
      <c r="J14" s="5"/>
      <c r="K14" s="5"/>
      <c r="M14" s="10"/>
      <c r="N14" s="10"/>
      <c r="P14" s="223"/>
      <c r="Q14" s="224"/>
      <c r="S14" s="1"/>
      <c r="T14" s="1"/>
    </row>
    <row r="15" spans="1:30" x14ac:dyDescent="0.3">
      <c r="H15">
        <v>2014</v>
      </c>
      <c r="J15" s="5"/>
      <c r="K15" s="5"/>
      <c r="M15" s="10"/>
      <c r="N15" s="10"/>
      <c r="P15" s="223"/>
      <c r="Q15" s="224"/>
      <c r="S15" s="1"/>
      <c r="T15" s="1"/>
    </row>
    <row r="16" spans="1:30" x14ac:dyDescent="0.3">
      <c r="H16">
        <v>2015</v>
      </c>
      <c r="J16" s="5"/>
      <c r="K16" s="5"/>
      <c r="M16" s="10"/>
      <c r="N16" s="10"/>
      <c r="P16" s="223"/>
      <c r="Q16" s="224"/>
      <c r="S16" s="1"/>
      <c r="T16" s="1"/>
    </row>
    <row r="17" spans="8:30" x14ac:dyDescent="0.3">
      <c r="H17">
        <v>2016</v>
      </c>
      <c r="J17" s="5"/>
      <c r="K17" s="5"/>
      <c r="M17" s="10"/>
      <c r="N17" s="10"/>
      <c r="P17" s="223"/>
      <c r="Q17" s="224"/>
      <c r="S17" s="1"/>
      <c r="T17" s="1"/>
    </row>
    <row r="18" spans="8:30" x14ac:dyDescent="0.3">
      <c r="H18">
        <v>2017</v>
      </c>
      <c r="J18" s="5"/>
      <c r="K18" s="5"/>
      <c r="M18" s="10"/>
      <c r="N18" s="10"/>
      <c r="P18" s="223"/>
      <c r="Q18" s="224"/>
      <c r="S18" s="1"/>
      <c r="T18" s="1"/>
    </row>
    <row r="19" spans="8:30" x14ac:dyDescent="0.3">
      <c r="H19">
        <v>2018</v>
      </c>
      <c r="J19" s="5"/>
      <c r="K19" s="5"/>
      <c r="M19" s="10"/>
      <c r="N19" s="10"/>
      <c r="P19" s="223"/>
      <c r="Q19" s="224"/>
      <c r="S19" s="1"/>
      <c r="T19" s="1"/>
    </row>
    <row r="20" spans="8:30" x14ac:dyDescent="0.3">
      <c r="H20">
        <v>2019</v>
      </c>
      <c r="J20" s="5"/>
      <c r="K20" s="5"/>
      <c r="M20" s="10"/>
      <c r="N20" s="10"/>
      <c r="P20" s="223"/>
      <c r="Q20" s="224"/>
      <c r="S20" s="1"/>
      <c r="T20" s="1"/>
    </row>
    <row r="21" spans="8:30" x14ac:dyDescent="0.3">
      <c r="H21">
        <v>2020</v>
      </c>
      <c r="J21" s="5"/>
      <c r="K21" s="5"/>
      <c r="L21" s="10"/>
      <c r="M21" s="10"/>
      <c r="N21" s="10"/>
      <c r="O21" s="10"/>
      <c r="P21" s="223"/>
      <c r="Q21" s="224"/>
      <c r="R21" s="10"/>
      <c r="S21" s="1"/>
      <c r="T21" s="1"/>
      <c r="V21" s="11"/>
      <c r="W21" s="11"/>
      <c r="Z21" s="11"/>
      <c r="AA21" s="11"/>
      <c r="AB21" s="10"/>
      <c r="AC21" s="11"/>
      <c r="AD21" s="11"/>
    </row>
    <row r="22" spans="8:30" x14ac:dyDescent="0.3">
      <c r="H22">
        <v>2021</v>
      </c>
      <c r="J22" s="5">
        <v>100</v>
      </c>
      <c r="K22" s="5">
        <v>0</v>
      </c>
      <c r="L22" s="10"/>
      <c r="M22" s="10">
        <f>IF(J22&lt;&gt;0,1,0)</f>
        <v>1</v>
      </c>
      <c r="N22" s="10">
        <f>IF(K22&lt;&gt;0,1,0)</f>
        <v>0</v>
      </c>
      <c r="O22" s="10"/>
      <c r="P22" s="223">
        <f>IF(M22=1,$H22-E$2,0)</f>
        <v>2011</v>
      </c>
      <c r="Q22" s="224">
        <f>IF(N22=1,$H22-F$2,0)</f>
        <v>0</v>
      </c>
      <c r="R22" s="10"/>
      <c r="S22" s="1">
        <f t="array" ref="S22:T41">J22:K41*E9:F9</f>
        <v>60000</v>
      </c>
      <c r="T22" s="1">
        <v>0</v>
      </c>
      <c r="V22" s="180"/>
      <c r="W22" s="180"/>
      <c r="Z22" s="27"/>
      <c r="AA22" s="27"/>
      <c r="AB22" s="10"/>
      <c r="AC22" s="27">
        <f t="array" ref="AC22:AD41">MMULT(J22:K41,E9:F9*_xlfn.MUNIT(2))*0.000001</f>
        <v>0.06</v>
      </c>
      <c r="AD22" s="27">
        <v>0</v>
      </c>
    </row>
    <row r="23" spans="8:30" x14ac:dyDescent="0.3">
      <c r="H23">
        <v>2022</v>
      </c>
      <c r="J23" s="5">
        <v>0</v>
      </c>
      <c r="K23" s="5">
        <v>0</v>
      </c>
      <c r="L23" s="10"/>
      <c r="M23" s="10">
        <f t="shared" ref="M23:M41" si="0">IF(J23&lt;&gt;0,1,0)</f>
        <v>0</v>
      </c>
      <c r="N23" s="10">
        <f t="shared" ref="N23:N41" si="1">IF(K23&lt;&gt;0,1,0)</f>
        <v>0</v>
      </c>
      <c r="O23" s="10"/>
      <c r="P23" s="223">
        <f t="shared" ref="P23:P40" si="2">IF(M23=1,$H23-E$2,0)</f>
        <v>0</v>
      </c>
      <c r="Q23" s="224">
        <f t="shared" ref="Q23:Q40" si="3">IF(N23=1,$H23-F$2,0)</f>
        <v>0</v>
      </c>
      <c r="R23" s="10"/>
      <c r="S23" s="1">
        <v>0</v>
      </c>
      <c r="T23" s="1">
        <v>0</v>
      </c>
      <c r="V23" s="180"/>
      <c r="W23" s="180"/>
      <c r="Z23" s="27"/>
      <c r="AA23" s="27"/>
      <c r="AB23" s="10"/>
      <c r="AC23" s="27">
        <v>0</v>
      </c>
      <c r="AD23" s="27">
        <v>0</v>
      </c>
    </row>
    <row r="24" spans="8:30" x14ac:dyDescent="0.3">
      <c r="H24">
        <v>2023</v>
      </c>
      <c r="J24" s="5">
        <v>0</v>
      </c>
      <c r="K24" s="5">
        <v>0</v>
      </c>
      <c r="L24" s="10"/>
      <c r="M24" s="10">
        <f t="shared" si="0"/>
        <v>0</v>
      </c>
      <c r="N24" s="10">
        <f t="shared" si="1"/>
        <v>0</v>
      </c>
      <c r="O24" s="10"/>
      <c r="P24" s="223">
        <f t="shared" si="2"/>
        <v>0</v>
      </c>
      <c r="Q24" s="224">
        <f t="shared" si="3"/>
        <v>0</v>
      </c>
      <c r="R24" s="10"/>
      <c r="S24" s="1">
        <v>0</v>
      </c>
      <c r="T24" s="1">
        <v>0</v>
      </c>
      <c r="V24" s="180"/>
      <c r="W24" s="180"/>
      <c r="Z24" s="27"/>
      <c r="AA24" s="27"/>
      <c r="AB24" s="10"/>
      <c r="AC24" s="27">
        <v>0</v>
      </c>
      <c r="AD24" s="27">
        <v>0</v>
      </c>
    </row>
    <row r="25" spans="8:30" x14ac:dyDescent="0.3">
      <c r="H25">
        <v>2024</v>
      </c>
      <c r="J25" s="5">
        <v>0</v>
      </c>
      <c r="K25" s="5">
        <v>300</v>
      </c>
      <c r="L25" s="10"/>
      <c r="M25" s="10">
        <f t="shared" si="0"/>
        <v>0</v>
      </c>
      <c r="N25" s="10">
        <f t="shared" si="1"/>
        <v>1</v>
      </c>
      <c r="O25" s="10"/>
      <c r="P25" s="223">
        <f t="shared" si="2"/>
        <v>0</v>
      </c>
      <c r="Q25" s="224">
        <f t="shared" si="3"/>
        <v>2023</v>
      </c>
      <c r="R25" s="10"/>
      <c r="S25" s="1">
        <v>0</v>
      </c>
      <c r="T25" s="1">
        <v>450000</v>
      </c>
      <c r="V25" s="180"/>
      <c r="W25" s="180"/>
      <c r="Z25" s="27"/>
      <c r="AA25" s="27"/>
      <c r="AB25" s="10"/>
      <c r="AC25" s="27">
        <v>0</v>
      </c>
      <c r="AD25" s="27">
        <v>0.44999999999999996</v>
      </c>
    </row>
    <row r="26" spans="8:30" x14ac:dyDescent="0.3">
      <c r="H26">
        <v>2025</v>
      </c>
      <c r="J26" s="5">
        <v>0</v>
      </c>
      <c r="K26" s="5">
        <v>0</v>
      </c>
      <c r="L26" s="10"/>
      <c r="M26" s="10">
        <f t="shared" si="0"/>
        <v>0</v>
      </c>
      <c r="N26" s="10">
        <f t="shared" si="1"/>
        <v>0</v>
      </c>
      <c r="O26" s="10"/>
      <c r="P26" s="223">
        <f t="shared" si="2"/>
        <v>0</v>
      </c>
      <c r="Q26" s="224">
        <f t="shared" si="3"/>
        <v>0</v>
      </c>
      <c r="R26" s="10"/>
      <c r="S26" s="1">
        <v>0</v>
      </c>
      <c r="T26" s="1">
        <v>0</v>
      </c>
      <c r="V26" s="180"/>
      <c r="W26" s="180"/>
      <c r="Z26" s="27"/>
      <c r="AA26" s="27"/>
      <c r="AB26" s="10"/>
      <c r="AC26" s="27">
        <v>0</v>
      </c>
      <c r="AD26" s="27">
        <v>0</v>
      </c>
    </row>
    <row r="27" spans="8:30" x14ac:dyDescent="0.3">
      <c r="H27">
        <v>2026</v>
      </c>
      <c r="J27" s="5">
        <v>50</v>
      </c>
      <c r="K27" s="5">
        <v>0</v>
      </c>
      <c r="L27" s="10"/>
      <c r="M27" s="10">
        <f t="shared" si="0"/>
        <v>1</v>
      </c>
      <c r="N27" s="10">
        <f t="shared" si="1"/>
        <v>0</v>
      </c>
      <c r="O27" s="10"/>
      <c r="P27" s="223">
        <f t="shared" si="2"/>
        <v>2016</v>
      </c>
      <c r="Q27" s="224">
        <f t="shared" si="3"/>
        <v>0</v>
      </c>
      <c r="R27" s="10"/>
      <c r="S27" s="1">
        <v>30000</v>
      </c>
      <c r="T27" s="1">
        <v>0</v>
      </c>
      <c r="V27" s="180"/>
      <c r="W27" s="180"/>
      <c r="Z27" s="27"/>
      <c r="AA27" s="27"/>
      <c r="AB27" s="10"/>
      <c r="AC27" s="27">
        <v>0.03</v>
      </c>
      <c r="AD27" s="27">
        <v>0</v>
      </c>
    </row>
    <row r="28" spans="8:30" x14ac:dyDescent="0.3">
      <c r="H28">
        <v>2027</v>
      </c>
      <c r="J28" s="5">
        <v>0</v>
      </c>
      <c r="K28" s="5">
        <v>0</v>
      </c>
      <c r="L28" s="10"/>
      <c r="M28" s="10">
        <f t="shared" si="0"/>
        <v>0</v>
      </c>
      <c r="N28" s="10">
        <f t="shared" si="1"/>
        <v>0</v>
      </c>
      <c r="O28" s="10"/>
      <c r="P28" s="223">
        <f t="shared" si="2"/>
        <v>0</v>
      </c>
      <c r="Q28" s="224">
        <f t="shared" si="3"/>
        <v>0</v>
      </c>
      <c r="R28" s="10"/>
      <c r="S28" s="1">
        <v>0</v>
      </c>
      <c r="T28" s="1">
        <v>0</v>
      </c>
      <c r="V28" s="180"/>
      <c r="W28" s="180"/>
      <c r="Z28" s="27"/>
      <c r="AA28" s="27"/>
      <c r="AB28" s="10"/>
      <c r="AC28" s="27">
        <v>0</v>
      </c>
      <c r="AD28" s="27">
        <v>0</v>
      </c>
    </row>
    <row r="29" spans="8:30" x14ac:dyDescent="0.3">
      <c r="H29">
        <v>2028</v>
      </c>
      <c r="J29" s="5">
        <v>0</v>
      </c>
      <c r="K29" s="5">
        <v>0</v>
      </c>
      <c r="L29" s="10"/>
      <c r="M29" s="10">
        <f t="shared" si="0"/>
        <v>0</v>
      </c>
      <c r="N29" s="10">
        <f t="shared" si="1"/>
        <v>0</v>
      </c>
      <c r="O29" s="10"/>
      <c r="P29" s="223">
        <f t="shared" si="2"/>
        <v>0</v>
      </c>
      <c r="Q29" s="224">
        <f t="shared" si="3"/>
        <v>0</v>
      </c>
      <c r="R29" s="10"/>
      <c r="S29" s="1">
        <v>0</v>
      </c>
      <c r="T29" s="1">
        <v>0</v>
      </c>
      <c r="V29" s="180"/>
      <c r="W29" s="180"/>
      <c r="Z29" s="27"/>
      <c r="AA29" s="27"/>
      <c r="AB29" s="10"/>
      <c r="AC29" s="27">
        <v>0</v>
      </c>
      <c r="AD29" s="27">
        <v>0</v>
      </c>
    </row>
    <row r="30" spans="8:30" x14ac:dyDescent="0.3">
      <c r="H30">
        <v>2029</v>
      </c>
      <c r="J30" s="5">
        <v>0</v>
      </c>
      <c r="K30" s="5">
        <v>100</v>
      </c>
      <c r="L30" s="10"/>
      <c r="M30" s="10">
        <f t="shared" si="0"/>
        <v>0</v>
      </c>
      <c r="N30" s="10">
        <f t="shared" si="1"/>
        <v>1</v>
      </c>
      <c r="O30" s="10"/>
      <c r="P30" s="223">
        <f t="shared" si="2"/>
        <v>0</v>
      </c>
      <c r="Q30" s="224">
        <f t="shared" si="3"/>
        <v>2028</v>
      </c>
      <c r="R30" s="10"/>
      <c r="S30" s="1">
        <v>0</v>
      </c>
      <c r="T30" s="1">
        <v>150000</v>
      </c>
      <c r="V30" s="180"/>
      <c r="W30" s="180"/>
      <c r="Z30" s="27"/>
      <c r="AA30" s="27"/>
      <c r="AB30" s="10"/>
      <c r="AC30" s="27">
        <v>0</v>
      </c>
      <c r="AD30" s="27">
        <v>0.15</v>
      </c>
    </row>
    <row r="31" spans="8:30" x14ac:dyDescent="0.3">
      <c r="H31">
        <v>2030</v>
      </c>
      <c r="J31" s="5">
        <v>0</v>
      </c>
      <c r="K31" s="5">
        <v>0</v>
      </c>
      <c r="L31" s="10"/>
      <c r="M31" s="10">
        <f t="shared" si="0"/>
        <v>0</v>
      </c>
      <c r="N31" s="10">
        <f t="shared" si="1"/>
        <v>0</v>
      </c>
      <c r="O31" s="10"/>
      <c r="P31" s="223">
        <f t="shared" si="2"/>
        <v>0</v>
      </c>
      <c r="Q31" s="224">
        <f t="shared" si="3"/>
        <v>0</v>
      </c>
      <c r="R31" s="10"/>
      <c r="S31" s="1">
        <v>0</v>
      </c>
      <c r="T31" s="1">
        <v>0</v>
      </c>
      <c r="V31" s="180"/>
      <c r="W31" s="180"/>
      <c r="Z31" s="27"/>
      <c r="AA31" s="27"/>
      <c r="AB31" s="10"/>
      <c r="AC31" s="27">
        <v>0</v>
      </c>
      <c r="AD31" s="27">
        <v>0</v>
      </c>
    </row>
    <row r="32" spans="8:30" x14ac:dyDescent="0.3">
      <c r="H32">
        <v>2031</v>
      </c>
      <c r="J32" s="5">
        <v>0</v>
      </c>
      <c r="K32" s="5">
        <v>0</v>
      </c>
      <c r="L32" s="10"/>
      <c r="M32" s="10">
        <f t="shared" si="0"/>
        <v>0</v>
      </c>
      <c r="N32" s="10">
        <f t="shared" si="1"/>
        <v>0</v>
      </c>
      <c r="O32" s="10"/>
      <c r="P32" s="223">
        <f t="shared" si="2"/>
        <v>0</v>
      </c>
      <c r="Q32" s="224">
        <f t="shared" si="3"/>
        <v>0</v>
      </c>
      <c r="R32" s="10"/>
      <c r="S32" s="1">
        <v>0</v>
      </c>
      <c r="T32" s="1">
        <v>0</v>
      </c>
      <c r="V32" s="180"/>
      <c r="W32" s="180"/>
      <c r="Z32" s="27"/>
      <c r="AA32" s="27"/>
      <c r="AB32" s="10"/>
      <c r="AC32" s="27">
        <v>0</v>
      </c>
      <c r="AD32" s="27">
        <v>0</v>
      </c>
    </row>
    <row r="33" spans="8:51" x14ac:dyDescent="0.3">
      <c r="H33">
        <v>2032</v>
      </c>
      <c r="J33" s="5">
        <v>0</v>
      </c>
      <c r="K33" s="5">
        <v>0</v>
      </c>
      <c r="L33" s="10"/>
      <c r="M33" s="10">
        <f t="shared" si="0"/>
        <v>0</v>
      </c>
      <c r="N33" s="10">
        <f t="shared" si="1"/>
        <v>0</v>
      </c>
      <c r="O33" s="10"/>
      <c r="P33" s="223">
        <f t="shared" si="2"/>
        <v>0</v>
      </c>
      <c r="Q33" s="224">
        <f t="shared" si="3"/>
        <v>0</v>
      </c>
      <c r="R33" s="10"/>
      <c r="S33" s="1">
        <v>0</v>
      </c>
      <c r="T33" s="1">
        <v>0</v>
      </c>
      <c r="V33" s="180"/>
      <c r="W33" s="180"/>
      <c r="Z33" s="27"/>
      <c r="AA33" s="27"/>
      <c r="AB33" s="10"/>
      <c r="AC33" s="27">
        <v>0</v>
      </c>
      <c r="AD33" s="27">
        <v>0</v>
      </c>
    </row>
    <row r="34" spans="8:51" x14ac:dyDescent="0.3">
      <c r="H34">
        <v>2033</v>
      </c>
      <c r="J34" s="5">
        <v>0</v>
      </c>
      <c r="K34" s="5">
        <v>0</v>
      </c>
      <c r="L34" s="10"/>
      <c r="M34" s="10">
        <f t="shared" si="0"/>
        <v>0</v>
      </c>
      <c r="N34" s="10">
        <f t="shared" si="1"/>
        <v>0</v>
      </c>
      <c r="O34" s="10"/>
      <c r="P34" s="223">
        <f t="shared" si="2"/>
        <v>0</v>
      </c>
      <c r="Q34" s="224">
        <f t="shared" si="3"/>
        <v>0</v>
      </c>
      <c r="R34" s="10"/>
      <c r="S34" s="1">
        <v>0</v>
      </c>
      <c r="T34" s="1">
        <v>0</v>
      </c>
      <c r="V34" s="180"/>
      <c r="W34" s="180"/>
      <c r="Z34" s="27"/>
      <c r="AA34" s="27"/>
      <c r="AB34" s="10"/>
      <c r="AC34" s="27">
        <v>0</v>
      </c>
      <c r="AD34" s="27">
        <v>0</v>
      </c>
    </row>
    <row r="35" spans="8:51" x14ac:dyDescent="0.3">
      <c r="H35">
        <v>2034</v>
      </c>
      <c r="J35" s="5">
        <v>0</v>
      </c>
      <c r="K35" s="5">
        <v>0</v>
      </c>
      <c r="L35" s="10"/>
      <c r="M35" s="10">
        <f t="shared" si="0"/>
        <v>0</v>
      </c>
      <c r="N35" s="10">
        <f t="shared" si="1"/>
        <v>0</v>
      </c>
      <c r="O35" s="10"/>
      <c r="P35" s="223">
        <f t="shared" si="2"/>
        <v>0</v>
      </c>
      <c r="Q35" s="224">
        <f t="shared" si="3"/>
        <v>0</v>
      </c>
      <c r="R35" s="10"/>
      <c r="S35" s="1">
        <v>0</v>
      </c>
      <c r="T35" s="1">
        <v>0</v>
      </c>
      <c r="V35" s="180"/>
      <c r="W35" s="180"/>
      <c r="Z35" s="27"/>
      <c r="AA35" s="27"/>
      <c r="AB35" s="10"/>
      <c r="AC35" s="27">
        <v>0</v>
      </c>
      <c r="AD35" s="27">
        <v>0</v>
      </c>
    </row>
    <row r="36" spans="8:51" x14ac:dyDescent="0.3">
      <c r="H36">
        <v>2035</v>
      </c>
      <c r="J36" s="5">
        <v>0</v>
      </c>
      <c r="K36" s="5">
        <v>100</v>
      </c>
      <c r="L36" s="10"/>
      <c r="M36" s="10">
        <f t="shared" si="0"/>
        <v>0</v>
      </c>
      <c r="N36" s="10">
        <f t="shared" si="1"/>
        <v>1</v>
      </c>
      <c r="O36" s="10"/>
      <c r="P36" s="223">
        <f t="shared" si="2"/>
        <v>0</v>
      </c>
      <c r="Q36" s="224">
        <f t="shared" si="3"/>
        <v>2034</v>
      </c>
      <c r="R36" s="10"/>
      <c r="S36" s="1">
        <v>0</v>
      </c>
      <c r="T36" s="1">
        <v>150000</v>
      </c>
      <c r="V36" s="180"/>
      <c r="W36" s="180"/>
      <c r="Z36" s="27"/>
      <c r="AA36" s="27"/>
      <c r="AB36" s="10"/>
      <c r="AC36" s="27">
        <v>0</v>
      </c>
      <c r="AD36" s="27">
        <v>0.15</v>
      </c>
    </row>
    <row r="37" spans="8:51" x14ac:dyDescent="0.3">
      <c r="H37">
        <v>2036</v>
      </c>
      <c r="J37" s="5">
        <v>0</v>
      </c>
      <c r="K37" s="5">
        <v>0</v>
      </c>
      <c r="L37" s="10"/>
      <c r="M37" s="10">
        <f t="shared" si="0"/>
        <v>0</v>
      </c>
      <c r="N37" s="10">
        <f t="shared" si="1"/>
        <v>0</v>
      </c>
      <c r="O37" s="10"/>
      <c r="P37" s="223">
        <f t="shared" si="2"/>
        <v>0</v>
      </c>
      <c r="Q37" s="224">
        <f t="shared" si="3"/>
        <v>0</v>
      </c>
      <c r="R37" s="10"/>
      <c r="S37" s="1">
        <v>0</v>
      </c>
      <c r="T37" s="1">
        <v>0</v>
      </c>
      <c r="V37" s="180"/>
      <c r="W37" s="180"/>
      <c r="Z37" s="27"/>
      <c r="AA37" s="27"/>
      <c r="AB37" s="10"/>
      <c r="AC37" s="27">
        <v>0</v>
      </c>
      <c r="AD37" s="27">
        <v>0</v>
      </c>
    </row>
    <row r="38" spans="8:51" x14ac:dyDescent="0.3">
      <c r="H38">
        <v>2037</v>
      </c>
      <c r="J38" s="5">
        <v>0</v>
      </c>
      <c r="K38" s="5">
        <v>0</v>
      </c>
      <c r="L38" s="10"/>
      <c r="M38" s="10">
        <f t="shared" si="0"/>
        <v>0</v>
      </c>
      <c r="N38" s="10">
        <f t="shared" si="1"/>
        <v>0</v>
      </c>
      <c r="O38" s="10"/>
      <c r="P38" s="223">
        <f t="shared" si="2"/>
        <v>0</v>
      </c>
      <c r="Q38" s="224">
        <f t="shared" si="3"/>
        <v>0</v>
      </c>
      <c r="R38" s="10"/>
      <c r="S38" s="1">
        <v>0</v>
      </c>
      <c r="T38" s="1">
        <v>0</v>
      </c>
      <c r="V38" s="180"/>
      <c r="W38" s="180"/>
      <c r="Z38" s="27"/>
      <c r="AA38" s="27"/>
      <c r="AB38" s="10"/>
      <c r="AC38" s="27">
        <v>0</v>
      </c>
      <c r="AD38" s="27">
        <v>0</v>
      </c>
    </row>
    <row r="39" spans="8:51" x14ac:dyDescent="0.3">
      <c r="H39">
        <v>2038</v>
      </c>
      <c r="J39" s="5">
        <v>200</v>
      </c>
      <c r="K39" s="5">
        <v>0</v>
      </c>
      <c r="L39" s="10"/>
      <c r="M39" s="10">
        <f t="shared" si="0"/>
        <v>1</v>
      </c>
      <c r="N39" s="10">
        <f t="shared" si="1"/>
        <v>0</v>
      </c>
      <c r="O39" s="10"/>
      <c r="P39" s="223">
        <f t="shared" si="2"/>
        <v>2028</v>
      </c>
      <c r="Q39" s="224">
        <f t="shared" si="3"/>
        <v>0</v>
      </c>
      <c r="R39" s="10"/>
      <c r="S39" s="1">
        <v>120000</v>
      </c>
      <c r="T39" s="1">
        <v>0</v>
      </c>
      <c r="V39" s="180"/>
      <c r="W39" s="180"/>
      <c r="Z39" s="27"/>
      <c r="AA39" s="27"/>
      <c r="AB39" s="10"/>
      <c r="AC39" s="27">
        <v>0.12</v>
      </c>
      <c r="AD39" s="27">
        <v>0</v>
      </c>
    </row>
    <row r="40" spans="8:51" x14ac:dyDescent="0.3">
      <c r="H40">
        <v>2039</v>
      </c>
      <c r="J40" s="5">
        <v>0</v>
      </c>
      <c r="K40" s="5">
        <v>0</v>
      </c>
      <c r="L40" s="10"/>
      <c r="M40" s="10">
        <f t="shared" si="0"/>
        <v>0</v>
      </c>
      <c r="N40" s="10">
        <f t="shared" si="1"/>
        <v>0</v>
      </c>
      <c r="O40" s="10"/>
      <c r="P40" s="223">
        <f t="shared" si="2"/>
        <v>0</v>
      </c>
      <c r="Q40" s="224">
        <f t="shared" si="3"/>
        <v>0</v>
      </c>
      <c r="R40" s="10"/>
      <c r="S40" s="1">
        <v>0</v>
      </c>
      <c r="T40" s="1">
        <v>0</v>
      </c>
      <c r="V40" s="180"/>
      <c r="W40" s="180"/>
      <c r="Z40" s="27"/>
      <c r="AA40" s="27"/>
      <c r="AB40" s="10"/>
      <c r="AC40" s="27">
        <v>0</v>
      </c>
      <c r="AD40" s="27">
        <v>0</v>
      </c>
    </row>
    <row r="41" spans="8:51" x14ac:dyDescent="0.3">
      <c r="H41">
        <v>2040</v>
      </c>
      <c r="J41" s="5">
        <v>0</v>
      </c>
      <c r="K41" s="5">
        <v>0</v>
      </c>
      <c r="L41" s="10"/>
      <c r="M41" s="10">
        <f t="shared" si="0"/>
        <v>0</v>
      </c>
      <c r="N41" s="10">
        <f t="shared" si="1"/>
        <v>0</v>
      </c>
      <c r="O41" s="10"/>
      <c r="P41" s="225">
        <f>IF(M41=1,$H41-E$2,0)</f>
        <v>0</v>
      </c>
      <c r="Q41" s="226">
        <f>IF(N41=1,$H41-F$2,0)</f>
        <v>0</v>
      </c>
      <c r="R41" s="10"/>
      <c r="S41" s="1">
        <v>0</v>
      </c>
      <c r="T41" s="1">
        <v>0</v>
      </c>
      <c r="V41" s="180"/>
      <c r="W41" s="180"/>
      <c r="Z41" s="27"/>
      <c r="AA41" s="27"/>
      <c r="AB41" s="10"/>
      <c r="AC41" s="27">
        <v>0</v>
      </c>
      <c r="AD41" s="27">
        <v>0</v>
      </c>
    </row>
    <row r="45" spans="8:51" x14ac:dyDescent="0.3">
      <c r="H45" s="193" t="s">
        <v>675</v>
      </c>
      <c r="AE45" s="193" t="s">
        <v>675</v>
      </c>
    </row>
    <row r="46" spans="8:51" x14ac:dyDescent="0.3">
      <c r="H46" s="218" t="s">
        <v>126</v>
      </c>
      <c r="AE46" s="218" t="s">
        <v>127</v>
      </c>
    </row>
    <row r="47" spans="8:51" x14ac:dyDescent="0.3">
      <c r="I47" s="227">
        <v>1</v>
      </c>
      <c r="J47" s="227">
        <v>2</v>
      </c>
      <c r="K47" s="227">
        <v>3</v>
      </c>
      <c r="L47" s="227">
        <v>4</v>
      </c>
      <c r="M47" s="227">
        <v>5</v>
      </c>
      <c r="N47" s="227">
        <v>6</v>
      </c>
      <c r="O47" s="227">
        <v>7</v>
      </c>
      <c r="P47" s="227">
        <v>8</v>
      </c>
      <c r="Q47" s="227">
        <v>9</v>
      </c>
      <c r="R47" s="227">
        <v>10</v>
      </c>
      <c r="S47" s="227">
        <v>11</v>
      </c>
      <c r="T47" s="227">
        <v>12</v>
      </c>
      <c r="U47" s="227">
        <v>13</v>
      </c>
      <c r="V47" s="227">
        <v>14</v>
      </c>
      <c r="W47" s="227">
        <v>15</v>
      </c>
      <c r="X47" s="227">
        <v>16</v>
      </c>
      <c r="Y47" s="227">
        <v>17</v>
      </c>
      <c r="Z47" s="227">
        <v>18</v>
      </c>
      <c r="AA47" s="227">
        <v>19</v>
      </c>
      <c r="AB47" s="227">
        <v>20</v>
      </c>
      <c r="AF47" s="227">
        <v>1</v>
      </c>
      <c r="AG47" s="227">
        <v>2</v>
      </c>
      <c r="AH47" s="227">
        <v>3</v>
      </c>
      <c r="AI47" s="227">
        <v>4</v>
      </c>
      <c r="AJ47" s="227">
        <v>5</v>
      </c>
      <c r="AK47" s="227">
        <v>6</v>
      </c>
      <c r="AL47" s="227">
        <v>7</v>
      </c>
      <c r="AM47" s="227">
        <v>8</v>
      </c>
      <c r="AN47" s="227">
        <v>9</v>
      </c>
      <c r="AO47" s="227">
        <v>10</v>
      </c>
      <c r="AP47" s="227">
        <v>11</v>
      </c>
      <c r="AQ47" s="227">
        <v>12</v>
      </c>
      <c r="AR47" s="227">
        <v>13</v>
      </c>
      <c r="AS47" s="227">
        <v>14</v>
      </c>
      <c r="AT47" s="227">
        <v>15</v>
      </c>
      <c r="AU47" s="227">
        <v>16</v>
      </c>
      <c r="AV47" s="227">
        <v>17</v>
      </c>
      <c r="AW47" s="227">
        <v>18</v>
      </c>
      <c r="AX47" s="227">
        <v>19</v>
      </c>
      <c r="AY47" s="227">
        <v>20</v>
      </c>
    </row>
    <row r="48" spans="8:51" x14ac:dyDescent="0.3">
      <c r="H48" s="219">
        <v>2011</v>
      </c>
      <c r="I48" s="1" cm="1">
        <f t="array" aca="1" ref="I48" ca="1">IF(AND(INDIRECT("$M$" &amp; (11+I$47)) = 1, $H48 = (INDIRECT("$P$" &amp; (11+I$47)))), $E$9,0)</f>
        <v>0</v>
      </c>
      <c r="J48" s="1" cm="1">
        <f t="array" aca="1" ref="J48" ca="1">IF(AND(INDIRECT("$M$" &amp; (11+J$47)) = 1, $H48 = (INDIRECT("$P$" &amp; (11+J$47)))), $E$9,0)</f>
        <v>0</v>
      </c>
      <c r="K48" s="1" cm="1">
        <f t="array" aca="1" ref="K48" ca="1">IF(AND(INDIRECT("$M$" &amp; (11+K$47)) = 1, $H48 = (INDIRECT("$P$" &amp; (11+K$47)))), $E$9,0)</f>
        <v>0</v>
      </c>
      <c r="L48" s="1" cm="1">
        <f t="array" aca="1" ref="L48" ca="1">IF(AND(INDIRECT("$M$" &amp; (11+L$47)) = 1, $H48 = (INDIRECT("$P$" &amp; (11+L$47)))), $E$9,0)</f>
        <v>0</v>
      </c>
      <c r="M48" s="1" cm="1">
        <f t="array" aca="1" ref="M48" ca="1">IF(AND(INDIRECT("$M$" &amp; (11+M$47)) = 1, $H48 = (INDIRECT("$P$" &amp; (11+M$47)))), $E$9,0)</f>
        <v>0</v>
      </c>
      <c r="N48" s="1" cm="1">
        <f t="array" aca="1" ref="N48" ca="1">IF(AND(INDIRECT("$M$" &amp; (11+N$47)) = 1, $H48 = (INDIRECT("$P$" &amp; (11+N$47)))), $E$9,0)</f>
        <v>0</v>
      </c>
      <c r="O48" s="1" cm="1">
        <f t="array" aca="1" ref="O48" ca="1">IF(AND(INDIRECT("$M$" &amp; (11+O$47)) = 1, $H48 = (INDIRECT("$P$" &amp; (11+O$47)))), $E$9,0)</f>
        <v>0</v>
      </c>
      <c r="P48" s="1" cm="1">
        <f t="array" aca="1" ref="P48" ca="1">IF(AND(INDIRECT("$M$" &amp; (11+P$47)) = 1, $H48 = (INDIRECT("$P$" &amp; (11+P$47)))), $E$9,0)</f>
        <v>0</v>
      </c>
      <c r="Q48" s="1" cm="1">
        <f t="array" aca="1" ref="Q48" ca="1">IF(AND(INDIRECT("$M$" &amp; (11+Q$47)) = 1, $H48 = (INDIRECT("$P$" &amp; (11+Q$47)))), $E$9,0)</f>
        <v>0</v>
      </c>
      <c r="R48" s="1" cm="1">
        <f t="array" aca="1" ref="R48" ca="1">IF(AND(INDIRECT("$M$" &amp; (11+R$47)) = 1, $H48 = (INDIRECT("$P$" &amp; (11+R$47)))), $E$9,0)</f>
        <v>0</v>
      </c>
      <c r="S48" s="1" cm="1">
        <f t="array" aca="1" ref="S48" ca="1">IF(AND(INDIRECT("$M$" &amp; (11+S$47)) = 1, $H48 = (INDIRECT("$P$" &amp; (11+S$47)))), $E$9,0)</f>
        <v>600</v>
      </c>
      <c r="T48" s="1" cm="1">
        <f t="array" aca="1" ref="T48" ca="1">IF(AND(INDIRECT("$M$" &amp; (11+T$47)) = 1, $H48 = (INDIRECT("$P$" &amp; (11+T$47)))), $E$9,0)</f>
        <v>0</v>
      </c>
      <c r="U48" s="1" cm="1">
        <f t="array" aca="1" ref="U48" ca="1">IF(AND(INDIRECT("$M$" &amp; (11+U$47)) = 1, $H48 = (INDIRECT("$P$" &amp; (11+U$47)))), $E$9,0)</f>
        <v>0</v>
      </c>
      <c r="V48" s="1" cm="1">
        <f t="array" aca="1" ref="V48" ca="1">IF(AND(INDIRECT("$M$" &amp; (11+V$47)) = 1, $H48 = (INDIRECT("$P$" &amp; (11+V$47)))), $E$9,0)</f>
        <v>0</v>
      </c>
      <c r="W48" s="1" cm="1">
        <f t="array" aca="1" ref="W48" ca="1">IF(AND(INDIRECT("$M$" &amp; (11+W$47)) = 1, $H48 = (INDIRECT("$P$" &amp; (11+W$47)))), $E$9,0)</f>
        <v>0</v>
      </c>
      <c r="X48" s="1" cm="1">
        <f t="array" aca="1" ref="X48" ca="1">IF(AND(INDIRECT("$M$" &amp; (11+X$47)) = 1, $H48 = (INDIRECT("$P$" &amp; (11+X$47)))), $E$9,0)</f>
        <v>0</v>
      </c>
      <c r="Y48" s="1" cm="1">
        <f t="array" aca="1" ref="Y48" ca="1">IF(AND(INDIRECT("$M$" &amp; (11+Y$47)) = 1, $H48 = (INDIRECT("$P$" &amp; (11+Y$47)))), $E$9,0)</f>
        <v>0</v>
      </c>
      <c r="Z48" s="1" cm="1">
        <f t="array" aca="1" ref="Z48" ca="1">IF(AND(INDIRECT("$M$" &amp; (11+Z$47)) = 1, $H48 = (INDIRECT("$P$" &amp; (11+Z$47)))), $E$9,0)</f>
        <v>0</v>
      </c>
      <c r="AA48" s="1" cm="1">
        <f t="array" aca="1" ref="AA48" ca="1">IF(AND(INDIRECT("$M$" &amp; (11+AA$47)) = 1, $H48 = (INDIRECT("$P$" &amp; (11+AA$47)))), $E$9,0)</f>
        <v>0</v>
      </c>
      <c r="AB48" s="1" cm="1">
        <f t="array" aca="1" ref="AB48" ca="1">IF(AND(INDIRECT("$M$" &amp; (11+AB$47)) = 1, $H48 = (INDIRECT("$P$" &amp; (11+AB$47)))), $E$9,0)</f>
        <v>0</v>
      </c>
      <c r="AE48" s="219">
        <v>2011</v>
      </c>
      <c r="AF48" s="1" cm="1">
        <f t="array" aca="1" ref="AF48" ca="1">IF(AND(INDIRECT("$N$" &amp; (11+AF$47)) = 1, $AE48 = (INDIRECT("$Q$" &amp; (11+AF$47)))), $F$9,0)</f>
        <v>0</v>
      </c>
      <c r="AG48" s="1" cm="1">
        <f t="array" aca="1" ref="AG48" ca="1">IF(AND(INDIRECT("$N$" &amp; (11+AG$47)) = 1, $AE48 = (INDIRECT("$Q$" &amp; (11+AG$47)))), $F$9,0)</f>
        <v>0</v>
      </c>
      <c r="AH48" s="1" cm="1">
        <f t="array" aca="1" ref="AH48" ca="1">IF(AND(INDIRECT("$N$" &amp; (11+AH$47)) = 1, $AE48 = (INDIRECT("$Q$" &amp; (11+AH$47)))), $F$9,0)</f>
        <v>0</v>
      </c>
      <c r="AI48" s="1" cm="1">
        <f t="array" aca="1" ref="AI48" ca="1">IF(AND(INDIRECT("$N$" &amp; (11+AI$47)) = 1, $AE48 = (INDIRECT("$Q$" &amp; (11+AI$47)))), $F$9,0)</f>
        <v>0</v>
      </c>
      <c r="AJ48" s="1" cm="1">
        <f t="array" aca="1" ref="AJ48" ca="1">IF(AND(INDIRECT("$N$" &amp; (11+AJ$47)) = 1, $AE48 = (INDIRECT("$Q$" &amp; (11+AJ$47)))), $F$9,0)</f>
        <v>0</v>
      </c>
      <c r="AK48" s="1" cm="1">
        <f t="array" aca="1" ref="AK48" ca="1">IF(AND(INDIRECT("$N$" &amp; (11+AK$47)) = 1, $AE48 = (INDIRECT("$Q$" &amp; (11+AK$47)))), $F$9,0)</f>
        <v>0</v>
      </c>
      <c r="AL48" s="1" cm="1">
        <f t="array" aca="1" ref="AL48" ca="1">IF(AND(INDIRECT("$N$" &amp; (11+AL$47)) = 1, $AE48 = (INDIRECT("$Q$" &amp; (11+AL$47)))), $F$9,0)</f>
        <v>0</v>
      </c>
      <c r="AM48" s="1" cm="1">
        <f t="array" aca="1" ref="AM48" ca="1">IF(AND(INDIRECT("$N$" &amp; (11+AM$47)) = 1, $AE48 = (INDIRECT("$Q$" &amp; (11+AM$47)))), $F$9,0)</f>
        <v>0</v>
      </c>
      <c r="AN48" s="1" cm="1">
        <f t="array" aca="1" ref="AN48" ca="1">IF(AND(INDIRECT("$N$" &amp; (11+AN$47)) = 1, $AE48 = (INDIRECT("$Q$" &amp; (11+AN$47)))), $F$9,0)</f>
        <v>0</v>
      </c>
      <c r="AO48" s="1" cm="1">
        <f t="array" aca="1" ref="AO48" ca="1">IF(AND(INDIRECT("$N$" &amp; (11+AO$47)) = 1, $AE48 = (INDIRECT("$Q$" &amp; (11+AO$47)))), $F$9,0)</f>
        <v>0</v>
      </c>
      <c r="AP48" s="1" cm="1">
        <f t="array" aca="1" ref="AP48" ca="1">IF(AND(INDIRECT("$N$" &amp; (11+AP$47)) = 1, $AE48 = (INDIRECT("$Q$" &amp; (11+AP$47)))), $F$9,0)</f>
        <v>0</v>
      </c>
      <c r="AQ48" s="1" cm="1">
        <f t="array" aca="1" ref="AQ48" ca="1">IF(AND(INDIRECT("$N$" &amp; (11+AQ$47)) = 1, $AE48 = (INDIRECT("$Q$" &amp; (11+AQ$47)))), $F$9,0)</f>
        <v>0</v>
      </c>
      <c r="AR48" s="1" cm="1">
        <f t="array" aca="1" ref="AR48" ca="1">IF(AND(INDIRECT("$N$" &amp; (11+AR$47)) = 1, $AE48 = (INDIRECT("$Q$" &amp; (11+AR$47)))), $F$9,0)</f>
        <v>0</v>
      </c>
      <c r="AS48" s="1" cm="1">
        <f t="array" aca="1" ref="AS48" ca="1">IF(AND(INDIRECT("$N$" &amp; (11+AS$47)) = 1, $AE48 = (INDIRECT("$Q$" &amp; (11+AS$47)))), $F$9,0)</f>
        <v>0</v>
      </c>
      <c r="AT48" s="1" cm="1">
        <f t="array" aca="1" ref="AT48" ca="1">IF(AND(INDIRECT("$N$" &amp; (11+AT$47)) = 1, $AE48 = (INDIRECT("$Q$" &amp; (11+AT$47)))), $F$9,0)</f>
        <v>0</v>
      </c>
      <c r="AU48" s="1" cm="1">
        <f t="array" aca="1" ref="AU48" ca="1">IF(AND(INDIRECT("$N$" &amp; (11+AU$47)) = 1, $AE48 = (INDIRECT("$Q$" &amp; (11+AU$47)))), $F$9,0)</f>
        <v>0</v>
      </c>
      <c r="AV48" s="1" cm="1">
        <f t="array" aca="1" ref="AV48" ca="1">IF(AND(INDIRECT("$N$" &amp; (11+AV$47)) = 1, $AE48 = (INDIRECT("$Q$" &amp; (11+AV$47)))), $F$9,0)</f>
        <v>0</v>
      </c>
      <c r="AW48" s="1" cm="1">
        <f t="array" aca="1" ref="AW48" ca="1">IF(AND(INDIRECT("$N$" &amp; (11+AW$47)) = 1, $AE48 = (INDIRECT("$Q$" &amp; (11+AW$47)))), $F$9,0)</f>
        <v>0</v>
      </c>
      <c r="AX48" s="1" cm="1">
        <f t="array" aca="1" ref="AX48" ca="1">IF(AND(INDIRECT("$N$" &amp; (11+AX$47)) = 1, $AE48 = (INDIRECT("$Q$" &amp; (11+AX$47)))), $F$9,0)</f>
        <v>0</v>
      </c>
      <c r="AY48" s="1" cm="1">
        <f t="array" aca="1" ref="AY48" ca="1">IF(AND(INDIRECT("$N$" &amp; (11+AY$47)) = 1, $AE48 = (INDIRECT("$Q$" &amp; (11+AY$47)))), $F$9,0)</f>
        <v>0</v>
      </c>
    </row>
    <row r="49" spans="8:51" x14ac:dyDescent="0.3">
      <c r="H49" s="219">
        <v>2012</v>
      </c>
      <c r="I49" s="1" cm="1">
        <f t="array" aca="1" ref="I49" ca="1">IF(AND(INDIRECT("$M$" &amp; (11+I$47)) = 1, $H49 = (INDIRECT("$P$" &amp; (11+I$47)))), $E$9,0)</f>
        <v>0</v>
      </c>
      <c r="J49" s="1" cm="1">
        <f t="array" aca="1" ref="J49" ca="1">IF(AND(INDIRECT("$M$" &amp; (11+J$47)) = 1, $H49 = (INDIRECT("$P$" &amp; (11+J$47)))), $E$9,0)</f>
        <v>0</v>
      </c>
      <c r="K49" s="1" cm="1">
        <f t="array" aca="1" ref="K49" ca="1">IF(AND(INDIRECT("$M$" &amp; (11+K$47)) = 1, $H49 = (INDIRECT("$P$" &amp; (11+K$47)))), $E$9,0)</f>
        <v>0</v>
      </c>
      <c r="L49" s="1" cm="1">
        <f t="array" aca="1" ref="L49" ca="1">IF(AND(INDIRECT("$M$" &amp; (11+L$47)) = 1, $H49 = (INDIRECT("$P$" &amp; (11+L$47)))), $E$9,0)</f>
        <v>0</v>
      </c>
      <c r="M49" s="1" cm="1">
        <f t="array" aca="1" ref="M49" ca="1">IF(AND(INDIRECT("$M$" &amp; (11+M$47)) = 1, $H49 = (INDIRECT("$P$" &amp; (11+M$47)))), $E$9,0)</f>
        <v>0</v>
      </c>
      <c r="N49" s="1" cm="1">
        <f t="array" aca="1" ref="N49" ca="1">IF(AND(INDIRECT("$M$" &amp; (11+N$47)) = 1, $H49 = (INDIRECT("$P$" &amp; (11+N$47)))), $E$9,0)</f>
        <v>0</v>
      </c>
      <c r="O49" s="1" cm="1">
        <f t="array" aca="1" ref="O49" ca="1">IF(AND(INDIRECT("$M$" &amp; (11+O$47)) = 1, $H49 = (INDIRECT("$P$" &amp; (11+O$47)))), $E$9,0)</f>
        <v>0</v>
      </c>
      <c r="P49" s="1" cm="1">
        <f t="array" aca="1" ref="P49" ca="1">IF(AND(INDIRECT("$M$" &amp; (11+P$47)) = 1, $H49 = (INDIRECT("$P$" &amp; (11+P$47)))), $E$9,0)</f>
        <v>0</v>
      </c>
      <c r="Q49" s="1" cm="1">
        <f t="array" aca="1" ref="Q49" ca="1">IF(AND(INDIRECT("$M$" &amp; (11+Q$47)) = 1, $H49 = (INDIRECT("$P$" &amp; (11+Q$47)))), $E$9,0)</f>
        <v>0</v>
      </c>
      <c r="R49" s="1" cm="1">
        <f t="array" aca="1" ref="R49" ca="1">IF(AND(INDIRECT("$M$" &amp; (11+R$47)) = 1, $H49 = (INDIRECT("$P$" &amp; (11+R$47)))), $E$9,0)</f>
        <v>0</v>
      </c>
      <c r="S49" s="1" cm="1">
        <f t="array" aca="1" ref="S49" ca="1">IF(AND(INDIRECT("$M$" &amp; (11+S$47)) = 1, $H49 = (INDIRECT("$P$" &amp; (11+S$47)))), $E$9,0)</f>
        <v>0</v>
      </c>
      <c r="T49" s="1" cm="1">
        <f t="array" aca="1" ref="T49" ca="1">IF(AND(INDIRECT("$M$" &amp; (11+T$47)) = 1, $H49 = (INDIRECT("$P$" &amp; (11+T$47)))), $E$9,0)</f>
        <v>0</v>
      </c>
      <c r="U49" s="1" cm="1">
        <f t="array" aca="1" ref="U49" ca="1">IF(AND(INDIRECT("$M$" &amp; (11+U$47)) = 1, $H49 = (INDIRECT("$P$" &amp; (11+U$47)))), $E$9,0)</f>
        <v>0</v>
      </c>
      <c r="V49" s="1" cm="1">
        <f t="array" aca="1" ref="V49" ca="1">IF(AND(INDIRECT("$M$" &amp; (11+V$47)) = 1, $H49 = (INDIRECT("$P$" &amp; (11+V$47)))), $E$9,0)</f>
        <v>0</v>
      </c>
      <c r="W49" s="1" cm="1">
        <f t="array" aca="1" ref="W49" ca="1">IF(AND(INDIRECT("$M$" &amp; (11+W$47)) = 1, $H49 = (INDIRECT("$P$" &amp; (11+W$47)))), $E$9,0)</f>
        <v>0</v>
      </c>
      <c r="X49" s="1" cm="1">
        <f t="array" aca="1" ref="X49" ca="1">IF(AND(INDIRECT("$M$" &amp; (11+X$47)) = 1, $H49 = (INDIRECT("$P$" &amp; (11+X$47)))), $E$9,0)</f>
        <v>0</v>
      </c>
      <c r="Y49" s="1" cm="1">
        <f t="array" aca="1" ref="Y49" ca="1">IF(AND(INDIRECT("$M$" &amp; (11+Y$47)) = 1, $H49 = (INDIRECT("$P$" &amp; (11+Y$47)))), $E$9,0)</f>
        <v>0</v>
      </c>
      <c r="Z49" s="1" cm="1">
        <f t="array" aca="1" ref="Z49" ca="1">IF(AND(INDIRECT("$M$" &amp; (11+Z$47)) = 1, $H49 = (INDIRECT("$P$" &amp; (11+Z$47)))), $E$9,0)</f>
        <v>0</v>
      </c>
      <c r="AA49" s="1" cm="1">
        <f t="array" aca="1" ref="AA49" ca="1">IF(AND(INDIRECT("$M$" &amp; (11+AA$47)) = 1, $H49 = (INDIRECT("$P$" &amp; (11+AA$47)))), $E$9,0)</f>
        <v>0</v>
      </c>
      <c r="AB49" s="1" cm="1">
        <f t="array" aca="1" ref="AB49" ca="1">IF(AND(INDIRECT("$M$" &amp; (11+AB$47)) = 1, $H49 = (INDIRECT("$P$" &amp; (11+AB$47)))), $E$9,0)</f>
        <v>0</v>
      </c>
      <c r="AE49" s="219">
        <v>2012</v>
      </c>
      <c r="AF49" s="1" cm="1">
        <f t="array" aca="1" ref="AF49" ca="1">IF(AND(INDIRECT("$N$" &amp; (11+AF$47)) = 1, $AE49 = (INDIRECT("$Q$" &amp; (11+AF$47)))), $F$9,0)</f>
        <v>0</v>
      </c>
      <c r="AG49" s="1" cm="1">
        <f t="array" aca="1" ref="AG49" ca="1">IF(AND(INDIRECT("$N$" &amp; (11+AG$47)) = 1, $AE49 = (INDIRECT("$Q$" &amp; (11+AG$47)))), $F$9,0)</f>
        <v>0</v>
      </c>
      <c r="AH49" s="1" cm="1">
        <f t="array" aca="1" ref="AH49" ca="1">IF(AND(INDIRECT("$N$" &amp; (11+AH$47)) = 1, $AE49 = (INDIRECT("$Q$" &amp; (11+AH$47)))), $F$9,0)</f>
        <v>0</v>
      </c>
      <c r="AI49" s="1" cm="1">
        <f t="array" aca="1" ref="AI49" ca="1">IF(AND(INDIRECT("$N$" &amp; (11+AI$47)) = 1, $AE49 = (INDIRECT("$Q$" &amp; (11+AI$47)))), $F$9,0)</f>
        <v>0</v>
      </c>
      <c r="AJ49" s="1" cm="1">
        <f t="array" aca="1" ref="AJ49" ca="1">IF(AND(INDIRECT("$N$" &amp; (11+AJ$47)) = 1, $AE49 = (INDIRECT("$Q$" &amp; (11+AJ$47)))), $F$9,0)</f>
        <v>0</v>
      </c>
      <c r="AK49" s="1" cm="1">
        <f t="array" aca="1" ref="AK49" ca="1">IF(AND(INDIRECT("$N$" &amp; (11+AK$47)) = 1, $AE49 = (INDIRECT("$Q$" &amp; (11+AK$47)))), $F$9,0)</f>
        <v>0</v>
      </c>
      <c r="AL49" s="1" cm="1">
        <f t="array" aca="1" ref="AL49" ca="1">IF(AND(INDIRECT("$N$" &amp; (11+AL$47)) = 1, $AE49 = (INDIRECT("$Q$" &amp; (11+AL$47)))), $F$9,0)</f>
        <v>0</v>
      </c>
      <c r="AM49" s="1" cm="1">
        <f t="array" aca="1" ref="AM49" ca="1">IF(AND(INDIRECT("$N$" &amp; (11+AM$47)) = 1, $AE49 = (INDIRECT("$Q$" &amp; (11+AM$47)))), $F$9,0)</f>
        <v>0</v>
      </c>
      <c r="AN49" s="1" cm="1">
        <f t="array" aca="1" ref="AN49" ca="1">IF(AND(INDIRECT("$N$" &amp; (11+AN$47)) = 1, $AE49 = (INDIRECT("$Q$" &amp; (11+AN$47)))), $F$9,0)</f>
        <v>0</v>
      </c>
      <c r="AO49" s="1" cm="1">
        <f t="array" aca="1" ref="AO49" ca="1">IF(AND(INDIRECT("$N$" &amp; (11+AO$47)) = 1, $AE49 = (INDIRECT("$Q$" &amp; (11+AO$47)))), $F$9,0)</f>
        <v>0</v>
      </c>
      <c r="AP49" s="1" cm="1">
        <f t="array" aca="1" ref="AP49" ca="1">IF(AND(INDIRECT("$N$" &amp; (11+AP$47)) = 1, $AE49 = (INDIRECT("$Q$" &amp; (11+AP$47)))), $F$9,0)</f>
        <v>0</v>
      </c>
      <c r="AQ49" s="1" cm="1">
        <f t="array" aca="1" ref="AQ49" ca="1">IF(AND(INDIRECT("$N$" &amp; (11+AQ$47)) = 1, $AE49 = (INDIRECT("$Q$" &amp; (11+AQ$47)))), $F$9,0)</f>
        <v>0</v>
      </c>
      <c r="AR49" s="1" cm="1">
        <f t="array" aca="1" ref="AR49" ca="1">IF(AND(INDIRECT("$N$" &amp; (11+AR$47)) = 1, $AE49 = (INDIRECT("$Q$" &amp; (11+AR$47)))), $F$9,0)</f>
        <v>0</v>
      </c>
      <c r="AS49" s="1" cm="1">
        <f t="array" aca="1" ref="AS49" ca="1">IF(AND(INDIRECT("$N$" &amp; (11+AS$47)) = 1, $AE49 = (INDIRECT("$Q$" &amp; (11+AS$47)))), $F$9,0)</f>
        <v>0</v>
      </c>
      <c r="AT49" s="1" cm="1">
        <f t="array" aca="1" ref="AT49" ca="1">IF(AND(INDIRECT("$N$" &amp; (11+AT$47)) = 1, $AE49 = (INDIRECT("$Q$" &amp; (11+AT$47)))), $F$9,0)</f>
        <v>0</v>
      </c>
      <c r="AU49" s="1" cm="1">
        <f t="array" aca="1" ref="AU49" ca="1">IF(AND(INDIRECT("$N$" &amp; (11+AU$47)) = 1, $AE49 = (INDIRECT("$Q$" &amp; (11+AU$47)))), $F$9,0)</f>
        <v>0</v>
      </c>
      <c r="AV49" s="1" cm="1">
        <f t="array" aca="1" ref="AV49" ca="1">IF(AND(INDIRECT("$N$" &amp; (11+AV$47)) = 1, $AE49 = (INDIRECT("$Q$" &amp; (11+AV$47)))), $F$9,0)</f>
        <v>0</v>
      </c>
      <c r="AW49" s="1" cm="1">
        <f t="array" aca="1" ref="AW49" ca="1">IF(AND(INDIRECT("$N$" &amp; (11+AW$47)) = 1, $AE49 = (INDIRECT("$Q$" &amp; (11+AW$47)))), $F$9,0)</f>
        <v>0</v>
      </c>
      <c r="AX49" s="1" cm="1">
        <f t="array" aca="1" ref="AX49" ca="1">IF(AND(INDIRECT("$N$" &amp; (11+AX$47)) = 1, $AE49 = (INDIRECT("$Q$" &amp; (11+AX$47)))), $F$9,0)</f>
        <v>0</v>
      </c>
      <c r="AY49" s="1" cm="1">
        <f t="array" aca="1" ref="AY49" ca="1">IF(AND(INDIRECT("$N$" &amp; (11+AY$47)) = 1, $AE49 = (INDIRECT("$Q$" &amp; (11+AY$47)))), $F$9,0)</f>
        <v>0</v>
      </c>
    </row>
    <row r="50" spans="8:51" x14ac:dyDescent="0.3">
      <c r="H50" s="219">
        <v>2013</v>
      </c>
      <c r="I50" s="1" cm="1">
        <f t="array" aca="1" ref="I50" ca="1">IF(AND(INDIRECT("$M$" &amp; (11+I$47)) = 1, $H50 = (INDIRECT("$P$" &amp; (11+I$47)))), $E$9,0)</f>
        <v>0</v>
      </c>
      <c r="J50" s="1" cm="1">
        <f t="array" aca="1" ref="J50" ca="1">IF(AND(INDIRECT("$M$" &amp; (11+J$47)) = 1, $H50 = (INDIRECT("$P$" &amp; (11+J$47)))), $E$9,0)</f>
        <v>0</v>
      </c>
      <c r="K50" s="1" cm="1">
        <f t="array" aca="1" ref="K50" ca="1">IF(AND(INDIRECT("$M$" &amp; (11+K$47)) = 1, $H50 = (INDIRECT("$P$" &amp; (11+K$47)))), $E$9,0)</f>
        <v>0</v>
      </c>
      <c r="L50" s="1" cm="1">
        <f t="array" aca="1" ref="L50" ca="1">IF(AND(INDIRECT("$M$" &amp; (11+L$47)) = 1, $H50 = (INDIRECT("$P$" &amp; (11+L$47)))), $E$9,0)</f>
        <v>0</v>
      </c>
      <c r="M50" s="1" cm="1">
        <f t="array" aca="1" ref="M50" ca="1">IF(AND(INDIRECT("$M$" &amp; (11+M$47)) = 1, $H50 = (INDIRECT("$P$" &amp; (11+M$47)))), $E$9,0)</f>
        <v>0</v>
      </c>
      <c r="N50" s="1" cm="1">
        <f t="array" aca="1" ref="N50" ca="1">IF(AND(INDIRECT("$M$" &amp; (11+N$47)) = 1, $H50 = (INDIRECT("$P$" &amp; (11+N$47)))), $E$9,0)</f>
        <v>0</v>
      </c>
      <c r="O50" s="1" cm="1">
        <f t="array" aca="1" ref="O50" ca="1">IF(AND(INDIRECT("$M$" &amp; (11+O$47)) = 1, $H50 = (INDIRECT("$P$" &amp; (11+O$47)))), $E$9,0)</f>
        <v>0</v>
      </c>
      <c r="P50" s="1" cm="1">
        <f t="array" aca="1" ref="P50" ca="1">IF(AND(INDIRECT("$M$" &amp; (11+P$47)) = 1, $H50 = (INDIRECT("$P$" &amp; (11+P$47)))), $E$9,0)</f>
        <v>0</v>
      </c>
      <c r="Q50" s="1" cm="1">
        <f t="array" aca="1" ref="Q50" ca="1">IF(AND(INDIRECT("$M$" &amp; (11+Q$47)) = 1, $H50 = (INDIRECT("$P$" &amp; (11+Q$47)))), $E$9,0)</f>
        <v>0</v>
      </c>
      <c r="R50" s="1" cm="1">
        <f t="array" aca="1" ref="R50" ca="1">IF(AND(INDIRECT("$M$" &amp; (11+R$47)) = 1, $H50 = (INDIRECT("$P$" &amp; (11+R$47)))), $E$9,0)</f>
        <v>0</v>
      </c>
      <c r="S50" s="1" cm="1">
        <f t="array" aca="1" ref="S50" ca="1">IF(AND(INDIRECT("$M$" &amp; (11+S$47)) = 1, $H50 = (INDIRECT("$P$" &amp; (11+S$47)))), $E$9,0)</f>
        <v>0</v>
      </c>
      <c r="T50" s="1" cm="1">
        <f t="array" aca="1" ref="T50" ca="1">IF(AND(INDIRECT("$M$" &amp; (11+T$47)) = 1, $H50 = (INDIRECT("$P$" &amp; (11+T$47)))), $E$9,0)</f>
        <v>0</v>
      </c>
      <c r="U50" s="1" cm="1">
        <f t="array" aca="1" ref="U50" ca="1">IF(AND(INDIRECT("$M$" &amp; (11+U$47)) = 1, $H50 = (INDIRECT("$P$" &amp; (11+U$47)))), $E$9,0)</f>
        <v>0</v>
      </c>
      <c r="V50" s="1" cm="1">
        <f t="array" aca="1" ref="V50" ca="1">IF(AND(INDIRECT("$M$" &amp; (11+V$47)) = 1, $H50 = (INDIRECT("$P$" &amp; (11+V$47)))), $E$9,0)</f>
        <v>0</v>
      </c>
      <c r="W50" s="1" cm="1">
        <f t="array" aca="1" ref="W50" ca="1">IF(AND(INDIRECT("$M$" &amp; (11+W$47)) = 1, $H50 = (INDIRECT("$P$" &amp; (11+W$47)))), $E$9,0)</f>
        <v>0</v>
      </c>
      <c r="X50" s="1" cm="1">
        <f t="array" aca="1" ref="X50" ca="1">IF(AND(INDIRECT("$M$" &amp; (11+X$47)) = 1, $H50 = (INDIRECT("$P$" &amp; (11+X$47)))), $E$9,0)</f>
        <v>0</v>
      </c>
      <c r="Y50" s="1" cm="1">
        <f t="array" aca="1" ref="Y50" ca="1">IF(AND(INDIRECT("$M$" &amp; (11+Y$47)) = 1, $H50 = (INDIRECT("$P$" &amp; (11+Y$47)))), $E$9,0)</f>
        <v>0</v>
      </c>
      <c r="Z50" s="1" cm="1">
        <f t="array" aca="1" ref="Z50" ca="1">IF(AND(INDIRECT("$M$" &amp; (11+Z$47)) = 1, $H50 = (INDIRECT("$P$" &amp; (11+Z$47)))), $E$9,0)</f>
        <v>0</v>
      </c>
      <c r="AA50" s="1" cm="1">
        <f t="array" aca="1" ref="AA50" ca="1">IF(AND(INDIRECT("$M$" &amp; (11+AA$47)) = 1, $H50 = (INDIRECT("$P$" &amp; (11+AA$47)))), $E$9,0)</f>
        <v>0</v>
      </c>
      <c r="AB50" s="1" cm="1">
        <f t="array" aca="1" ref="AB50" ca="1">IF(AND(INDIRECT("$M$" &amp; (11+AB$47)) = 1, $H50 = (INDIRECT("$P$" &amp; (11+AB$47)))), $E$9,0)</f>
        <v>0</v>
      </c>
      <c r="AE50" s="219">
        <v>2013</v>
      </c>
      <c r="AF50" s="1" cm="1">
        <f t="array" aca="1" ref="AF50" ca="1">IF(AND(INDIRECT("$N$" &amp; (11+AF$47)) = 1, $AE50 = (INDIRECT("$Q$" &amp; (11+AF$47)))), $F$9,0)</f>
        <v>0</v>
      </c>
      <c r="AG50" s="1" cm="1">
        <f t="array" aca="1" ref="AG50" ca="1">IF(AND(INDIRECT("$N$" &amp; (11+AG$47)) = 1, $AE50 = (INDIRECT("$Q$" &amp; (11+AG$47)))), $F$9,0)</f>
        <v>0</v>
      </c>
      <c r="AH50" s="1" cm="1">
        <f t="array" aca="1" ref="AH50" ca="1">IF(AND(INDIRECT("$N$" &amp; (11+AH$47)) = 1, $AE50 = (INDIRECT("$Q$" &amp; (11+AH$47)))), $F$9,0)</f>
        <v>0</v>
      </c>
      <c r="AI50" s="1" cm="1">
        <f t="array" aca="1" ref="AI50" ca="1">IF(AND(INDIRECT("$N$" &amp; (11+AI$47)) = 1, $AE50 = (INDIRECT("$Q$" &amp; (11+AI$47)))), $F$9,0)</f>
        <v>0</v>
      </c>
      <c r="AJ50" s="1" cm="1">
        <f t="array" aca="1" ref="AJ50" ca="1">IF(AND(INDIRECT("$N$" &amp; (11+AJ$47)) = 1, $AE50 = (INDIRECT("$Q$" &amp; (11+AJ$47)))), $F$9,0)</f>
        <v>0</v>
      </c>
      <c r="AK50" s="1" cm="1">
        <f t="array" aca="1" ref="AK50" ca="1">IF(AND(INDIRECT("$N$" &amp; (11+AK$47)) = 1, $AE50 = (INDIRECT("$Q$" &amp; (11+AK$47)))), $F$9,0)</f>
        <v>0</v>
      </c>
      <c r="AL50" s="1" cm="1">
        <f t="array" aca="1" ref="AL50" ca="1">IF(AND(INDIRECT("$N$" &amp; (11+AL$47)) = 1, $AE50 = (INDIRECT("$Q$" &amp; (11+AL$47)))), $F$9,0)</f>
        <v>0</v>
      </c>
      <c r="AM50" s="1" cm="1">
        <f t="array" aca="1" ref="AM50" ca="1">IF(AND(INDIRECT("$N$" &amp; (11+AM$47)) = 1, $AE50 = (INDIRECT("$Q$" &amp; (11+AM$47)))), $F$9,0)</f>
        <v>0</v>
      </c>
      <c r="AN50" s="1" cm="1">
        <f t="array" aca="1" ref="AN50" ca="1">IF(AND(INDIRECT("$N$" &amp; (11+AN$47)) = 1, $AE50 = (INDIRECT("$Q$" &amp; (11+AN$47)))), $F$9,0)</f>
        <v>0</v>
      </c>
      <c r="AO50" s="1" cm="1">
        <f t="array" aca="1" ref="AO50" ca="1">IF(AND(INDIRECT("$N$" &amp; (11+AO$47)) = 1, $AE50 = (INDIRECT("$Q$" &amp; (11+AO$47)))), $F$9,0)</f>
        <v>0</v>
      </c>
      <c r="AP50" s="1" cm="1">
        <f t="array" aca="1" ref="AP50" ca="1">IF(AND(INDIRECT("$N$" &amp; (11+AP$47)) = 1, $AE50 = (INDIRECT("$Q$" &amp; (11+AP$47)))), $F$9,0)</f>
        <v>0</v>
      </c>
      <c r="AQ50" s="1" cm="1">
        <f t="array" aca="1" ref="AQ50" ca="1">IF(AND(INDIRECT("$N$" &amp; (11+AQ$47)) = 1, $AE50 = (INDIRECT("$Q$" &amp; (11+AQ$47)))), $F$9,0)</f>
        <v>0</v>
      </c>
      <c r="AR50" s="1" cm="1">
        <f t="array" aca="1" ref="AR50" ca="1">IF(AND(INDIRECT("$N$" &amp; (11+AR$47)) = 1, $AE50 = (INDIRECT("$Q$" &amp; (11+AR$47)))), $F$9,0)</f>
        <v>0</v>
      </c>
      <c r="AS50" s="1" cm="1">
        <f t="array" aca="1" ref="AS50" ca="1">IF(AND(INDIRECT("$N$" &amp; (11+AS$47)) = 1, $AE50 = (INDIRECT("$Q$" &amp; (11+AS$47)))), $F$9,0)</f>
        <v>0</v>
      </c>
      <c r="AT50" s="1" cm="1">
        <f t="array" aca="1" ref="AT50" ca="1">IF(AND(INDIRECT("$N$" &amp; (11+AT$47)) = 1, $AE50 = (INDIRECT("$Q$" &amp; (11+AT$47)))), $F$9,0)</f>
        <v>0</v>
      </c>
      <c r="AU50" s="1" cm="1">
        <f t="array" aca="1" ref="AU50" ca="1">IF(AND(INDIRECT("$N$" &amp; (11+AU$47)) = 1, $AE50 = (INDIRECT("$Q$" &amp; (11+AU$47)))), $F$9,0)</f>
        <v>0</v>
      </c>
      <c r="AV50" s="1" cm="1">
        <f t="array" aca="1" ref="AV50" ca="1">IF(AND(INDIRECT("$N$" &amp; (11+AV$47)) = 1, $AE50 = (INDIRECT("$Q$" &amp; (11+AV$47)))), $F$9,0)</f>
        <v>0</v>
      </c>
      <c r="AW50" s="1" cm="1">
        <f t="array" aca="1" ref="AW50" ca="1">IF(AND(INDIRECT("$N$" &amp; (11+AW$47)) = 1, $AE50 = (INDIRECT("$Q$" &amp; (11+AW$47)))), $F$9,0)</f>
        <v>0</v>
      </c>
      <c r="AX50" s="1" cm="1">
        <f t="array" aca="1" ref="AX50" ca="1">IF(AND(INDIRECT("$N$" &amp; (11+AX$47)) = 1, $AE50 = (INDIRECT("$Q$" &amp; (11+AX$47)))), $F$9,0)</f>
        <v>0</v>
      </c>
      <c r="AY50" s="1" cm="1">
        <f t="array" aca="1" ref="AY50" ca="1">IF(AND(INDIRECT("$N$" &amp; (11+AY$47)) = 1, $AE50 = (INDIRECT("$Q$" &amp; (11+AY$47)))), $F$9,0)</f>
        <v>0</v>
      </c>
    </row>
    <row r="51" spans="8:51" x14ac:dyDescent="0.3">
      <c r="H51" s="219">
        <v>2014</v>
      </c>
      <c r="I51" s="1" cm="1">
        <f t="array" aca="1" ref="I51" ca="1">IF(AND(INDIRECT("$M$" &amp; (11+I$47)) = 1, $H51 = (INDIRECT("$P$" &amp; (11+I$47)))), $E$9,0)</f>
        <v>0</v>
      </c>
      <c r="J51" s="1" cm="1">
        <f t="array" aca="1" ref="J51" ca="1">IF(AND(INDIRECT("$M$" &amp; (11+J$47)) = 1, $H51 = (INDIRECT("$P$" &amp; (11+J$47)))), $E$9,0)</f>
        <v>0</v>
      </c>
      <c r="K51" s="1" cm="1">
        <f t="array" aca="1" ref="K51" ca="1">IF(AND(INDIRECT("$M$" &amp; (11+K$47)) = 1, $H51 = (INDIRECT("$P$" &amp; (11+K$47)))), $E$9,0)</f>
        <v>0</v>
      </c>
      <c r="L51" s="1" cm="1">
        <f t="array" aca="1" ref="L51" ca="1">IF(AND(INDIRECT("$M$" &amp; (11+L$47)) = 1, $H51 = (INDIRECT("$P$" &amp; (11+L$47)))), $E$9,0)</f>
        <v>0</v>
      </c>
      <c r="M51" s="1" cm="1">
        <f t="array" aca="1" ref="M51" ca="1">IF(AND(INDIRECT("$M$" &amp; (11+M$47)) = 1, $H51 = (INDIRECT("$P$" &amp; (11+M$47)))), $E$9,0)</f>
        <v>0</v>
      </c>
      <c r="N51" s="1" cm="1">
        <f t="array" aca="1" ref="N51" ca="1">IF(AND(INDIRECT("$M$" &amp; (11+N$47)) = 1, $H51 = (INDIRECT("$P$" &amp; (11+N$47)))), $E$9,0)</f>
        <v>0</v>
      </c>
      <c r="O51" s="1" cm="1">
        <f t="array" aca="1" ref="O51" ca="1">IF(AND(INDIRECT("$M$" &amp; (11+O$47)) = 1, $H51 = (INDIRECT("$P$" &amp; (11+O$47)))), $E$9,0)</f>
        <v>0</v>
      </c>
      <c r="P51" s="1" cm="1">
        <f t="array" aca="1" ref="P51" ca="1">IF(AND(INDIRECT("$M$" &amp; (11+P$47)) = 1, $H51 = (INDIRECT("$P$" &amp; (11+P$47)))), $E$9,0)</f>
        <v>0</v>
      </c>
      <c r="Q51" s="1" cm="1">
        <f t="array" aca="1" ref="Q51" ca="1">IF(AND(INDIRECT("$M$" &amp; (11+Q$47)) = 1, $H51 = (INDIRECT("$P$" &amp; (11+Q$47)))), $E$9,0)</f>
        <v>0</v>
      </c>
      <c r="R51" s="1" cm="1">
        <f t="array" aca="1" ref="R51" ca="1">IF(AND(INDIRECT("$M$" &amp; (11+R$47)) = 1, $H51 = (INDIRECT("$P$" &amp; (11+R$47)))), $E$9,0)</f>
        <v>0</v>
      </c>
      <c r="S51" s="1" cm="1">
        <f t="array" aca="1" ref="S51" ca="1">IF(AND(INDIRECT("$M$" &amp; (11+S$47)) = 1, $H51 = (INDIRECT("$P$" &amp; (11+S$47)))), $E$9,0)</f>
        <v>0</v>
      </c>
      <c r="T51" s="1" cm="1">
        <f t="array" aca="1" ref="T51" ca="1">IF(AND(INDIRECT("$M$" &amp; (11+T$47)) = 1, $H51 = (INDIRECT("$P$" &amp; (11+T$47)))), $E$9,0)</f>
        <v>0</v>
      </c>
      <c r="U51" s="1" cm="1">
        <f t="array" aca="1" ref="U51" ca="1">IF(AND(INDIRECT("$M$" &amp; (11+U$47)) = 1, $H51 = (INDIRECT("$P$" &amp; (11+U$47)))), $E$9,0)</f>
        <v>0</v>
      </c>
      <c r="V51" s="1" cm="1">
        <f t="array" aca="1" ref="V51" ca="1">IF(AND(INDIRECT("$M$" &amp; (11+V$47)) = 1, $H51 = (INDIRECT("$P$" &amp; (11+V$47)))), $E$9,0)</f>
        <v>0</v>
      </c>
      <c r="W51" s="1" cm="1">
        <f t="array" aca="1" ref="W51" ca="1">IF(AND(INDIRECT("$M$" &amp; (11+W$47)) = 1, $H51 = (INDIRECT("$P$" &amp; (11+W$47)))), $E$9,0)</f>
        <v>0</v>
      </c>
      <c r="X51" s="1" cm="1">
        <f t="array" aca="1" ref="X51" ca="1">IF(AND(INDIRECT("$M$" &amp; (11+X$47)) = 1, $H51 = (INDIRECT("$P$" &amp; (11+X$47)))), $E$9,0)</f>
        <v>0</v>
      </c>
      <c r="Y51" s="1" cm="1">
        <f t="array" aca="1" ref="Y51" ca="1">IF(AND(INDIRECT("$M$" &amp; (11+Y$47)) = 1, $H51 = (INDIRECT("$P$" &amp; (11+Y$47)))), $E$9,0)</f>
        <v>0</v>
      </c>
      <c r="Z51" s="1" cm="1">
        <f t="array" aca="1" ref="Z51" ca="1">IF(AND(INDIRECT("$M$" &amp; (11+Z$47)) = 1, $H51 = (INDIRECT("$P$" &amp; (11+Z$47)))), $E$9,0)</f>
        <v>0</v>
      </c>
      <c r="AA51" s="1" cm="1">
        <f t="array" aca="1" ref="AA51" ca="1">IF(AND(INDIRECT("$M$" &amp; (11+AA$47)) = 1, $H51 = (INDIRECT("$P$" &amp; (11+AA$47)))), $E$9,0)</f>
        <v>0</v>
      </c>
      <c r="AB51" s="1" cm="1">
        <f t="array" aca="1" ref="AB51" ca="1">IF(AND(INDIRECT("$M$" &amp; (11+AB$47)) = 1, $H51 = (INDIRECT("$P$" &amp; (11+AB$47)))), $E$9,0)</f>
        <v>0</v>
      </c>
      <c r="AE51" s="219">
        <v>2014</v>
      </c>
      <c r="AF51" s="1" cm="1">
        <f t="array" aca="1" ref="AF51" ca="1">IF(AND(INDIRECT("$N$" &amp; (11+AF$47)) = 1, $AE51 = (INDIRECT("$Q$" &amp; (11+AF$47)))), $F$9,0)</f>
        <v>0</v>
      </c>
      <c r="AG51" s="1" cm="1">
        <f t="array" aca="1" ref="AG51" ca="1">IF(AND(INDIRECT("$N$" &amp; (11+AG$47)) = 1, $AE51 = (INDIRECT("$Q$" &amp; (11+AG$47)))), $F$9,0)</f>
        <v>0</v>
      </c>
      <c r="AH51" s="1" cm="1">
        <f t="array" aca="1" ref="AH51" ca="1">IF(AND(INDIRECT("$N$" &amp; (11+AH$47)) = 1, $AE51 = (INDIRECT("$Q$" &amp; (11+AH$47)))), $F$9,0)</f>
        <v>0</v>
      </c>
      <c r="AI51" s="1" cm="1">
        <f t="array" aca="1" ref="AI51" ca="1">IF(AND(INDIRECT("$N$" &amp; (11+AI$47)) = 1, $AE51 = (INDIRECT("$Q$" &amp; (11+AI$47)))), $F$9,0)</f>
        <v>0</v>
      </c>
      <c r="AJ51" s="1" cm="1">
        <f t="array" aca="1" ref="AJ51" ca="1">IF(AND(INDIRECT("$N$" &amp; (11+AJ$47)) = 1, $AE51 = (INDIRECT("$Q$" &amp; (11+AJ$47)))), $F$9,0)</f>
        <v>0</v>
      </c>
      <c r="AK51" s="1" cm="1">
        <f t="array" aca="1" ref="AK51" ca="1">IF(AND(INDIRECT("$N$" &amp; (11+AK$47)) = 1, $AE51 = (INDIRECT("$Q$" &amp; (11+AK$47)))), $F$9,0)</f>
        <v>0</v>
      </c>
      <c r="AL51" s="1" cm="1">
        <f t="array" aca="1" ref="AL51" ca="1">IF(AND(INDIRECT("$N$" &amp; (11+AL$47)) = 1, $AE51 = (INDIRECT("$Q$" &amp; (11+AL$47)))), $F$9,0)</f>
        <v>0</v>
      </c>
      <c r="AM51" s="1" cm="1">
        <f t="array" aca="1" ref="AM51" ca="1">IF(AND(INDIRECT("$N$" &amp; (11+AM$47)) = 1, $AE51 = (INDIRECT("$Q$" &amp; (11+AM$47)))), $F$9,0)</f>
        <v>0</v>
      </c>
      <c r="AN51" s="1" cm="1">
        <f t="array" aca="1" ref="AN51" ca="1">IF(AND(INDIRECT("$N$" &amp; (11+AN$47)) = 1, $AE51 = (INDIRECT("$Q$" &amp; (11+AN$47)))), $F$9,0)</f>
        <v>0</v>
      </c>
      <c r="AO51" s="1" cm="1">
        <f t="array" aca="1" ref="AO51" ca="1">IF(AND(INDIRECT("$N$" &amp; (11+AO$47)) = 1, $AE51 = (INDIRECT("$Q$" &amp; (11+AO$47)))), $F$9,0)</f>
        <v>0</v>
      </c>
      <c r="AP51" s="1" cm="1">
        <f t="array" aca="1" ref="AP51" ca="1">IF(AND(INDIRECT("$N$" &amp; (11+AP$47)) = 1, $AE51 = (INDIRECT("$Q$" &amp; (11+AP$47)))), $F$9,0)</f>
        <v>0</v>
      </c>
      <c r="AQ51" s="1" cm="1">
        <f t="array" aca="1" ref="AQ51" ca="1">IF(AND(INDIRECT("$N$" &amp; (11+AQ$47)) = 1, $AE51 = (INDIRECT("$Q$" &amp; (11+AQ$47)))), $F$9,0)</f>
        <v>0</v>
      </c>
      <c r="AR51" s="1" cm="1">
        <f t="array" aca="1" ref="AR51" ca="1">IF(AND(INDIRECT("$N$" &amp; (11+AR$47)) = 1, $AE51 = (INDIRECT("$Q$" &amp; (11+AR$47)))), $F$9,0)</f>
        <v>0</v>
      </c>
      <c r="AS51" s="1" cm="1">
        <f t="array" aca="1" ref="AS51" ca="1">IF(AND(INDIRECT("$N$" &amp; (11+AS$47)) = 1, $AE51 = (INDIRECT("$Q$" &amp; (11+AS$47)))), $F$9,0)</f>
        <v>0</v>
      </c>
      <c r="AT51" s="1" cm="1">
        <f t="array" aca="1" ref="AT51" ca="1">IF(AND(INDIRECT("$N$" &amp; (11+AT$47)) = 1, $AE51 = (INDIRECT("$Q$" &amp; (11+AT$47)))), $F$9,0)</f>
        <v>0</v>
      </c>
      <c r="AU51" s="1" cm="1">
        <f t="array" aca="1" ref="AU51" ca="1">IF(AND(INDIRECT("$N$" &amp; (11+AU$47)) = 1, $AE51 = (INDIRECT("$Q$" &amp; (11+AU$47)))), $F$9,0)</f>
        <v>0</v>
      </c>
      <c r="AV51" s="1" cm="1">
        <f t="array" aca="1" ref="AV51" ca="1">IF(AND(INDIRECT("$N$" &amp; (11+AV$47)) = 1, $AE51 = (INDIRECT("$Q$" &amp; (11+AV$47)))), $F$9,0)</f>
        <v>0</v>
      </c>
      <c r="AW51" s="1" cm="1">
        <f t="array" aca="1" ref="AW51" ca="1">IF(AND(INDIRECT("$N$" &amp; (11+AW$47)) = 1, $AE51 = (INDIRECT("$Q$" &amp; (11+AW$47)))), $F$9,0)</f>
        <v>0</v>
      </c>
      <c r="AX51" s="1" cm="1">
        <f t="array" aca="1" ref="AX51" ca="1">IF(AND(INDIRECT("$N$" &amp; (11+AX$47)) = 1, $AE51 = (INDIRECT("$Q$" &amp; (11+AX$47)))), $F$9,0)</f>
        <v>0</v>
      </c>
      <c r="AY51" s="1" cm="1">
        <f t="array" aca="1" ref="AY51" ca="1">IF(AND(INDIRECT("$N$" &amp; (11+AY$47)) = 1, $AE51 = (INDIRECT("$Q$" &amp; (11+AY$47)))), $F$9,0)</f>
        <v>0</v>
      </c>
    </row>
    <row r="52" spans="8:51" x14ac:dyDescent="0.3">
      <c r="H52" s="219">
        <v>2015</v>
      </c>
      <c r="I52" s="1" cm="1">
        <f t="array" aca="1" ref="I52" ca="1">IF(AND(INDIRECT("$M$" &amp; (11+I$47)) = 1, $H52 = (INDIRECT("$P$" &amp; (11+I$47)))), $E$9,0)</f>
        <v>0</v>
      </c>
      <c r="J52" s="1" cm="1">
        <f t="array" aca="1" ref="J52" ca="1">IF(AND(INDIRECT("$M$" &amp; (11+J$47)) = 1, $H52 = (INDIRECT("$P$" &amp; (11+J$47)))), $E$9,0)</f>
        <v>0</v>
      </c>
      <c r="K52" s="1" cm="1">
        <f t="array" aca="1" ref="K52" ca="1">IF(AND(INDIRECT("$M$" &amp; (11+K$47)) = 1, $H52 = (INDIRECT("$P$" &amp; (11+K$47)))), $E$9,0)</f>
        <v>0</v>
      </c>
      <c r="L52" s="1" cm="1">
        <f t="array" aca="1" ref="L52" ca="1">IF(AND(INDIRECT("$M$" &amp; (11+L$47)) = 1, $H52 = (INDIRECT("$P$" &amp; (11+L$47)))), $E$9,0)</f>
        <v>0</v>
      </c>
      <c r="M52" s="1" cm="1">
        <f t="array" aca="1" ref="M52" ca="1">IF(AND(INDIRECT("$M$" &amp; (11+M$47)) = 1, $H52 = (INDIRECT("$P$" &amp; (11+M$47)))), $E$9,0)</f>
        <v>0</v>
      </c>
      <c r="N52" s="1" cm="1">
        <f t="array" aca="1" ref="N52" ca="1">IF(AND(INDIRECT("$M$" &amp; (11+N$47)) = 1, $H52 = (INDIRECT("$P$" &amp; (11+N$47)))), $E$9,0)</f>
        <v>0</v>
      </c>
      <c r="O52" s="1" cm="1">
        <f t="array" aca="1" ref="O52" ca="1">IF(AND(INDIRECT("$M$" &amp; (11+O$47)) = 1, $H52 = (INDIRECT("$P$" &amp; (11+O$47)))), $E$9,0)</f>
        <v>0</v>
      </c>
      <c r="P52" s="1" cm="1">
        <f t="array" aca="1" ref="P52" ca="1">IF(AND(INDIRECT("$M$" &amp; (11+P$47)) = 1, $H52 = (INDIRECT("$P$" &amp; (11+P$47)))), $E$9,0)</f>
        <v>0</v>
      </c>
      <c r="Q52" s="1" cm="1">
        <f t="array" aca="1" ref="Q52" ca="1">IF(AND(INDIRECT("$M$" &amp; (11+Q$47)) = 1, $H52 = (INDIRECT("$P$" &amp; (11+Q$47)))), $E$9,0)</f>
        <v>0</v>
      </c>
      <c r="R52" s="1" cm="1">
        <f t="array" aca="1" ref="R52" ca="1">IF(AND(INDIRECT("$M$" &amp; (11+R$47)) = 1, $H52 = (INDIRECT("$P$" &amp; (11+R$47)))), $E$9,0)</f>
        <v>0</v>
      </c>
      <c r="S52" s="1" cm="1">
        <f t="array" aca="1" ref="S52" ca="1">IF(AND(INDIRECT("$M$" &amp; (11+S$47)) = 1, $H52 = (INDIRECT("$P$" &amp; (11+S$47)))), $E$9,0)</f>
        <v>0</v>
      </c>
      <c r="T52" s="1" cm="1">
        <f t="array" aca="1" ref="T52" ca="1">IF(AND(INDIRECT("$M$" &amp; (11+T$47)) = 1, $H52 = (INDIRECT("$P$" &amp; (11+T$47)))), $E$9,0)</f>
        <v>0</v>
      </c>
      <c r="U52" s="1" cm="1">
        <f t="array" aca="1" ref="U52" ca="1">IF(AND(INDIRECT("$M$" &amp; (11+U$47)) = 1, $H52 = (INDIRECT("$P$" &amp; (11+U$47)))), $E$9,0)</f>
        <v>0</v>
      </c>
      <c r="V52" s="1" cm="1">
        <f t="array" aca="1" ref="V52" ca="1">IF(AND(INDIRECT("$M$" &amp; (11+V$47)) = 1, $H52 = (INDIRECT("$P$" &amp; (11+V$47)))), $E$9,0)</f>
        <v>0</v>
      </c>
      <c r="W52" s="1" cm="1">
        <f t="array" aca="1" ref="W52" ca="1">IF(AND(INDIRECT("$M$" &amp; (11+W$47)) = 1, $H52 = (INDIRECT("$P$" &amp; (11+W$47)))), $E$9,0)</f>
        <v>0</v>
      </c>
      <c r="X52" s="1" cm="1">
        <f t="array" aca="1" ref="X52" ca="1">IF(AND(INDIRECT("$M$" &amp; (11+X$47)) = 1, $H52 = (INDIRECT("$P$" &amp; (11+X$47)))), $E$9,0)</f>
        <v>0</v>
      </c>
      <c r="Y52" s="1" cm="1">
        <f t="array" aca="1" ref="Y52" ca="1">IF(AND(INDIRECT("$M$" &amp; (11+Y$47)) = 1, $H52 = (INDIRECT("$P$" &amp; (11+Y$47)))), $E$9,0)</f>
        <v>0</v>
      </c>
      <c r="Z52" s="1" cm="1">
        <f t="array" aca="1" ref="Z52" ca="1">IF(AND(INDIRECT("$M$" &amp; (11+Z$47)) = 1, $H52 = (INDIRECT("$P$" &amp; (11+Z$47)))), $E$9,0)</f>
        <v>0</v>
      </c>
      <c r="AA52" s="1" cm="1">
        <f t="array" aca="1" ref="AA52" ca="1">IF(AND(INDIRECT("$M$" &amp; (11+AA$47)) = 1, $H52 = (INDIRECT("$P$" &amp; (11+AA$47)))), $E$9,0)</f>
        <v>0</v>
      </c>
      <c r="AB52" s="1" cm="1">
        <f t="array" aca="1" ref="AB52" ca="1">IF(AND(INDIRECT("$M$" &amp; (11+AB$47)) = 1, $H52 = (INDIRECT("$P$" &amp; (11+AB$47)))), $E$9,0)</f>
        <v>0</v>
      </c>
      <c r="AE52" s="219">
        <v>2015</v>
      </c>
      <c r="AF52" s="1" cm="1">
        <f t="array" aca="1" ref="AF52" ca="1">IF(AND(INDIRECT("$N$" &amp; (11+AF$47)) = 1, $AE52 = (INDIRECT("$Q$" &amp; (11+AF$47)))), $F$9,0)</f>
        <v>0</v>
      </c>
      <c r="AG52" s="1" cm="1">
        <f t="array" aca="1" ref="AG52" ca="1">IF(AND(INDIRECT("$N$" &amp; (11+AG$47)) = 1, $AE52 = (INDIRECT("$Q$" &amp; (11+AG$47)))), $F$9,0)</f>
        <v>0</v>
      </c>
      <c r="AH52" s="1" cm="1">
        <f t="array" aca="1" ref="AH52" ca="1">IF(AND(INDIRECT("$N$" &amp; (11+AH$47)) = 1, $AE52 = (INDIRECT("$Q$" &amp; (11+AH$47)))), $F$9,0)</f>
        <v>0</v>
      </c>
      <c r="AI52" s="1" cm="1">
        <f t="array" aca="1" ref="AI52" ca="1">IF(AND(INDIRECT("$N$" &amp; (11+AI$47)) = 1, $AE52 = (INDIRECT("$Q$" &amp; (11+AI$47)))), $F$9,0)</f>
        <v>0</v>
      </c>
      <c r="AJ52" s="1" cm="1">
        <f t="array" aca="1" ref="AJ52" ca="1">IF(AND(INDIRECT("$N$" &amp; (11+AJ$47)) = 1, $AE52 = (INDIRECT("$Q$" &amp; (11+AJ$47)))), $F$9,0)</f>
        <v>0</v>
      </c>
      <c r="AK52" s="1" cm="1">
        <f t="array" aca="1" ref="AK52" ca="1">IF(AND(INDIRECT("$N$" &amp; (11+AK$47)) = 1, $AE52 = (INDIRECT("$Q$" &amp; (11+AK$47)))), $F$9,0)</f>
        <v>0</v>
      </c>
      <c r="AL52" s="1" cm="1">
        <f t="array" aca="1" ref="AL52" ca="1">IF(AND(INDIRECT("$N$" &amp; (11+AL$47)) = 1, $AE52 = (INDIRECT("$Q$" &amp; (11+AL$47)))), $F$9,0)</f>
        <v>0</v>
      </c>
      <c r="AM52" s="1" cm="1">
        <f t="array" aca="1" ref="AM52" ca="1">IF(AND(INDIRECT("$N$" &amp; (11+AM$47)) = 1, $AE52 = (INDIRECT("$Q$" &amp; (11+AM$47)))), $F$9,0)</f>
        <v>0</v>
      </c>
      <c r="AN52" s="1" cm="1">
        <f t="array" aca="1" ref="AN52" ca="1">IF(AND(INDIRECT("$N$" &amp; (11+AN$47)) = 1, $AE52 = (INDIRECT("$Q$" &amp; (11+AN$47)))), $F$9,0)</f>
        <v>0</v>
      </c>
      <c r="AO52" s="1" cm="1">
        <f t="array" aca="1" ref="AO52" ca="1">IF(AND(INDIRECT("$N$" &amp; (11+AO$47)) = 1, $AE52 = (INDIRECT("$Q$" &amp; (11+AO$47)))), $F$9,0)</f>
        <v>0</v>
      </c>
      <c r="AP52" s="1" cm="1">
        <f t="array" aca="1" ref="AP52" ca="1">IF(AND(INDIRECT("$N$" &amp; (11+AP$47)) = 1, $AE52 = (INDIRECT("$Q$" &amp; (11+AP$47)))), $F$9,0)</f>
        <v>0</v>
      </c>
      <c r="AQ52" s="1" cm="1">
        <f t="array" aca="1" ref="AQ52" ca="1">IF(AND(INDIRECT("$N$" &amp; (11+AQ$47)) = 1, $AE52 = (INDIRECT("$Q$" &amp; (11+AQ$47)))), $F$9,0)</f>
        <v>0</v>
      </c>
      <c r="AR52" s="1" cm="1">
        <f t="array" aca="1" ref="AR52" ca="1">IF(AND(INDIRECT("$N$" &amp; (11+AR$47)) = 1, $AE52 = (INDIRECT("$Q$" &amp; (11+AR$47)))), $F$9,0)</f>
        <v>0</v>
      </c>
      <c r="AS52" s="1" cm="1">
        <f t="array" aca="1" ref="AS52" ca="1">IF(AND(INDIRECT("$N$" &amp; (11+AS$47)) = 1, $AE52 = (INDIRECT("$Q$" &amp; (11+AS$47)))), $F$9,0)</f>
        <v>0</v>
      </c>
      <c r="AT52" s="1" cm="1">
        <f t="array" aca="1" ref="AT52" ca="1">IF(AND(INDIRECT("$N$" &amp; (11+AT$47)) = 1, $AE52 = (INDIRECT("$Q$" &amp; (11+AT$47)))), $F$9,0)</f>
        <v>0</v>
      </c>
      <c r="AU52" s="1" cm="1">
        <f t="array" aca="1" ref="AU52" ca="1">IF(AND(INDIRECT("$N$" &amp; (11+AU$47)) = 1, $AE52 = (INDIRECT("$Q$" &amp; (11+AU$47)))), $F$9,0)</f>
        <v>0</v>
      </c>
      <c r="AV52" s="1" cm="1">
        <f t="array" aca="1" ref="AV52" ca="1">IF(AND(INDIRECT("$N$" &amp; (11+AV$47)) = 1, $AE52 = (INDIRECT("$Q$" &amp; (11+AV$47)))), $F$9,0)</f>
        <v>0</v>
      </c>
      <c r="AW52" s="1" cm="1">
        <f t="array" aca="1" ref="AW52" ca="1">IF(AND(INDIRECT("$N$" &amp; (11+AW$47)) = 1, $AE52 = (INDIRECT("$Q$" &amp; (11+AW$47)))), $F$9,0)</f>
        <v>0</v>
      </c>
      <c r="AX52" s="1" cm="1">
        <f t="array" aca="1" ref="AX52" ca="1">IF(AND(INDIRECT("$N$" &amp; (11+AX$47)) = 1, $AE52 = (INDIRECT("$Q$" &amp; (11+AX$47)))), $F$9,0)</f>
        <v>0</v>
      </c>
      <c r="AY52" s="1" cm="1">
        <f t="array" aca="1" ref="AY52" ca="1">IF(AND(INDIRECT("$N$" &amp; (11+AY$47)) = 1, $AE52 = (INDIRECT("$Q$" &amp; (11+AY$47)))), $F$9,0)</f>
        <v>0</v>
      </c>
    </row>
    <row r="53" spans="8:51" x14ac:dyDescent="0.3">
      <c r="H53" s="219">
        <v>2016</v>
      </c>
      <c r="I53" s="1" cm="1">
        <f t="array" aca="1" ref="I53" ca="1">IF(AND(INDIRECT("$M$" &amp; (11+I$47)) = 1, $H53 = (INDIRECT("$P$" &amp; (11+I$47)))), $E$9,0)</f>
        <v>0</v>
      </c>
      <c r="J53" s="1" cm="1">
        <f t="array" aca="1" ref="J53" ca="1">IF(AND(INDIRECT("$M$" &amp; (11+J$47)) = 1, $H53 = (INDIRECT("$P$" &amp; (11+J$47)))), $E$9,0)</f>
        <v>0</v>
      </c>
      <c r="K53" s="1" cm="1">
        <f t="array" aca="1" ref="K53" ca="1">IF(AND(INDIRECT("$M$" &amp; (11+K$47)) = 1, $H53 = (INDIRECT("$P$" &amp; (11+K$47)))), $E$9,0)</f>
        <v>0</v>
      </c>
      <c r="L53" s="1" cm="1">
        <f t="array" aca="1" ref="L53" ca="1">IF(AND(INDIRECT("$M$" &amp; (11+L$47)) = 1, $H53 = (INDIRECT("$P$" &amp; (11+L$47)))), $E$9,0)</f>
        <v>0</v>
      </c>
      <c r="M53" s="1" cm="1">
        <f t="array" aca="1" ref="M53" ca="1">IF(AND(INDIRECT("$M$" &amp; (11+M$47)) = 1, $H53 = (INDIRECT("$P$" &amp; (11+M$47)))), $E$9,0)</f>
        <v>0</v>
      </c>
      <c r="N53" s="1" cm="1">
        <f t="array" aca="1" ref="N53" ca="1">IF(AND(INDIRECT("$M$" &amp; (11+N$47)) = 1, $H53 = (INDIRECT("$P$" &amp; (11+N$47)))), $E$9,0)</f>
        <v>0</v>
      </c>
      <c r="O53" s="1" cm="1">
        <f t="array" aca="1" ref="O53" ca="1">IF(AND(INDIRECT("$M$" &amp; (11+O$47)) = 1, $H53 = (INDIRECT("$P$" &amp; (11+O$47)))), $E$9,0)</f>
        <v>0</v>
      </c>
      <c r="P53" s="1" cm="1">
        <f t="array" aca="1" ref="P53" ca="1">IF(AND(INDIRECT("$M$" &amp; (11+P$47)) = 1, $H53 = (INDIRECT("$P$" &amp; (11+P$47)))), $E$9,0)</f>
        <v>0</v>
      </c>
      <c r="Q53" s="1" cm="1">
        <f t="array" aca="1" ref="Q53" ca="1">IF(AND(INDIRECT("$M$" &amp; (11+Q$47)) = 1, $H53 = (INDIRECT("$P$" &amp; (11+Q$47)))), $E$9,0)</f>
        <v>0</v>
      </c>
      <c r="R53" s="1" cm="1">
        <f t="array" aca="1" ref="R53" ca="1">IF(AND(INDIRECT("$M$" &amp; (11+R$47)) = 1, $H53 = (INDIRECT("$P$" &amp; (11+R$47)))), $E$9,0)</f>
        <v>0</v>
      </c>
      <c r="S53" s="1" cm="1">
        <f t="array" aca="1" ref="S53" ca="1">IF(AND(INDIRECT("$M$" &amp; (11+S$47)) = 1, $H53 = (INDIRECT("$P$" &amp; (11+S$47)))), $E$9,0)</f>
        <v>0</v>
      </c>
      <c r="T53" s="1" cm="1">
        <f t="array" aca="1" ref="T53" ca="1">IF(AND(INDIRECT("$M$" &amp; (11+T$47)) = 1, $H53 = (INDIRECT("$P$" &amp; (11+T$47)))), $E$9,0)</f>
        <v>0</v>
      </c>
      <c r="U53" s="1" cm="1">
        <f t="array" aca="1" ref="U53" ca="1">IF(AND(INDIRECT("$M$" &amp; (11+U$47)) = 1, $H53 = (INDIRECT("$P$" &amp; (11+U$47)))), $E$9,0)</f>
        <v>0</v>
      </c>
      <c r="V53" s="1" cm="1">
        <f t="array" aca="1" ref="V53" ca="1">IF(AND(INDIRECT("$M$" &amp; (11+V$47)) = 1, $H53 = (INDIRECT("$P$" &amp; (11+V$47)))), $E$9,0)</f>
        <v>0</v>
      </c>
      <c r="W53" s="1" cm="1">
        <f t="array" aca="1" ref="W53" ca="1">IF(AND(INDIRECT("$M$" &amp; (11+W$47)) = 1, $H53 = (INDIRECT("$P$" &amp; (11+W$47)))), $E$9,0)</f>
        <v>0</v>
      </c>
      <c r="X53" s="1" cm="1">
        <f t="array" aca="1" ref="X53" ca="1">IF(AND(INDIRECT("$M$" &amp; (11+X$47)) = 1, $H53 = (INDIRECT("$P$" &amp; (11+X$47)))), $E$9,0)</f>
        <v>600</v>
      </c>
      <c r="Y53" s="1" cm="1">
        <f t="array" aca="1" ref="Y53" ca="1">IF(AND(INDIRECT("$M$" &amp; (11+Y$47)) = 1, $H53 = (INDIRECT("$P$" &amp; (11+Y$47)))), $E$9,0)</f>
        <v>0</v>
      </c>
      <c r="Z53" s="1" cm="1">
        <f t="array" aca="1" ref="Z53" ca="1">IF(AND(INDIRECT("$M$" &amp; (11+Z$47)) = 1, $H53 = (INDIRECT("$P$" &amp; (11+Z$47)))), $E$9,0)</f>
        <v>0</v>
      </c>
      <c r="AA53" s="1" cm="1">
        <f t="array" aca="1" ref="AA53" ca="1">IF(AND(INDIRECT("$M$" &amp; (11+AA$47)) = 1, $H53 = (INDIRECT("$P$" &amp; (11+AA$47)))), $E$9,0)</f>
        <v>0</v>
      </c>
      <c r="AB53" s="1" cm="1">
        <f t="array" aca="1" ref="AB53" ca="1">IF(AND(INDIRECT("$M$" &amp; (11+AB$47)) = 1, $H53 = (INDIRECT("$P$" &amp; (11+AB$47)))), $E$9,0)</f>
        <v>0</v>
      </c>
      <c r="AE53" s="219">
        <v>2016</v>
      </c>
      <c r="AF53" s="1" cm="1">
        <f t="array" aca="1" ref="AF53" ca="1">IF(AND(INDIRECT("$N$" &amp; (11+AF$47)) = 1, $AE53 = (INDIRECT("$Q$" &amp; (11+AF$47)))), $F$9,0)</f>
        <v>0</v>
      </c>
      <c r="AG53" s="1" cm="1">
        <f t="array" aca="1" ref="AG53" ca="1">IF(AND(INDIRECT("$N$" &amp; (11+AG$47)) = 1, $AE53 = (INDIRECT("$Q$" &amp; (11+AG$47)))), $F$9,0)</f>
        <v>0</v>
      </c>
      <c r="AH53" s="1" cm="1">
        <f t="array" aca="1" ref="AH53" ca="1">IF(AND(INDIRECT("$N$" &amp; (11+AH$47)) = 1, $AE53 = (INDIRECT("$Q$" &amp; (11+AH$47)))), $F$9,0)</f>
        <v>0</v>
      </c>
      <c r="AI53" s="1" cm="1">
        <f t="array" aca="1" ref="AI53" ca="1">IF(AND(INDIRECT("$N$" &amp; (11+AI$47)) = 1, $AE53 = (INDIRECT("$Q$" &amp; (11+AI$47)))), $F$9,0)</f>
        <v>0</v>
      </c>
      <c r="AJ53" s="1" cm="1">
        <f t="array" aca="1" ref="AJ53" ca="1">IF(AND(INDIRECT("$N$" &amp; (11+AJ$47)) = 1, $AE53 = (INDIRECT("$Q$" &amp; (11+AJ$47)))), $F$9,0)</f>
        <v>0</v>
      </c>
      <c r="AK53" s="1" cm="1">
        <f t="array" aca="1" ref="AK53" ca="1">IF(AND(INDIRECT("$N$" &amp; (11+AK$47)) = 1, $AE53 = (INDIRECT("$Q$" &amp; (11+AK$47)))), $F$9,0)</f>
        <v>0</v>
      </c>
      <c r="AL53" s="1" cm="1">
        <f t="array" aca="1" ref="AL53" ca="1">IF(AND(INDIRECT("$N$" &amp; (11+AL$47)) = 1, $AE53 = (INDIRECT("$Q$" &amp; (11+AL$47)))), $F$9,0)</f>
        <v>0</v>
      </c>
      <c r="AM53" s="1" cm="1">
        <f t="array" aca="1" ref="AM53" ca="1">IF(AND(INDIRECT("$N$" &amp; (11+AM$47)) = 1, $AE53 = (INDIRECT("$Q$" &amp; (11+AM$47)))), $F$9,0)</f>
        <v>0</v>
      </c>
      <c r="AN53" s="1" cm="1">
        <f t="array" aca="1" ref="AN53" ca="1">IF(AND(INDIRECT("$N$" &amp; (11+AN$47)) = 1, $AE53 = (INDIRECT("$Q$" &amp; (11+AN$47)))), $F$9,0)</f>
        <v>0</v>
      </c>
      <c r="AO53" s="1" cm="1">
        <f t="array" aca="1" ref="AO53" ca="1">IF(AND(INDIRECT("$N$" &amp; (11+AO$47)) = 1, $AE53 = (INDIRECT("$Q$" &amp; (11+AO$47)))), $F$9,0)</f>
        <v>0</v>
      </c>
      <c r="AP53" s="1" cm="1">
        <f t="array" aca="1" ref="AP53" ca="1">IF(AND(INDIRECT("$N$" &amp; (11+AP$47)) = 1, $AE53 = (INDIRECT("$Q$" &amp; (11+AP$47)))), $F$9,0)</f>
        <v>0</v>
      </c>
      <c r="AQ53" s="1" cm="1">
        <f t="array" aca="1" ref="AQ53" ca="1">IF(AND(INDIRECT("$N$" &amp; (11+AQ$47)) = 1, $AE53 = (INDIRECT("$Q$" &amp; (11+AQ$47)))), $F$9,0)</f>
        <v>0</v>
      </c>
      <c r="AR53" s="1" cm="1">
        <f t="array" aca="1" ref="AR53" ca="1">IF(AND(INDIRECT("$N$" &amp; (11+AR$47)) = 1, $AE53 = (INDIRECT("$Q$" &amp; (11+AR$47)))), $F$9,0)</f>
        <v>0</v>
      </c>
      <c r="AS53" s="1" cm="1">
        <f t="array" aca="1" ref="AS53" ca="1">IF(AND(INDIRECT("$N$" &amp; (11+AS$47)) = 1, $AE53 = (INDIRECT("$Q$" &amp; (11+AS$47)))), $F$9,0)</f>
        <v>0</v>
      </c>
      <c r="AT53" s="1" cm="1">
        <f t="array" aca="1" ref="AT53" ca="1">IF(AND(INDIRECT("$N$" &amp; (11+AT$47)) = 1, $AE53 = (INDIRECT("$Q$" &amp; (11+AT$47)))), $F$9,0)</f>
        <v>0</v>
      </c>
      <c r="AU53" s="1" cm="1">
        <f t="array" aca="1" ref="AU53" ca="1">IF(AND(INDIRECT("$N$" &amp; (11+AU$47)) = 1, $AE53 = (INDIRECT("$Q$" &amp; (11+AU$47)))), $F$9,0)</f>
        <v>0</v>
      </c>
      <c r="AV53" s="1" cm="1">
        <f t="array" aca="1" ref="AV53" ca="1">IF(AND(INDIRECT("$N$" &amp; (11+AV$47)) = 1, $AE53 = (INDIRECT("$Q$" &amp; (11+AV$47)))), $F$9,0)</f>
        <v>0</v>
      </c>
      <c r="AW53" s="1" cm="1">
        <f t="array" aca="1" ref="AW53" ca="1">IF(AND(INDIRECT("$N$" &amp; (11+AW$47)) = 1, $AE53 = (INDIRECT("$Q$" &amp; (11+AW$47)))), $F$9,0)</f>
        <v>0</v>
      </c>
      <c r="AX53" s="1" cm="1">
        <f t="array" aca="1" ref="AX53" ca="1">IF(AND(INDIRECT("$N$" &amp; (11+AX$47)) = 1, $AE53 = (INDIRECT("$Q$" &amp; (11+AX$47)))), $F$9,0)</f>
        <v>0</v>
      </c>
      <c r="AY53" s="1" cm="1">
        <f t="array" aca="1" ref="AY53" ca="1">IF(AND(INDIRECT("$N$" &amp; (11+AY$47)) = 1, $AE53 = (INDIRECT("$Q$" &amp; (11+AY$47)))), $F$9,0)</f>
        <v>0</v>
      </c>
    </row>
    <row r="54" spans="8:51" x14ac:dyDescent="0.3">
      <c r="H54" s="219">
        <v>2017</v>
      </c>
      <c r="I54" s="1" cm="1">
        <f t="array" aca="1" ref="I54" ca="1">IF(AND(INDIRECT("$M$" &amp; (11+I$47)) = 1, $H54 = (INDIRECT("$P$" &amp; (11+I$47)))), $E$9,0)</f>
        <v>0</v>
      </c>
      <c r="J54" s="1" cm="1">
        <f t="array" aca="1" ref="J54" ca="1">IF(AND(INDIRECT("$M$" &amp; (11+J$47)) = 1, $H54 = (INDIRECT("$P$" &amp; (11+J$47)))), $E$9,0)</f>
        <v>0</v>
      </c>
      <c r="K54" s="1" cm="1">
        <f t="array" aca="1" ref="K54" ca="1">IF(AND(INDIRECT("$M$" &amp; (11+K$47)) = 1, $H54 = (INDIRECT("$P$" &amp; (11+K$47)))), $E$9,0)</f>
        <v>0</v>
      </c>
      <c r="L54" s="1" cm="1">
        <f t="array" aca="1" ref="L54" ca="1">IF(AND(INDIRECT("$M$" &amp; (11+L$47)) = 1, $H54 = (INDIRECT("$P$" &amp; (11+L$47)))), $E$9,0)</f>
        <v>0</v>
      </c>
      <c r="M54" s="1" cm="1">
        <f t="array" aca="1" ref="M54" ca="1">IF(AND(INDIRECT("$M$" &amp; (11+M$47)) = 1, $H54 = (INDIRECT("$P$" &amp; (11+M$47)))), $E$9,0)</f>
        <v>0</v>
      </c>
      <c r="N54" s="1" cm="1">
        <f t="array" aca="1" ref="N54" ca="1">IF(AND(INDIRECT("$M$" &amp; (11+N$47)) = 1, $H54 = (INDIRECT("$P$" &amp; (11+N$47)))), $E$9,0)</f>
        <v>0</v>
      </c>
      <c r="O54" s="1" cm="1">
        <f t="array" aca="1" ref="O54" ca="1">IF(AND(INDIRECT("$M$" &amp; (11+O$47)) = 1, $H54 = (INDIRECT("$P$" &amp; (11+O$47)))), $E$9,0)</f>
        <v>0</v>
      </c>
      <c r="P54" s="1" cm="1">
        <f t="array" aca="1" ref="P54" ca="1">IF(AND(INDIRECT("$M$" &amp; (11+P$47)) = 1, $H54 = (INDIRECT("$P$" &amp; (11+P$47)))), $E$9,0)</f>
        <v>0</v>
      </c>
      <c r="Q54" s="1" cm="1">
        <f t="array" aca="1" ref="Q54" ca="1">IF(AND(INDIRECT("$M$" &amp; (11+Q$47)) = 1, $H54 = (INDIRECT("$P$" &amp; (11+Q$47)))), $E$9,0)</f>
        <v>0</v>
      </c>
      <c r="R54" s="1" cm="1">
        <f t="array" aca="1" ref="R54" ca="1">IF(AND(INDIRECT("$M$" &amp; (11+R$47)) = 1, $H54 = (INDIRECT("$P$" &amp; (11+R$47)))), $E$9,0)</f>
        <v>0</v>
      </c>
      <c r="S54" s="1" cm="1">
        <f t="array" aca="1" ref="S54" ca="1">IF(AND(INDIRECT("$M$" &amp; (11+S$47)) = 1, $H54 = (INDIRECT("$P$" &amp; (11+S$47)))), $E$9,0)</f>
        <v>0</v>
      </c>
      <c r="T54" s="1" cm="1">
        <f t="array" aca="1" ref="T54" ca="1">IF(AND(INDIRECT("$M$" &amp; (11+T$47)) = 1, $H54 = (INDIRECT("$P$" &amp; (11+T$47)))), $E$9,0)</f>
        <v>0</v>
      </c>
      <c r="U54" s="1" cm="1">
        <f t="array" aca="1" ref="U54" ca="1">IF(AND(INDIRECT("$M$" &amp; (11+U$47)) = 1, $H54 = (INDIRECT("$P$" &amp; (11+U$47)))), $E$9,0)</f>
        <v>0</v>
      </c>
      <c r="V54" s="1" cm="1">
        <f t="array" aca="1" ref="V54" ca="1">IF(AND(INDIRECT("$M$" &amp; (11+V$47)) = 1, $H54 = (INDIRECT("$P$" &amp; (11+V$47)))), $E$9,0)</f>
        <v>0</v>
      </c>
      <c r="W54" s="1" cm="1">
        <f t="array" aca="1" ref="W54" ca="1">IF(AND(INDIRECT("$M$" &amp; (11+W$47)) = 1, $H54 = (INDIRECT("$P$" &amp; (11+W$47)))), $E$9,0)</f>
        <v>0</v>
      </c>
      <c r="X54" s="1" cm="1">
        <f t="array" aca="1" ref="X54" ca="1">IF(AND(INDIRECT("$M$" &amp; (11+X$47)) = 1, $H54 = (INDIRECT("$P$" &amp; (11+X$47)))), $E$9,0)</f>
        <v>0</v>
      </c>
      <c r="Y54" s="1" cm="1">
        <f t="array" aca="1" ref="Y54" ca="1">IF(AND(INDIRECT("$M$" &amp; (11+Y$47)) = 1, $H54 = (INDIRECT("$P$" &amp; (11+Y$47)))), $E$9,0)</f>
        <v>0</v>
      </c>
      <c r="Z54" s="1" cm="1">
        <f t="array" aca="1" ref="Z54" ca="1">IF(AND(INDIRECT("$M$" &amp; (11+Z$47)) = 1, $H54 = (INDIRECT("$P$" &amp; (11+Z$47)))), $E$9,0)</f>
        <v>0</v>
      </c>
      <c r="AA54" s="1" cm="1">
        <f t="array" aca="1" ref="AA54" ca="1">IF(AND(INDIRECT("$M$" &amp; (11+AA$47)) = 1, $H54 = (INDIRECT("$P$" &amp; (11+AA$47)))), $E$9,0)</f>
        <v>0</v>
      </c>
      <c r="AB54" s="1" cm="1">
        <f t="array" aca="1" ref="AB54" ca="1">IF(AND(INDIRECT("$M$" &amp; (11+AB$47)) = 1, $H54 = (INDIRECT("$P$" &amp; (11+AB$47)))), $E$9,0)</f>
        <v>0</v>
      </c>
      <c r="AE54" s="219">
        <v>2017</v>
      </c>
      <c r="AF54" s="1" cm="1">
        <f t="array" aca="1" ref="AF54" ca="1">IF(AND(INDIRECT("$N$" &amp; (11+AF$47)) = 1, $AE54 = (INDIRECT("$Q$" &amp; (11+AF$47)))), $F$9,0)</f>
        <v>0</v>
      </c>
      <c r="AG54" s="1" cm="1">
        <f t="array" aca="1" ref="AG54" ca="1">IF(AND(INDIRECT("$N$" &amp; (11+AG$47)) = 1, $AE54 = (INDIRECT("$Q$" &amp; (11+AG$47)))), $F$9,0)</f>
        <v>0</v>
      </c>
      <c r="AH54" s="1" cm="1">
        <f t="array" aca="1" ref="AH54" ca="1">IF(AND(INDIRECT("$N$" &amp; (11+AH$47)) = 1, $AE54 = (INDIRECT("$Q$" &amp; (11+AH$47)))), $F$9,0)</f>
        <v>0</v>
      </c>
      <c r="AI54" s="1" cm="1">
        <f t="array" aca="1" ref="AI54" ca="1">IF(AND(INDIRECT("$N$" &amp; (11+AI$47)) = 1, $AE54 = (INDIRECT("$Q$" &amp; (11+AI$47)))), $F$9,0)</f>
        <v>0</v>
      </c>
      <c r="AJ54" s="1" cm="1">
        <f t="array" aca="1" ref="AJ54" ca="1">IF(AND(INDIRECT("$N$" &amp; (11+AJ$47)) = 1, $AE54 = (INDIRECT("$Q$" &amp; (11+AJ$47)))), $F$9,0)</f>
        <v>0</v>
      </c>
      <c r="AK54" s="1" cm="1">
        <f t="array" aca="1" ref="AK54" ca="1">IF(AND(INDIRECT("$N$" &amp; (11+AK$47)) = 1, $AE54 = (INDIRECT("$Q$" &amp; (11+AK$47)))), $F$9,0)</f>
        <v>0</v>
      </c>
      <c r="AL54" s="1" cm="1">
        <f t="array" aca="1" ref="AL54" ca="1">IF(AND(INDIRECT("$N$" &amp; (11+AL$47)) = 1, $AE54 = (INDIRECT("$Q$" &amp; (11+AL$47)))), $F$9,0)</f>
        <v>0</v>
      </c>
      <c r="AM54" s="1" cm="1">
        <f t="array" aca="1" ref="AM54" ca="1">IF(AND(INDIRECT("$N$" &amp; (11+AM$47)) = 1, $AE54 = (INDIRECT("$Q$" &amp; (11+AM$47)))), $F$9,0)</f>
        <v>0</v>
      </c>
      <c r="AN54" s="1" cm="1">
        <f t="array" aca="1" ref="AN54" ca="1">IF(AND(INDIRECT("$N$" &amp; (11+AN$47)) = 1, $AE54 = (INDIRECT("$Q$" &amp; (11+AN$47)))), $F$9,0)</f>
        <v>0</v>
      </c>
      <c r="AO54" s="1" cm="1">
        <f t="array" aca="1" ref="AO54" ca="1">IF(AND(INDIRECT("$N$" &amp; (11+AO$47)) = 1, $AE54 = (INDIRECT("$Q$" &amp; (11+AO$47)))), $F$9,0)</f>
        <v>0</v>
      </c>
      <c r="AP54" s="1" cm="1">
        <f t="array" aca="1" ref="AP54" ca="1">IF(AND(INDIRECT("$N$" &amp; (11+AP$47)) = 1, $AE54 = (INDIRECT("$Q$" &amp; (11+AP$47)))), $F$9,0)</f>
        <v>0</v>
      </c>
      <c r="AQ54" s="1" cm="1">
        <f t="array" aca="1" ref="AQ54" ca="1">IF(AND(INDIRECT("$N$" &amp; (11+AQ$47)) = 1, $AE54 = (INDIRECT("$Q$" &amp; (11+AQ$47)))), $F$9,0)</f>
        <v>0</v>
      </c>
      <c r="AR54" s="1" cm="1">
        <f t="array" aca="1" ref="AR54" ca="1">IF(AND(INDIRECT("$N$" &amp; (11+AR$47)) = 1, $AE54 = (INDIRECT("$Q$" &amp; (11+AR$47)))), $F$9,0)</f>
        <v>0</v>
      </c>
      <c r="AS54" s="1" cm="1">
        <f t="array" aca="1" ref="AS54" ca="1">IF(AND(INDIRECT("$N$" &amp; (11+AS$47)) = 1, $AE54 = (INDIRECT("$Q$" &amp; (11+AS$47)))), $F$9,0)</f>
        <v>0</v>
      </c>
      <c r="AT54" s="1" cm="1">
        <f t="array" aca="1" ref="AT54" ca="1">IF(AND(INDIRECT("$N$" &amp; (11+AT$47)) = 1, $AE54 = (INDIRECT("$Q$" &amp; (11+AT$47)))), $F$9,0)</f>
        <v>0</v>
      </c>
      <c r="AU54" s="1" cm="1">
        <f t="array" aca="1" ref="AU54" ca="1">IF(AND(INDIRECT("$N$" &amp; (11+AU$47)) = 1, $AE54 = (INDIRECT("$Q$" &amp; (11+AU$47)))), $F$9,0)</f>
        <v>0</v>
      </c>
      <c r="AV54" s="1" cm="1">
        <f t="array" aca="1" ref="AV54" ca="1">IF(AND(INDIRECT("$N$" &amp; (11+AV$47)) = 1, $AE54 = (INDIRECT("$Q$" &amp; (11+AV$47)))), $F$9,0)</f>
        <v>0</v>
      </c>
      <c r="AW54" s="1" cm="1">
        <f t="array" aca="1" ref="AW54" ca="1">IF(AND(INDIRECT("$N$" &amp; (11+AW$47)) = 1, $AE54 = (INDIRECT("$Q$" &amp; (11+AW$47)))), $F$9,0)</f>
        <v>0</v>
      </c>
      <c r="AX54" s="1" cm="1">
        <f t="array" aca="1" ref="AX54" ca="1">IF(AND(INDIRECT("$N$" &amp; (11+AX$47)) = 1, $AE54 = (INDIRECT("$Q$" &amp; (11+AX$47)))), $F$9,0)</f>
        <v>0</v>
      </c>
      <c r="AY54" s="1" cm="1">
        <f t="array" aca="1" ref="AY54" ca="1">IF(AND(INDIRECT("$N$" &amp; (11+AY$47)) = 1, $AE54 = (INDIRECT("$Q$" &amp; (11+AY$47)))), $F$9,0)</f>
        <v>0</v>
      </c>
    </row>
    <row r="55" spans="8:51" x14ac:dyDescent="0.3">
      <c r="H55" s="219">
        <v>2018</v>
      </c>
      <c r="I55" s="1" cm="1">
        <f t="array" aca="1" ref="I55" ca="1">IF(AND(INDIRECT("$M$" &amp; (11+I$47)) = 1, $H55 = (INDIRECT("$P$" &amp; (11+I$47)))), $E$9,0)</f>
        <v>0</v>
      </c>
      <c r="J55" s="1" cm="1">
        <f t="array" aca="1" ref="J55" ca="1">IF(AND(INDIRECT("$M$" &amp; (11+J$47)) = 1, $H55 = (INDIRECT("$P$" &amp; (11+J$47)))), $E$9,0)</f>
        <v>0</v>
      </c>
      <c r="K55" s="1" cm="1">
        <f t="array" aca="1" ref="K55" ca="1">IF(AND(INDIRECT("$M$" &amp; (11+K$47)) = 1, $H55 = (INDIRECT("$P$" &amp; (11+K$47)))), $E$9,0)</f>
        <v>0</v>
      </c>
      <c r="L55" s="1" cm="1">
        <f t="array" aca="1" ref="L55" ca="1">IF(AND(INDIRECT("$M$" &amp; (11+L$47)) = 1, $H55 = (INDIRECT("$P$" &amp; (11+L$47)))), $E$9,0)</f>
        <v>0</v>
      </c>
      <c r="M55" s="1" cm="1">
        <f t="array" aca="1" ref="M55" ca="1">IF(AND(INDIRECT("$M$" &amp; (11+M$47)) = 1, $H55 = (INDIRECT("$P$" &amp; (11+M$47)))), $E$9,0)</f>
        <v>0</v>
      </c>
      <c r="N55" s="1" cm="1">
        <f t="array" aca="1" ref="N55" ca="1">IF(AND(INDIRECT("$M$" &amp; (11+N$47)) = 1, $H55 = (INDIRECT("$P$" &amp; (11+N$47)))), $E$9,0)</f>
        <v>0</v>
      </c>
      <c r="O55" s="1" cm="1">
        <f t="array" aca="1" ref="O55" ca="1">IF(AND(INDIRECT("$M$" &amp; (11+O$47)) = 1, $H55 = (INDIRECT("$P$" &amp; (11+O$47)))), $E$9,0)</f>
        <v>0</v>
      </c>
      <c r="P55" s="1" cm="1">
        <f t="array" aca="1" ref="P55" ca="1">IF(AND(INDIRECT("$M$" &amp; (11+P$47)) = 1, $H55 = (INDIRECT("$P$" &amp; (11+P$47)))), $E$9,0)</f>
        <v>0</v>
      </c>
      <c r="Q55" s="1" cm="1">
        <f t="array" aca="1" ref="Q55" ca="1">IF(AND(INDIRECT("$M$" &amp; (11+Q$47)) = 1, $H55 = (INDIRECT("$P$" &amp; (11+Q$47)))), $E$9,0)</f>
        <v>0</v>
      </c>
      <c r="R55" s="1" cm="1">
        <f t="array" aca="1" ref="R55" ca="1">IF(AND(INDIRECT("$M$" &amp; (11+R$47)) = 1, $H55 = (INDIRECT("$P$" &amp; (11+R$47)))), $E$9,0)</f>
        <v>0</v>
      </c>
      <c r="S55" s="1" cm="1">
        <f t="array" aca="1" ref="S55" ca="1">IF(AND(INDIRECT("$M$" &amp; (11+S$47)) = 1, $H55 = (INDIRECT("$P$" &amp; (11+S$47)))), $E$9,0)</f>
        <v>0</v>
      </c>
      <c r="T55" s="1" cm="1">
        <f t="array" aca="1" ref="T55" ca="1">IF(AND(INDIRECT("$M$" &amp; (11+T$47)) = 1, $H55 = (INDIRECT("$P$" &amp; (11+T$47)))), $E$9,0)</f>
        <v>0</v>
      </c>
      <c r="U55" s="1" cm="1">
        <f t="array" aca="1" ref="U55" ca="1">IF(AND(INDIRECT("$M$" &amp; (11+U$47)) = 1, $H55 = (INDIRECT("$P$" &amp; (11+U$47)))), $E$9,0)</f>
        <v>0</v>
      </c>
      <c r="V55" s="1" cm="1">
        <f t="array" aca="1" ref="V55" ca="1">IF(AND(INDIRECT("$M$" &amp; (11+V$47)) = 1, $H55 = (INDIRECT("$P$" &amp; (11+V$47)))), $E$9,0)</f>
        <v>0</v>
      </c>
      <c r="W55" s="1" cm="1">
        <f t="array" aca="1" ref="W55" ca="1">IF(AND(INDIRECT("$M$" &amp; (11+W$47)) = 1, $H55 = (INDIRECT("$P$" &amp; (11+W$47)))), $E$9,0)</f>
        <v>0</v>
      </c>
      <c r="X55" s="1" cm="1">
        <f t="array" aca="1" ref="X55" ca="1">IF(AND(INDIRECT("$M$" &amp; (11+X$47)) = 1, $H55 = (INDIRECT("$P$" &amp; (11+X$47)))), $E$9,0)</f>
        <v>0</v>
      </c>
      <c r="Y55" s="1" cm="1">
        <f t="array" aca="1" ref="Y55" ca="1">IF(AND(INDIRECT("$M$" &amp; (11+Y$47)) = 1, $H55 = (INDIRECT("$P$" &amp; (11+Y$47)))), $E$9,0)</f>
        <v>0</v>
      </c>
      <c r="Z55" s="1" cm="1">
        <f t="array" aca="1" ref="Z55" ca="1">IF(AND(INDIRECT("$M$" &amp; (11+Z$47)) = 1, $H55 = (INDIRECT("$P$" &amp; (11+Z$47)))), $E$9,0)</f>
        <v>0</v>
      </c>
      <c r="AA55" s="1" cm="1">
        <f t="array" aca="1" ref="AA55" ca="1">IF(AND(INDIRECT("$M$" &amp; (11+AA$47)) = 1, $H55 = (INDIRECT("$P$" &amp; (11+AA$47)))), $E$9,0)</f>
        <v>0</v>
      </c>
      <c r="AB55" s="1" cm="1">
        <f t="array" aca="1" ref="AB55" ca="1">IF(AND(INDIRECT("$M$" &amp; (11+AB$47)) = 1, $H55 = (INDIRECT("$P$" &amp; (11+AB$47)))), $E$9,0)</f>
        <v>0</v>
      </c>
      <c r="AE55" s="219">
        <v>2018</v>
      </c>
      <c r="AF55" s="1" cm="1">
        <f t="array" aca="1" ref="AF55" ca="1">IF(AND(INDIRECT("$N$" &amp; (11+AF$47)) = 1, $AE55 = (INDIRECT("$Q$" &amp; (11+AF$47)))), $F$9,0)</f>
        <v>0</v>
      </c>
      <c r="AG55" s="1" cm="1">
        <f t="array" aca="1" ref="AG55" ca="1">IF(AND(INDIRECT("$N$" &amp; (11+AG$47)) = 1, $AE55 = (INDIRECT("$Q$" &amp; (11+AG$47)))), $F$9,0)</f>
        <v>0</v>
      </c>
      <c r="AH55" s="1" cm="1">
        <f t="array" aca="1" ref="AH55" ca="1">IF(AND(INDIRECT("$N$" &amp; (11+AH$47)) = 1, $AE55 = (INDIRECT("$Q$" &amp; (11+AH$47)))), $F$9,0)</f>
        <v>0</v>
      </c>
      <c r="AI55" s="1" cm="1">
        <f t="array" aca="1" ref="AI55" ca="1">IF(AND(INDIRECT("$N$" &amp; (11+AI$47)) = 1, $AE55 = (INDIRECT("$Q$" &amp; (11+AI$47)))), $F$9,0)</f>
        <v>0</v>
      </c>
      <c r="AJ55" s="1" cm="1">
        <f t="array" aca="1" ref="AJ55" ca="1">IF(AND(INDIRECT("$N$" &amp; (11+AJ$47)) = 1, $AE55 = (INDIRECT("$Q$" &amp; (11+AJ$47)))), $F$9,0)</f>
        <v>0</v>
      </c>
      <c r="AK55" s="1" cm="1">
        <f t="array" aca="1" ref="AK55" ca="1">IF(AND(INDIRECT("$N$" &amp; (11+AK$47)) = 1, $AE55 = (INDIRECT("$Q$" &amp; (11+AK$47)))), $F$9,0)</f>
        <v>0</v>
      </c>
      <c r="AL55" s="1" cm="1">
        <f t="array" aca="1" ref="AL55" ca="1">IF(AND(INDIRECT("$N$" &amp; (11+AL$47)) = 1, $AE55 = (INDIRECT("$Q$" &amp; (11+AL$47)))), $F$9,0)</f>
        <v>0</v>
      </c>
      <c r="AM55" s="1" cm="1">
        <f t="array" aca="1" ref="AM55" ca="1">IF(AND(INDIRECT("$N$" &amp; (11+AM$47)) = 1, $AE55 = (INDIRECT("$Q$" &amp; (11+AM$47)))), $F$9,0)</f>
        <v>0</v>
      </c>
      <c r="AN55" s="1" cm="1">
        <f t="array" aca="1" ref="AN55" ca="1">IF(AND(INDIRECT("$N$" &amp; (11+AN$47)) = 1, $AE55 = (INDIRECT("$Q$" &amp; (11+AN$47)))), $F$9,0)</f>
        <v>0</v>
      </c>
      <c r="AO55" s="1" cm="1">
        <f t="array" aca="1" ref="AO55" ca="1">IF(AND(INDIRECT("$N$" &amp; (11+AO$47)) = 1, $AE55 = (INDIRECT("$Q$" &amp; (11+AO$47)))), $F$9,0)</f>
        <v>0</v>
      </c>
      <c r="AP55" s="1" cm="1">
        <f t="array" aca="1" ref="AP55" ca="1">IF(AND(INDIRECT("$N$" &amp; (11+AP$47)) = 1, $AE55 = (INDIRECT("$Q$" &amp; (11+AP$47)))), $F$9,0)</f>
        <v>0</v>
      </c>
      <c r="AQ55" s="1" cm="1">
        <f t="array" aca="1" ref="AQ55" ca="1">IF(AND(INDIRECT("$N$" &amp; (11+AQ$47)) = 1, $AE55 = (INDIRECT("$Q$" &amp; (11+AQ$47)))), $F$9,0)</f>
        <v>0</v>
      </c>
      <c r="AR55" s="1" cm="1">
        <f t="array" aca="1" ref="AR55" ca="1">IF(AND(INDIRECT("$N$" &amp; (11+AR$47)) = 1, $AE55 = (INDIRECT("$Q$" &amp; (11+AR$47)))), $F$9,0)</f>
        <v>0</v>
      </c>
      <c r="AS55" s="1" cm="1">
        <f t="array" aca="1" ref="AS55" ca="1">IF(AND(INDIRECT("$N$" &amp; (11+AS$47)) = 1, $AE55 = (INDIRECT("$Q$" &amp; (11+AS$47)))), $F$9,0)</f>
        <v>0</v>
      </c>
      <c r="AT55" s="1" cm="1">
        <f t="array" aca="1" ref="AT55" ca="1">IF(AND(INDIRECT("$N$" &amp; (11+AT$47)) = 1, $AE55 = (INDIRECT("$Q$" &amp; (11+AT$47)))), $F$9,0)</f>
        <v>0</v>
      </c>
      <c r="AU55" s="1" cm="1">
        <f t="array" aca="1" ref="AU55" ca="1">IF(AND(INDIRECT("$N$" &amp; (11+AU$47)) = 1, $AE55 = (INDIRECT("$Q$" &amp; (11+AU$47)))), $F$9,0)</f>
        <v>0</v>
      </c>
      <c r="AV55" s="1" cm="1">
        <f t="array" aca="1" ref="AV55" ca="1">IF(AND(INDIRECT("$N$" &amp; (11+AV$47)) = 1, $AE55 = (INDIRECT("$Q$" &amp; (11+AV$47)))), $F$9,0)</f>
        <v>0</v>
      </c>
      <c r="AW55" s="1" cm="1">
        <f t="array" aca="1" ref="AW55" ca="1">IF(AND(INDIRECT("$N$" &amp; (11+AW$47)) = 1, $AE55 = (INDIRECT("$Q$" &amp; (11+AW$47)))), $F$9,0)</f>
        <v>0</v>
      </c>
      <c r="AX55" s="1" cm="1">
        <f t="array" aca="1" ref="AX55" ca="1">IF(AND(INDIRECT("$N$" &amp; (11+AX$47)) = 1, $AE55 = (INDIRECT("$Q$" &amp; (11+AX$47)))), $F$9,0)</f>
        <v>0</v>
      </c>
      <c r="AY55" s="1" cm="1">
        <f t="array" aca="1" ref="AY55" ca="1">IF(AND(INDIRECT("$N$" &amp; (11+AY$47)) = 1, $AE55 = (INDIRECT("$Q$" &amp; (11+AY$47)))), $F$9,0)</f>
        <v>0</v>
      </c>
    </row>
    <row r="56" spans="8:51" x14ac:dyDescent="0.3">
      <c r="H56" s="219">
        <v>2019</v>
      </c>
      <c r="I56" s="1" cm="1">
        <f t="array" aca="1" ref="I56" ca="1">IF(AND(INDIRECT("$M$" &amp; (11+I$47)) = 1, $H56 = (INDIRECT("$P$" &amp; (11+I$47)))), $E$9,0)</f>
        <v>0</v>
      </c>
      <c r="J56" s="1" cm="1">
        <f t="array" aca="1" ref="J56" ca="1">IF(AND(INDIRECT("$M$" &amp; (11+J$47)) = 1, $H56 = (INDIRECT("$P$" &amp; (11+J$47)))), $E$9,0)</f>
        <v>0</v>
      </c>
      <c r="K56" s="1" cm="1">
        <f t="array" aca="1" ref="K56" ca="1">IF(AND(INDIRECT("$M$" &amp; (11+K$47)) = 1, $H56 = (INDIRECT("$P$" &amp; (11+K$47)))), $E$9,0)</f>
        <v>0</v>
      </c>
      <c r="L56" s="1" cm="1">
        <f t="array" aca="1" ref="L56" ca="1">IF(AND(INDIRECT("$M$" &amp; (11+L$47)) = 1, $H56 = (INDIRECT("$P$" &amp; (11+L$47)))), $E$9,0)</f>
        <v>0</v>
      </c>
      <c r="M56" s="1" cm="1">
        <f t="array" aca="1" ref="M56" ca="1">IF(AND(INDIRECT("$M$" &amp; (11+M$47)) = 1, $H56 = (INDIRECT("$P$" &amp; (11+M$47)))), $E$9,0)</f>
        <v>0</v>
      </c>
      <c r="N56" s="1" cm="1">
        <f t="array" aca="1" ref="N56" ca="1">IF(AND(INDIRECT("$M$" &amp; (11+N$47)) = 1, $H56 = (INDIRECT("$P$" &amp; (11+N$47)))), $E$9,0)</f>
        <v>0</v>
      </c>
      <c r="O56" s="1" cm="1">
        <f t="array" aca="1" ref="O56" ca="1">IF(AND(INDIRECT("$M$" &amp; (11+O$47)) = 1, $H56 = (INDIRECT("$P$" &amp; (11+O$47)))), $E$9,0)</f>
        <v>0</v>
      </c>
      <c r="P56" s="1" cm="1">
        <f t="array" aca="1" ref="P56" ca="1">IF(AND(INDIRECT("$M$" &amp; (11+P$47)) = 1, $H56 = (INDIRECT("$P$" &amp; (11+P$47)))), $E$9,0)</f>
        <v>0</v>
      </c>
      <c r="Q56" s="1" cm="1">
        <f t="array" aca="1" ref="Q56" ca="1">IF(AND(INDIRECT("$M$" &amp; (11+Q$47)) = 1, $H56 = (INDIRECT("$P$" &amp; (11+Q$47)))), $E$9,0)</f>
        <v>0</v>
      </c>
      <c r="R56" s="1" cm="1">
        <f t="array" aca="1" ref="R56" ca="1">IF(AND(INDIRECT("$M$" &amp; (11+R$47)) = 1, $H56 = (INDIRECT("$P$" &amp; (11+R$47)))), $E$9,0)</f>
        <v>0</v>
      </c>
      <c r="S56" s="1" cm="1">
        <f t="array" aca="1" ref="S56" ca="1">IF(AND(INDIRECT("$M$" &amp; (11+S$47)) = 1, $H56 = (INDIRECT("$P$" &amp; (11+S$47)))), $E$9,0)</f>
        <v>0</v>
      </c>
      <c r="T56" s="1" cm="1">
        <f t="array" aca="1" ref="T56" ca="1">IF(AND(INDIRECT("$M$" &amp; (11+T$47)) = 1, $H56 = (INDIRECT("$P$" &amp; (11+T$47)))), $E$9,0)</f>
        <v>0</v>
      </c>
      <c r="U56" s="1" cm="1">
        <f t="array" aca="1" ref="U56" ca="1">IF(AND(INDIRECT("$M$" &amp; (11+U$47)) = 1, $H56 = (INDIRECT("$P$" &amp; (11+U$47)))), $E$9,0)</f>
        <v>0</v>
      </c>
      <c r="V56" s="1" cm="1">
        <f t="array" aca="1" ref="V56" ca="1">IF(AND(INDIRECT("$M$" &amp; (11+V$47)) = 1, $H56 = (INDIRECT("$P$" &amp; (11+V$47)))), $E$9,0)</f>
        <v>0</v>
      </c>
      <c r="W56" s="1" cm="1">
        <f t="array" aca="1" ref="W56" ca="1">IF(AND(INDIRECT("$M$" &amp; (11+W$47)) = 1, $H56 = (INDIRECT("$P$" &amp; (11+W$47)))), $E$9,0)</f>
        <v>0</v>
      </c>
      <c r="X56" s="1" cm="1">
        <f t="array" aca="1" ref="X56" ca="1">IF(AND(INDIRECT("$M$" &amp; (11+X$47)) = 1, $H56 = (INDIRECT("$P$" &amp; (11+X$47)))), $E$9,0)</f>
        <v>0</v>
      </c>
      <c r="Y56" s="1" cm="1">
        <f t="array" aca="1" ref="Y56" ca="1">IF(AND(INDIRECT("$M$" &amp; (11+Y$47)) = 1, $H56 = (INDIRECT("$P$" &amp; (11+Y$47)))), $E$9,0)</f>
        <v>0</v>
      </c>
      <c r="Z56" s="1" cm="1">
        <f t="array" aca="1" ref="Z56" ca="1">IF(AND(INDIRECT("$M$" &amp; (11+Z$47)) = 1, $H56 = (INDIRECT("$P$" &amp; (11+Z$47)))), $E$9,0)</f>
        <v>0</v>
      </c>
      <c r="AA56" s="1" cm="1">
        <f t="array" aca="1" ref="AA56" ca="1">IF(AND(INDIRECT("$M$" &amp; (11+AA$47)) = 1, $H56 = (INDIRECT("$P$" &amp; (11+AA$47)))), $E$9,0)</f>
        <v>0</v>
      </c>
      <c r="AB56" s="1" cm="1">
        <f t="array" aca="1" ref="AB56" ca="1">IF(AND(INDIRECT("$M$" &amp; (11+AB$47)) = 1, $H56 = (INDIRECT("$P$" &amp; (11+AB$47)))), $E$9,0)</f>
        <v>0</v>
      </c>
      <c r="AE56" s="219">
        <v>2019</v>
      </c>
      <c r="AF56" s="1" cm="1">
        <f t="array" aca="1" ref="AF56" ca="1">IF(AND(INDIRECT("$N$" &amp; (11+AF$47)) = 1, $AE56 = (INDIRECT("$Q$" &amp; (11+AF$47)))), $F$9,0)</f>
        <v>0</v>
      </c>
      <c r="AG56" s="1" cm="1">
        <f t="array" aca="1" ref="AG56" ca="1">IF(AND(INDIRECT("$N$" &amp; (11+AG$47)) = 1, $AE56 = (INDIRECT("$Q$" &amp; (11+AG$47)))), $F$9,0)</f>
        <v>0</v>
      </c>
      <c r="AH56" s="1" cm="1">
        <f t="array" aca="1" ref="AH56" ca="1">IF(AND(INDIRECT("$N$" &amp; (11+AH$47)) = 1, $AE56 = (INDIRECT("$Q$" &amp; (11+AH$47)))), $F$9,0)</f>
        <v>0</v>
      </c>
      <c r="AI56" s="1" cm="1">
        <f t="array" aca="1" ref="AI56" ca="1">IF(AND(INDIRECT("$N$" &amp; (11+AI$47)) = 1, $AE56 = (INDIRECT("$Q$" &amp; (11+AI$47)))), $F$9,0)</f>
        <v>0</v>
      </c>
      <c r="AJ56" s="1" cm="1">
        <f t="array" aca="1" ref="AJ56" ca="1">IF(AND(INDIRECT("$N$" &amp; (11+AJ$47)) = 1, $AE56 = (INDIRECT("$Q$" &amp; (11+AJ$47)))), $F$9,0)</f>
        <v>0</v>
      </c>
      <c r="AK56" s="1" cm="1">
        <f t="array" aca="1" ref="AK56" ca="1">IF(AND(INDIRECT("$N$" &amp; (11+AK$47)) = 1, $AE56 = (INDIRECT("$Q$" &amp; (11+AK$47)))), $F$9,0)</f>
        <v>0</v>
      </c>
      <c r="AL56" s="1" cm="1">
        <f t="array" aca="1" ref="AL56" ca="1">IF(AND(INDIRECT("$N$" &amp; (11+AL$47)) = 1, $AE56 = (INDIRECT("$Q$" &amp; (11+AL$47)))), $F$9,0)</f>
        <v>0</v>
      </c>
      <c r="AM56" s="1" cm="1">
        <f t="array" aca="1" ref="AM56" ca="1">IF(AND(INDIRECT("$N$" &amp; (11+AM$47)) = 1, $AE56 = (INDIRECT("$Q$" &amp; (11+AM$47)))), $F$9,0)</f>
        <v>0</v>
      </c>
      <c r="AN56" s="1" cm="1">
        <f t="array" aca="1" ref="AN56" ca="1">IF(AND(INDIRECT("$N$" &amp; (11+AN$47)) = 1, $AE56 = (INDIRECT("$Q$" &amp; (11+AN$47)))), $F$9,0)</f>
        <v>0</v>
      </c>
      <c r="AO56" s="1" cm="1">
        <f t="array" aca="1" ref="AO56" ca="1">IF(AND(INDIRECT("$N$" &amp; (11+AO$47)) = 1, $AE56 = (INDIRECT("$Q$" &amp; (11+AO$47)))), $F$9,0)</f>
        <v>0</v>
      </c>
      <c r="AP56" s="1" cm="1">
        <f t="array" aca="1" ref="AP56" ca="1">IF(AND(INDIRECT("$N$" &amp; (11+AP$47)) = 1, $AE56 = (INDIRECT("$Q$" &amp; (11+AP$47)))), $F$9,0)</f>
        <v>0</v>
      </c>
      <c r="AQ56" s="1" cm="1">
        <f t="array" aca="1" ref="AQ56" ca="1">IF(AND(INDIRECT("$N$" &amp; (11+AQ$47)) = 1, $AE56 = (INDIRECT("$Q$" &amp; (11+AQ$47)))), $F$9,0)</f>
        <v>0</v>
      </c>
      <c r="AR56" s="1" cm="1">
        <f t="array" aca="1" ref="AR56" ca="1">IF(AND(INDIRECT("$N$" &amp; (11+AR$47)) = 1, $AE56 = (INDIRECT("$Q$" &amp; (11+AR$47)))), $F$9,0)</f>
        <v>0</v>
      </c>
      <c r="AS56" s="1" cm="1">
        <f t="array" aca="1" ref="AS56" ca="1">IF(AND(INDIRECT("$N$" &amp; (11+AS$47)) = 1, $AE56 = (INDIRECT("$Q$" &amp; (11+AS$47)))), $F$9,0)</f>
        <v>0</v>
      </c>
      <c r="AT56" s="1" cm="1">
        <f t="array" aca="1" ref="AT56" ca="1">IF(AND(INDIRECT("$N$" &amp; (11+AT$47)) = 1, $AE56 = (INDIRECT("$Q$" &amp; (11+AT$47)))), $F$9,0)</f>
        <v>0</v>
      </c>
      <c r="AU56" s="1" cm="1">
        <f t="array" aca="1" ref="AU56" ca="1">IF(AND(INDIRECT("$N$" &amp; (11+AU$47)) = 1, $AE56 = (INDIRECT("$Q$" &amp; (11+AU$47)))), $F$9,0)</f>
        <v>0</v>
      </c>
      <c r="AV56" s="1" cm="1">
        <f t="array" aca="1" ref="AV56" ca="1">IF(AND(INDIRECT("$N$" &amp; (11+AV$47)) = 1, $AE56 = (INDIRECT("$Q$" &amp; (11+AV$47)))), $F$9,0)</f>
        <v>0</v>
      </c>
      <c r="AW56" s="1" cm="1">
        <f t="array" aca="1" ref="AW56" ca="1">IF(AND(INDIRECT("$N$" &amp; (11+AW$47)) = 1, $AE56 = (INDIRECT("$Q$" &amp; (11+AW$47)))), $F$9,0)</f>
        <v>0</v>
      </c>
      <c r="AX56" s="1" cm="1">
        <f t="array" aca="1" ref="AX56" ca="1">IF(AND(INDIRECT("$N$" &amp; (11+AX$47)) = 1, $AE56 = (INDIRECT("$Q$" &amp; (11+AX$47)))), $F$9,0)</f>
        <v>0</v>
      </c>
      <c r="AY56" s="1" cm="1">
        <f t="array" aca="1" ref="AY56" ca="1">IF(AND(INDIRECT("$N$" &amp; (11+AY$47)) = 1, $AE56 = (INDIRECT("$Q$" &amp; (11+AY$47)))), $F$9,0)</f>
        <v>0</v>
      </c>
    </row>
    <row r="57" spans="8:51" x14ac:dyDescent="0.3">
      <c r="H57" s="219">
        <v>2020</v>
      </c>
      <c r="I57" s="1" cm="1">
        <f t="array" aca="1" ref="I57" ca="1">IF(AND(INDIRECT("$M$" &amp; (11+I$47)) = 1, $H57 = (INDIRECT("$P$" &amp; (11+I$47)))), $E$9,0)</f>
        <v>0</v>
      </c>
      <c r="J57" s="1" cm="1">
        <f t="array" aca="1" ref="J57" ca="1">IF(AND(INDIRECT("$M$" &amp; (11+J$47)) = 1, $H57 = (INDIRECT("$P$" &amp; (11+J$47)))), $E$9,0)</f>
        <v>0</v>
      </c>
      <c r="K57" s="1" cm="1">
        <f t="array" aca="1" ref="K57" ca="1">IF(AND(INDIRECT("$M$" &amp; (11+K$47)) = 1, $H57 = (INDIRECT("$P$" &amp; (11+K$47)))), $E$9,0)</f>
        <v>0</v>
      </c>
      <c r="L57" s="1" cm="1">
        <f t="array" aca="1" ref="L57" ca="1">IF(AND(INDIRECT("$M$" &amp; (11+L$47)) = 1, $H57 = (INDIRECT("$P$" &amp; (11+L$47)))), $E$9,0)</f>
        <v>0</v>
      </c>
      <c r="M57" s="1" cm="1">
        <f t="array" aca="1" ref="M57" ca="1">IF(AND(INDIRECT("$M$" &amp; (11+M$47)) = 1, $H57 = (INDIRECT("$P$" &amp; (11+M$47)))), $E$9,0)</f>
        <v>0</v>
      </c>
      <c r="N57" s="1" cm="1">
        <f t="array" aca="1" ref="N57" ca="1">IF(AND(INDIRECT("$M$" &amp; (11+N$47)) = 1, $H57 = (INDIRECT("$P$" &amp; (11+N$47)))), $E$9,0)</f>
        <v>0</v>
      </c>
      <c r="O57" s="1" cm="1">
        <f t="array" aca="1" ref="O57" ca="1">IF(AND(INDIRECT("$M$" &amp; (11+O$47)) = 1, $H57 = (INDIRECT("$P$" &amp; (11+O$47)))), $E$9,0)</f>
        <v>0</v>
      </c>
      <c r="P57" s="1" cm="1">
        <f t="array" aca="1" ref="P57" ca="1">IF(AND(INDIRECT("$M$" &amp; (11+P$47)) = 1, $H57 = (INDIRECT("$P$" &amp; (11+P$47)))), $E$9,0)</f>
        <v>0</v>
      </c>
      <c r="Q57" s="1" cm="1">
        <f t="array" aca="1" ref="Q57" ca="1">IF(AND(INDIRECT("$M$" &amp; (11+Q$47)) = 1, $H57 = (INDIRECT("$P$" &amp; (11+Q$47)))), $E$9,0)</f>
        <v>0</v>
      </c>
      <c r="R57" s="1" cm="1">
        <f t="array" aca="1" ref="R57" ca="1">IF(AND(INDIRECT("$M$" &amp; (11+R$47)) = 1, $H57 = (INDIRECT("$P$" &amp; (11+R$47)))), $E$9,0)</f>
        <v>0</v>
      </c>
      <c r="S57" s="1" cm="1">
        <f t="array" aca="1" ref="S57" ca="1">IF(AND(INDIRECT("$M$" &amp; (11+S$47)) = 1, $H57 = (INDIRECT("$P$" &amp; (11+S$47)))), $E$9,0)</f>
        <v>0</v>
      </c>
      <c r="T57" s="1" cm="1">
        <f t="array" aca="1" ref="T57" ca="1">IF(AND(INDIRECT("$M$" &amp; (11+T$47)) = 1, $H57 = (INDIRECT("$P$" &amp; (11+T$47)))), $E$9,0)</f>
        <v>0</v>
      </c>
      <c r="U57" s="1" cm="1">
        <f t="array" aca="1" ref="U57" ca="1">IF(AND(INDIRECT("$M$" &amp; (11+U$47)) = 1, $H57 = (INDIRECT("$P$" &amp; (11+U$47)))), $E$9,0)</f>
        <v>0</v>
      </c>
      <c r="V57" s="1" cm="1">
        <f t="array" aca="1" ref="V57" ca="1">IF(AND(INDIRECT("$M$" &amp; (11+V$47)) = 1, $H57 = (INDIRECT("$P$" &amp; (11+V$47)))), $E$9,0)</f>
        <v>0</v>
      </c>
      <c r="W57" s="1" cm="1">
        <f t="array" aca="1" ref="W57" ca="1">IF(AND(INDIRECT("$M$" &amp; (11+W$47)) = 1, $H57 = (INDIRECT("$P$" &amp; (11+W$47)))), $E$9,0)</f>
        <v>0</v>
      </c>
      <c r="X57" s="1" cm="1">
        <f t="array" aca="1" ref="X57" ca="1">IF(AND(INDIRECT("$M$" &amp; (11+X$47)) = 1, $H57 = (INDIRECT("$P$" &amp; (11+X$47)))), $E$9,0)</f>
        <v>0</v>
      </c>
      <c r="Y57" s="1" cm="1">
        <f t="array" aca="1" ref="Y57" ca="1">IF(AND(INDIRECT("$M$" &amp; (11+Y$47)) = 1, $H57 = (INDIRECT("$P$" &amp; (11+Y$47)))), $E$9,0)</f>
        <v>0</v>
      </c>
      <c r="Z57" s="1" cm="1">
        <f t="array" aca="1" ref="Z57" ca="1">IF(AND(INDIRECT("$M$" &amp; (11+Z$47)) = 1, $H57 = (INDIRECT("$P$" &amp; (11+Z$47)))), $E$9,0)</f>
        <v>0</v>
      </c>
      <c r="AA57" s="1" cm="1">
        <f t="array" aca="1" ref="AA57" ca="1">IF(AND(INDIRECT("$M$" &amp; (11+AA$47)) = 1, $H57 = (INDIRECT("$P$" &amp; (11+AA$47)))), $E$9,0)</f>
        <v>0</v>
      </c>
      <c r="AB57" s="1" cm="1">
        <f t="array" aca="1" ref="AB57" ca="1">IF(AND(INDIRECT("$M$" &amp; (11+AB$47)) = 1, $H57 = (INDIRECT("$P$" &amp; (11+AB$47)))), $E$9,0)</f>
        <v>0</v>
      </c>
      <c r="AE57" s="219">
        <v>2020</v>
      </c>
      <c r="AF57" s="1" cm="1">
        <f t="array" aca="1" ref="AF57" ca="1">IF(AND(INDIRECT("$N$" &amp; (11+AF$47)) = 1, $AE57 = (INDIRECT("$Q$" &amp; (11+AF$47)))), $F$9,0)</f>
        <v>0</v>
      </c>
      <c r="AG57" s="1" cm="1">
        <f t="array" aca="1" ref="AG57" ca="1">IF(AND(INDIRECT("$N$" &amp; (11+AG$47)) = 1, $AE57 = (INDIRECT("$Q$" &amp; (11+AG$47)))), $F$9,0)</f>
        <v>0</v>
      </c>
      <c r="AH57" s="1" cm="1">
        <f t="array" aca="1" ref="AH57" ca="1">IF(AND(INDIRECT("$N$" &amp; (11+AH$47)) = 1, $AE57 = (INDIRECT("$Q$" &amp; (11+AH$47)))), $F$9,0)</f>
        <v>0</v>
      </c>
      <c r="AI57" s="1" cm="1">
        <f t="array" aca="1" ref="AI57" ca="1">IF(AND(INDIRECT("$N$" &amp; (11+AI$47)) = 1, $AE57 = (INDIRECT("$Q$" &amp; (11+AI$47)))), $F$9,0)</f>
        <v>0</v>
      </c>
      <c r="AJ57" s="1" cm="1">
        <f t="array" aca="1" ref="AJ57" ca="1">IF(AND(INDIRECT("$N$" &amp; (11+AJ$47)) = 1, $AE57 = (INDIRECT("$Q$" &amp; (11+AJ$47)))), $F$9,0)</f>
        <v>0</v>
      </c>
      <c r="AK57" s="1" cm="1">
        <f t="array" aca="1" ref="AK57" ca="1">IF(AND(INDIRECT("$N$" &amp; (11+AK$47)) = 1, $AE57 = (INDIRECT("$Q$" &amp; (11+AK$47)))), $F$9,0)</f>
        <v>0</v>
      </c>
      <c r="AL57" s="1" cm="1">
        <f t="array" aca="1" ref="AL57" ca="1">IF(AND(INDIRECT("$N$" &amp; (11+AL$47)) = 1, $AE57 = (INDIRECT("$Q$" &amp; (11+AL$47)))), $F$9,0)</f>
        <v>0</v>
      </c>
      <c r="AM57" s="1" cm="1">
        <f t="array" aca="1" ref="AM57" ca="1">IF(AND(INDIRECT("$N$" &amp; (11+AM$47)) = 1, $AE57 = (INDIRECT("$Q$" &amp; (11+AM$47)))), $F$9,0)</f>
        <v>0</v>
      </c>
      <c r="AN57" s="1" cm="1">
        <f t="array" aca="1" ref="AN57" ca="1">IF(AND(INDIRECT("$N$" &amp; (11+AN$47)) = 1, $AE57 = (INDIRECT("$Q$" &amp; (11+AN$47)))), $F$9,0)</f>
        <v>0</v>
      </c>
      <c r="AO57" s="1" cm="1">
        <f t="array" aca="1" ref="AO57" ca="1">IF(AND(INDIRECT("$N$" &amp; (11+AO$47)) = 1, $AE57 = (INDIRECT("$Q$" &amp; (11+AO$47)))), $F$9,0)</f>
        <v>0</v>
      </c>
      <c r="AP57" s="1" cm="1">
        <f t="array" aca="1" ref="AP57" ca="1">IF(AND(INDIRECT("$N$" &amp; (11+AP$47)) = 1, $AE57 = (INDIRECT("$Q$" &amp; (11+AP$47)))), $F$9,0)</f>
        <v>0</v>
      </c>
      <c r="AQ57" s="1" cm="1">
        <f t="array" aca="1" ref="AQ57" ca="1">IF(AND(INDIRECT("$N$" &amp; (11+AQ$47)) = 1, $AE57 = (INDIRECT("$Q$" &amp; (11+AQ$47)))), $F$9,0)</f>
        <v>0</v>
      </c>
      <c r="AR57" s="1" cm="1">
        <f t="array" aca="1" ref="AR57" ca="1">IF(AND(INDIRECT("$N$" &amp; (11+AR$47)) = 1, $AE57 = (INDIRECT("$Q$" &amp; (11+AR$47)))), $F$9,0)</f>
        <v>0</v>
      </c>
      <c r="AS57" s="1" cm="1">
        <f t="array" aca="1" ref="AS57" ca="1">IF(AND(INDIRECT("$N$" &amp; (11+AS$47)) = 1, $AE57 = (INDIRECT("$Q$" &amp; (11+AS$47)))), $F$9,0)</f>
        <v>0</v>
      </c>
      <c r="AT57" s="1" cm="1">
        <f t="array" aca="1" ref="AT57" ca="1">IF(AND(INDIRECT("$N$" &amp; (11+AT$47)) = 1, $AE57 = (INDIRECT("$Q$" &amp; (11+AT$47)))), $F$9,0)</f>
        <v>0</v>
      </c>
      <c r="AU57" s="1" cm="1">
        <f t="array" aca="1" ref="AU57" ca="1">IF(AND(INDIRECT("$N$" &amp; (11+AU$47)) = 1, $AE57 = (INDIRECT("$Q$" &amp; (11+AU$47)))), $F$9,0)</f>
        <v>0</v>
      </c>
      <c r="AV57" s="1" cm="1">
        <f t="array" aca="1" ref="AV57" ca="1">IF(AND(INDIRECT("$N$" &amp; (11+AV$47)) = 1, $AE57 = (INDIRECT("$Q$" &amp; (11+AV$47)))), $F$9,0)</f>
        <v>0</v>
      </c>
      <c r="AW57" s="1" cm="1">
        <f t="array" aca="1" ref="AW57" ca="1">IF(AND(INDIRECT("$N$" &amp; (11+AW$47)) = 1, $AE57 = (INDIRECT("$Q$" &amp; (11+AW$47)))), $F$9,0)</f>
        <v>0</v>
      </c>
      <c r="AX57" s="1" cm="1">
        <f t="array" aca="1" ref="AX57" ca="1">IF(AND(INDIRECT("$N$" &amp; (11+AX$47)) = 1, $AE57 = (INDIRECT("$Q$" &amp; (11+AX$47)))), $F$9,0)</f>
        <v>0</v>
      </c>
      <c r="AY57" s="1" cm="1">
        <f t="array" aca="1" ref="AY57" ca="1">IF(AND(INDIRECT("$N$" &amp; (11+AY$47)) = 1, $AE57 = (INDIRECT("$Q$" &amp; (11+AY$47)))), $F$9,0)</f>
        <v>0</v>
      </c>
    </row>
    <row r="58" spans="8:51" x14ac:dyDescent="0.3">
      <c r="H58" s="219">
        <v>2021</v>
      </c>
      <c r="I58" s="1" cm="1">
        <f t="array" aca="1" ref="I58" ca="1">IF(AND(INDIRECT("$M$" &amp; (11+I$47)) = 1, $H58 = (INDIRECT("$P$" &amp; (11+I$47)))), $E$9,0)</f>
        <v>0</v>
      </c>
      <c r="J58" s="1" cm="1">
        <f t="array" aca="1" ref="J58" ca="1">IF(AND(INDIRECT("$M$" &amp; (11+J$47)) = 1, $H58 = (INDIRECT("$P$" &amp; (11+J$47)))), $E$9,0)</f>
        <v>0</v>
      </c>
      <c r="K58" s="1" cm="1">
        <f t="array" aca="1" ref="K58" ca="1">IF(AND(INDIRECT("$M$" &amp; (11+K$47)) = 1, $H58 = (INDIRECT("$P$" &amp; (11+K$47)))), $E$9,0)</f>
        <v>0</v>
      </c>
      <c r="L58" s="1" cm="1">
        <f t="array" aca="1" ref="L58" ca="1">IF(AND(INDIRECT("$M$" &amp; (11+L$47)) = 1, $H58 = (INDIRECT("$P$" &amp; (11+L$47)))), $E$9,0)</f>
        <v>0</v>
      </c>
      <c r="M58" s="1" cm="1">
        <f t="array" aca="1" ref="M58" ca="1">IF(AND(INDIRECT("$M$" &amp; (11+M$47)) = 1, $H58 = (INDIRECT("$P$" &amp; (11+M$47)))), $E$9,0)</f>
        <v>0</v>
      </c>
      <c r="N58" s="1" cm="1">
        <f t="array" aca="1" ref="N58" ca="1">IF(AND(INDIRECT("$M$" &amp; (11+N$47)) = 1, $H58 = (INDIRECT("$P$" &amp; (11+N$47)))), $E$9,0)</f>
        <v>0</v>
      </c>
      <c r="O58" s="1" cm="1">
        <f t="array" aca="1" ref="O58" ca="1">IF(AND(INDIRECT("$M$" &amp; (11+O$47)) = 1, $H58 = (INDIRECT("$P$" &amp; (11+O$47)))), $E$9,0)</f>
        <v>0</v>
      </c>
      <c r="P58" s="1" cm="1">
        <f t="array" aca="1" ref="P58" ca="1">IF(AND(INDIRECT("$M$" &amp; (11+P$47)) = 1, $H58 = (INDIRECT("$P$" &amp; (11+P$47)))), $E$9,0)</f>
        <v>0</v>
      </c>
      <c r="Q58" s="1" cm="1">
        <f t="array" aca="1" ref="Q58" ca="1">IF(AND(INDIRECT("$M$" &amp; (11+Q$47)) = 1, $H58 = (INDIRECT("$P$" &amp; (11+Q$47)))), $E$9,0)</f>
        <v>0</v>
      </c>
      <c r="R58" s="1" cm="1">
        <f t="array" aca="1" ref="R58" ca="1">IF(AND(INDIRECT("$M$" &amp; (11+R$47)) = 1, $H58 = (INDIRECT("$P$" &amp; (11+R$47)))), $E$9,0)</f>
        <v>0</v>
      </c>
      <c r="S58" s="1" cm="1">
        <f t="array" aca="1" ref="S58" ca="1">IF(AND(INDIRECT("$M$" &amp; (11+S$47)) = 1, $H58 = (INDIRECT("$P$" &amp; (11+S$47)))), $E$9,0)</f>
        <v>0</v>
      </c>
      <c r="T58" s="1" cm="1">
        <f t="array" aca="1" ref="T58" ca="1">IF(AND(INDIRECT("$M$" &amp; (11+T$47)) = 1, $H58 = (INDIRECT("$P$" &amp; (11+T$47)))), $E$9,0)</f>
        <v>0</v>
      </c>
      <c r="U58" s="1" cm="1">
        <f t="array" aca="1" ref="U58" ca="1">IF(AND(INDIRECT("$M$" &amp; (11+U$47)) = 1, $H58 = (INDIRECT("$P$" &amp; (11+U$47)))), $E$9,0)</f>
        <v>0</v>
      </c>
      <c r="V58" s="1" cm="1">
        <f t="array" aca="1" ref="V58" ca="1">IF(AND(INDIRECT("$M$" &amp; (11+V$47)) = 1, $H58 = (INDIRECT("$P$" &amp; (11+V$47)))), $E$9,0)</f>
        <v>0</v>
      </c>
      <c r="W58" s="1" cm="1">
        <f t="array" aca="1" ref="W58" ca="1">IF(AND(INDIRECT("$M$" &amp; (11+W$47)) = 1, $H58 = (INDIRECT("$P$" &amp; (11+W$47)))), $E$9,0)</f>
        <v>0</v>
      </c>
      <c r="X58" s="1" cm="1">
        <f t="array" aca="1" ref="X58" ca="1">IF(AND(INDIRECT("$M$" &amp; (11+X$47)) = 1, $H58 = (INDIRECT("$P$" &amp; (11+X$47)))), $E$9,0)</f>
        <v>0</v>
      </c>
      <c r="Y58" s="1" cm="1">
        <f t="array" aca="1" ref="Y58" ca="1">IF(AND(INDIRECT("$M$" &amp; (11+Y$47)) = 1, $H58 = (INDIRECT("$P$" &amp; (11+Y$47)))), $E$9,0)</f>
        <v>0</v>
      </c>
      <c r="Z58" s="1" cm="1">
        <f t="array" aca="1" ref="Z58" ca="1">IF(AND(INDIRECT("$M$" &amp; (11+Z$47)) = 1, $H58 = (INDIRECT("$P$" &amp; (11+Z$47)))), $E$9,0)</f>
        <v>0</v>
      </c>
      <c r="AA58" s="1" cm="1">
        <f t="array" aca="1" ref="AA58" ca="1">IF(AND(INDIRECT("$M$" &amp; (11+AA$47)) = 1, $H58 = (INDIRECT("$P$" &amp; (11+AA$47)))), $E$9,0)</f>
        <v>0</v>
      </c>
      <c r="AB58" s="1" cm="1">
        <f t="array" aca="1" ref="AB58" ca="1">IF(AND(INDIRECT("$M$" &amp; (11+AB$47)) = 1, $H58 = (INDIRECT("$P$" &amp; (11+AB$47)))), $E$9,0)</f>
        <v>0</v>
      </c>
      <c r="AE58" s="219">
        <v>2021</v>
      </c>
      <c r="AF58" s="1" cm="1">
        <f t="array" aca="1" ref="AF58" ca="1">IF(AND(INDIRECT("$N$" &amp; (11+AF$47)) = 1, $AE58 = (INDIRECT("$Q$" &amp; (11+AF$47)))), $F$9,0)</f>
        <v>0</v>
      </c>
      <c r="AG58" s="1" cm="1">
        <f t="array" aca="1" ref="AG58" ca="1">IF(AND(INDIRECT("$N$" &amp; (11+AG$47)) = 1, $AE58 = (INDIRECT("$Q$" &amp; (11+AG$47)))), $F$9,0)</f>
        <v>0</v>
      </c>
      <c r="AH58" s="1" cm="1">
        <f t="array" aca="1" ref="AH58" ca="1">IF(AND(INDIRECT("$N$" &amp; (11+AH$47)) = 1, $AE58 = (INDIRECT("$Q$" &amp; (11+AH$47)))), $F$9,0)</f>
        <v>0</v>
      </c>
      <c r="AI58" s="1" cm="1">
        <f t="array" aca="1" ref="AI58" ca="1">IF(AND(INDIRECT("$N$" &amp; (11+AI$47)) = 1, $AE58 = (INDIRECT("$Q$" &amp; (11+AI$47)))), $F$9,0)</f>
        <v>0</v>
      </c>
      <c r="AJ58" s="1" cm="1">
        <f t="array" aca="1" ref="AJ58" ca="1">IF(AND(INDIRECT("$N$" &amp; (11+AJ$47)) = 1, $AE58 = (INDIRECT("$Q$" &amp; (11+AJ$47)))), $F$9,0)</f>
        <v>0</v>
      </c>
      <c r="AK58" s="1" cm="1">
        <f t="array" aca="1" ref="AK58" ca="1">IF(AND(INDIRECT("$N$" &amp; (11+AK$47)) = 1, $AE58 = (INDIRECT("$Q$" &amp; (11+AK$47)))), $F$9,0)</f>
        <v>0</v>
      </c>
      <c r="AL58" s="1" cm="1">
        <f t="array" aca="1" ref="AL58" ca="1">IF(AND(INDIRECT("$N$" &amp; (11+AL$47)) = 1, $AE58 = (INDIRECT("$Q$" &amp; (11+AL$47)))), $F$9,0)</f>
        <v>0</v>
      </c>
      <c r="AM58" s="1" cm="1">
        <f t="array" aca="1" ref="AM58" ca="1">IF(AND(INDIRECT("$N$" &amp; (11+AM$47)) = 1, $AE58 = (INDIRECT("$Q$" &amp; (11+AM$47)))), $F$9,0)</f>
        <v>0</v>
      </c>
      <c r="AN58" s="1" cm="1">
        <f t="array" aca="1" ref="AN58" ca="1">IF(AND(INDIRECT("$N$" &amp; (11+AN$47)) = 1, $AE58 = (INDIRECT("$Q$" &amp; (11+AN$47)))), $F$9,0)</f>
        <v>0</v>
      </c>
      <c r="AO58" s="1" cm="1">
        <f t="array" aca="1" ref="AO58" ca="1">IF(AND(INDIRECT("$N$" &amp; (11+AO$47)) = 1, $AE58 = (INDIRECT("$Q$" &amp; (11+AO$47)))), $F$9,0)</f>
        <v>0</v>
      </c>
      <c r="AP58" s="1" cm="1">
        <f t="array" aca="1" ref="AP58" ca="1">IF(AND(INDIRECT("$N$" &amp; (11+AP$47)) = 1, $AE58 = (INDIRECT("$Q$" &amp; (11+AP$47)))), $F$9,0)</f>
        <v>0</v>
      </c>
      <c r="AQ58" s="1" cm="1">
        <f t="array" aca="1" ref="AQ58" ca="1">IF(AND(INDIRECT("$N$" &amp; (11+AQ$47)) = 1, $AE58 = (INDIRECT("$Q$" &amp; (11+AQ$47)))), $F$9,0)</f>
        <v>0</v>
      </c>
      <c r="AR58" s="1" cm="1">
        <f t="array" aca="1" ref="AR58" ca="1">IF(AND(INDIRECT("$N$" &amp; (11+AR$47)) = 1, $AE58 = (INDIRECT("$Q$" &amp; (11+AR$47)))), $F$9,0)</f>
        <v>0</v>
      </c>
      <c r="AS58" s="1" cm="1">
        <f t="array" aca="1" ref="AS58" ca="1">IF(AND(INDIRECT("$N$" &amp; (11+AS$47)) = 1, $AE58 = (INDIRECT("$Q$" &amp; (11+AS$47)))), $F$9,0)</f>
        <v>0</v>
      </c>
      <c r="AT58" s="1" cm="1">
        <f t="array" aca="1" ref="AT58" ca="1">IF(AND(INDIRECT("$N$" &amp; (11+AT$47)) = 1, $AE58 = (INDIRECT("$Q$" &amp; (11+AT$47)))), $F$9,0)</f>
        <v>0</v>
      </c>
      <c r="AU58" s="1" cm="1">
        <f t="array" aca="1" ref="AU58" ca="1">IF(AND(INDIRECT("$N$" &amp; (11+AU$47)) = 1, $AE58 = (INDIRECT("$Q$" &amp; (11+AU$47)))), $F$9,0)</f>
        <v>0</v>
      </c>
      <c r="AV58" s="1" cm="1">
        <f t="array" aca="1" ref="AV58" ca="1">IF(AND(INDIRECT("$N$" &amp; (11+AV$47)) = 1, $AE58 = (INDIRECT("$Q$" &amp; (11+AV$47)))), $F$9,0)</f>
        <v>0</v>
      </c>
      <c r="AW58" s="1" cm="1">
        <f t="array" aca="1" ref="AW58" ca="1">IF(AND(INDIRECT("$N$" &amp; (11+AW$47)) = 1, $AE58 = (INDIRECT("$Q$" &amp; (11+AW$47)))), $F$9,0)</f>
        <v>0</v>
      </c>
      <c r="AX58" s="1" cm="1">
        <f t="array" aca="1" ref="AX58" ca="1">IF(AND(INDIRECT("$N$" &amp; (11+AX$47)) = 1, $AE58 = (INDIRECT("$Q$" &amp; (11+AX$47)))), $F$9,0)</f>
        <v>0</v>
      </c>
      <c r="AY58" s="1" cm="1">
        <f t="array" aca="1" ref="AY58" ca="1">IF(AND(INDIRECT("$N$" &amp; (11+AY$47)) = 1, $AE58 = (INDIRECT("$Q$" &amp; (11+AY$47)))), $F$9,0)</f>
        <v>0</v>
      </c>
    </row>
    <row r="59" spans="8:51" x14ac:dyDescent="0.3">
      <c r="H59" s="219">
        <v>2022</v>
      </c>
      <c r="I59" s="1" cm="1">
        <f t="array" aca="1" ref="I59" ca="1">IF(AND(INDIRECT("$M$" &amp; (11+I$47)) = 1, $H59 = (INDIRECT("$P$" &amp; (11+I$47)))), $E$9,0)</f>
        <v>0</v>
      </c>
      <c r="J59" s="1" cm="1">
        <f t="array" aca="1" ref="J59" ca="1">IF(AND(INDIRECT("$M$" &amp; (11+J$47)) = 1, $H59 = (INDIRECT("$P$" &amp; (11+J$47)))), $E$9,0)</f>
        <v>0</v>
      </c>
      <c r="K59" s="1" cm="1">
        <f t="array" aca="1" ref="K59" ca="1">IF(AND(INDIRECT("$M$" &amp; (11+K$47)) = 1, $H59 = (INDIRECT("$P$" &amp; (11+K$47)))), $E$9,0)</f>
        <v>0</v>
      </c>
      <c r="L59" s="1" cm="1">
        <f t="array" aca="1" ref="L59" ca="1">IF(AND(INDIRECT("$M$" &amp; (11+L$47)) = 1, $H59 = (INDIRECT("$P$" &amp; (11+L$47)))), $E$9,0)</f>
        <v>0</v>
      </c>
      <c r="M59" s="1" cm="1">
        <f t="array" aca="1" ref="M59" ca="1">IF(AND(INDIRECT("$M$" &amp; (11+M$47)) = 1, $H59 = (INDIRECT("$P$" &amp; (11+M$47)))), $E$9,0)</f>
        <v>0</v>
      </c>
      <c r="N59" s="1" cm="1">
        <f t="array" aca="1" ref="N59" ca="1">IF(AND(INDIRECT("$M$" &amp; (11+N$47)) = 1, $H59 = (INDIRECT("$P$" &amp; (11+N$47)))), $E$9,0)</f>
        <v>0</v>
      </c>
      <c r="O59" s="1" cm="1">
        <f t="array" aca="1" ref="O59" ca="1">IF(AND(INDIRECT("$M$" &amp; (11+O$47)) = 1, $H59 = (INDIRECT("$P$" &amp; (11+O$47)))), $E$9,0)</f>
        <v>0</v>
      </c>
      <c r="P59" s="1" cm="1">
        <f t="array" aca="1" ref="P59" ca="1">IF(AND(INDIRECT("$M$" &amp; (11+P$47)) = 1, $H59 = (INDIRECT("$P$" &amp; (11+P$47)))), $E$9,0)</f>
        <v>0</v>
      </c>
      <c r="Q59" s="1" cm="1">
        <f t="array" aca="1" ref="Q59" ca="1">IF(AND(INDIRECT("$M$" &amp; (11+Q$47)) = 1, $H59 = (INDIRECT("$P$" &amp; (11+Q$47)))), $E$9,0)</f>
        <v>0</v>
      </c>
      <c r="R59" s="1" cm="1">
        <f t="array" aca="1" ref="R59" ca="1">IF(AND(INDIRECT("$M$" &amp; (11+R$47)) = 1, $H59 = (INDIRECT("$P$" &amp; (11+R$47)))), $E$9,0)</f>
        <v>0</v>
      </c>
      <c r="S59" s="1" cm="1">
        <f t="array" aca="1" ref="S59" ca="1">IF(AND(INDIRECT("$M$" &amp; (11+S$47)) = 1, $H59 = (INDIRECT("$P$" &amp; (11+S$47)))), $E$9,0)</f>
        <v>0</v>
      </c>
      <c r="T59" s="1" cm="1">
        <f t="array" aca="1" ref="T59" ca="1">IF(AND(INDIRECT("$M$" &amp; (11+T$47)) = 1, $H59 = (INDIRECT("$P$" &amp; (11+T$47)))), $E$9,0)</f>
        <v>0</v>
      </c>
      <c r="U59" s="1" cm="1">
        <f t="array" aca="1" ref="U59" ca="1">IF(AND(INDIRECT("$M$" &amp; (11+U$47)) = 1, $H59 = (INDIRECT("$P$" &amp; (11+U$47)))), $E$9,0)</f>
        <v>0</v>
      </c>
      <c r="V59" s="1" cm="1">
        <f t="array" aca="1" ref="V59" ca="1">IF(AND(INDIRECT("$M$" &amp; (11+V$47)) = 1, $H59 = (INDIRECT("$P$" &amp; (11+V$47)))), $E$9,0)</f>
        <v>0</v>
      </c>
      <c r="W59" s="1" cm="1">
        <f t="array" aca="1" ref="W59" ca="1">IF(AND(INDIRECT("$M$" &amp; (11+W$47)) = 1, $H59 = (INDIRECT("$P$" &amp; (11+W$47)))), $E$9,0)</f>
        <v>0</v>
      </c>
      <c r="X59" s="1" cm="1">
        <f t="array" aca="1" ref="X59" ca="1">IF(AND(INDIRECT("$M$" &amp; (11+X$47)) = 1, $H59 = (INDIRECT("$P$" &amp; (11+X$47)))), $E$9,0)</f>
        <v>0</v>
      </c>
      <c r="Y59" s="1" cm="1">
        <f t="array" aca="1" ref="Y59" ca="1">IF(AND(INDIRECT("$M$" &amp; (11+Y$47)) = 1, $H59 = (INDIRECT("$P$" &amp; (11+Y$47)))), $E$9,0)</f>
        <v>0</v>
      </c>
      <c r="Z59" s="1" cm="1">
        <f t="array" aca="1" ref="Z59" ca="1">IF(AND(INDIRECT("$M$" &amp; (11+Z$47)) = 1, $H59 = (INDIRECT("$P$" &amp; (11+Z$47)))), $E$9,0)</f>
        <v>0</v>
      </c>
      <c r="AA59" s="1" cm="1">
        <f t="array" aca="1" ref="AA59" ca="1">IF(AND(INDIRECT("$M$" &amp; (11+AA$47)) = 1, $H59 = (INDIRECT("$P$" &amp; (11+AA$47)))), $E$9,0)</f>
        <v>0</v>
      </c>
      <c r="AB59" s="1" cm="1">
        <f t="array" aca="1" ref="AB59" ca="1">IF(AND(INDIRECT("$M$" &amp; (11+AB$47)) = 1, $H59 = (INDIRECT("$P$" &amp; (11+AB$47)))), $E$9,0)</f>
        <v>0</v>
      </c>
      <c r="AE59" s="219">
        <v>2022</v>
      </c>
      <c r="AF59" s="1" cm="1">
        <f t="array" aca="1" ref="AF59" ca="1">IF(AND(INDIRECT("$N$" &amp; (11+AF$47)) = 1, $AE59 = (INDIRECT("$Q$" &amp; (11+AF$47)))), $F$9,0)</f>
        <v>0</v>
      </c>
      <c r="AG59" s="1" cm="1">
        <f t="array" aca="1" ref="AG59" ca="1">IF(AND(INDIRECT("$N$" &amp; (11+AG$47)) = 1, $AE59 = (INDIRECT("$Q$" &amp; (11+AG$47)))), $F$9,0)</f>
        <v>0</v>
      </c>
      <c r="AH59" s="1" cm="1">
        <f t="array" aca="1" ref="AH59" ca="1">IF(AND(INDIRECT("$N$" &amp; (11+AH$47)) = 1, $AE59 = (INDIRECT("$Q$" &amp; (11+AH$47)))), $F$9,0)</f>
        <v>0</v>
      </c>
      <c r="AI59" s="1" cm="1">
        <f t="array" aca="1" ref="AI59" ca="1">IF(AND(INDIRECT("$N$" &amp; (11+AI$47)) = 1, $AE59 = (INDIRECT("$Q$" &amp; (11+AI$47)))), $F$9,0)</f>
        <v>0</v>
      </c>
      <c r="AJ59" s="1" cm="1">
        <f t="array" aca="1" ref="AJ59" ca="1">IF(AND(INDIRECT("$N$" &amp; (11+AJ$47)) = 1, $AE59 = (INDIRECT("$Q$" &amp; (11+AJ$47)))), $F$9,0)</f>
        <v>0</v>
      </c>
      <c r="AK59" s="1" cm="1">
        <f t="array" aca="1" ref="AK59" ca="1">IF(AND(INDIRECT("$N$" &amp; (11+AK$47)) = 1, $AE59 = (INDIRECT("$Q$" &amp; (11+AK$47)))), $F$9,0)</f>
        <v>0</v>
      </c>
      <c r="AL59" s="1" cm="1">
        <f t="array" aca="1" ref="AL59" ca="1">IF(AND(INDIRECT("$N$" &amp; (11+AL$47)) = 1, $AE59 = (INDIRECT("$Q$" &amp; (11+AL$47)))), $F$9,0)</f>
        <v>0</v>
      </c>
      <c r="AM59" s="1" cm="1">
        <f t="array" aca="1" ref="AM59" ca="1">IF(AND(INDIRECT("$N$" &amp; (11+AM$47)) = 1, $AE59 = (INDIRECT("$Q$" &amp; (11+AM$47)))), $F$9,0)</f>
        <v>0</v>
      </c>
      <c r="AN59" s="1" cm="1">
        <f t="array" aca="1" ref="AN59" ca="1">IF(AND(INDIRECT("$N$" &amp; (11+AN$47)) = 1, $AE59 = (INDIRECT("$Q$" &amp; (11+AN$47)))), $F$9,0)</f>
        <v>0</v>
      </c>
      <c r="AO59" s="1" cm="1">
        <f t="array" aca="1" ref="AO59" ca="1">IF(AND(INDIRECT("$N$" &amp; (11+AO$47)) = 1, $AE59 = (INDIRECT("$Q$" &amp; (11+AO$47)))), $F$9,0)</f>
        <v>0</v>
      </c>
      <c r="AP59" s="1" cm="1">
        <f t="array" aca="1" ref="AP59" ca="1">IF(AND(INDIRECT("$N$" &amp; (11+AP$47)) = 1, $AE59 = (INDIRECT("$Q$" &amp; (11+AP$47)))), $F$9,0)</f>
        <v>0</v>
      </c>
      <c r="AQ59" s="1" cm="1">
        <f t="array" aca="1" ref="AQ59" ca="1">IF(AND(INDIRECT("$N$" &amp; (11+AQ$47)) = 1, $AE59 = (INDIRECT("$Q$" &amp; (11+AQ$47)))), $F$9,0)</f>
        <v>0</v>
      </c>
      <c r="AR59" s="1" cm="1">
        <f t="array" aca="1" ref="AR59" ca="1">IF(AND(INDIRECT("$N$" &amp; (11+AR$47)) = 1, $AE59 = (INDIRECT("$Q$" &amp; (11+AR$47)))), $F$9,0)</f>
        <v>0</v>
      </c>
      <c r="AS59" s="1" cm="1">
        <f t="array" aca="1" ref="AS59" ca="1">IF(AND(INDIRECT("$N$" &amp; (11+AS$47)) = 1, $AE59 = (INDIRECT("$Q$" &amp; (11+AS$47)))), $F$9,0)</f>
        <v>0</v>
      </c>
      <c r="AT59" s="1" cm="1">
        <f t="array" aca="1" ref="AT59" ca="1">IF(AND(INDIRECT("$N$" &amp; (11+AT$47)) = 1, $AE59 = (INDIRECT("$Q$" &amp; (11+AT$47)))), $F$9,0)</f>
        <v>0</v>
      </c>
      <c r="AU59" s="1" cm="1">
        <f t="array" aca="1" ref="AU59" ca="1">IF(AND(INDIRECT("$N$" &amp; (11+AU$47)) = 1, $AE59 = (INDIRECT("$Q$" &amp; (11+AU$47)))), $F$9,0)</f>
        <v>0</v>
      </c>
      <c r="AV59" s="1" cm="1">
        <f t="array" aca="1" ref="AV59" ca="1">IF(AND(INDIRECT("$N$" &amp; (11+AV$47)) = 1, $AE59 = (INDIRECT("$Q$" &amp; (11+AV$47)))), $F$9,0)</f>
        <v>0</v>
      </c>
      <c r="AW59" s="1" cm="1">
        <f t="array" aca="1" ref="AW59" ca="1">IF(AND(INDIRECT("$N$" &amp; (11+AW$47)) = 1, $AE59 = (INDIRECT("$Q$" &amp; (11+AW$47)))), $F$9,0)</f>
        <v>0</v>
      </c>
      <c r="AX59" s="1" cm="1">
        <f t="array" aca="1" ref="AX59" ca="1">IF(AND(INDIRECT("$N$" &amp; (11+AX$47)) = 1, $AE59 = (INDIRECT("$Q$" &amp; (11+AX$47)))), $F$9,0)</f>
        <v>0</v>
      </c>
      <c r="AY59" s="1" cm="1">
        <f t="array" aca="1" ref="AY59" ca="1">IF(AND(INDIRECT("$N$" &amp; (11+AY$47)) = 1, $AE59 = (INDIRECT("$Q$" &amp; (11+AY$47)))), $F$9,0)</f>
        <v>0</v>
      </c>
    </row>
    <row r="60" spans="8:51" x14ac:dyDescent="0.3">
      <c r="H60" s="219">
        <v>2023</v>
      </c>
      <c r="I60" s="1" cm="1">
        <f t="array" aca="1" ref="I60" ca="1">IF(AND(INDIRECT("$M$" &amp; (11+I$47)) = 1, $H60 = (INDIRECT("$P$" &amp; (11+I$47)))), $E$9,0)</f>
        <v>0</v>
      </c>
      <c r="J60" s="1" cm="1">
        <f t="array" aca="1" ref="J60" ca="1">IF(AND(INDIRECT("$M$" &amp; (11+J$47)) = 1, $H60 = (INDIRECT("$P$" &amp; (11+J$47)))), $E$9,0)</f>
        <v>0</v>
      </c>
      <c r="K60" s="1" cm="1">
        <f t="array" aca="1" ref="K60" ca="1">IF(AND(INDIRECT("$M$" &amp; (11+K$47)) = 1, $H60 = (INDIRECT("$P$" &amp; (11+K$47)))), $E$9,0)</f>
        <v>0</v>
      </c>
      <c r="L60" s="1" cm="1">
        <f t="array" aca="1" ref="L60" ca="1">IF(AND(INDIRECT("$M$" &amp; (11+L$47)) = 1, $H60 = (INDIRECT("$P$" &amp; (11+L$47)))), $E$9,0)</f>
        <v>0</v>
      </c>
      <c r="M60" s="1" cm="1">
        <f t="array" aca="1" ref="M60" ca="1">IF(AND(INDIRECT("$M$" &amp; (11+M$47)) = 1, $H60 = (INDIRECT("$P$" &amp; (11+M$47)))), $E$9,0)</f>
        <v>0</v>
      </c>
      <c r="N60" s="1" cm="1">
        <f t="array" aca="1" ref="N60" ca="1">IF(AND(INDIRECT("$M$" &amp; (11+N$47)) = 1, $H60 = (INDIRECT("$P$" &amp; (11+N$47)))), $E$9,0)</f>
        <v>0</v>
      </c>
      <c r="O60" s="1" cm="1">
        <f t="array" aca="1" ref="O60" ca="1">IF(AND(INDIRECT("$M$" &amp; (11+O$47)) = 1, $H60 = (INDIRECT("$P$" &amp; (11+O$47)))), $E$9,0)</f>
        <v>0</v>
      </c>
      <c r="P60" s="1" cm="1">
        <f t="array" aca="1" ref="P60" ca="1">IF(AND(INDIRECT("$M$" &amp; (11+P$47)) = 1, $H60 = (INDIRECT("$P$" &amp; (11+P$47)))), $E$9,0)</f>
        <v>0</v>
      </c>
      <c r="Q60" s="1" cm="1">
        <f t="array" aca="1" ref="Q60" ca="1">IF(AND(INDIRECT("$M$" &amp; (11+Q$47)) = 1, $H60 = (INDIRECT("$P$" &amp; (11+Q$47)))), $E$9,0)</f>
        <v>0</v>
      </c>
      <c r="R60" s="1" cm="1">
        <f t="array" aca="1" ref="R60" ca="1">IF(AND(INDIRECT("$M$" &amp; (11+R$47)) = 1, $H60 = (INDIRECT("$P$" &amp; (11+R$47)))), $E$9,0)</f>
        <v>0</v>
      </c>
      <c r="S60" s="1" cm="1">
        <f t="array" aca="1" ref="S60" ca="1">IF(AND(INDIRECT("$M$" &amp; (11+S$47)) = 1, $H60 = (INDIRECT("$P$" &amp; (11+S$47)))), $E$9,0)</f>
        <v>0</v>
      </c>
      <c r="T60" s="1" cm="1">
        <f t="array" aca="1" ref="T60" ca="1">IF(AND(INDIRECT("$M$" &amp; (11+T$47)) = 1, $H60 = (INDIRECT("$P$" &amp; (11+T$47)))), $E$9,0)</f>
        <v>0</v>
      </c>
      <c r="U60" s="1" cm="1">
        <f t="array" aca="1" ref="U60" ca="1">IF(AND(INDIRECT("$M$" &amp; (11+U$47)) = 1, $H60 = (INDIRECT("$P$" &amp; (11+U$47)))), $E$9,0)</f>
        <v>0</v>
      </c>
      <c r="V60" s="1" cm="1">
        <f t="array" aca="1" ref="V60" ca="1">IF(AND(INDIRECT("$M$" &amp; (11+V$47)) = 1, $H60 = (INDIRECT("$P$" &amp; (11+V$47)))), $E$9,0)</f>
        <v>0</v>
      </c>
      <c r="W60" s="1" cm="1">
        <f t="array" aca="1" ref="W60" ca="1">IF(AND(INDIRECT("$M$" &amp; (11+W$47)) = 1, $H60 = (INDIRECT("$P$" &amp; (11+W$47)))), $E$9,0)</f>
        <v>0</v>
      </c>
      <c r="X60" s="1" cm="1">
        <f t="array" aca="1" ref="X60" ca="1">IF(AND(INDIRECT("$M$" &amp; (11+X$47)) = 1, $H60 = (INDIRECT("$P$" &amp; (11+X$47)))), $E$9,0)</f>
        <v>0</v>
      </c>
      <c r="Y60" s="1" cm="1">
        <f t="array" aca="1" ref="Y60" ca="1">IF(AND(INDIRECT("$M$" &amp; (11+Y$47)) = 1, $H60 = (INDIRECT("$P$" &amp; (11+Y$47)))), $E$9,0)</f>
        <v>0</v>
      </c>
      <c r="Z60" s="1" cm="1">
        <f t="array" aca="1" ref="Z60" ca="1">IF(AND(INDIRECT("$M$" &amp; (11+Z$47)) = 1, $H60 = (INDIRECT("$P$" &amp; (11+Z$47)))), $E$9,0)</f>
        <v>0</v>
      </c>
      <c r="AA60" s="1" cm="1">
        <f t="array" aca="1" ref="AA60" ca="1">IF(AND(INDIRECT("$M$" &amp; (11+AA$47)) = 1, $H60 = (INDIRECT("$P$" &amp; (11+AA$47)))), $E$9,0)</f>
        <v>0</v>
      </c>
      <c r="AB60" s="1" cm="1">
        <f t="array" aca="1" ref="AB60" ca="1">IF(AND(INDIRECT("$M$" &amp; (11+AB$47)) = 1, $H60 = (INDIRECT("$P$" &amp; (11+AB$47)))), $E$9,0)</f>
        <v>0</v>
      </c>
      <c r="AE60" s="219">
        <v>2023</v>
      </c>
      <c r="AF60" s="1" cm="1">
        <f t="array" aca="1" ref="AF60" ca="1">IF(AND(INDIRECT("$N$" &amp; (11+AF$47)) = 1, $AE60 = (INDIRECT("$Q$" &amp; (11+AF$47)))), $F$9,0)</f>
        <v>0</v>
      </c>
      <c r="AG60" s="1" cm="1">
        <f t="array" aca="1" ref="AG60" ca="1">IF(AND(INDIRECT("$N$" &amp; (11+AG$47)) = 1, $AE60 = (INDIRECT("$Q$" &amp; (11+AG$47)))), $F$9,0)</f>
        <v>0</v>
      </c>
      <c r="AH60" s="1" cm="1">
        <f t="array" aca="1" ref="AH60" ca="1">IF(AND(INDIRECT("$N$" &amp; (11+AH$47)) = 1, $AE60 = (INDIRECT("$Q$" &amp; (11+AH$47)))), $F$9,0)</f>
        <v>0</v>
      </c>
      <c r="AI60" s="1" cm="1">
        <f t="array" aca="1" ref="AI60" ca="1">IF(AND(INDIRECT("$N$" &amp; (11+AI$47)) = 1, $AE60 = (INDIRECT("$Q$" &amp; (11+AI$47)))), $F$9,0)</f>
        <v>0</v>
      </c>
      <c r="AJ60" s="1" cm="1">
        <f t="array" aca="1" ref="AJ60" ca="1">IF(AND(INDIRECT("$N$" &amp; (11+AJ$47)) = 1, $AE60 = (INDIRECT("$Q$" &amp; (11+AJ$47)))), $F$9,0)</f>
        <v>0</v>
      </c>
      <c r="AK60" s="1" cm="1">
        <f t="array" aca="1" ref="AK60" ca="1">IF(AND(INDIRECT("$N$" &amp; (11+AK$47)) = 1, $AE60 = (INDIRECT("$Q$" &amp; (11+AK$47)))), $F$9,0)</f>
        <v>0</v>
      </c>
      <c r="AL60" s="1" cm="1">
        <f t="array" aca="1" ref="AL60" ca="1">IF(AND(INDIRECT("$N$" &amp; (11+AL$47)) = 1, $AE60 = (INDIRECT("$Q$" &amp; (11+AL$47)))), $F$9,0)</f>
        <v>0</v>
      </c>
      <c r="AM60" s="1" cm="1">
        <f t="array" aca="1" ref="AM60" ca="1">IF(AND(INDIRECT("$N$" &amp; (11+AM$47)) = 1, $AE60 = (INDIRECT("$Q$" &amp; (11+AM$47)))), $F$9,0)</f>
        <v>0</v>
      </c>
      <c r="AN60" s="1" cm="1">
        <f t="array" aca="1" ref="AN60" ca="1">IF(AND(INDIRECT("$N$" &amp; (11+AN$47)) = 1, $AE60 = (INDIRECT("$Q$" &amp; (11+AN$47)))), $F$9,0)</f>
        <v>0</v>
      </c>
      <c r="AO60" s="1" cm="1">
        <f t="array" aca="1" ref="AO60" ca="1">IF(AND(INDIRECT("$N$" &amp; (11+AO$47)) = 1, $AE60 = (INDIRECT("$Q$" &amp; (11+AO$47)))), $F$9,0)</f>
        <v>0</v>
      </c>
      <c r="AP60" s="1" cm="1">
        <f t="array" aca="1" ref="AP60" ca="1">IF(AND(INDIRECT("$N$" &amp; (11+AP$47)) = 1, $AE60 = (INDIRECT("$Q$" &amp; (11+AP$47)))), $F$9,0)</f>
        <v>0</v>
      </c>
      <c r="AQ60" s="1" cm="1">
        <f t="array" aca="1" ref="AQ60" ca="1">IF(AND(INDIRECT("$N$" &amp; (11+AQ$47)) = 1, $AE60 = (INDIRECT("$Q$" &amp; (11+AQ$47)))), $F$9,0)</f>
        <v>0</v>
      </c>
      <c r="AR60" s="1" cm="1">
        <f t="array" aca="1" ref="AR60" ca="1">IF(AND(INDIRECT("$N$" &amp; (11+AR$47)) = 1, $AE60 = (INDIRECT("$Q$" &amp; (11+AR$47)))), $F$9,0)</f>
        <v>0</v>
      </c>
      <c r="AS60" s="1" cm="1">
        <f t="array" aca="1" ref="AS60" ca="1">IF(AND(INDIRECT("$N$" &amp; (11+AS$47)) = 1, $AE60 = (INDIRECT("$Q$" &amp; (11+AS$47)))), $F$9,0)</f>
        <v>1500</v>
      </c>
      <c r="AT60" s="1" cm="1">
        <f t="array" aca="1" ref="AT60" ca="1">IF(AND(INDIRECT("$N$" &amp; (11+AT$47)) = 1, $AE60 = (INDIRECT("$Q$" &amp; (11+AT$47)))), $F$9,0)</f>
        <v>0</v>
      </c>
      <c r="AU60" s="1" cm="1">
        <f t="array" aca="1" ref="AU60" ca="1">IF(AND(INDIRECT("$N$" &amp; (11+AU$47)) = 1, $AE60 = (INDIRECT("$Q$" &amp; (11+AU$47)))), $F$9,0)</f>
        <v>0</v>
      </c>
      <c r="AV60" s="1" cm="1">
        <f t="array" aca="1" ref="AV60" ca="1">IF(AND(INDIRECT("$N$" &amp; (11+AV$47)) = 1, $AE60 = (INDIRECT("$Q$" &amp; (11+AV$47)))), $F$9,0)</f>
        <v>0</v>
      </c>
      <c r="AW60" s="1" cm="1">
        <f t="array" aca="1" ref="AW60" ca="1">IF(AND(INDIRECT("$N$" &amp; (11+AW$47)) = 1, $AE60 = (INDIRECT("$Q$" &amp; (11+AW$47)))), $F$9,0)</f>
        <v>0</v>
      </c>
      <c r="AX60" s="1" cm="1">
        <f t="array" aca="1" ref="AX60" ca="1">IF(AND(INDIRECT("$N$" &amp; (11+AX$47)) = 1, $AE60 = (INDIRECT("$Q$" &amp; (11+AX$47)))), $F$9,0)</f>
        <v>0</v>
      </c>
      <c r="AY60" s="1" cm="1">
        <f t="array" aca="1" ref="AY60" ca="1">IF(AND(INDIRECT("$N$" &amp; (11+AY$47)) = 1, $AE60 = (INDIRECT("$Q$" &amp; (11+AY$47)))), $F$9,0)</f>
        <v>0</v>
      </c>
    </row>
    <row r="61" spans="8:51" x14ac:dyDescent="0.3">
      <c r="H61" s="219">
        <v>2024</v>
      </c>
      <c r="I61" s="1" cm="1">
        <f t="array" aca="1" ref="I61" ca="1">IF(AND(INDIRECT("$M$" &amp; (11+I$47)) = 1, $H61 = (INDIRECT("$P$" &amp; (11+I$47)))), $E$9,0)</f>
        <v>0</v>
      </c>
      <c r="J61" s="1" cm="1">
        <f t="array" aca="1" ref="J61" ca="1">IF(AND(INDIRECT("$M$" &amp; (11+J$47)) = 1, $H61 = (INDIRECT("$P$" &amp; (11+J$47)))), $E$9,0)</f>
        <v>0</v>
      </c>
      <c r="K61" s="1" cm="1">
        <f t="array" aca="1" ref="K61" ca="1">IF(AND(INDIRECT("$M$" &amp; (11+K$47)) = 1, $H61 = (INDIRECT("$P$" &amp; (11+K$47)))), $E$9,0)</f>
        <v>0</v>
      </c>
      <c r="L61" s="1" cm="1">
        <f t="array" aca="1" ref="L61" ca="1">IF(AND(INDIRECT("$M$" &amp; (11+L$47)) = 1, $H61 = (INDIRECT("$P$" &amp; (11+L$47)))), $E$9,0)</f>
        <v>0</v>
      </c>
      <c r="M61" s="1" cm="1">
        <f t="array" aca="1" ref="M61" ca="1">IF(AND(INDIRECT("$M$" &amp; (11+M$47)) = 1, $H61 = (INDIRECT("$P$" &amp; (11+M$47)))), $E$9,0)</f>
        <v>0</v>
      </c>
      <c r="N61" s="1" cm="1">
        <f t="array" aca="1" ref="N61" ca="1">IF(AND(INDIRECT("$M$" &amp; (11+N$47)) = 1, $H61 = (INDIRECT("$P$" &amp; (11+N$47)))), $E$9,0)</f>
        <v>0</v>
      </c>
      <c r="O61" s="1" cm="1">
        <f t="array" aca="1" ref="O61" ca="1">IF(AND(INDIRECT("$M$" &amp; (11+O$47)) = 1, $H61 = (INDIRECT("$P$" &amp; (11+O$47)))), $E$9,0)</f>
        <v>0</v>
      </c>
      <c r="P61" s="1" cm="1">
        <f t="array" aca="1" ref="P61" ca="1">IF(AND(INDIRECT("$M$" &amp; (11+P$47)) = 1, $H61 = (INDIRECT("$P$" &amp; (11+P$47)))), $E$9,0)</f>
        <v>0</v>
      </c>
      <c r="Q61" s="1" cm="1">
        <f t="array" aca="1" ref="Q61" ca="1">IF(AND(INDIRECT("$M$" &amp; (11+Q$47)) = 1, $H61 = (INDIRECT("$P$" &amp; (11+Q$47)))), $E$9,0)</f>
        <v>0</v>
      </c>
      <c r="R61" s="1" cm="1">
        <f t="array" aca="1" ref="R61" ca="1">IF(AND(INDIRECT("$M$" &amp; (11+R$47)) = 1, $H61 = (INDIRECT("$P$" &amp; (11+R$47)))), $E$9,0)</f>
        <v>0</v>
      </c>
      <c r="S61" s="1" cm="1">
        <f t="array" aca="1" ref="S61" ca="1">IF(AND(INDIRECT("$M$" &amp; (11+S$47)) = 1, $H61 = (INDIRECT("$P$" &amp; (11+S$47)))), $E$9,0)</f>
        <v>0</v>
      </c>
      <c r="T61" s="1" cm="1">
        <f t="array" aca="1" ref="T61" ca="1">IF(AND(INDIRECT("$M$" &amp; (11+T$47)) = 1, $H61 = (INDIRECT("$P$" &amp; (11+T$47)))), $E$9,0)</f>
        <v>0</v>
      </c>
      <c r="U61" s="1" cm="1">
        <f t="array" aca="1" ref="U61" ca="1">IF(AND(INDIRECT("$M$" &amp; (11+U$47)) = 1, $H61 = (INDIRECT("$P$" &amp; (11+U$47)))), $E$9,0)</f>
        <v>0</v>
      </c>
      <c r="V61" s="1" cm="1">
        <f t="array" aca="1" ref="V61" ca="1">IF(AND(INDIRECT("$M$" &amp; (11+V$47)) = 1, $H61 = (INDIRECT("$P$" &amp; (11+V$47)))), $E$9,0)</f>
        <v>0</v>
      </c>
      <c r="W61" s="1" cm="1">
        <f t="array" aca="1" ref="W61" ca="1">IF(AND(INDIRECT("$M$" &amp; (11+W$47)) = 1, $H61 = (INDIRECT("$P$" &amp; (11+W$47)))), $E$9,0)</f>
        <v>0</v>
      </c>
      <c r="X61" s="1" cm="1">
        <f t="array" aca="1" ref="X61" ca="1">IF(AND(INDIRECT("$M$" &amp; (11+X$47)) = 1, $H61 = (INDIRECT("$P$" &amp; (11+X$47)))), $E$9,0)</f>
        <v>0</v>
      </c>
      <c r="Y61" s="1" cm="1">
        <f t="array" aca="1" ref="Y61" ca="1">IF(AND(INDIRECT("$M$" &amp; (11+Y$47)) = 1, $H61 = (INDIRECT("$P$" &amp; (11+Y$47)))), $E$9,0)</f>
        <v>0</v>
      </c>
      <c r="Z61" s="1" cm="1">
        <f t="array" aca="1" ref="Z61" ca="1">IF(AND(INDIRECT("$M$" &amp; (11+Z$47)) = 1, $H61 = (INDIRECT("$P$" &amp; (11+Z$47)))), $E$9,0)</f>
        <v>0</v>
      </c>
      <c r="AA61" s="1" cm="1">
        <f t="array" aca="1" ref="AA61" ca="1">IF(AND(INDIRECT("$M$" &amp; (11+AA$47)) = 1, $H61 = (INDIRECT("$P$" &amp; (11+AA$47)))), $E$9,0)</f>
        <v>0</v>
      </c>
      <c r="AB61" s="1" cm="1">
        <f t="array" aca="1" ref="AB61" ca="1">IF(AND(INDIRECT("$M$" &amp; (11+AB$47)) = 1, $H61 = (INDIRECT("$P$" &amp; (11+AB$47)))), $E$9,0)</f>
        <v>0</v>
      </c>
      <c r="AE61" s="219">
        <v>2024</v>
      </c>
      <c r="AF61" s="1" cm="1">
        <f t="array" aca="1" ref="AF61" ca="1">IF(AND(INDIRECT("$N$" &amp; (11+AF$47)) = 1, $AE61 = (INDIRECT("$Q$" &amp; (11+AF$47)))), $F$9,0)</f>
        <v>0</v>
      </c>
      <c r="AG61" s="1" cm="1">
        <f t="array" aca="1" ref="AG61" ca="1">IF(AND(INDIRECT("$N$" &amp; (11+AG$47)) = 1, $AE61 = (INDIRECT("$Q$" &amp; (11+AG$47)))), $F$9,0)</f>
        <v>0</v>
      </c>
      <c r="AH61" s="1" cm="1">
        <f t="array" aca="1" ref="AH61" ca="1">IF(AND(INDIRECT("$N$" &amp; (11+AH$47)) = 1, $AE61 = (INDIRECT("$Q$" &amp; (11+AH$47)))), $F$9,0)</f>
        <v>0</v>
      </c>
      <c r="AI61" s="1" cm="1">
        <f t="array" aca="1" ref="AI61" ca="1">IF(AND(INDIRECT("$N$" &amp; (11+AI$47)) = 1, $AE61 = (INDIRECT("$Q$" &amp; (11+AI$47)))), $F$9,0)</f>
        <v>0</v>
      </c>
      <c r="AJ61" s="1" cm="1">
        <f t="array" aca="1" ref="AJ61" ca="1">IF(AND(INDIRECT("$N$" &amp; (11+AJ$47)) = 1, $AE61 = (INDIRECT("$Q$" &amp; (11+AJ$47)))), $F$9,0)</f>
        <v>0</v>
      </c>
      <c r="AK61" s="1" cm="1">
        <f t="array" aca="1" ref="AK61" ca="1">IF(AND(INDIRECT("$N$" &amp; (11+AK$47)) = 1, $AE61 = (INDIRECT("$Q$" &amp; (11+AK$47)))), $F$9,0)</f>
        <v>0</v>
      </c>
      <c r="AL61" s="1" cm="1">
        <f t="array" aca="1" ref="AL61" ca="1">IF(AND(INDIRECT("$N$" &amp; (11+AL$47)) = 1, $AE61 = (INDIRECT("$Q$" &amp; (11+AL$47)))), $F$9,0)</f>
        <v>0</v>
      </c>
      <c r="AM61" s="1" cm="1">
        <f t="array" aca="1" ref="AM61" ca="1">IF(AND(INDIRECT("$N$" &amp; (11+AM$47)) = 1, $AE61 = (INDIRECT("$Q$" &amp; (11+AM$47)))), $F$9,0)</f>
        <v>0</v>
      </c>
      <c r="AN61" s="1" cm="1">
        <f t="array" aca="1" ref="AN61" ca="1">IF(AND(INDIRECT("$N$" &amp; (11+AN$47)) = 1, $AE61 = (INDIRECT("$Q$" &amp; (11+AN$47)))), $F$9,0)</f>
        <v>0</v>
      </c>
      <c r="AO61" s="1" cm="1">
        <f t="array" aca="1" ref="AO61" ca="1">IF(AND(INDIRECT("$N$" &amp; (11+AO$47)) = 1, $AE61 = (INDIRECT("$Q$" &amp; (11+AO$47)))), $F$9,0)</f>
        <v>0</v>
      </c>
      <c r="AP61" s="1" cm="1">
        <f t="array" aca="1" ref="AP61" ca="1">IF(AND(INDIRECT("$N$" &amp; (11+AP$47)) = 1, $AE61 = (INDIRECT("$Q$" &amp; (11+AP$47)))), $F$9,0)</f>
        <v>0</v>
      </c>
      <c r="AQ61" s="1" cm="1">
        <f t="array" aca="1" ref="AQ61" ca="1">IF(AND(INDIRECT("$N$" &amp; (11+AQ$47)) = 1, $AE61 = (INDIRECT("$Q$" &amp; (11+AQ$47)))), $F$9,0)</f>
        <v>0</v>
      </c>
      <c r="AR61" s="1" cm="1">
        <f t="array" aca="1" ref="AR61" ca="1">IF(AND(INDIRECT("$N$" &amp; (11+AR$47)) = 1, $AE61 = (INDIRECT("$Q$" &amp; (11+AR$47)))), $F$9,0)</f>
        <v>0</v>
      </c>
      <c r="AS61" s="1" cm="1">
        <f t="array" aca="1" ref="AS61" ca="1">IF(AND(INDIRECT("$N$" &amp; (11+AS$47)) = 1, $AE61 = (INDIRECT("$Q$" &amp; (11+AS$47)))), $F$9,0)</f>
        <v>0</v>
      </c>
      <c r="AT61" s="1" cm="1">
        <f t="array" aca="1" ref="AT61" ca="1">IF(AND(INDIRECT("$N$" &amp; (11+AT$47)) = 1, $AE61 = (INDIRECT("$Q$" &amp; (11+AT$47)))), $F$9,0)</f>
        <v>0</v>
      </c>
      <c r="AU61" s="1" cm="1">
        <f t="array" aca="1" ref="AU61" ca="1">IF(AND(INDIRECT("$N$" &amp; (11+AU$47)) = 1, $AE61 = (INDIRECT("$Q$" &amp; (11+AU$47)))), $F$9,0)</f>
        <v>0</v>
      </c>
      <c r="AV61" s="1" cm="1">
        <f t="array" aca="1" ref="AV61" ca="1">IF(AND(INDIRECT("$N$" &amp; (11+AV$47)) = 1, $AE61 = (INDIRECT("$Q$" &amp; (11+AV$47)))), $F$9,0)</f>
        <v>0</v>
      </c>
      <c r="AW61" s="1" cm="1">
        <f t="array" aca="1" ref="AW61" ca="1">IF(AND(INDIRECT("$N$" &amp; (11+AW$47)) = 1, $AE61 = (INDIRECT("$Q$" &amp; (11+AW$47)))), $F$9,0)</f>
        <v>0</v>
      </c>
      <c r="AX61" s="1" cm="1">
        <f t="array" aca="1" ref="AX61" ca="1">IF(AND(INDIRECT("$N$" &amp; (11+AX$47)) = 1, $AE61 = (INDIRECT("$Q$" &amp; (11+AX$47)))), $F$9,0)</f>
        <v>0</v>
      </c>
      <c r="AY61" s="1" cm="1">
        <f t="array" aca="1" ref="AY61" ca="1">IF(AND(INDIRECT("$N$" &amp; (11+AY$47)) = 1, $AE61 = (INDIRECT("$Q$" &amp; (11+AY$47)))), $F$9,0)</f>
        <v>0</v>
      </c>
    </row>
    <row r="62" spans="8:51" x14ac:dyDescent="0.3">
      <c r="H62" s="219">
        <v>2025</v>
      </c>
      <c r="I62" s="1" cm="1">
        <f t="array" aca="1" ref="I62" ca="1">IF(AND(INDIRECT("$M$" &amp; (11+I$47)) = 1, $H62 = (INDIRECT("$P$" &amp; (11+I$47)))), $E$9,0)</f>
        <v>0</v>
      </c>
      <c r="J62" s="1" cm="1">
        <f t="array" aca="1" ref="J62" ca="1">IF(AND(INDIRECT("$M$" &amp; (11+J$47)) = 1, $H62 = (INDIRECT("$P$" &amp; (11+J$47)))), $E$9,0)</f>
        <v>0</v>
      </c>
      <c r="K62" s="1" cm="1">
        <f t="array" aca="1" ref="K62" ca="1">IF(AND(INDIRECT("$M$" &amp; (11+K$47)) = 1, $H62 = (INDIRECT("$P$" &amp; (11+K$47)))), $E$9,0)</f>
        <v>0</v>
      </c>
      <c r="L62" s="1" cm="1">
        <f t="array" aca="1" ref="L62" ca="1">IF(AND(INDIRECT("$M$" &amp; (11+L$47)) = 1, $H62 = (INDIRECT("$P$" &amp; (11+L$47)))), $E$9,0)</f>
        <v>0</v>
      </c>
      <c r="M62" s="1" cm="1">
        <f t="array" aca="1" ref="M62" ca="1">IF(AND(INDIRECT("$M$" &amp; (11+M$47)) = 1, $H62 = (INDIRECT("$P$" &amp; (11+M$47)))), $E$9,0)</f>
        <v>0</v>
      </c>
      <c r="N62" s="1" cm="1">
        <f t="array" aca="1" ref="N62" ca="1">IF(AND(INDIRECT("$M$" &amp; (11+N$47)) = 1, $H62 = (INDIRECT("$P$" &amp; (11+N$47)))), $E$9,0)</f>
        <v>0</v>
      </c>
      <c r="O62" s="1" cm="1">
        <f t="array" aca="1" ref="O62" ca="1">IF(AND(INDIRECT("$M$" &amp; (11+O$47)) = 1, $H62 = (INDIRECT("$P$" &amp; (11+O$47)))), $E$9,0)</f>
        <v>0</v>
      </c>
      <c r="P62" s="1" cm="1">
        <f t="array" aca="1" ref="P62" ca="1">IF(AND(INDIRECT("$M$" &amp; (11+P$47)) = 1, $H62 = (INDIRECT("$P$" &amp; (11+P$47)))), $E$9,0)</f>
        <v>0</v>
      </c>
      <c r="Q62" s="1" cm="1">
        <f t="array" aca="1" ref="Q62" ca="1">IF(AND(INDIRECT("$M$" &amp; (11+Q$47)) = 1, $H62 = (INDIRECT("$P$" &amp; (11+Q$47)))), $E$9,0)</f>
        <v>0</v>
      </c>
      <c r="R62" s="1" cm="1">
        <f t="array" aca="1" ref="R62" ca="1">IF(AND(INDIRECT("$M$" &amp; (11+R$47)) = 1, $H62 = (INDIRECT("$P$" &amp; (11+R$47)))), $E$9,0)</f>
        <v>0</v>
      </c>
      <c r="S62" s="1" cm="1">
        <f t="array" aca="1" ref="S62" ca="1">IF(AND(INDIRECT("$M$" &amp; (11+S$47)) = 1, $H62 = (INDIRECT("$P$" &amp; (11+S$47)))), $E$9,0)</f>
        <v>0</v>
      </c>
      <c r="T62" s="1" cm="1">
        <f t="array" aca="1" ref="T62" ca="1">IF(AND(INDIRECT("$M$" &amp; (11+T$47)) = 1, $H62 = (INDIRECT("$P$" &amp; (11+T$47)))), $E$9,0)</f>
        <v>0</v>
      </c>
      <c r="U62" s="1" cm="1">
        <f t="array" aca="1" ref="U62" ca="1">IF(AND(INDIRECT("$M$" &amp; (11+U$47)) = 1, $H62 = (INDIRECT("$P$" &amp; (11+U$47)))), $E$9,0)</f>
        <v>0</v>
      </c>
      <c r="V62" s="1" cm="1">
        <f t="array" aca="1" ref="V62" ca="1">IF(AND(INDIRECT("$M$" &amp; (11+V$47)) = 1, $H62 = (INDIRECT("$P$" &amp; (11+V$47)))), $E$9,0)</f>
        <v>0</v>
      </c>
      <c r="W62" s="1" cm="1">
        <f t="array" aca="1" ref="W62" ca="1">IF(AND(INDIRECT("$M$" &amp; (11+W$47)) = 1, $H62 = (INDIRECT("$P$" &amp; (11+W$47)))), $E$9,0)</f>
        <v>0</v>
      </c>
      <c r="X62" s="1" cm="1">
        <f t="array" aca="1" ref="X62" ca="1">IF(AND(INDIRECT("$M$" &amp; (11+X$47)) = 1, $H62 = (INDIRECT("$P$" &amp; (11+X$47)))), $E$9,0)</f>
        <v>0</v>
      </c>
      <c r="Y62" s="1" cm="1">
        <f t="array" aca="1" ref="Y62" ca="1">IF(AND(INDIRECT("$M$" &amp; (11+Y$47)) = 1, $H62 = (INDIRECT("$P$" &amp; (11+Y$47)))), $E$9,0)</f>
        <v>0</v>
      </c>
      <c r="Z62" s="1" cm="1">
        <f t="array" aca="1" ref="Z62" ca="1">IF(AND(INDIRECT("$M$" &amp; (11+Z$47)) = 1, $H62 = (INDIRECT("$P$" &amp; (11+Z$47)))), $E$9,0)</f>
        <v>0</v>
      </c>
      <c r="AA62" s="1" cm="1">
        <f t="array" aca="1" ref="AA62" ca="1">IF(AND(INDIRECT("$M$" &amp; (11+AA$47)) = 1, $H62 = (INDIRECT("$P$" &amp; (11+AA$47)))), $E$9,0)</f>
        <v>0</v>
      </c>
      <c r="AB62" s="1" cm="1">
        <f t="array" aca="1" ref="AB62" ca="1">IF(AND(INDIRECT("$M$" &amp; (11+AB$47)) = 1, $H62 = (INDIRECT("$P$" &amp; (11+AB$47)))), $E$9,0)</f>
        <v>0</v>
      </c>
      <c r="AE62" s="219">
        <v>2025</v>
      </c>
      <c r="AF62" s="1" cm="1">
        <f t="array" aca="1" ref="AF62" ca="1">IF(AND(INDIRECT("$N$" &amp; (11+AF$47)) = 1, $AE62 = (INDIRECT("$Q$" &amp; (11+AF$47)))), $F$9,0)</f>
        <v>0</v>
      </c>
      <c r="AG62" s="1" cm="1">
        <f t="array" aca="1" ref="AG62" ca="1">IF(AND(INDIRECT("$N$" &amp; (11+AG$47)) = 1, $AE62 = (INDIRECT("$Q$" &amp; (11+AG$47)))), $F$9,0)</f>
        <v>0</v>
      </c>
      <c r="AH62" s="1" cm="1">
        <f t="array" aca="1" ref="AH62" ca="1">IF(AND(INDIRECT("$N$" &amp; (11+AH$47)) = 1, $AE62 = (INDIRECT("$Q$" &amp; (11+AH$47)))), $F$9,0)</f>
        <v>0</v>
      </c>
      <c r="AI62" s="1" cm="1">
        <f t="array" aca="1" ref="AI62" ca="1">IF(AND(INDIRECT("$N$" &amp; (11+AI$47)) = 1, $AE62 = (INDIRECT("$Q$" &amp; (11+AI$47)))), $F$9,0)</f>
        <v>0</v>
      </c>
      <c r="AJ62" s="1" cm="1">
        <f t="array" aca="1" ref="AJ62" ca="1">IF(AND(INDIRECT("$N$" &amp; (11+AJ$47)) = 1, $AE62 = (INDIRECT("$Q$" &amp; (11+AJ$47)))), $F$9,0)</f>
        <v>0</v>
      </c>
      <c r="AK62" s="1" cm="1">
        <f t="array" aca="1" ref="AK62" ca="1">IF(AND(INDIRECT("$N$" &amp; (11+AK$47)) = 1, $AE62 = (INDIRECT("$Q$" &amp; (11+AK$47)))), $F$9,0)</f>
        <v>0</v>
      </c>
      <c r="AL62" s="1" cm="1">
        <f t="array" aca="1" ref="AL62" ca="1">IF(AND(INDIRECT("$N$" &amp; (11+AL$47)) = 1, $AE62 = (INDIRECT("$Q$" &amp; (11+AL$47)))), $F$9,0)</f>
        <v>0</v>
      </c>
      <c r="AM62" s="1" cm="1">
        <f t="array" aca="1" ref="AM62" ca="1">IF(AND(INDIRECT("$N$" &amp; (11+AM$47)) = 1, $AE62 = (INDIRECT("$Q$" &amp; (11+AM$47)))), $F$9,0)</f>
        <v>0</v>
      </c>
      <c r="AN62" s="1" cm="1">
        <f t="array" aca="1" ref="AN62" ca="1">IF(AND(INDIRECT("$N$" &amp; (11+AN$47)) = 1, $AE62 = (INDIRECT("$Q$" &amp; (11+AN$47)))), $F$9,0)</f>
        <v>0</v>
      </c>
      <c r="AO62" s="1" cm="1">
        <f t="array" aca="1" ref="AO62" ca="1">IF(AND(INDIRECT("$N$" &amp; (11+AO$47)) = 1, $AE62 = (INDIRECT("$Q$" &amp; (11+AO$47)))), $F$9,0)</f>
        <v>0</v>
      </c>
      <c r="AP62" s="1" cm="1">
        <f t="array" aca="1" ref="AP62" ca="1">IF(AND(INDIRECT("$N$" &amp; (11+AP$47)) = 1, $AE62 = (INDIRECT("$Q$" &amp; (11+AP$47)))), $F$9,0)</f>
        <v>0</v>
      </c>
      <c r="AQ62" s="1" cm="1">
        <f t="array" aca="1" ref="AQ62" ca="1">IF(AND(INDIRECT("$N$" &amp; (11+AQ$47)) = 1, $AE62 = (INDIRECT("$Q$" &amp; (11+AQ$47)))), $F$9,0)</f>
        <v>0</v>
      </c>
      <c r="AR62" s="1" cm="1">
        <f t="array" aca="1" ref="AR62" ca="1">IF(AND(INDIRECT("$N$" &amp; (11+AR$47)) = 1, $AE62 = (INDIRECT("$Q$" &amp; (11+AR$47)))), $F$9,0)</f>
        <v>0</v>
      </c>
      <c r="AS62" s="1" cm="1">
        <f t="array" aca="1" ref="AS62" ca="1">IF(AND(INDIRECT("$N$" &amp; (11+AS$47)) = 1, $AE62 = (INDIRECT("$Q$" &amp; (11+AS$47)))), $F$9,0)</f>
        <v>0</v>
      </c>
      <c r="AT62" s="1" cm="1">
        <f t="array" aca="1" ref="AT62" ca="1">IF(AND(INDIRECT("$N$" &amp; (11+AT$47)) = 1, $AE62 = (INDIRECT("$Q$" &amp; (11+AT$47)))), $F$9,0)</f>
        <v>0</v>
      </c>
      <c r="AU62" s="1" cm="1">
        <f t="array" aca="1" ref="AU62" ca="1">IF(AND(INDIRECT("$N$" &amp; (11+AU$47)) = 1, $AE62 = (INDIRECT("$Q$" &amp; (11+AU$47)))), $F$9,0)</f>
        <v>0</v>
      </c>
      <c r="AV62" s="1" cm="1">
        <f t="array" aca="1" ref="AV62" ca="1">IF(AND(INDIRECT("$N$" &amp; (11+AV$47)) = 1, $AE62 = (INDIRECT("$Q$" &amp; (11+AV$47)))), $F$9,0)</f>
        <v>0</v>
      </c>
      <c r="AW62" s="1" cm="1">
        <f t="array" aca="1" ref="AW62" ca="1">IF(AND(INDIRECT("$N$" &amp; (11+AW$47)) = 1, $AE62 = (INDIRECT("$Q$" &amp; (11+AW$47)))), $F$9,0)</f>
        <v>0</v>
      </c>
      <c r="AX62" s="1" cm="1">
        <f t="array" aca="1" ref="AX62" ca="1">IF(AND(INDIRECT("$N$" &amp; (11+AX$47)) = 1, $AE62 = (INDIRECT("$Q$" &amp; (11+AX$47)))), $F$9,0)</f>
        <v>0</v>
      </c>
      <c r="AY62" s="1" cm="1">
        <f t="array" aca="1" ref="AY62" ca="1">IF(AND(INDIRECT("$N$" &amp; (11+AY$47)) = 1, $AE62 = (INDIRECT("$Q$" &amp; (11+AY$47)))), $F$9,0)</f>
        <v>0</v>
      </c>
    </row>
    <row r="63" spans="8:51" x14ac:dyDescent="0.3">
      <c r="H63" s="219">
        <v>2026</v>
      </c>
      <c r="I63" s="1" cm="1">
        <f t="array" aca="1" ref="I63" ca="1">IF(AND(INDIRECT("$M$" &amp; (11+I$47)) = 1, $H63 = (INDIRECT("$P$" &amp; (11+I$47)))), $E$9,0)</f>
        <v>0</v>
      </c>
      <c r="J63" s="1" cm="1">
        <f t="array" aca="1" ref="J63" ca="1">IF(AND(INDIRECT("$M$" &amp; (11+J$47)) = 1, $H63 = (INDIRECT("$P$" &amp; (11+J$47)))), $E$9,0)</f>
        <v>0</v>
      </c>
      <c r="K63" s="1" cm="1">
        <f t="array" aca="1" ref="K63" ca="1">IF(AND(INDIRECT("$M$" &amp; (11+K$47)) = 1, $H63 = (INDIRECT("$P$" &amp; (11+K$47)))), $E$9,0)</f>
        <v>0</v>
      </c>
      <c r="L63" s="1" cm="1">
        <f t="array" aca="1" ref="L63" ca="1">IF(AND(INDIRECT("$M$" &amp; (11+L$47)) = 1, $H63 = (INDIRECT("$P$" &amp; (11+L$47)))), $E$9,0)</f>
        <v>0</v>
      </c>
      <c r="M63" s="1" cm="1">
        <f t="array" aca="1" ref="M63" ca="1">IF(AND(INDIRECT("$M$" &amp; (11+M$47)) = 1, $H63 = (INDIRECT("$P$" &amp; (11+M$47)))), $E$9,0)</f>
        <v>0</v>
      </c>
      <c r="N63" s="1" cm="1">
        <f t="array" aca="1" ref="N63" ca="1">IF(AND(INDIRECT("$M$" &amp; (11+N$47)) = 1, $H63 = (INDIRECT("$P$" &amp; (11+N$47)))), $E$9,0)</f>
        <v>0</v>
      </c>
      <c r="O63" s="1" cm="1">
        <f t="array" aca="1" ref="O63" ca="1">IF(AND(INDIRECT("$M$" &amp; (11+O$47)) = 1, $H63 = (INDIRECT("$P$" &amp; (11+O$47)))), $E$9,0)</f>
        <v>0</v>
      </c>
      <c r="P63" s="1" cm="1">
        <f t="array" aca="1" ref="P63" ca="1">IF(AND(INDIRECT("$M$" &amp; (11+P$47)) = 1, $H63 = (INDIRECT("$P$" &amp; (11+P$47)))), $E$9,0)</f>
        <v>0</v>
      </c>
      <c r="Q63" s="1" cm="1">
        <f t="array" aca="1" ref="Q63" ca="1">IF(AND(INDIRECT("$M$" &amp; (11+Q$47)) = 1, $H63 = (INDIRECT("$P$" &amp; (11+Q$47)))), $E$9,0)</f>
        <v>0</v>
      </c>
      <c r="R63" s="1" cm="1">
        <f t="array" aca="1" ref="R63" ca="1">IF(AND(INDIRECT("$M$" &amp; (11+R$47)) = 1, $H63 = (INDIRECT("$P$" &amp; (11+R$47)))), $E$9,0)</f>
        <v>0</v>
      </c>
      <c r="S63" s="1" cm="1">
        <f t="array" aca="1" ref="S63" ca="1">IF(AND(INDIRECT("$M$" &amp; (11+S$47)) = 1, $H63 = (INDIRECT("$P$" &amp; (11+S$47)))), $E$9,0)</f>
        <v>0</v>
      </c>
      <c r="T63" s="1" cm="1">
        <f t="array" aca="1" ref="T63" ca="1">IF(AND(INDIRECT("$M$" &amp; (11+T$47)) = 1, $H63 = (INDIRECT("$P$" &amp; (11+T$47)))), $E$9,0)</f>
        <v>0</v>
      </c>
      <c r="U63" s="1" cm="1">
        <f t="array" aca="1" ref="U63" ca="1">IF(AND(INDIRECT("$M$" &amp; (11+U$47)) = 1, $H63 = (INDIRECT("$P$" &amp; (11+U$47)))), $E$9,0)</f>
        <v>0</v>
      </c>
      <c r="V63" s="1" cm="1">
        <f t="array" aca="1" ref="V63" ca="1">IF(AND(INDIRECT("$M$" &amp; (11+V$47)) = 1, $H63 = (INDIRECT("$P$" &amp; (11+V$47)))), $E$9,0)</f>
        <v>0</v>
      </c>
      <c r="W63" s="1" cm="1">
        <f t="array" aca="1" ref="W63" ca="1">IF(AND(INDIRECT("$M$" &amp; (11+W$47)) = 1, $H63 = (INDIRECT("$P$" &amp; (11+W$47)))), $E$9,0)</f>
        <v>0</v>
      </c>
      <c r="X63" s="1" cm="1">
        <f t="array" aca="1" ref="X63" ca="1">IF(AND(INDIRECT("$M$" &amp; (11+X$47)) = 1, $H63 = (INDIRECT("$P$" &amp; (11+X$47)))), $E$9,0)</f>
        <v>0</v>
      </c>
      <c r="Y63" s="1" cm="1">
        <f t="array" aca="1" ref="Y63" ca="1">IF(AND(INDIRECT("$M$" &amp; (11+Y$47)) = 1, $H63 = (INDIRECT("$P$" &amp; (11+Y$47)))), $E$9,0)</f>
        <v>0</v>
      </c>
      <c r="Z63" s="1" cm="1">
        <f t="array" aca="1" ref="Z63" ca="1">IF(AND(INDIRECT("$M$" &amp; (11+Z$47)) = 1, $H63 = (INDIRECT("$P$" &amp; (11+Z$47)))), $E$9,0)</f>
        <v>0</v>
      </c>
      <c r="AA63" s="1" cm="1">
        <f t="array" aca="1" ref="AA63" ca="1">IF(AND(INDIRECT("$M$" &amp; (11+AA$47)) = 1, $H63 = (INDIRECT("$P$" &amp; (11+AA$47)))), $E$9,0)</f>
        <v>0</v>
      </c>
      <c r="AB63" s="1" cm="1">
        <f t="array" aca="1" ref="AB63" ca="1">IF(AND(INDIRECT("$M$" &amp; (11+AB$47)) = 1, $H63 = (INDIRECT("$P$" &amp; (11+AB$47)))), $E$9,0)</f>
        <v>0</v>
      </c>
      <c r="AE63" s="219">
        <v>2026</v>
      </c>
      <c r="AF63" s="1" cm="1">
        <f t="array" aca="1" ref="AF63" ca="1">IF(AND(INDIRECT("$N$" &amp; (11+AF$47)) = 1, $AE63 = (INDIRECT("$Q$" &amp; (11+AF$47)))), $F$9,0)</f>
        <v>0</v>
      </c>
      <c r="AG63" s="1" cm="1">
        <f t="array" aca="1" ref="AG63" ca="1">IF(AND(INDIRECT("$N$" &amp; (11+AG$47)) = 1, $AE63 = (INDIRECT("$Q$" &amp; (11+AG$47)))), $F$9,0)</f>
        <v>0</v>
      </c>
      <c r="AH63" s="1" cm="1">
        <f t="array" aca="1" ref="AH63" ca="1">IF(AND(INDIRECT("$N$" &amp; (11+AH$47)) = 1, $AE63 = (INDIRECT("$Q$" &amp; (11+AH$47)))), $F$9,0)</f>
        <v>0</v>
      </c>
      <c r="AI63" s="1" cm="1">
        <f t="array" aca="1" ref="AI63" ca="1">IF(AND(INDIRECT("$N$" &amp; (11+AI$47)) = 1, $AE63 = (INDIRECT("$Q$" &amp; (11+AI$47)))), $F$9,0)</f>
        <v>0</v>
      </c>
      <c r="AJ63" s="1" cm="1">
        <f t="array" aca="1" ref="AJ63" ca="1">IF(AND(INDIRECT("$N$" &amp; (11+AJ$47)) = 1, $AE63 = (INDIRECT("$Q$" &amp; (11+AJ$47)))), $F$9,0)</f>
        <v>0</v>
      </c>
      <c r="AK63" s="1" cm="1">
        <f t="array" aca="1" ref="AK63" ca="1">IF(AND(INDIRECT("$N$" &amp; (11+AK$47)) = 1, $AE63 = (INDIRECT("$Q$" &amp; (11+AK$47)))), $F$9,0)</f>
        <v>0</v>
      </c>
      <c r="AL63" s="1" cm="1">
        <f t="array" aca="1" ref="AL63" ca="1">IF(AND(INDIRECT("$N$" &amp; (11+AL$47)) = 1, $AE63 = (INDIRECT("$Q$" &amp; (11+AL$47)))), $F$9,0)</f>
        <v>0</v>
      </c>
      <c r="AM63" s="1" cm="1">
        <f t="array" aca="1" ref="AM63" ca="1">IF(AND(INDIRECT("$N$" &amp; (11+AM$47)) = 1, $AE63 = (INDIRECT("$Q$" &amp; (11+AM$47)))), $F$9,0)</f>
        <v>0</v>
      </c>
      <c r="AN63" s="1" cm="1">
        <f t="array" aca="1" ref="AN63" ca="1">IF(AND(INDIRECT("$N$" &amp; (11+AN$47)) = 1, $AE63 = (INDIRECT("$Q$" &amp; (11+AN$47)))), $F$9,0)</f>
        <v>0</v>
      </c>
      <c r="AO63" s="1" cm="1">
        <f t="array" aca="1" ref="AO63" ca="1">IF(AND(INDIRECT("$N$" &amp; (11+AO$47)) = 1, $AE63 = (INDIRECT("$Q$" &amp; (11+AO$47)))), $F$9,0)</f>
        <v>0</v>
      </c>
      <c r="AP63" s="1" cm="1">
        <f t="array" aca="1" ref="AP63" ca="1">IF(AND(INDIRECT("$N$" &amp; (11+AP$47)) = 1, $AE63 = (INDIRECT("$Q$" &amp; (11+AP$47)))), $F$9,0)</f>
        <v>0</v>
      </c>
      <c r="AQ63" s="1" cm="1">
        <f t="array" aca="1" ref="AQ63" ca="1">IF(AND(INDIRECT("$N$" &amp; (11+AQ$47)) = 1, $AE63 = (INDIRECT("$Q$" &amp; (11+AQ$47)))), $F$9,0)</f>
        <v>0</v>
      </c>
      <c r="AR63" s="1" cm="1">
        <f t="array" aca="1" ref="AR63" ca="1">IF(AND(INDIRECT("$N$" &amp; (11+AR$47)) = 1, $AE63 = (INDIRECT("$Q$" &amp; (11+AR$47)))), $F$9,0)</f>
        <v>0</v>
      </c>
      <c r="AS63" s="1" cm="1">
        <f t="array" aca="1" ref="AS63" ca="1">IF(AND(INDIRECT("$N$" &amp; (11+AS$47)) = 1, $AE63 = (INDIRECT("$Q$" &amp; (11+AS$47)))), $F$9,0)</f>
        <v>0</v>
      </c>
      <c r="AT63" s="1" cm="1">
        <f t="array" aca="1" ref="AT63" ca="1">IF(AND(INDIRECT("$N$" &amp; (11+AT$47)) = 1, $AE63 = (INDIRECT("$Q$" &amp; (11+AT$47)))), $F$9,0)</f>
        <v>0</v>
      </c>
      <c r="AU63" s="1" cm="1">
        <f t="array" aca="1" ref="AU63" ca="1">IF(AND(INDIRECT("$N$" &amp; (11+AU$47)) = 1, $AE63 = (INDIRECT("$Q$" &amp; (11+AU$47)))), $F$9,0)</f>
        <v>0</v>
      </c>
      <c r="AV63" s="1" cm="1">
        <f t="array" aca="1" ref="AV63" ca="1">IF(AND(INDIRECT("$N$" &amp; (11+AV$47)) = 1, $AE63 = (INDIRECT("$Q$" &amp; (11+AV$47)))), $F$9,0)</f>
        <v>0</v>
      </c>
      <c r="AW63" s="1" cm="1">
        <f t="array" aca="1" ref="AW63" ca="1">IF(AND(INDIRECT("$N$" &amp; (11+AW$47)) = 1, $AE63 = (INDIRECT("$Q$" &amp; (11+AW$47)))), $F$9,0)</f>
        <v>0</v>
      </c>
      <c r="AX63" s="1" cm="1">
        <f t="array" aca="1" ref="AX63" ca="1">IF(AND(INDIRECT("$N$" &amp; (11+AX$47)) = 1, $AE63 = (INDIRECT("$Q$" &amp; (11+AX$47)))), $F$9,0)</f>
        <v>0</v>
      </c>
      <c r="AY63" s="1" cm="1">
        <f t="array" aca="1" ref="AY63" ca="1">IF(AND(INDIRECT("$N$" &amp; (11+AY$47)) = 1, $AE63 = (INDIRECT("$Q$" &amp; (11+AY$47)))), $F$9,0)</f>
        <v>0</v>
      </c>
    </row>
    <row r="64" spans="8:51" x14ac:dyDescent="0.3">
      <c r="H64" s="219">
        <v>2027</v>
      </c>
      <c r="I64" s="1" cm="1">
        <f t="array" aca="1" ref="I64" ca="1">IF(AND(INDIRECT("$M$" &amp; (11+I$47)) = 1, $H64 = (INDIRECT("$P$" &amp; (11+I$47)))), $E$9,0)</f>
        <v>0</v>
      </c>
      <c r="J64" s="1" cm="1">
        <f t="array" aca="1" ref="J64" ca="1">IF(AND(INDIRECT("$M$" &amp; (11+J$47)) = 1, $H64 = (INDIRECT("$P$" &amp; (11+J$47)))), $E$9,0)</f>
        <v>0</v>
      </c>
      <c r="K64" s="1" cm="1">
        <f t="array" aca="1" ref="K64" ca="1">IF(AND(INDIRECT("$M$" &amp; (11+K$47)) = 1, $H64 = (INDIRECT("$P$" &amp; (11+K$47)))), $E$9,0)</f>
        <v>0</v>
      </c>
      <c r="L64" s="1" cm="1">
        <f t="array" aca="1" ref="L64" ca="1">IF(AND(INDIRECT("$M$" &amp; (11+L$47)) = 1, $H64 = (INDIRECT("$P$" &amp; (11+L$47)))), $E$9,0)</f>
        <v>0</v>
      </c>
      <c r="M64" s="1" cm="1">
        <f t="array" aca="1" ref="M64" ca="1">IF(AND(INDIRECT("$M$" &amp; (11+M$47)) = 1, $H64 = (INDIRECT("$P$" &amp; (11+M$47)))), $E$9,0)</f>
        <v>0</v>
      </c>
      <c r="N64" s="1" cm="1">
        <f t="array" aca="1" ref="N64" ca="1">IF(AND(INDIRECT("$M$" &amp; (11+N$47)) = 1, $H64 = (INDIRECT("$P$" &amp; (11+N$47)))), $E$9,0)</f>
        <v>0</v>
      </c>
      <c r="O64" s="1" cm="1">
        <f t="array" aca="1" ref="O64" ca="1">IF(AND(INDIRECT("$M$" &amp; (11+O$47)) = 1, $H64 = (INDIRECT("$P$" &amp; (11+O$47)))), $E$9,0)</f>
        <v>0</v>
      </c>
      <c r="P64" s="1" cm="1">
        <f t="array" aca="1" ref="P64" ca="1">IF(AND(INDIRECT("$M$" &amp; (11+P$47)) = 1, $H64 = (INDIRECT("$P$" &amp; (11+P$47)))), $E$9,0)</f>
        <v>0</v>
      </c>
      <c r="Q64" s="1" cm="1">
        <f t="array" aca="1" ref="Q64" ca="1">IF(AND(INDIRECT("$M$" &amp; (11+Q$47)) = 1, $H64 = (INDIRECT("$P$" &amp; (11+Q$47)))), $E$9,0)</f>
        <v>0</v>
      </c>
      <c r="R64" s="1" cm="1">
        <f t="array" aca="1" ref="R64" ca="1">IF(AND(INDIRECT("$M$" &amp; (11+R$47)) = 1, $H64 = (INDIRECT("$P$" &amp; (11+R$47)))), $E$9,0)</f>
        <v>0</v>
      </c>
      <c r="S64" s="1" cm="1">
        <f t="array" aca="1" ref="S64" ca="1">IF(AND(INDIRECT("$M$" &amp; (11+S$47)) = 1, $H64 = (INDIRECT("$P$" &amp; (11+S$47)))), $E$9,0)</f>
        <v>0</v>
      </c>
      <c r="T64" s="1" cm="1">
        <f t="array" aca="1" ref="T64" ca="1">IF(AND(INDIRECT("$M$" &amp; (11+T$47)) = 1, $H64 = (INDIRECT("$P$" &amp; (11+T$47)))), $E$9,0)</f>
        <v>0</v>
      </c>
      <c r="U64" s="1" cm="1">
        <f t="array" aca="1" ref="U64" ca="1">IF(AND(INDIRECT("$M$" &amp; (11+U$47)) = 1, $H64 = (INDIRECT("$P$" &amp; (11+U$47)))), $E$9,0)</f>
        <v>0</v>
      </c>
      <c r="V64" s="1" cm="1">
        <f t="array" aca="1" ref="V64" ca="1">IF(AND(INDIRECT("$M$" &amp; (11+V$47)) = 1, $H64 = (INDIRECT("$P$" &amp; (11+V$47)))), $E$9,0)</f>
        <v>0</v>
      </c>
      <c r="W64" s="1" cm="1">
        <f t="array" aca="1" ref="W64" ca="1">IF(AND(INDIRECT("$M$" &amp; (11+W$47)) = 1, $H64 = (INDIRECT("$P$" &amp; (11+W$47)))), $E$9,0)</f>
        <v>0</v>
      </c>
      <c r="X64" s="1" cm="1">
        <f t="array" aca="1" ref="X64" ca="1">IF(AND(INDIRECT("$M$" &amp; (11+X$47)) = 1, $H64 = (INDIRECT("$P$" &amp; (11+X$47)))), $E$9,0)</f>
        <v>0</v>
      </c>
      <c r="Y64" s="1" cm="1">
        <f t="array" aca="1" ref="Y64" ca="1">IF(AND(INDIRECT("$M$" &amp; (11+Y$47)) = 1, $H64 = (INDIRECT("$P$" &amp; (11+Y$47)))), $E$9,0)</f>
        <v>0</v>
      </c>
      <c r="Z64" s="1" cm="1">
        <f t="array" aca="1" ref="Z64" ca="1">IF(AND(INDIRECT("$M$" &amp; (11+Z$47)) = 1, $H64 = (INDIRECT("$P$" &amp; (11+Z$47)))), $E$9,0)</f>
        <v>0</v>
      </c>
      <c r="AA64" s="1" cm="1">
        <f t="array" aca="1" ref="AA64" ca="1">IF(AND(INDIRECT("$M$" &amp; (11+AA$47)) = 1, $H64 = (INDIRECT("$P$" &amp; (11+AA$47)))), $E$9,0)</f>
        <v>0</v>
      </c>
      <c r="AB64" s="1" cm="1">
        <f t="array" aca="1" ref="AB64" ca="1">IF(AND(INDIRECT("$M$" &amp; (11+AB$47)) = 1, $H64 = (INDIRECT("$P$" &amp; (11+AB$47)))), $E$9,0)</f>
        <v>0</v>
      </c>
      <c r="AE64" s="219">
        <v>2027</v>
      </c>
      <c r="AF64" s="1" cm="1">
        <f t="array" aca="1" ref="AF64" ca="1">IF(AND(INDIRECT("$N$" &amp; (11+AF$47)) = 1, $AE64 = (INDIRECT("$Q$" &amp; (11+AF$47)))), $F$9,0)</f>
        <v>0</v>
      </c>
      <c r="AG64" s="1" cm="1">
        <f t="array" aca="1" ref="AG64" ca="1">IF(AND(INDIRECT("$N$" &amp; (11+AG$47)) = 1, $AE64 = (INDIRECT("$Q$" &amp; (11+AG$47)))), $F$9,0)</f>
        <v>0</v>
      </c>
      <c r="AH64" s="1" cm="1">
        <f t="array" aca="1" ref="AH64" ca="1">IF(AND(INDIRECT("$N$" &amp; (11+AH$47)) = 1, $AE64 = (INDIRECT("$Q$" &amp; (11+AH$47)))), $F$9,0)</f>
        <v>0</v>
      </c>
      <c r="AI64" s="1" cm="1">
        <f t="array" aca="1" ref="AI64" ca="1">IF(AND(INDIRECT("$N$" &amp; (11+AI$47)) = 1, $AE64 = (INDIRECT("$Q$" &amp; (11+AI$47)))), $F$9,0)</f>
        <v>0</v>
      </c>
      <c r="AJ64" s="1" cm="1">
        <f t="array" aca="1" ref="AJ64" ca="1">IF(AND(INDIRECT("$N$" &amp; (11+AJ$47)) = 1, $AE64 = (INDIRECT("$Q$" &amp; (11+AJ$47)))), $F$9,0)</f>
        <v>0</v>
      </c>
      <c r="AK64" s="1" cm="1">
        <f t="array" aca="1" ref="AK64" ca="1">IF(AND(INDIRECT("$N$" &amp; (11+AK$47)) = 1, $AE64 = (INDIRECT("$Q$" &amp; (11+AK$47)))), $F$9,0)</f>
        <v>0</v>
      </c>
      <c r="AL64" s="1" cm="1">
        <f t="array" aca="1" ref="AL64" ca="1">IF(AND(INDIRECT("$N$" &amp; (11+AL$47)) = 1, $AE64 = (INDIRECT("$Q$" &amp; (11+AL$47)))), $F$9,0)</f>
        <v>0</v>
      </c>
      <c r="AM64" s="1" cm="1">
        <f t="array" aca="1" ref="AM64" ca="1">IF(AND(INDIRECT("$N$" &amp; (11+AM$47)) = 1, $AE64 = (INDIRECT("$Q$" &amp; (11+AM$47)))), $F$9,0)</f>
        <v>0</v>
      </c>
      <c r="AN64" s="1" cm="1">
        <f t="array" aca="1" ref="AN64" ca="1">IF(AND(INDIRECT("$N$" &amp; (11+AN$47)) = 1, $AE64 = (INDIRECT("$Q$" &amp; (11+AN$47)))), $F$9,0)</f>
        <v>0</v>
      </c>
      <c r="AO64" s="1" cm="1">
        <f t="array" aca="1" ref="AO64" ca="1">IF(AND(INDIRECT("$N$" &amp; (11+AO$47)) = 1, $AE64 = (INDIRECT("$Q$" &amp; (11+AO$47)))), $F$9,0)</f>
        <v>0</v>
      </c>
      <c r="AP64" s="1" cm="1">
        <f t="array" aca="1" ref="AP64" ca="1">IF(AND(INDIRECT("$N$" &amp; (11+AP$47)) = 1, $AE64 = (INDIRECT("$Q$" &amp; (11+AP$47)))), $F$9,0)</f>
        <v>0</v>
      </c>
      <c r="AQ64" s="1" cm="1">
        <f t="array" aca="1" ref="AQ64" ca="1">IF(AND(INDIRECT("$N$" &amp; (11+AQ$47)) = 1, $AE64 = (INDIRECT("$Q$" &amp; (11+AQ$47)))), $F$9,0)</f>
        <v>0</v>
      </c>
      <c r="AR64" s="1" cm="1">
        <f t="array" aca="1" ref="AR64" ca="1">IF(AND(INDIRECT("$N$" &amp; (11+AR$47)) = 1, $AE64 = (INDIRECT("$Q$" &amp; (11+AR$47)))), $F$9,0)</f>
        <v>0</v>
      </c>
      <c r="AS64" s="1" cm="1">
        <f t="array" aca="1" ref="AS64" ca="1">IF(AND(INDIRECT("$N$" &amp; (11+AS$47)) = 1, $AE64 = (INDIRECT("$Q$" &amp; (11+AS$47)))), $F$9,0)</f>
        <v>0</v>
      </c>
      <c r="AT64" s="1" cm="1">
        <f t="array" aca="1" ref="AT64" ca="1">IF(AND(INDIRECT("$N$" &amp; (11+AT$47)) = 1, $AE64 = (INDIRECT("$Q$" &amp; (11+AT$47)))), $F$9,0)</f>
        <v>0</v>
      </c>
      <c r="AU64" s="1" cm="1">
        <f t="array" aca="1" ref="AU64" ca="1">IF(AND(INDIRECT("$N$" &amp; (11+AU$47)) = 1, $AE64 = (INDIRECT("$Q$" &amp; (11+AU$47)))), $F$9,0)</f>
        <v>0</v>
      </c>
      <c r="AV64" s="1" cm="1">
        <f t="array" aca="1" ref="AV64" ca="1">IF(AND(INDIRECT("$N$" &amp; (11+AV$47)) = 1, $AE64 = (INDIRECT("$Q$" &amp; (11+AV$47)))), $F$9,0)</f>
        <v>0</v>
      </c>
      <c r="AW64" s="1" cm="1">
        <f t="array" aca="1" ref="AW64" ca="1">IF(AND(INDIRECT("$N$" &amp; (11+AW$47)) = 1, $AE64 = (INDIRECT("$Q$" &amp; (11+AW$47)))), $F$9,0)</f>
        <v>0</v>
      </c>
      <c r="AX64" s="1" cm="1">
        <f t="array" aca="1" ref="AX64" ca="1">IF(AND(INDIRECT("$N$" &amp; (11+AX$47)) = 1, $AE64 = (INDIRECT("$Q$" &amp; (11+AX$47)))), $F$9,0)</f>
        <v>0</v>
      </c>
      <c r="AY64" s="1" cm="1">
        <f t="array" aca="1" ref="AY64" ca="1">IF(AND(INDIRECT("$N$" &amp; (11+AY$47)) = 1, $AE64 = (INDIRECT("$Q$" &amp; (11+AY$47)))), $F$9,0)</f>
        <v>0</v>
      </c>
    </row>
    <row r="65" spans="8:51" x14ac:dyDescent="0.3">
      <c r="H65" s="219">
        <v>2028</v>
      </c>
      <c r="I65" s="1" cm="1">
        <f t="array" aca="1" ref="I65" ca="1">IF(AND(INDIRECT("$M$" &amp; (11+I$47)) = 1, $H65 = (INDIRECT("$P$" &amp; (11+I$47)))), $E$9,0)</f>
        <v>0</v>
      </c>
      <c r="J65" s="1" cm="1">
        <f t="array" aca="1" ref="J65" ca="1">IF(AND(INDIRECT("$M$" &amp; (11+J$47)) = 1, $H65 = (INDIRECT("$P$" &amp; (11+J$47)))), $E$9,0)</f>
        <v>0</v>
      </c>
      <c r="K65" s="1" cm="1">
        <f t="array" aca="1" ref="K65" ca="1">IF(AND(INDIRECT("$M$" &amp; (11+K$47)) = 1, $H65 = (INDIRECT("$P$" &amp; (11+K$47)))), $E$9,0)</f>
        <v>0</v>
      </c>
      <c r="L65" s="1" cm="1">
        <f t="array" aca="1" ref="L65" ca="1">IF(AND(INDIRECT("$M$" &amp; (11+L$47)) = 1, $H65 = (INDIRECT("$P$" &amp; (11+L$47)))), $E$9,0)</f>
        <v>0</v>
      </c>
      <c r="M65" s="1" cm="1">
        <f t="array" aca="1" ref="M65" ca="1">IF(AND(INDIRECT("$M$" &amp; (11+M$47)) = 1, $H65 = (INDIRECT("$P$" &amp; (11+M$47)))), $E$9,0)</f>
        <v>0</v>
      </c>
      <c r="N65" s="1" cm="1">
        <f t="array" aca="1" ref="N65" ca="1">IF(AND(INDIRECT("$M$" &amp; (11+N$47)) = 1, $H65 = (INDIRECT("$P$" &amp; (11+N$47)))), $E$9,0)</f>
        <v>0</v>
      </c>
      <c r="O65" s="1" cm="1">
        <f t="array" aca="1" ref="O65" ca="1">IF(AND(INDIRECT("$M$" &amp; (11+O$47)) = 1, $H65 = (INDIRECT("$P$" &amp; (11+O$47)))), $E$9,0)</f>
        <v>0</v>
      </c>
      <c r="P65" s="1" cm="1">
        <f t="array" aca="1" ref="P65" ca="1">IF(AND(INDIRECT("$M$" &amp; (11+P$47)) = 1, $H65 = (INDIRECT("$P$" &amp; (11+P$47)))), $E$9,0)</f>
        <v>0</v>
      </c>
      <c r="Q65" s="1" cm="1">
        <f t="array" aca="1" ref="Q65" ca="1">IF(AND(INDIRECT("$M$" &amp; (11+Q$47)) = 1, $H65 = (INDIRECT("$P$" &amp; (11+Q$47)))), $E$9,0)</f>
        <v>0</v>
      </c>
      <c r="R65" s="1" cm="1">
        <f t="array" aca="1" ref="R65" ca="1">IF(AND(INDIRECT("$M$" &amp; (11+R$47)) = 1, $H65 = (INDIRECT("$P$" &amp; (11+R$47)))), $E$9,0)</f>
        <v>0</v>
      </c>
      <c r="S65" s="1" cm="1">
        <f t="array" aca="1" ref="S65" ca="1">IF(AND(INDIRECT("$M$" &amp; (11+S$47)) = 1, $H65 = (INDIRECT("$P$" &amp; (11+S$47)))), $E$9,0)</f>
        <v>0</v>
      </c>
      <c r="T65" s="1" cm="1">
        <f t="array" aca="1" ref="T65" ca="1">IF(AND(INDIRECT("$M$" &amp; (11+T$47)) = 1, $H65 = (INDIRECT("$P$" &amp; (11+T$47)))), $E$9,0)</f>
        <v>0</v>
      </c>
      <c r="U65" s="1" cm="1">
        <f t="array" aca="1" ref="U65" ca="1">IF(AND(INDIRECT("$M$" &amp; (11+U$47)) = 1, $H65 = (INDIRECT("$P$" &amp; (11+U$47)))), $E$9,0)</f>
        <v>0</v>
      </c>
      <c r="V65" s="1" cm="1">
        <f t="array" aca="1" ref="V65" ca="1">IF(AND(INDIRECT("$M$" &amp; (11+V$47)) = 1, $H65 = (INDIRECT("$P$" &amp; (11+V$47)))), $E$9,0)</f>
        <v>0</v>
      </c>
      <c r="W65" s="1" cm="1">
        <f t="array" aca="1" ref="W65" ca="1">IF(AND(INDIRECT("$M$" &amp; (11+W$47)) = 1, $H65 = (INDIRECT("$P$" &amp; (11+W$47)))), $E$9,0)</f>
        <v>0</v>
      </c>
      <c r="X65" s="1" cm="1">
        <f t="array" aca="1" ref="X65" ca="1">IF(AND(INDIRECT("$M$" &amp; (11+X$47)) = 1, $H65 = (INDIRECT("$P$" &amp; (11+X$47)))), $E$9,0)</f>
        <v>0</v>
      </c>
      <c r="Y65" s="1" cm="1">
        <f t="array" aca="1" ref="Y65" ca="1">IF(AND(INDIRECT("$M$" &amp; (11+Y$47)) = 1, $H65 = (INDIRECT("$P$" &amp; (11+Y$47)))), $E$9,0)</f>
        <v>0</v>
      </c>
      <c r="Z65" s="1" cm="1">
        <f t="array" aca="1" ref="Z65" ca="1">IF(AND(INDIRECT("$M$" &amp; (11+Z$47)) = 1, $H65 = (INDIRECT("$P$" &amp; (11+Z$47)))), $E$9,0)</f>
        <v>0</v>
      </c>
      <c r="AA65" s="1" cm="1">
        <f t="array" aca="1" ref="AA65" ca="1">IF(AND(INDIRECT("$M$" &amp; (11+AA$47)) = 1, $H65 = (INDIRECT("$P$" &amp; (11+AA$47)))), $E$9,0)</f>
        <v>0</v>
      </c>
      <c r="AB65" s="1" cm="1">
        <f t="array" aca="1" ref="AB65" ca="1">IF(AND(INDIRECT("$M$" &amp; (11+AB$47)) = 1, $H65 = (INDIRECT("$P$" &amp; (11+AB$47)))), $E$9,0)</f>
        <v>0</v>
      </c>
      <c r="AE65" s="219">
        <v>2028</v>
      </c>
      <c r="AF65" s="1" cm="1">
        <f t="array" aca="1" ref="AF65" ca="1">IF(AND(INDIRECT("$N$" &amp; (11+AF$47)) = 1, $AE65 = (INDIRECT("$Q$" &amp; (11+AF$47)))), $F$9,0)</f>
        <v>0</v>
      </c>
      <c r="AG65" s="1" cm="1">
        <f t="array" aca="1" ref="AG65" ca="1">IF(AND(INDIRECT("$N$" &amp; (11+AG$47)) = 1, $AE65 = (INDIRECT("$Q$" &amp; (11+AG$47)))), $F$9,0)</f>
        <v>0</v>
      </c>
      <c r="AH65" s="1" cm="1">
        <f t="array" aca="1" ref="AH65" ca="1">IF(AND(INDIRECT("$N$" &amp; (11+AH$47)) = 1, $AE65 = (INDIRECT("$Q$" &amp; (11+AH$47)))), $F$9,0)</f>
        <v>0</v>
      </c>
      <c r="AI65" s="1" cm="1">
        <f t="array" aca="1" ref="AI65" ca="1">IF(AND(INDIRECT("$N$" &amp; (11+AI$47)) = 1, $AE65 = (INDIRECT("$Q$" &amp; (11+AI$47)))), $F$9,0)</f>
        <v>0</v>
      </c>
      <c r="AJ65" s="1" cm="1">
        <f t="array" aca="1" ref="AJ65" ca="1">IF(AND(INDIRECT("$N$" &amp; (11+AJ$47)) = 1, $AE65 = (INDIRECT("$Q$" &amp; (11+AJ$47)))), $F$9,0)</f>
        <v>0</v>
      </c>
      <c r="AK65" s="1" cm="1">
        <f t="array" aca="1" ref="AK65" ca="1">IF(AND(INDIRECT("$N$" &amp; (11+AK$47)) = 1, $AE65 = (INDIRECT("$Q$" &amp; (11+AK$47)))), $F$9,0)</f>
        <v>0</v>
      </c>
      <c r="AL65" s="1" cm="1">
        <f t="array" aca="1" ref="AL65" ca="1">IF(AND(INDIRECT("$N$" &amp; (11+AL$47)) = 1, $AE65 = (INDIRECT("$Q$" &amp; (11+AL$47)))), $F$9,0)</f>
        <v>0</v>
      </c>
      <c r="AM65" s="1" cm="1">
        <f t="array" aca="1" ref="AM65" ca="1">IF(AND(INDIRECT("$N$" &amp; (11+AM$47)) = 1, $AE65 = (INDIRECT("$Q$" &amp; (11+AM$47)))), $F$9,0)</f>
        <v>0</v>
      </c>
      <c r="AN65" s="1" cm="1">
        <f t="array" aca="1" ref="AN65" ca="1">IF(AND(INDIRECT("$N$" &amp; (11+AN$47)) = 1, $AE65 = (INDIRECT("$Q$" &amp; (11+AN$47)))), $F$9,0)</f>
        <v>0</v>
      </c>
      <c r="AO65" s="1" cm="1">
        <f t="array" aca="1" ref="AO65" ca="1">IF(AND(INDIRECT("$N$" &amp; (11+AO$47)) = 1, $AE65 = (INDIRECT("$Q$" &amp; (11+AO$47)))), $F$9,0)</f>
        <v>0</v>
      </c>
      <c r="AP65" s="1" cm="1">
        <f t="array" aca="1" ref="AP65" ca="1">IF(AND(INDIRECT("$N$" &amp; (11+AP$47)) = 1, $AE65 = (INDIRECT("$Q$" &amp; (11+AP$47)))), $F$9,0)</f>
        <v>0</v>
      </c>
      <c r="AQ65" s="1" cm="1">
        <f t="array" aca="1" ref="AQ65" ca="1">IF(AND(INDIRECT("$N$" &amp; (11+AQ$47)) = 1, $AE65 = (INDIRECT("$Q$" &amp; (11+AQ$47)))), $F$9,0)</f>
        <v>0</v>
      </c>
      <c r="AR65" s="1" cm="1">
        <f t="array" aca="1" ref="AR65" ca="1">IF(AND(INDIRECT("$N$" &amp; (11+AR$47)) = 1, $AE65 = (INDIRECT("$Q$" &amp; (11+AR$47)))), $F$9,0)</f>
        <v>0</v>
      </c>
      <c r="AS65" s="1" cm="1">
        <f t="array" aca="1" ref="AS65" ca="1">IF(AND(INDIRECT("$N$" &amp; (11+AS$47)) = 1, $AE65 = (INDIRECT("$Q$" &amp; (11+AS$47)))), $F$9,0)</f>
        <v>0</v>
      </c>
      <c r="AT65" s="1" cm="1">
        <f t="array" aca="1" ref="AT65" ca="1">IF(AND(INDIRECT("$N$" &amp; (11+AT$47)) = 1, $AE65 = (INDIRECT("$Q$" &amp; (11+AT$47)))), $F$9,0)</f>
        <v>0</v>
      </c>
      <c r="AU65" s="1" cm="1">
        <f t="array" aca="1" ref="AU65" ca="1">IF(AND(INDIRECT("$N$" &amp; (11+AU$47)) = 1, $AE65 = (INDIRECT("$Q$" &amp; (11+AU$47)))), $F$9,0)</f>
        <v>0</v>
      </c>
      <c r="AV65" s="1" cm="1">
        <f t="array" aca="1" ref="AV65" ca="1">IF(AND(INDIRECT("$N$" &amp; (11+AV$47)) = 1, $AE65 = (INDIRECT("$Q$" &amp; (11+AV$47)))), $F$9,0)</f>
        <v>0</v>
      </c>
      <c r="AW65" s="1" cm="1">
        <f t="array" aca="1" ref="AW65" ca="1">IF(AND(INDIRECT("$N$" &amp; (11+AW$47)) = 1, $AE65 = (INDIRECT("$Q$" &amp; (11+AW$47)))), $F$9,0)</f>
        <v>0</v>
      </c>
      <c r="AX65" s="1" cm="1">
        <f t="array" aca="1" ref="AX65" ca="1">IF(AND(INDIRECT("$N$" &amp; (11+AX$47)) = 1, $AE65 = (INDIRECT("$Q$" &amp; (11+AX$47)))), $F$9,0)</f>
        <v>1500</v>
      </c>
      <c r="AY65" s="1" cm="1">
        <f t="array" aca="1" ref="AY65" ca="1">IF(AND(INDIRECT("$N$" &amp; (11+AY$47)) = 1, $AE65 = (INDIRECT("$Q$" &amp; (11+AY$47)))), $F$9,0)</f>
        <v>0</v>
      </c>
    </row>
    <row r="66" spans="8:51" x14ac:dyDescent="0.3">
      <c r="H66" s="219">
        <v>2029</v>
      </c>
      <c r="I66" s="1" cm="1">
        <f t="array" aca="1" ref="I66" ca="1">IF(AND(INDIRECT("$M$" &amp; (11+I$47)) = 1, $H66 = (INDIRECT("$P$" &amp; (11+I$47)))), $E$9,0)</f>
        <v>0</v>
      </c>
      <c r="J66" s="1" cm="1">
        <f t="array" aca="1" ref="J66" ca="1">IF(AND(INDIRECT("$M$" &amp; (11+J$47)) = 1, $H66 = (INDIRECT("$P$" &amp; (11+J$47)))), $E$9,0)</f>
        <v>0</v>
      </c>
      <c r="K66" s="1" cm="1">
        <f t="array" aca="1" ref="K66" ca="1">IF(AND(INDIRECT("$M$" &amp; (11+K$47)) = 1, $H66 = (INDIRECT("$P$" &amp; (11+K$47)))), $E$9,0)</f>
        <v>0</v>
      </c>
      <c r="L66" s="1" cm="1">
        <f t="array" aca="1" ref="L66" ca="1">IF(AND(INDIRECT("$M$" &amp; (11+L$47)) = 1, $H66 = (INDIRECT("$P$" &amp; (11+L$47)))), $E$9,0)</f>
        <v>0</v>
      </c>
      <c r="M66" s="1" cm="1">
        <f t="array" aca="1" ref="M66" ca="1">IF(AND(INDIRECT("$M$" &amp; (11+M$47)) = 1, $H66 = (INDIRECT("$P$" &amp; (11+M$47)))), $E$9,0)</f>
        <v>0</v>
      </c>
      <c r="N66" s="1" cm="1">
        <f t="array" aca="1" ref="N66" ca="1">IF(AND(INDIRECT("$M$" &amp; (11+N$47)) = 1, $H66 = (INDIRECT("$P$" &amp; (11+N$47)))), $E$9,0)</f>
        <v>0</v>
      </c>
      <c r="O66" s="1" cm="1">
        <f t="array" aca="1" ref="O66" ca="1">IF(AND(INDIRECT("$M$" &amp; (11+O$47)) = 1, $H66 = (INDIRECT("$P$" &amp; (11+O$47)))), $E$9,0)</f>
        <v>0</v>
      </c>
      <c r="P66" s="1" cm="1">
        <f t="array" aca="1" ref="P66" ca="1">IF(AND(INDIRECT("$M$" &amp; (11+P$47)) = 1, $H66 = (INDIRECT("$P$" &amp; (11+P$47)))), $E$9,0)</f>
        <v>0</v>
      </c>
      <c r="Q66" s="1" cm="1">
        <f t="array" aca="1" ref="Q66" ca="1">IF(AND(INDIRECT("$M$" &amp; (11+Q$47)) = 1, $H66 = (INDIRECT("$P$" &amp; (11+Q$47)))), $E$9,0)</f>
        <v>0</v>
      </c>
      <c r="R66" s="1" cm="1">
        <f t="array" aca="1" ref="R66" ca="1">IF(AND(INDIRECT("$M$" &amp; (11+R$47)) = 1, $H66 = (INDIRECT("$P$" &amp; (11+R$47)))), $E$9,0)</f>
        <v>0</v>
      </c>
      <c r="S66" s="1" cm="1">
        <f t="array" aca="1" ref="S66" ca="1">IF(AND(INDIRECT("$M$" &amp; (11+S$47)) = 1, $H66 = (INDIRECT("$P$" &amp; (11+S$47)))), $E$9,0)</f>
        <v>0</v>
      </c>
      <c r="T66" s="1" cm="1">
        <f t="array" aca="1" ref="T66" ca="1">IF(AND(INDIRECT("$M$" &amp; (11+T$47)) = 1, $H66 = (INDIRECT("$P$" &amp; (11+T$47)))), $E$9,0)</f>
        <v>0</v>
      </c>
      <c r="U66" s="1" cm="1">
        <f t="array" aca="1" ref="U66" ca="1">IF(AND(INDIRECT("$M$" &amp; (11+U$47)) = 1, $H66 = (INDIRECT("$P$" &amp; (11+U$47)))), $E$9,0)</f>
        <v>0</v>
      </c>
      <c r="V66" s="1" cm="1">
        <f t="array" aca="1" ref="V66" ca="1">IF(AND(INDIRECT("$M$" &amp; (11+V$47)) = 1, $H66 = (INDIRECT("$P$" &amp; (11+V$47)))), $E$9,0)</f>
        <v>0</v>
      </c>
      <c r="W66" s="1" cm="1">
        <f t="array" aca="1" ref="W66" ca="1">IF(AND(INDIRECT("$M$" &amp; (11+W$47)) = 1, $H66 = (INDIRECT("$P$" &amp; (11+W$47)))), $E$9,0)</f>
        <v>0</v>
      </c>
      <c r="X66" s="1" cm="1">
        <f t="array" aca="1" ref="X66" ca="1">IF(AND(INDIRECT("$M$" &amp; (11+X$47)) = 1, $H66 = (INDIRECT("$P$" &amp; (11+X$47)))), $E$9,0)</f>
        <v>0</v>
      </c>
      <c r="Y66" s="1" cm="1">
        <f t="array" aca="1" ref="Y66" ca="1">IF(AND(INDIRECT("$M$" &amp; (11+Y$47)) = 1, $H66 = (INDIRECT("$P$" &amp; (11+Y$47)))), $E$9,0)</f>
        <v>0</v>
      </c>
      <c r="Z66" s="1" cm="1">
        <f t="array" aca="1" ref="Z66" ca="1">IF(AND(INDIRECT("$M$" &amp; (11+Z$47)) = 1, $H66 = (INDIRECT("$P$" &amp; (11+Z$47)))), $E$9,0)</f>
        <v>0</v>
      </c>
      <c r="AA66" s="1" cm="1">
        <f t="array" aca="1" ref="AA66" ca="1">IF(AND(INDIRECT("$M$" &amp; (11+AA$47)) = 1, $H66 = (INDIRECT("$P$" &amp; (11+AA$47)))), $E$9,0)</f>
        <v>0</v>
      </c>
      <c r="AB66" s="1" cm="1">
        <f t="array" aca="1" ref="AB66" ca="1">IF(AND(INDIRECT("$M$" &amp; (11+AB$47)) = 1, $H66 = (INDIRECT("$P$" &amp; (11+AB$47)))), $E$9,0)</f>
        <v>0</v>
      </c>
      <c r="AE66" s="219">
        <v>2029</v>
      </c>
      <c r="AF66" s="1" cm="1">
        <f t="array" aca="1" ref="AF66" ca="1">IF(AND(INDIRECT("$N$" &amp; (11+AF$47)) = 1, $AE66 = (INDIRECT("$Q$" &amp; (11+AF$47)))), $F$9,0)</f>
        <v>0</v>
      </c>
      <c r="AG66" s="1" cm="1">
        <f t="array" aca="1" ref="AG66" ca="1">IF(AND(INDIRECT("$N$" &amp; (11+AG$47)) = 1, $AE66 = (INDIRECT("$Q$" &amp; (11+AG$47)))), $F$9,0)</f>
        <v>0</v>
      </c>
      <c r="AH66" s="1" cm="1">
        <f t="array" aca="1" ref="AH66" ca="1">IF(AND(INDIRECT("$N$" &amp; (11+AH$47)) = 1, $AE66 = (INDIRECT("$Q$" &amp; (11+AH$47)))), $F$9,0)</f>
        <v>0</v>
      </c>
      <c r="AI66" s="1" cm="1">
        <f t="array" aca="1" ref="AI66" ca="1">IF(AND(INDIRECT("$N$" &amp; (11+AI$47)) = 1, $AE66 = (INDIRECT("$Q$" &amp; (11+AI$47)))), $F$9,0)</f>
        <v>0</v>
      </c>
      <c r="AJ66" s="1" cm="1">
        <f t="array" aca="1" ref="AJ66" ca="1">IF(AND(INDIRECT("$N$" &amp; (11+AJ$47)) = 1, $AE66 = (INDIRECT("$Q$" &amp; (11+AJ$47)))), $F$9,0)</f>
        <v>0</v>
      </c>
      <c r="AK66" s="1" cm="1">
        <f t="array" aca="1" ref="AK66" ca="1">IF(AND(INDIRECT("$N$" &amp; (11+AK$47)) = 1, $AE66 = (INDIRECT("$Q$" &amp; (11+AK$47)))), $F$9,0)</f>
        <v>0</v>
      </c>
      <c r="AL66" s="1" cm="1">
        <f t="array" aca="1" ref="AL66" ca="1">IF(AND(INDIRECT("$N$" &amp; (11+AL$47)) = 1, $AE66 = (INDIRECT("$Q$" &amp; (11+AL$47)))), $F$9,0)</f>
        <v>0</v>
      </c>
      <c r="AM66" s="1" cm="1">
        <f t="array" aca="1" ref="AM66" ca="1">IF(AND(INDIRECT("$N$" &amp; (11+AM$47)) = 1, $AE66 = (INDIRECT("$Q$" &amp; (11+AM$47)))), $F$9,0)</f>
        <v>0</v>
      </c>
      <c r="AN66" s="1" cm="1">
        <f t="array" aca="1" ref="AN66" ca="1">IF(AND(INDIRECT("$N$" &amp; (11+AN$47)) = 1, $AE66 = (INDIRECT("$Q$" &amp; (11+AN$47)))), $F$9,0)</f>
        <v>0</v>
      </c>
      <c r="AO66" s="1" cm="1">
        <f t="array" aca="1" ref="AO66" ca="1">IF(AND(INDIRECT("$N$" &amp; (11+AO$47)) = 1, $AE66 = (INDIRECT("$Q$" &amp; (11+AO$47)))), $F$9,0)</f>
        <v>0</v>
      </c>
      <c r="AP66" s="1" cm="1">
        <f t="array" aca="1" ref="AP66" ca="1">IF(AND(INDIRECT("$N$" &amp; (11+AP$47)) = 1, $AE66 = (INDIRECT("$Q$" &amp; (11+AP$47)))), $F$9,0)</f>
        <v>0</v>
      </c>
      <c r="AQ66" s="1" cm="1">
        <f t="array" aca="1" ref="AQ66" ca="1">IF(AND(INDIRECT("$N$" &amp; (11+AQ$47)) = 1, $AE66 = (INDIRECT("$Q$" &amp; (11+AQ$47)))), $F$9,0)</f>
        <v>0</v>
      </c>
      <c r="AR66" s="1" cm="1">
        <f t="array" aca="1" ref="AR66" ca="1">IF(AND(INDIRECT("$N$" &amp; (11+AR$47)) = 1, $AE66 = (INDIRECT("$Q$" &amp; (11+AR$47)))), $F$9,0)</f>
        <v>0</v>
      </c>
      <c r="AS66" s="1" cm="1">
        <f t="array" aca="1" ref="AS66" ca="1">IF(AND(INDIRECT("$N$" &amp; (11+AS$47)) = 1, $AE66 = (INDIRECT("$Q$" &amp; (11+AS$47)))), $F$9,0)</f>
        <v>0</v>
      </c>
      <c r="AT66" s="1" cm="1">
        <f t="array" aca="1" ref="AT66" ca="1">IF(AND(INDIRECT("$N$" &amp; (11+AT$47)) = 1, $AE66 = (INDIRECT("$Q$" &amp; (11+AT$47)))), $F$9,0)</f>
        <v>0</v>
      </c>
      <c r="AU66" s="1" cm="1">
        <f t="array" aca="1" ref="AU66" ca="1">IF(AND(INDIRECT("$N$" &amp; (11+AU$47)) = 1, $AE66 = (INDIRECT("$Q$" &amp; (11+AU$47)))), $F$9,0)</f>
        <v>0</v>
      </c>
      <c r="AV66" s="1" cm="1">
        <f t="array" aca="1" ref="AV66" ca="1">IF(AND(INDIRECT("$N$" &amp; (11+AV$47)) = 1, $AE66 = (INDIRECT("$Q$" &amp; (11+AV$47)))), $F$9,0)</f>
        <v>0</v>
      </c>
      <c r="AW66" s="1" cm="1">
        <f t="array" aca="1" ref="AW66" ca="1">IF(AND(INDIRECT("$N$" &amp; (11+AW$47)) = 1, $AE66 = (INDIRECT("$Q$" &amp; (11+AW$47)))), $F$9,0)</f>
        <v>0</v>
      </c>
      <c r="AX66" s="1" cm="1">
        <f t="array" aca="1" ref="AX66" ca="1">IF(AND(INDIRECT("$N$" &amp; (11+AX$47)) = 1, $AE66 = (INDIRECT("$Q$" &amp; (11+AX$47)))), $F$9,0)</f>
        <v>0</v>
      </c>
      <c r="AY66" s="1" cm="1">
        <f t="array" aca="1" ref="AY66" ca="1">IF(AND(INDIRECT("$N$" &amp; (11+AY$47)) = 1, $AE66 = (INDIRECT("$Q$" &amp; (11+AY$47)))), $F$9,0)</f>
        <v>0</v>
      </c>
    </row>
    <row r="67" spans="8:51" x14ac:dyDescent="0.3">
      <c r="H67" s="219">
        <v>2030</v>
      </c>
      <c r="I67" s="1" cm="1">
        <f t="array" aca="1" ref="I67" ca="1">IF(AND(INDIRECT("$M$" &amp; (11+I$47)) = 1, $H67 = (INDIRECT("$P$" &amp; (11+I$47)))), $E$9,0)</f>
        <v>0</v>
      </c>
      <c r="J67" s="1" cm="1">
        <f t="array" aca="1" ref="J67" ca="1">IF(AND(INDIRECT("$M$" &amp; (11+J$47)) = 1, $H67 = (INDIRECT("$P$" &amp; (11+J$47)))), $E$9,0)</f>
        <v>0</v>
      </c>
      <c r="K67" s="1" cm="1">
        <f t="array" aca="1" ref="K67" ca="1">IF(AND(INDIRECT("$M$" &amp; (11+K$47)) = 1, $H67 = (INDIRECT("$P$" &amp; (11+K$47)))), $E$9,0)</f>
        <v>0</v>
      </c>
      <c r="L67" s="1" cm="1">
        <f t="array" aca="1" ref="L67" ca="1">IF(AND(INDIRECT("$M$" &amp; (11+L$47)) = 1, $H67 = (INDIRECT("$P$" &amp; (11+L$47)))), $E$9,0)</f>
        <v>0</v>
      </c>
      <c r="M67" s="1" cm="1">
        <f t="array" aca="1" ref="M67" ca="1">IF(AND(INDIRECT("$M$" &amp; (11+M$47)) = 1, $H67 = (INDIRECT("$P$" &amp; (11+M$47)))), $E$9,0)</f>
        <v>0</v>
      </c>
      <c r="N67" s="1" cm="1">
        <f t="array" aca="1" ref="N67" ca="1">IF(AND(INDIRECT("$M$" &amp; (11+N$47)) = 1, $H67 = (INDIRECT("$P$" &amp; (11+N$47)))), $E$9,0)</f>
        <v>0</v>
      </c>
      <c r="O67" s="1" cm="1">
        <f t="array" aca="1" ref="O67" ca="1">IF(AND(INDIRECT("$M$" &amp; (11+O$47)) = 1, $H67 = (INDIRECT("$P$" &amp; (11+O$47)))), $E$9,0)</f>
        <v>0</v>
      </c>
      <c r="P67" s="1" cm="1">
        <f t="array" aca="1" ref="P67" ca="1">IF(AND(INDIRECT("$M$" &amp; (11+P$47)) = 1, $H67 = (INDIRECT("$P$" &amp; (11+P$47)))), $E$9,0)</f>
        <v>0</v>
      </c>
      <c r="Q67" s="1" cm="1">
        <f t="array" aca="1" ref="Q67" ca="1">IF(AND(INDIRECT("$M$" &amp; (11+Q$47)) = 1, $H67 = (INDIRECT("$P$" &amp; (11+Q$47)))), $E$9,0)</f>
        <v>0</v>
      </c>
      <c r="R67" s="1" cm="1">
        <f t="array" aca="1" ref="R67" ca="1">IF(AND(INDIRECT("$M$" &amp; (11+R$47)) = 1, $H67 = (INDIRECT("$P$" &amp; (11+R$47)))), $E$9,0)</f>
        <v>0</v>
      </c>
      <c r="S67" s="1" cm="1">
        <f t="array" aca="1" ref="S67" ca="1">IF(AND(INDIRECT("$M$" &amp; (11+S$47)) = 1, $H67 = (INDIRECT("$P$" &amp; (11+S$47)))), $E$9,0)</f>
        <v>0</v>
      </c>
      <c r="T67" s="1" cm="1">
        <f t="array" aca="1" ref="T67" ca="1">IF(AND(INDIRECT("$M$" &amp; (11+T$47)) = 1, $H67 = (INDIRECT("$P$" &amp; (11+T$47)))), $E$9,0)</f>
        <v>0</v>
      </c>
      <c r="U67" s="1" cm="1">
        <f t="array" aca="1" ref="U67" ca="1">IF(AND(INDIRECT("$M$" &amp; (11+U$47)) = 1, $H67 = (INDIRECT("$P$" &amp; (11+U$47)))), $E$9,0)</f>
        <v>0</v>
      </c>
      <c r="V67" s="1" cm="1">
        <f t="array" aca="1" ref="V67" ca="1">IF(AND(INDIRECT("$M$" &amp; (11+V$47)) = 1, $H67 = (INDIRECT("$P$" &amp; (11+V$47)))), $E$9,0)</f>
        <v>0</v>
      </c>
      <c r="W67" s="1" cm="1">
        <f t="array" aca="1" ref="W67" ca="1">IF(AND(INDIRECT("$M$" &amp; (11+W$47)) = 1, $H67 = (INDIRECT("$P$" &amp; (11+W$47)))), $E$9,0)</f>
        <v>0</v>
      </c>
      <c r="X67" s="1" cm="1">
        <f t="array" aca="1" ref="X67" ca="1">IF(AND(INDIRECT("$M$" &amp; (11+X$47)) = 1, $H67 = (INDIRECT("$P$" &amp; (11+X$47)))), $E$9,0)</f>
        <v>0</v>
      </c>
      <c r="Y67" s="1" cm="1">
        <f t="array" aca="1" ref="Y67" ca="1">IF(AND(INDIRECT("$M$" &amp; (11+Y$47)) = 1, $H67 = (INDIRECT("$P$" &amp; (11+Y$47)))), $E$9,0)</f>
        <v>0</v>
      </c>
      <c r="Z67" s="1" cm="1">
        <f t="array" aca="1" ref="Z67" ca="1">IF(AND(INDIRECT("$M$" &amp; (11+Z$47)) = 1, $H67 = (INDIRECT("$P$" &amp; (11+Z$47)))), $E$9,0)</f>
        <v>0</v>
      </c>
      <c r="AA67" s="1" cm="1">
        <f t="array" aca="1" ref="AA67" ca="1">IF(AND(INDIRECT("$M$" &amp; (11+AA$47)) = 1, $H67 = (INDIRECT("$P$" &amp; (11+AA$47)))), $E$9,0)</f>
        <v>0</v>
      </c>
      <c r="AB67" s="1" cm="1">
        <f t="array" aca="1" ref="AB67" ca="1">IF(AND(INDIRECT("$M$" &amp; (11+AB$47)) = 1, $H67 = (INDIRECT("$P$" &amp; (11+AB$47)))), $E$9,0)</f>
        <v>0</v>
      </c>
      <c r="AE67" s="219">
        <v>2030</v>
      </c>
      <c r="AF67" s="1" cm="1">
        <f t="array" aca="1" ref="AF67" ca="1">IF(AND(INDIRECT("$N$" &amp; (11+AF$47)) = 1, $AE67 = (INDIRECT("$Q$" &amp; (11+AF$47)))), $F$9,0)</f>
        <v>0</v>
      </c>
      <c r="AG67" s="1" cm="1">
        <f t="array" aca="1" ref="AG67" ca="1">IF(AND(INDIRECT("$N$" &amp; (11+AG$47)) = 1, $AE67 = (INDIRECT("$Q$" &amp; (11+AG$47)))), $F$9,0)</f>
        <v>0</v>
      </c>
      <c r="AH67" s="1" cm="1">
        <f t="array" aca="1" ref="AH67" ca="1">IF(AND(INDIRECT("$N$" &amp; (11+AH$47)) = 1, $AE67 = (INDIRECT("$Q$" &amp; (11+AH$47)))), $F$9,0)</f>
        <v>0</v>
      </c>
      <c r="AI67" s="1" cm="1">
        <f t="array" aca="1" ref="AI67" ca="1">IF(AND(INDIRECT("$N$" &amp; (11+AI$47)) = 1, $AE67 = (INDIRECT("$Q$" &amp; (11+AI$47)))), $F$9,0)</f>
        <v>0</v>
      </c>
      <c r="AJ67" s="1" cm="1">
        <f t="array" aca="1" ref="AJ67" ca="1">IF(AND(INDIRECT("$N$" &amp; (11+AJ$47)) = 1, $AE67 = (INDIRECT("$Q$" &amp; (11+AJ$47)))), $F$9,0)</f>
        <v>0</v>
      </c>
      <c r="AK67" s="1" cm="1">
        <f t="array" aca="1" ref="AK67" ca="1">IF(AND(INDIRECT("$N$" &amp; (11+AK$47)) = 1, $AE67 = (INDIRECT("$Q$" &amp; (11+AK$47)))), $F$9,0)</f>
        <v>0</v>
      </c>
      <c r="AL67" s="1" cm="1">
        <f t="array" aca="1" ref="AL67" ca="1">IF(AND(INDIRECT("$N$" &amp; (11+AL$47)) = 1, $AE67 = (INDIRECT("$Q$" &amp; (11+AL$47)))), $F$9,0)</f>
        <v>0</v>
      </c>
      <c r="AM67" s="1" cm="1">
        <f t="array" aca="1" ref="AM67" ca="1">IF(AND(INDIRECT("$N$" &amp; (11+AM$47)) = 1, $AE67 = (INDIRECT("$Q$" &amp; (11+AM$47)))), $F$9,0)</f>
        <v>0</v>
      </c>
      <c r="AN67" s="1" cm="1">
        <f t="array" aca="1" ref="AN67" ca="1">IF(AND(INDIRECT("$N$" &amp; (11+AN$47)) = 1, $AE67 = (INDIRECT("$Q$" &amp; (11+AN$47)))), $F$9,0)</f>
        <v>0</v>
      </c>
      <c r="AO67" s="1" cm="1">
        <f t="array" aca="1" ref="AO67" ca="1">IF(AND(INDIRECT("$N$" &amp; (11+AO$47)) = 1, $AE67 = (INDIRECT("$Q$" &amp; (11+AO$47)))), $F$9,0)</f>
        <v>0</v>
      </c>
      <c r="AP67" s="1" cm="1">
        <f t="array" aca="1" ref="AP67" ca="1">IF(AND(INDIRECT("$N$" &amp; (11+AP$47)) = 1, $AE67 = (INDIRECT("$Q$" &amp; (11+AP$47)))), $F$9,0)</f>
        <v>0</v>
      </c>
      <c r="AQ67" s="1" cm="1">
        <f t="array" aca="1" ref="AQ67" ca="1">IF(AND(INDIRECT("$N$" &amp; (11+AQ$47)) = 1, $AE67 = (INDIRECT("$Q$" &amp; (11+AQ$47)))), $F$9,0)</f>
        <v>0</v>
      </c>
      <c r="AR67" s="1" cm="1">
        <f t="array" aca="1" ref="AR67" ca="1">IF(AND(INDIRECT("$N$" &amp; (11+AR$47)) = 1, $AE67 = (INDIRECT("$Q$" &amp; (11+AR$47)))), $F$9,0)</f>
        <v>0</v>
      </c>
      <c r="AS67" s="1" cm="1">
        <f t="array" aca="1" ref="AS67" ca="1">IF(AND(INDIRECT("$N$" &amp; (11+AS$47)) = 1, $AE67 = (INDIRECT("$Q$" &amp; (11+AS$47)))), $F$9,0)</f>
        <v>0</v>
      </c>
      <c r="AT67" s="1" cm="1">
        <f t="array" aca="1" ref="AT67" ca="1">IF(AND(INDIRECT("$N$" &amp; (11+AT$47)) = 1, $AE67 = (INDIRECT("$Q$" &amp; (11+AT$47)))), $F$9,0)</f>
        <v>0</v>
      </c>
      <c r="AU67" s="1" cm="1">
        <f t="array" aca="1" ref="AU67" ca="1">IF(AND(INDIRECT("$N$" &amp; (11+AU$47)) = 1, $AE67 = (INDIRECT("$Q$" &amp; (11+AU$47)))), $F$9,0)</f>
        <v>0</v>
      </c>
      <c r="AV67" s="1" cm="1">
        <f t="array" aca="1" ref="AV67" ca="1">IF(AND(INDIRECT("$N$" &amp; (11+AV$47)) = 1, $AE67 = (INDIRECT("$Q$" &amp; (11+AV$47)))), $F$9,0)</f>
        <v>0</v>
      </c>
      <c r="AW67" s="1" cm="1">
        <f t="array" aca="1" ref="AW67" ca="1">IF(AND(INDIRECT("$N$" &amp; (11+AW$47)) = 1, $AE67 = (INDIRECT("$Q$" &amp; (11+AW$47)))), $F$9,0)</f>
        <v>0</v>
      </c>
      <c r="AX67" s="1" cm="1">
        <f t="array" aca="1" ref="AX67" ca="1">IF(AND(INDIRECT("$N$" &amp; (11+AX$47)) = 1, $AE67 = (INDIRECT("$Q$" &amp; (11+AX$47)))), $F$9,0)</f>
        <v>0</v>
      </c>
      <c r="AY67" s="1" cm="1">
        <f t="array" aca="1" ref="AY67" ca="1">IF(AND(INDIRECT("$N$" &amp; (11+AY$47)) = 1, $AE67 = (INDIRECT("$Q$" &amp; (11+AY$47)))), $F$9,0)</f>
        <v>0</v>
      </c>
    </row>
    <row r="68" spans="8:51" x14ac:dyDescent="0.3">
      <c r="H68" s="219">
        <v>2031</v>
      </c>
      <c r="I68" s="1" cm="1">
        <f t="array" aca="1" ref="I68" ca="1">IF(AND(INDIRECT("$M$" &amp; (11+I$47)) = 1, $H68 = (INDIRECT("$P$" &amp; (11+I$47)))), $E$9,0)</f>
        <v>0</v>
      </c>
      <c r="J68" s="1" cm="1">
        <f t="array" aca="1" ref="J68" ca="1">IF(AND(INDIRECT("$M$" &amp; (11+J$47)) = 1, $H68 = (INDIRECT("$P$" &amp; (11+J$47)))), $E$9,0)</f>
        <v>0</v>
      </c>
      <c r="K68" s="1" cm="1">
        <f t="array" aca="1" ref="K68" ca="1">IF(AND(INDIRECT("$M$" &amp; (11+K$47)) = 1, $H68 = (INDIRECT("$P$" &amp; (11+K$47)))), $E$9,0)</f>
        <v>0</v>
      </c>
      <c r="L68" s="1" cm="1">
        <f t="array" aca="1" ref="L68" ca="1">IF(AND(INDIRECT("$M$" &amp; (11+L$47)) = 1, $H68 = (INDIRECT("$P$" &amp; (11+L$47)))), $E$9,0)</f>
        <v>0</v>
      </c>
      <c r="M68" s="1" cm="1">
        <f t="array" aca="1" ref="M68" ca="1">IF(AND(INDIRECT("$M$" &amp; (11+M$47)) = 1, $H68 = (INDIRECT("$P$" &amp; (11+M$47)))), $E$9,0)</f>
        <v>0</v>
      </c>
      <c r="N68" s="1" cm="1">
        <f t="array" aca="1" ref="N68" ca="1">IF(AND(INDIRECT("$M$" &amp; (11+N$47)) = 1, $H68 = (INDIRECT("$P$" &amp; (11+N$47)))), $E$9,0)</f>
        <v>0</v>
      </c>
      <c r="O68" s="1" cm="1">
        <f t="array" aca="1" ref="O68" ca="1">IF(AND(INDIRECT("$M$" &amp; (11+O$47)) = 1, $H68 = (INDIRECT("$P$" &amp; (11+O$47)))), $E$9,0)</f>
        <v>0</v>
      </c>
      <c r="P68" s="1" cm="1">
        <f t="array" aca="1" ref="P68" ca="1">IF(AND(INDIRECT("$M$" &amp; (11+P$47)) = 1, $H68 = (INDIRECT("$P$" &amp; (11+P$47)))), $E$9,0)</f>
        <v>0</v>
      </c>
      <c r="Q68" s="1" cm="1">
        <f t="array" aca="1" ref="Q68" ca="1">IF(AND(INDIRECT("$M$" &amp; (11+Q$47)) = 1, $H68 = (INDIRECT("$P$" &amp; (11+Q$47)))), $E$9,0)</f>
        <v>0</v>
      </c>
      <c r="R68" s="1" cm="1">
        <f t="array" aca="1" ref="R68" ca="1">IF(AND(INDIRECT("$M$" &amp; (11+R$47)) = 1, $H68 = (INDIRECT("$P$" &amp; (11+R$47)))), $E$9,0)</f>
        <v>0</v>
      </c>
      <c r="S68" s="1" cm="1">
        <f t="array" aca="1" ref="S68" ca="1">IF(AND(INDIRECT("$M$" &amp; (11+S$47)) = 1, $H68 = (INDIRECT("$P$" &amp; (11+S$47)))), $E$9,0)</f>
        <v>0</v>
      </c>
      <c r="T68" s="1" cm="1">
        <f t="array" aca="1" ref="T68" ca="1">IF(AND(INDIRECT("$M$" &amp; (11+T$47)) = 1, $H68 = (INDIRECT("$P$" &amp; (11+T$47)))), $E$9,0)</f>
        <v>0</v>
      </c>
      <c r="U68" s="1" cm="1">
        <f t="array" aca="1" ref="U68" ca="1">IF(AND(INDIRECT("$M$" &amp; (11+U$47)) = 1, $H68 = (INDIRECT("$P$" &amp; (11+U$47)))), $E$9,0)</f>
        <v>0</v>
      </c>
      <c r="V68" s="1" cm="1">
        <f t="array" aca="1" ref="V68" ca="1">IF(AND(INDIRECT("$M$" &amp; (11+V$47)) = 1, $H68 = (INDIRECT("$P$" &amp; (11+V$47)))), $E$9,0)</f>
        <v>0</v>
      </c>
      <c r="W68" s="1" cm="1">
        <f t="array" aca="1" ref="W68" ca="1">IF(AND(INDIRECT("$M$" &amp; (11+W$47)) = 1, $H68 = (INDIRECT("$P$" &amp; (11+W$47)))), $E$9,0)</f>
        <v>0</v>
      </c>
      <c r="X68" s="1" cm="1">
        <f t="array" aca="1" ref="X68" ca="1">IF(AND(INDIRECT("$M$" &amp; (11+X$47)) = 1, $H68 = (INDIRECT("$P$" &amp; (11+X$47)))), $E$9,0)</f>
        <v>0</v>
      </c>
      <c r="Y68" s="1" cm="1">
        <f t="array" aca="1" ref="Y68" ca="1">IF(AND(INDIRECT("$M$" &amp; (11+Y$47)) = 1, $H68 = (INDIRECT("$P$" &amp; (11+Y$47)))), $E$9,0)</f>
        <v>0</v>
      </c>
      <c r="Z68" s="1" cm="1">
        <f t="array" aca="1" ref="Z68" ca="1">IF(AND(INDIRECT("$M$" &amp; (11+Z$47)) = 1, $H68 = (INDIRECT("$P$" &amp; (11+Z$47)))), $E$9,0)</f>
        <v>0</v>
      </c>
      <c r="AA68" s="1" cm="1">
        <f t="array" aca="1" ref="AA68" ca="1">IF(AND(INDIRECT("$M$" &amp; (11+AA$47)) = 1, $H68 = (INDIRECT("$P$" &amp; (11+AA$47)))), $E$9,0)</f>
        <v>0</v>
      </c>
      <c r="AB68" s="1" cm="1">
        <f t="array" aca="1" ref="AB68" ca="1">IF(AND(INDIRECT("$M$" &amp; (11+AB$47)) = 1, $H68 = (INDIRECT("$P$" &amp; (11+AB$47)))), $E$9,0)</f>
        <v>0</v>
      </c>
      <c r="AE68" s="219">
        <v>2031</v>
      </c>
      <c r="AF68" s="1" cm="1">
        <f t="array" aca="1" ref="AF68" ca="1">IF(AND(INDIRECT("$N$" &amp; (11+AF$47)) = 1, $AE68 = (INDIRECT("$Q$" &amp; (11+AF$47)))), $F$9,0)</f>
        <v>0</v>
      </c>
      <c r="AG68" s="1" cm="1">
        <f t="array" aca="1" ref="AG68" ca="1">IF(AND(INDIRECT("$N$" &amp; (11+AG$47)) = 1, $AE68 = (INDIRECT("$Q$" &amp; (11+AG$47)))), $F$9,0)</f>
        <v>0</v>
      </c>
      <c r="AH68" s="1" cm="1">
        <f t="array" aca="1" ref="AH68" ca="1">IF(AND(INDIRECT("$N$" &amp; (11+AH$47)) = 1, $AE68 = (INDIRECT("$Q$" &amp; (11+AH$47)))), $F$9,0)</f>
        <v>0</v>
      </c>
      <c r="AI68" s="1" cm="1">
        <f t="array" aca="1" ref="AI68" ca="1">IF(AND(INDIRECT("$N$" &amp; (11+AI$47)) = 1, $AE68 = (INDIRECT("$Q$" &amp; (11+AI$47)))), $F$9,0)</f>
        <v>0</v>
      </c>
      <c r="AJ68" s="1" cm="1">
        <f t="array" aca="1" ref="AJ68" ca="1">IF(AND(INDIRECT("$N$" &amp; (11+AJ$47)) = 1, $AE68 = (INDIRECT("$Q$" &amp; (11+AJ$47)))), $F$9,0)</f>
        <v>0</v>
      </c>
      <c r="AK68" s="1" cm="1">
        <f t="array" aca="1" ref="AK68" ca="1">IF(AND(INDIRECT("$N$" &amp; (11+AK$47)) = 1, $AE68 = (INDIRECT("$Q$" &amp; (11+AK$47)))), $F$9,0)</f>
        <v>0</v>
      </c>
      <c r="AL68" s="1" cm="1">
        <f t="array" aca="1" ref="AL68" ca="1">IF(AND(INDIRECT("$N$" &amp; (11+AL$47)) = 1, $AE68 = (INDIRECT("$Q$" &amp; (11+AL$47)))), $F$9,0)</f>
        <v>0</v>
      </c>
      <c r="AM68" s="1" cm="1">
        <f t="array" aca="1" ref="AM68" ca="1">IF(AND(INDIRECT("$N$" &amp; (11+AM$47)) = 1, $AE68 = (INDIRECT("$Q$" &amp; (11+AM$47)))), $F$9,0)</f>
        <v>0</v>
      </c>
      <c r="AN68" s="1" cm="1">
        <f t="array" aca="1" ref="AN68" ca="1">IF(AND(INDIRECT("$N$" &amp; (11+AN$47)) = 1, $AE68 = (INDIRECT("$Q$" &amp; (11+AN$47)))), $F$9,0)</f>
        <v>0</v>
      </c>
      <c r="AO68" s="1" cm="1">
        <f t="array" aca="1" ref="AO68" ca="1">IF(AND(INDIRECT("$N$" &amp; (11+AO$47)) = 1, $AE68 = (INDIRECT("$Q$" &amp; (11+AO$47)))), $F$9,0)</f>
        <v>0</v>
      </c>
      <c r="AP68" s="1" cm="1">
        <f t="array" aca="1" ref="AP68" ca="1">IF(AND(INDIRECT("$N$" &amp; (11+AP$47)) = 1, $AE68 = (INDIRECT("$Q$" &amp; (11+AP$47)))), $F$9,0)</f>
        <v>0</v>
      </c>
      <c r="AQ68" s="1" cm="1">
        <f t="array" aca="1" ref="AQ68" ca="1">IF(AND(INDIRECT("$N$" &amp; (11+AQ$47)) = 1, $AE68 = (INDIRECT("$Q$" &amp; (11+AQ$47)))), $F$9,0)</f>
        <v>0</v>
      </c>
      <c r="AR68" s="1" cm="1">
        <f t="array" aca="1" ref="AR68" ca="1">IF(AND(INDIRECT("$N$" &amp; (11+AR$47)) = 1, $AE68 = (INDIRECT("$Q$" &amp; (11+AR$47)))), $F$9,0)</f>
        <v>0</v>
      </c>
      <c r="AS68" s="1" cm="1">
        <f t="array" aca="1" ref="AS68" ca="1">IF(AND(INDIRECT("$N$" &amp; (11+AS$47)) = 1, $AE68 = (INDIRECT("$Q$" &amp; (11+AS$47)))), $F$9,0)</f>
        <v>0</v>
      </c>
      <c r="AT68" s="1" cm="1">
        <f t="array" aca="1" ref="AT68" ca="1">IF(AND(INDIRECT("$N$" &amp; (11+AT$47)) = 1, $AE68 = (INDIRECT("$Q$" &amp; (11+AT$47)))), $F$9,0)</f>
        <v>0</v>
      </c>
      <c r="AU68" s="1" cm="1">
        <f t="array" aca="1" ref="AU68" ca="1">IF(AND(INDIRECT("$N$" &amp; (11+AU$47)) = 1, $AE68 = (INDIRECT("$Q$" &amp; (11+AU$47)))), $F$9,0)</f>
        <v>0</v>
      </c>
      <c r="AV68" s="1" cm="1">
        <f t="array" aca="1" ref="AV68" ca="1">IF(AND(INDIRECT("$N$" &amp; (11+AV$47)) = 1, $AE68 = (INDIRECT("$Q$" &amp; (11+AV$47)))), $F$9,0)</f>
        <v>0</v>
      </c>
      <c r="AW68" s="1" cm="1">
        <f t="array" aca="1" ref="AW68" ca="1">IF(AND(INDIRECT("$N$" &amp; (11+AW$47)) = 1, $AE68 = (INDIRECT("$Q$" &amp; (11+AW$47)))), $F$9,0)</f>
        <v>0</v>
      </c>
      <c r="AX68" s="1" cm="1">
        <f t="array" aca="1" ref="AX68" ca="1">IF(AND(INDIRECT("$N$" &amp; (11+AX$47)) = 1, $AE68 = (INDIRECT("$Q$" &amp; (11+AX$47)))), $F$9,0)</f>
        <v>0</v>
      </c>
      <c r="AY68" s="1" cm="1">
        <f t="array" aca="1" ref="AY68" ca="1">IF(AND(INDIRECT("$N$" &amp; (11+AY$47)) = 1, $AE68 = (INDIRECT("$Q$" &amp; (11+AY$47)))), $F$9,0)</f>
        <v>0</v>
      </c>
    </row>
    <row r="69" spans="8:51" x14ac:dyDescent="0.3">
      <c r="H69" s="219">
        <v>2032</v>
      </c>
      <c r="I69" s="1" cm="1">
        <f t="array" aca="1" ref="I69" ca="1">IF(AND(INDIRECT("$M$" &amp; (11+I$47)) = 1, $H69 = (INDIRECT("$P$" &amp; (11+I$47)))), $E$9,0)</f>
        <v>0</v>
      </c>
      <c r="J69" s="1" cm="1">
        <f t="array" aca="1" ref="J69" ca="1">IF(AND(INDIRECT("$M$" &amp; (11+J$47)) = 1, $H69 = (INDIRECT("$P$" &amp; (11+J$47)))), $E$9,0)</f>
        <v>0</v>
      </c>
      <c r="K69" s="1" cm="1">
        <f t="array" aca="1" ref="K69" ca="1">IF(AND(INDIRECT("$M$" &amp; (11+K$47)) = 1, $H69 = (INDIRECT("$P$" &amp; (11+K$47)))), $E$9,0)</f>
        <v>0</v>
      </c>
      <c r="L69" s="1" cm="1">
        <f t="array" aca="1" ref="L69" ca="1">IF(AND(INDIRECT("$M$" &amp; (11+L$47)) = 1, $H69 = (INDIRECT("$P$" &amp; (11+L$47)))), $E$9,0)</f>
        <v>0</v>
      </c>
      <c r="M69" s="1" cm="1">
        <f t="array" aca="1" ref="M69" ca="1">IF(AND(INDIRECT("$M$" &amp; (11+M$47)) = 1, $H69 = (INDIRECT("$P$" &amp; (11+M$47)))), $E$9,0)</f>
        <v>0</v>
      </c>
      <c r="N69" s="1" cm="1">
        <f t="array" aca="1" ref="N69" ca="1">IF(AND(INDIRECT("$M$" &amp; (11+N$47)) = 1, $H69 = (INDIRECT("$P$" &amp; (11+N$47)))), $E$9,0)</f>
        <v>0</v>
      </c>
      <c r="O69" s="1" cm="1">
        <f t="array" aca="1" ref="O69" ca="1">IF(AND(INDIRECT("$M$" &amp; (11+O$47)) = 1, $H69 = (INDIRECT("$P$" &amp; (11+O$47)))), $E$9,0)</f>
        <v>0</v>
      </c>
      <c r="P69" s="1" cm="1">
        <f t="array" aca="1" ref="P69" ca="1">IF(AND(INDIRECT("$M$" &amp; (11+P$47)) = 1, $H69 = (INDIRECT("$P$" &amp; (11+P$47)))), $E$9,0)</f>
        <v>0</v>
      </c>
      <c r="Q69" s="1" cm="1">
        <f t="array" aca="1" ref="Q69" ca="1">IF(AND(INDIRECT("$M$" &amp; (11+Q$47)) = 1, $H69 = (INDIRECT("$P$" &amp; (11+Q$47)))), $E$9,0)</f>
        <v>0</v>
      </c>
      <c r="R69" s="1" cm="1">
        <f t="array" aca="1" ref="R69" ca="1">IF(AND(INDIRECT("$M$" &amp; (11+R$47)) = 1, $H69 = (INDIRECT("$P$" &amp; (11+R$47)))), $E$9,0)</f>
        <v>0</v>
      </c>
      <c r="S69" s="1" cm="1">
        <f t="array" aca="1" ref="S69" ca="1">IF(AND(INDIRECT("$M$" &amp; (11+S$47)) = 1, $H69 = (INDIRECT("$P$" &amp; (11+S$47)))), $E$9,0)</f>
        <v>0</v>
      </c>
      <c r="T69" s="1" cm="1">
        <f t="array" aca="1" ref="T69" ca="1">IF(AND(INDIRECT("$M$" &amp; (11+T$47)) = 1, $H69 = (INDIRECT("$P$" &amp; (11+T$47)))), $E$9,0)</f>
        <v>0</v>
      </c>
      <c r="U69" s="1" cm="1">
        <f t="array" aca="1" ref="U69" ca="1">IF(AND(INDIRECT("$M$" &amp; (11+U$47)) = 1, $H69 = (INDIRECT("$P$" &amp; (11+U$47)))), $E$9,0)</f>
        <v>0</v>
      </c>
      <c r="V69" s="1" cm="1">
        <f t="array" aca="1" ref="V69" ca="1">IF(AND(INDIRECT("$M$" &amp; (11+V$47)) = 1, $H69 = (INDIRECT("$P$" &amp; (11+V$47)))), $E$9,0)</f>
        <v>0</v>
      </c>
      <c r="W69" s="1" cm="1">
        <f t="array" aca="1" ref="W69" ca="1">IF(AND(INDIRECT("$M$" &amp; (11+W$47)) = 1, $H69 = (INDIRECT("$P$" &amp; (11+W$47)))), $E$9,0)</f>
        <v>0</v>
      </c>
      <c r="X69" s="1" cm="1">
        <f t="array" aca="1" ref="X69" ca="1">IF(AND(INDIRECT("$M$" &amp; (11+X$47)) = 1, $H69 = (INDIRECT("$P$" &amp; (11+X$47)))), $E$9,0)</f>
        <v>0</v>
      </c>
      <c r="Y69" s="1" cm="1">
        <f t="array" aca="1" ref="Y69" ca="1">IF(AND(INDIRECT("$M$" &amp; (11+Y$47)) = 1, $H69 = (INDIRECT("$P$" &amp; (11+Y$47)))), $E$9,0)</f>
        <v>0</v>
      </c>
      <c r="Z69" s="1" cm="1">
        <f t="array" aca="1" ref="Z69" ca="1">IF(AND(INDIRECT("$M$" &amp; (11+Z$47)) = 1, $H69 = (INDIRECT("$P$" &amp; (11+Z$47)))), $E$9,0)</f>
        <v>0</v>
      </c>
      <c r="AA69" s="1" cm="1">
        <f t="array" aca="1" ref="AA69" ca="1">IF(AND(INDIRECT("$M$" &amp; (11+AA$47)) = 1, $H69 = (INDIRECT("$P$" &amp; (11+AA$47)))), $E$9,0)</f>
        <v>0</v>
      </c>
      <c r="AB69" s="1" cm="1">
        <f t="array" aca="1" ref="AB69" ca="1">IF(AND(INDIRECT("$M$" &amp; (11+AB$47)) = 1, $H69 = (INDIRECT("$P$" &amp; (11+AB$47)))), $E$9,0)</f>
        <v>0</v>
      </c>
      <c r="AE69" s="219">
        <v>2032</v>
      </c>
      <c r="AF69" s="1" cm="1">
        <f t="array" aca="1" ref="AF69" ca="1">IF(AND(INDIRECT("$N$" &amp; (11+AF$47)) = 1, $AE69 = (INDIRECT("$Q$" &amp; (11+AF$47)))), $F$9,0)</f>
        <v>0</v>
      </c>
      <c r="AG69" s="1" cm="1">
        <f t="array" aca="1" ref="AG69" ca="1">IF(AND(INDIRECT("$N$" &amp; (11+AG$47)) = 1, $AE69 = (INDIRECT("$Q$" &amp; (11+AG$47)))), $F$9,0)</f>
        <v>0</v>
      </c>
      <c r="AH69" s="1" cm="1">
        <f t="array" aca="1" ref="AH69" ca="1">IF(AND(INDIRECT("$N$" &amp; (11+AH$47)) = 1, $AE69 = (INDIRECT("$Q$" &amp; (11+AH$47)))), $F$9,0)</f>
        <v>0</v>
      </c>
      <c r="AI69" s="1" cm="1">
        <f t="array" aca="1" ref="AI69" ca="1">IF(AND(INDIRECT("$N$" &amp; (11+AI$47)) = 1, $AE69 = (INDIRECT("$Q$" &amp; (11+AI$47)))), $F$9,0)</f>
        <v>0</v>
      </c>
      <c r="AJ69" s="1" cm="1">
        <f t="array" aca="1" ref="AJ69" ca="1">IF(AND(INDIRECT("$N$" &amp; (11+AJ$47)) = 1, $AE69 = (INDIRECT("$Q$" &amp; (11+AJ$47)))), $F$9,0)</f>
        <v>0</v>
      </c>
      <c r="AK69" s="1" cm="1">
        <f t="array" aca="1" ref="AK69" ca="1">IF(AND(INDIRECT("$N$" &amp; (11+AK$47)) = 1, $AE69 = (INDIRECT("$Q$" &amp; (11+AK$47)))), $F$9,0)</f>
        <v>0</v>
      </c>
      <c r="AL69" s="1" cm="1">
        <f t="array" aca="1" ref="AL69" ca="1">IF(AND(INDIRECT("$N$" &amp; (11+AL$47)) = 1, $AE69 = (INDIRECT("$Q$" &amp; (11+AL$47)))), $F$9,0)</f>
        <v>0</v>
      </c>
      <c r="AM69" s="1" cm="1">
        <f t="array" aca="1" ref="AM69" ca="1">IF(AND(INDIRECT("$N$" &amp; (11+AM$47)) = 1, $AE69 = (INDIRECT("$Q$" &amp; (11+AM$47)))), $F$9,0)</f>
        <v>0</v>
      </c>
      <c r="AN69" s="1" cm="1">
        <f t="array" aca="1" ref="AN69" ca="1">IF(AND(INDIRECT("$N$" &amp; (11+AN$47)) = 1, $AE69 = (INDIRECT("$Q$" &amp; (11+AN$47)))), $F$9,0)</f>
        <v>0</v>
      </c>
      <c r="AO69" s="1" cm="1">
        <f t="array" aca="1" ref="AO69" ca="1">IF(AND(INDIRECT("$N$" &amp; (11+AO$47)) = 1, $AE69 = (INDIRECT("$Q$" &amp; (11+AO$47)))), $F$9,0)</f>
        <v>0</v>
      </c>
      <c r="AP69" s="1" cm="1">
        <f t="array" aca="1" ref="AP69" ca="1">IF(AND(INDIRECT("$N$" &amp; (11+AP$47)) = 1, $AE69 = (INDIRECT("$Q$" &amp; (11+AP$47)))), $F$9,0)</f>
        <v>0</v>
      </c>
      <c r="AQ69" s="1" cm="1">
        <f t="array" aca="1" ref="AQ69" ca="1">IF(AND(INDIRECT("$N$" &amp; (11+AQ$47)) = 1, $AE69 = (INDIRECT("$Q$" &amp; (11+AQ$47)))), $F$9,0)</f>
        <v>0</v>
      </c>
      <c r="AR69" s="1" cm="1">
        <f t="array" aca="1" ref="AR69" ca="1">IF(AND(INDIRECT("$N$" &amp; (11+AR$47)) = 1, $AE69 = (INDIRECT("$Q$" &amp; (11+AR$47)))), $F$9,0)</f>
        <v>0</v>
      </c>
      <c r="AS69" s="1" cm="1">
        <f t="array" aca="1" ref="AS69" ca="1">IF(AND(INDIRECT("$N$" &amp; (11+AS$47)) = 1, $AE69 = (INDIRECT("$Q$" &amp; (11+AS$47)))), $F$9,0)</f>
        <v>0</v>
      </c>
      <c r="AT69" s="1" cm="1">
        <f t="array" aca="1" ref="AT69" ca="1">IF(AND(INDIRECT("$N$" &amp; (11+AT$47)) = 1, $AE69 = (INDIRECT("$Q$" &amp; (11+AT$47)))), $F$9,0)</f>
        <v>0</v>
      </c>
      <c r="AU69" s="1" cm="1">
        <f t="array" aca="1" ref="AU69" ca="1">IF(AND(INDIRECT("$N$" &amp; (11+AU$47)) = 1, $AE69 = (INDIRECT("$Q$" &amp; (11+AU$47)))), $F$9,0)</f>
        <v>0</v>
      </c>
      <c r="AV69" s="1" cm="1">
        <f t="array" aca="1" ref="AV69" ca="1">IF(AND(INDIRECT("$N$" &amp; (11+AV$47)) = 1, $AE69 = (INDIRECT("$Q$" &amp; (11+AV$47)))), $F$9,0)</f>
        <v>0</v>
      </c>
      <c r="AW69" s="1" cm="1">
        <f t="array" aca="1" ref="AW69" ca="1">IF(AND(INDIRECT("$N$" &amp; (11+AW$47)) = 1, $AE69 = (INDIRECT("$Q$" &amp; (11+AW$47)))), $F$9,0)</f>
        <v>0</v>
      </c>
      <c r="AX69" s="1" cm="1">
        <f t="array" aca="1" ref="AX69" ca="1">IF(AND(INDIRECT("$N$" &amp; (11+AX$47)) = 1, $AE69 = (INDIRECT("$Q$" &amp; (11+AX$47)))), $F$9,0)</f>
        <v>0</v>
      </c>
      <c r="AY69" s="1" cm="1">
        <f t="array" aca="1" ref="AY69" ca="1">IF(AND(INDIRECT("$N$" &amp; (11+AY$47)) = 1, $AE69 = (INDIRECT("$Q$" &amp; (11+AY$47)))), $F$9,0)</f>
        <v>0</v>
      </c>
    </row>
    <row r="70" spans="8:51" x14ac:dyDescent="0.3">
      <c r="H70" s="219">
        <v>2033</v>
      </c>
      <c r="I70" s="1" cm="1">
        <f t="array" aca="1" ref="I70" ca="1">IF(AND(INDIRECT("$M$" &amp; (11+I$47)) = 1, $H70 = (INDIRECT("$P$" &amp; (11+I$47)))), $E$9,0)</f>
        <v>0</v>
      </c>
      <c r="J70" s="1" cm="1">
        <f t="array" aca="1" ref="J70" ca="1">IF(AND(INDIRECT("$M$" &amp; (11+J$47)) = 1, $H70 = (INDIRECT("$P$" &amp; (11+J$47)))), $E$9,0)</f>
        <v>0</v>
      </c>
      <c r="K70" s="1" cm="1">
        <f t="array" aca="1" ref="K70" ca="1">IF(AND(INDIRECT("$M$" &amp; (11+K$47)) = 1, $H70 = (INDIRECT("$P$" &amp; (11+K$47)))), $E$9,0)</f>
        <v>0</v>
      </c>
      <c r="L70" s="1" cm="1">
        <f t="array" aca="1" ref="L70" ca="1">IF(AND(INDIRECT("$M$" &amp; (11+L$47)) = 1, $H70 = (INDIRECT("$P$" &amp; (11+L$47)))), $E$9,0)</f>
        <v>0</v>
      </c>
      <c r="M70" s="1" cm="1">
        <f t="array" aca="1" ref="M70" ca="1">IF(AND(INDIRECT("$M$" &amp; (11+M$47)) = 1, $H70 = (INDIRECT("$P$" &amp; (11+M$47)))), $E$9,0)</f>
        <v>0</v>
      </c>
      <c r="N70" s="1" cm="1">
        <f t="array" aca="1" ref="N70" ca="1">IF(AND(INDIRECT("$M$" &amp; (11+N$47)) = 1, $H70 = (INDIRECT("$P$" &amp; (11+N$47)))), $E$9,0)</f>
        <v>0</v>
      </c>
      <c r="O70" s="1" cm="1">
        <f t="array" aca="1" ref="O70" ca="1">IF(AND(INDIRECT("$M$" &amp; (11+O$47)) = 1, $H70 = (INDIRECT("$P$" &amp; (11+O$47)))), $E$9,0)</f>
        <v>0</v>
      </c>
      <c r="P70" s="1" cm="1">
        <f t="array" aca="1" ref="P70" ca="1">IF(AND(INDIRECT("$M$" &amp; (11+P$47)) = 1, $H70 = (INDIRECT("$P$" &amp; (11+P$47)))), $E$9,0)</f>
        <v>0</v>
      </c>
      <c r="Q70" s="1" cm="1">
        <f t="array" aca="1" ref="Q70" ca="1">IF(AND(INDIRECT("$M$" &amp; (11+Q$47)) = 1, $H70 = (INDIRECT("$P$" &amp; (11+Q$47)))), $E$9,0)</f>
        <v>0</v>
      </c>
      <c r="R70" s="1" cm="1">
        <f t="array" aca="1" ref="R70" ca="1">IF(AND(INDIRECT("$M$" &amp; (11+R$47)) = 1, $H70 = (INDIRECT("$P$" &amp; (11+R$47)))), $E$9,0)</f>
        <v>0</v>
      </c>
      <c r="S70" s="1" cm="1">
        <f t="array" aca="1" ref="S70" ca="1">IF(AND(INDIRECT("$M$" &amp; (11+S$47)) = 1, $H70 = (INDIRECT("$P$" &amp; (11+S$47)))), $E$9,0)</f>
        <v>0</v>
      </c>
      <c r="T70" s="1" cm="1">
        <f t="array" aca="1" ref="T70" ca="1">IF(AND(INDIRECT("$M$" &amp; (11+T$47)) = 1, $H70 = (INDIRECT("$P$" &amp; (11+T$47)))), $E$9,0)</f>
        <v>0</v>
      </c>
      <c r="U70" s="1" cm="1">
        <f t="array" aca="1" ref="U70" ca="1">IF(AND(INDIRECT("$M$" &amp; (11+U$47)) = 1, $H70 = (INDIRECT("$P$" &amp; (11+U$47)))), $E$9,0)</f>
        <v>0</v>
      </c>
      <c r="V70" s="1" cm="1">
        <f t="array" aca="1" ref="V70" ca="1">IF(AND(INDIRECT("$M$" &amp; (11+V$47)) = 1, $H70 = (INDIRECT("$P$" &amp; (11+V$47)))), $E$9,0)</f>
        <v>0</v>
      </c>
      <c r="W70" s="1" cm="1">
        <f t="array" aca="1" ref="W70" ca="1">IF(AND(INDIRECT("$M$" &amp; (11+W$47)) = 1, $H70 = (INDIRECT("$P$" &amp; (11+W$47)))), $E$9,0)</f>
        <v>0</v>
      </c>
      <c r="X70" s="1" cm="1">
        <f t="array" aca="1" ref="X70" ca="1">IF(AND(INDIRECT("$M$" &amp; (11+X$47)) = 1, $H70 = (INDIRECT("$P$" &amp; (11+X$47)))), $E$9,0)</f>
        <v>0</v>
      </c>
      <c r="Y70" s="1" cm="1">
        <f t="array" aca="1" ref="Y70" ca="1">IF(AND(INDIRECT("$M$" &amp; (11+Y$47)) = 1, $H70 = (INDIRECT("$P$" &amp; (11+Y$47)))), $E$9,0)</f>
        <v>0</v>
      </c>
      <c r="Z70" s="1" cm="1">
        <f t="array" aca="1" ref="Z70" ca="1">IF(AND(INDIRECT("$M$" &amp; (11+Z$47)) = 1, $H70 = (INDIRECT("$P$" &amp; (11+Z$47)))), $E$9,0)</f>
        <v>0</v>
      </c>
      <c r="AA70" s="1" cm="1">
        <f t="array" aca="1" ref="AA70" ca="1">IF(AND(INDIRECT("$M$" &amp; (11+AA$47)) = 1, $H70 = (INDIRECT("$P$" &amp; (11+AA$47)))), $E$9,0)</f>
        <v>0</v>
      </c>
      <c r="AB70" s="1" cm="1">
        <f t="array" aca="1" ref="AB70" ca="1">IF(AND(INDIRECT("$M$" &amp; (11+AB$47)) = 1, $H70 = (INDIRECT("$P$" &amp; (11+AB$47)))), $E$9,0)</f>
        <v>0</v>
      </c>
      <c r="AE70" s="219">
        <v>2033</v>
      </c>
      <c r="AF70" s="1" cm="1">
        <f t="array" aca="1" ref="AF70" ca="1">IF(AND(INDIRECT("$N$" &amp; (11+AF$47)) = 1, $AE70 = (INDIRECT("$Q$" &amp; (11+AF$47)))), $F$9,0)</f>
        <v>0</v>
      </c>
      <c r="AG70" s="1" cm="1">
        <f t="array" aca="1" ref="AG70" ca="1">IF(AND(INDIRECT("$N$" &amp; (11+AG$47)) = 1, $AE70 = (INDIRECT("$Q$" &amp; (11+AG$47)))), $F$9,0)</f>
        <v>0</v>
      </c>
      <c r="AH70" s="1" cm="1">
        <f t="array" aca="1" ref="AH70" ca="1">IF(AND(INDIRECT("$N$" &amp; (11+AH$47)) = 1, $AE70 = (INDIRECT("$Q$" &amp; (11+AH$47)))), $F$9,0)</f>
        <v>0</v>
      </c>
      <c r="AI70" s="1" cm="1">
        <f t="array" aca="1" ref="AI70" ca="1">IF(AND(INDIRECT("$N$" &amp; (11+AI$47)) = 1, $AE70 = (INDIRECT("$Q$" &amp; (11+AI$47)))), $F$9,0)</f>
        <v>0</v>
      </c>
      <c r="AJ70" s="1" cm="1">
        <f t="array" aca="1" ref="AJ70" ca="1">IF(AND(INDIRECT("$N$" &amp; (11+AJ$47)) = 1, $AE70 = (INDIRECT("$Q$" &amp; (11+AJ$47)))), $F$9,0)</f>
        <v>0</v>
      </c>
      <c r="AK70" s="1" cm="1">
        <f t="array" aca="1" ref="AK70" ca="1">IF(AND(INDIRECT("$N$" &amp; (11+AK$47)) = 1, $AE70 = (INDIRECT("$Q$" &amp; (11+AK$47)))), $F$9,0)</f>
        <v>0</v>
      </c>
      <c r="AL70" s="1" cm="1">
        <f t="array" aca="1" ref="AL70" ca="1">IF(AND(INDIRECT("$N$" &amp; (11+AL$47)) = 1, $AE70 = (INDIRECT("$Q$" &amp; (11+AL$47)))), $F$9,0)</f>
        <v>0</v>
      </c>
      <c r="AM70" s="1" cm="1">
        <f t="array" aca="1" ref="AM70" ca="1">IF(AND(INDIRECT("$N$" &amp; (11+AM$47)) = 1, $AE70 = (INDIRECT("$Q$" &amp; (11+AM$47)))), $F$9,0)</f>
        <v>0</v>
      </c>
      <c r="AN70" s="1" cm="1">
        <f t="array" aca="1" ref="AN70" ca="1">IF(AND(INDIRECT("$N$" &amp; (11+AN$47)) = 1, $AE70 = (INDIRECT("$Q$" &amp; (11+AN$47)))), $F$9,0)</f>
        <v>0</v>
      </c>
      <c r="AO70" s="1" cm="1">
        <f t="array" aca="1" ref="AO70" ca="1">IF(AND(INDIRECT("$N$" &amp; (11+AO$47)) = 1, $AE70 = (INDIRECT("$Q$" &amp; (11+AO$47)))), $F$9,0)</f>
        <v>0</v>
      </c>
      <c r="AP70" s="1" cm="1">
        <f t="array" aca="1" ref="AP70" ca="1">IF(AND(INDIRECT("$N$" &amp; (11+AP$47)) = 1, $AE70 = (INDIRECT("$Q$" &amp; (11+AP$47)))), $F$9,0)</f>
        <v>0</v>
      </c>
      <c r="AQ70" s="1" cm="1">
        <f t="array" aca="1" ref="AQ70" ca="1">IF(AND(INDIRECT("$N$" &amp; (11+AQ$47)) = 1, $AE70 = (INDIRECT("$Q$" &amp; (11+AQ$47)))), $F$9,0)</f>
        <v>0</v>
      </c>
      <c r="AR70" s="1" cm="1">
        <f t="array" aca="1" ref="AR70" ca="1">IF(AND(INDIRECT("$N$" &amp; (11+AR$47)) = 1, $AE70 = (INDIRECT("$Q$" &amp; (11+AR$47)))), $F$9,0)</f>
        <v>0</v>
      </c>
      <c r="AS70" s="1" cm="1">
        <f t="array" aca="1" ref="AS70" ca="1">IF(AND(INDIRECT("$N$" &amp; (11+AS$47)) = 1, $AE70 = (INDIRECT("$Q$" &amp; (11+AS$47)))), $F$9,0)</f>
        <v>0</v>
      </c>
      <c r="AT70" s="1" cm="1">
        <f t="array" aca="1" ref="AT70" ca="1">IF(AND(INDIRECT("$N$" &amp; (11+AT$47)) = 1, $AE70 = (INDIRECT("$Q$" &amp; (11+AT$47)))), $F$9,0)</f>
        <v>0</v>
      </c>
      <c r="AU70" s="1" cm="1">
        <f t="array" aca="1" ref="AU70" ca="1">IF(AND(INDIRECT("$N$" &amp; (11+AU$47)) = 1, $AE70 = (INDIRECT("$Q$" &amp; (11+AU$47)))), $F$9,0)</f>
        <v>0</v>
      </c>
      <c r="AV70" s="1" cm="1">
        <f t="array" aca="1" ref="AV70" ca="1">IF(AND(INDIRECT("$N$" &amp; (11+AV$47)) = 1, $AE70 = (INDIRECT("$Q$" &amp; (11+AV$47)))), $F$9,0)</f>
        <v>0</v>
      </c>
      <c r="AW70" s="1" cm="1">
        <f t="array" aca="1" ref="AW70" ca="1">IF(AND(INDIRECT("$N$" &amp; (11+AW$47)) = 1, $AE70 = (INDIRECT("$Q$" &amp; (11+AW$47)))), $F$9,0)</f>
        <v>0</v>
      </c>
      <c r="AX70" s="1" cm="1">
        <f t="array" aca="1" ref="AX70" ca="1">IF(AND(INDIRECT("$N$" &amp; (11+AX$47)) = 1, $AE70 = (INDIRECT("$Q$" &amp; (11+AX$47)))), $F$9,0)</f>
        <v>0</v>
      </c>
      <c r="AY70" s="1" cm="1">
        <f t="array" aca="1" ref="AY70" ca="1">IF(AND(INDIRECT("$N$" &amp; (11+AY$47)) = 1, $AE70 = (INDIRECT("$Q$" &amp; (11+AY$47)))), $F$9,0)</f>
        <v>0</v>
      </c>
    </row>
    <row r="71" spans="8:51" x14ac:dyDescent="0.3">
      <c r="H71" s="219">
        <v>2034</v>
      </c>
      <c r="I71" s="1" cm="1">
        <f t="array" aca="1" ref="I71" ca="1">IF(AND(INDIRECT("$M$" &amp; (11+I$47)) = 1, $H71 = (INDIRECT("$P$" &amp; (11+I$47)))), $E$9,0)</f>
        <v>0</v>
      </c>
      <c r="J71" s="1" cm="1">
        <f t="array" aca="1" ref="J71" ca="1">IF(AND(INDIRECT("$M$" &amp; (11+J$47)) = 1, $H71 = (INDIRECT("$P$" &amp; (11+J$47)))), $E$9,0)</f>
        <v>0</v>
      </c>
      <c r="K71" s="1" cm="1">
        <f t="array" aca="1" ref="K71" ca="1">IF(AND(INDIRECT("$M$" &amp; (11+K$47)) = 1, $H71 = (INDIRECT("$P$" &amp; (11+K$47)))), $E$9,0)</f>
        <v>0</v>
      </c>
      <c r="L71" s="1" cm="1">
        <f t="array" aca="1" ref="L71" ca="1">IF(AND(INDIRECT("$M$" &amp; (11+L$47)) = 1, $H71 = (INDIRECT("$P$" &amp; (11+L$47)))), $E$9,0)</f>
        <v>0</v>
      </c>
      <c r="M71" s="1" cm="1">
        <f t="array" aca="1" ref="M71" ca="1">IF(AND(INDIRECT("$M$" &amp; (11+M$47)) = 1, $H71 = (INDIRECT("$P$" &amp; (11+M$47)))), $E$9,0)</f>
        <v>0</v>
      </c>
      <c r="N71" s="1" cm="1">
        <f t="array" aca="1" ref="N71" ca="1">IF(AND(INDIRECT("$M$" &amp; (11+N$47)) = 1, $H71 = (INDIRECT("$P$" &amp; (11+N$47)))), $E$9,0)</f>
        <v>0</v>
      </c>
      <c r="O71" s="1" cm="1">
        <f t="array" aca="1" ref="O71" ca="1">IF(AND(INDIRECT("$M$" &amp; (11+O$47)) = 1, $H71 = (INDIRECT("$P$" &amp; (11+O$47)))), $E$9,0)</f>
        <v>0</v>
      </c>
      <c r="P71" s="1" cm="1">
        <f t="array" aca="1" ref="P71" ca="1">IF(AND(INDIRECT("$M$" &amp; (11+P$47)) = 1, $H71 = (INDIRECT("$P$" &amp; (11+P$47)))), $E$9,0)</f>
        <v>0</v>
      </c>
      <c r="Q71" s="1" cm="1">
        <f t="array" aca="1" ref="Q71" ca="1">IF(AND(INDIRECT("$M$" &amp; (11+Q$47)) = 1, $H71 = (INDIRECT("$P$" &amp; (11+Q$47)))), $E$9,0)</f>
        <v>0</v>
      </c>
      <c r="R71" s="1" cm="1">
        <f t="array" aca="1" ref="R71" ca="1">IF(AND(INDIRECT("$M$" &amp; (11+R$47)) = 1, $H71 = (INDIRECT("$P$" &amp; (11+R$47)))), $E$9,0)</f>
        <v>0</v>
      </c>
      <c r="S71" s="1" cm="1">
        <f t="array" aca="1" ref="S71" ca="1">IF(AND(INDIRECT("$M$" &amp; (11+S$47)) = 1, $H71 = (INDIRECT("$P$" &amp; (11+S$47)))), $E$9,0)</f>
        <v>0</v>
      </c>
      <c r="T71" s="1" cm="1">
        <f t="array" aca="1" ref="T71" ca="1">IF(AND(INDIRECT("$M$" &amp; (11+T$47)) = 1, $H71 = (INDIRECT("$P$" &amp; (11+T$47)))), $E$9,0)</f>
        <v>0</v>
      </c>
      <c r="U71" s="1" cm="1">
        <f t="array" aca="1" ref="U71" ca="1">IF(AND(INDIRECT("$M$" &amp; (11+U$47)) = 1, $H71 = (INDIRECT("$P$" &amp; (11+U$47)))), $E$9,0)</f>
        <v>0</v>
      </c>
      <c r="V71" s="1" cm="1">
        <f t="array" aca="1" ref="V71" ca="1">IF(AND(INDIRECT("$M$" &amp; (11+V$47)) = 1, $H71 = (INDIRECT("$P$" &amp; (11+V$47)))), $E$9,0)</f>
        <v>0</v>
      </c>
      <c r="W71" s="1" cm="1">
        <f t="array" aca="1" ref="W71" ca="1">IF(AND(INDIRECT("$M$" &amp; (11+W$47)) = 1, $H71 = (INDIRECT("$P$" &amp; (11+W$47)))), $E$9,0)</f>
        <v>0</v>
      </c>
      <c r="X71" s="1" cm="1">
        <f t="array" aca="1" ref="X71" ca="1">IF(AND(INDIRECT("$M$" &amp; (11+X$47)) = 1, $H71 = (INDIRECT("$P$" &amp; (11+X$47)))), $E$9,0)</f>
        <v>0</v>
      </c>
      <c r="Y71" s="1" cm="1">
        <f t="array" aca="1" ref="Y71" ca="1">IF(AND(INDIRECT("$M$" &amp; (11+Y$47)) = 1, $H71 = (INDIRECT("$P$" &amp; (11+Y$47)))), $E$9,0)</f>
        <v>0</v>
      </c>
      <c r="Z71" s="1" cm="1">
        <f t="array" aca="1" ref="Z71" ca="1">IF(AND(INDIRECT("$M$" &amp; (11+Z$47)) = 1, $H71 = (INDIRECT("$P$" &amp; (11+Z$47)))), $E$9,0)</f>
        <v>0</v>
      </c>
      <c r="AA71" s="1" cm="1">
        <f t="array" aca="1" ref="AA71" ca="1">IF(AND(INDIRECT("$M$" &amp; (11+AA$47)) = 1, $H71 = (INDIRECT("$P$" &amp; (11+AA$47)))), $E$9,0)</f>
        <v>0</v>
      </c>
      <c r="AB71" s="1" cm="1">
        <f t="array" aca="1" ref="AB71" ca="1">IF(AND(INDIRECT("$M$" &amp; (11+AB$47)) = 1, $H71 = (INDIRECT("$P$" &amp; (11+AB$47)))), $E$9,0)</f>
        <v>0</v>
      </c>
      <c r="AE71" s="219">
        <v>2034</v>
      </c>
      <c r="AF71" s="1" cm="1">
        <f t="array" aca="1" ref="AF71" ca="1">IF(AND(INDIRECT("$N$" &amp; (11+AF$47)) = 1, $AE71 = (INDIRECT("$Q$" &amp; (11+AF$47)))), $F$9,0)</f>
        <v>0</v>
      </c>
      <c r="AG71" s="1" cm="1">
        <f t="array" aca="1" ref="AG71" ca="1">IF(AND(INDIRECT("$N$" &amp; (11+AG$47)) = 1, $AE71 = (INDIRECT("$Q$" &amp; (11+AG$47)))), $F$9,0)</f>
        <v>0</v>
      </c>
      <c r="AH71" s="1" cm="1">
        <f t="array" aca="1" ref="AH71" ca="1">IF(AND(INDIRECT("$N$" &amp; (11+AH$47)) = 1, $AE71 = (INDIRECT("$Q$" &amp; (11+AH$47)))), $F$9,0)</f>
        <v>0</v>
      </c>
      <c r="AI71" s="1" cm="1">
        <f t="array" aca="1" ref="AI71" ca="1">IF(AND(INDIRECT("$N$" &amp; (11+AI$47)) = 1, $AE71 = (INDIRECT("$Q$" &amp; (11+AI$47)))), $F$9,0)</f>
        <v>0</v>
      </c>
      <c r="AJ71" s="1" cm="1">
        <f t="array" aca="1" ref="AJ71" ca="1">IF(AND(INDIRECT("$N$" &amp; (11+AJ$47)) = 1, $AE71 = (INDIRECT("$Q$" &amp; (11+AJ$47)))), $F$9,0)</f>
        <v>0</v>
      </c>
      <c r="AK71" s="1" cm="1">
        <f t="array" aca="1" ref="AK71" ca="1">IF(AND(INDIRECT("$N$" &amp; (11+AK$47)) = 1, $AE71 = (INDIRECT("$Q$" &amp; (11+AK$47)))), $F$9,0)</f>
        <v>0</v>
      </c>
      <c r="AL71" s="1" cm="1">
        <f t="array" aca="1" ref="AL71" ca="1">IF(AND(INDIRECT("$N$" &amp; (11+AL$47)) = 1, $AE71 = (INDIRECT("$Q$" &amp; (11+AL$47)))), $F$9,0)</f>
        <v>0</v>
      </c>
      <c r="AM71" s="1" cm="1">
        <f t="array" aca="1" ref="AM71" ca="1">IF(AND(INDIRECT("$N$" &amp; (11+AM$47)) = 1, $AE71 = (INDIRECT("$Q$" &amp; (11+AM$47)))), $F$9,0)</f>
        <v>0</v>
      </c>
      <c r="AN71" s="1" cm="1">
        <f t="array" aca="1" ref="AN71" ca="1">IF(AND(INDIRECT("$N$" &amp; (11+AN$47)) = 1, $AE71 = (INDIRECT("$Q$" &amp; (11+AN$47)))), $F$9,0)</f>
        <v>0</v>
      </c>
      <c r="AO71" s="1" cm="1">
        <f t="array" aca="1" ref="AO71" ca="1">IF(AND(INDIRECT("$N$" &amp; (11+AO$47)) = 1, $AE71 = (INDIRECT("$Q$" &amp; (11+AO$47)))), $F$9,0)</f>
        <v>0</v>
      </c>
      <c r="AP71" s="1" cm="1">
        <f t="array" aca="1" ref="AP71" ca="1">IF(AND(INDIRECT("$N$" &amp; (11+AP$47)) = 1, $AE71 = (INDIRECT("$Q$" &amp; (11+AP$47)))), $F$9,0)</f>
        <v>0</v>
      </c>
      <c r="AQ71" s="1" cm="1">
        <f t="array" aca="1" ref="AQ71" ca="1">IF(AND(INDIRECT("$N$" &amp; (11+AQ$47)) = 1, $AE71 = (INDIRECT("$Q$" &amp; (11+AQ$47)))), $F$9,0)</f>
        <v>0</v>
      </c>
      <c r="AR71" s="1" cm="1">
        <f t="array" aca="1" ref="AR71" ca="1">IF(AND(INDIRECT("$N$" &amp; (11+AR$47)) = 1, $AE71 = (INDIRECT("$Q$" &amp; (11+AR$47)))), $F$9,0)</f>
        <v>0</v>
      </c>
      <c r="AS71" s="1" cm="1">
        <f t="array" aca="1" ref="AS71" ca="1">IF(AND(INDIRECT("$N$" &amp; (11+AS$47)) = 1, $AE71 = (INDIRECT("$Q$" &amp; (11+AS$47)))), $F$9,0)</f>
        <v>0</v>
      </c>
      <c r="AT71" s="1" cm="1">
        <f t="array" aca="1" ref="AT71" ca="1">IF(AND(INDIRECT("$N$" &amp; (11+AT$47)) = 1, $AE71 = (INDIRECT("$Q$" &amp; (11+AT$47)))), $F$9,0)</f>
        <v>0</v>
      </c>
      <c r="AU71" s="1" cm="1">
        <f t="array" aca="1" ref="AU71" ca="1">IF(AND(INDIRECT("$N$" &amp; (11+AU$47)) = 1, $AE71 = (INDIRECT("$Q$" &amp; (11+AU$47)))), $F$9,0)</f>
        <v>0</v>
      </c>
      <c r="AV71" s="1" cm="1">
        <f t="array" aca="1" ref="AV71" ca="1">IF(AND(INDIRECT("$N$" &amp; (11+AV$47)) = 1, $AE71 = (INDIRECT("$Q$" &amp; (11+AV$47)))), $F$9,0)</f>
        <v>0</v>
      </c>
      <c r="AW71" s="1" cm="1">
        <f t="array" aca="1" ref="AW71" ca="1">IF(AND(INDIRECT("$N$" &amp; (11+AW$47)) = 1, $AE71 = (INDIRECT("$Q$" &amp; (11+AW$47)))), $F$9,0)</f>
        <v>0</v>
      </c>
      <c r="AX71" s="1" cm="1">
        <f t="array" aca="1" ref="AX71" ca="1">IF(AND(INDIRECT("$N$" &amp; (11+AX$47)) = 1, $AE71 = (INDIRECT("$Q$" &amp; (11+AX$47)))), $F$9,0)</f>
        <v>0</v>
      </c>
      <c r="AY71" s="1" cm="1">
        <f t="array" aca="1" ref="AY71" ca="1">IF(AND(INDIRECT("$N$" &amp; (11+AY$47)) = 1, $AE71 = (INDIRECT("$Q$" &amp; (11+AY$47)))), $F$9,0)</f>
        <v>0</v>
      </c>
    </row>
    <row r="72" spans="8:51" x14ac:dyDescent="0.3">
      <c r="H72" s="219">
        <v>2035</v>
      </c>
      <c r="I72" s="1" cm="1">
        <f t="array" aca="1" ref="I72" ca="1">IF(AND(INDIRECT("$M$" &amp; (11+I$47)) = 1, $H72 = (INDIRECT("$P$" &amp; (11+I$47)))), $E$9,0)</f>
        <v>0</v>
      </c>
      <c r="J72" s="1" cm="1">
        <f t="array" aca="1" ref="J72" ca="1">IF(AND(INDIRECT("$M$" &amp; (11+J$47)) = 1, $H72 = (INDIRECT("$P$" &amp; (11+J$47)))), $E$9,0)</f>
        <v>0</v>
      </c>
      <c r="K72" s="1" cm="1">
        <f t="array" aca="1" ref="K72" ca="1">IF(AND(INDIRECT("$M$" &amp; (11+K$47)) = 1, $H72 = (INDIRECT("$P$" &amp; (11+K$47)))), $E$9,0)</f>
        <v>0</v>
      </c>
      <c r="L72" s="1" cm="1">
        <f t="array" aca="1" ref="L72" ca="1">IF(AND(INDIRECT("$M$" &amp; (11+L$47)) = 1, $H72 = (INDIRECT("$P$" &amp; (11+L$47)))), $E$9,0)</f>
        <v>0</v>
      </c>
      <c r="M72" s="1" cm="1">
        <f t="array" aca="1" ref="M72" ca="1">IF(AND(INDIRECT("$M$" &amp; (11+M$47)) = 1, $H72 = (INDIRECT("$P$" &amp; (11+M$47)))), $E$9,0)</f>
        <v>0</v>
      </c>
      <c r="N72" s="1" cm="1">
        <f t="array" aca="1" ref="N72" ca="1">IF(AND(INDIRECT("$M$" &amp; (11+N$47)) = 1, $H72 = (INDIRECT("$P$" &amp; (11+N$47)))), $E$9,0)</f>
        <v>0</v>
      </c>
      <c r="O72" s="1" cm="1">
        <f t="array" aca="1" ref="O72" ca="1">IF(AND(INDIRECT("$M$" &amp; (11+O$47)) = 1, $H72 = (INDIRECT("$P$" &amp; (11+O$47)))), $E$9,0)</f>
        <v>0</v>
      </c>
      <c r="P72" s="1" cm="1">
        <f t="array" aca="1" ref="P72" ca="1">IF(AND(INDIRECT("$M$" &amp; (11+P$47)) = 1, $H72 = (INDIRECT("$P$" &amp; (11+P$47)))), $E$9,0)</f>
        <v>0</v>
      </c>
      <c r="Q72" s="1" cm="1">
        <f t="array" aca="1" ref="Q72" ca="1">IF(AND(INDIRECT("$M$" &amp; (11+Q$47)) = 1, $H72 = (INDIRECT("$P$" &amp; (11+Q$47)))), $E$9,0)</f>
        <v>0</v>
      </c>
      <c r="R72" s="1" cm="1">
        <f t="array" aca="1" ref="R72" ca="1">IF(AND(INDIRECT("$M$" &amp; (11+R$47)) = 1, $H72 = (INDIRECT("$P$" &amp; (11+R$47)))), $E$9,0)</f>
        <v>0</v>
      </c>
      <c r="S72" s="1" cm="1">
        <f t="array" aca="1" ref="S72" ca="1">IF(AND(INDIRECT("$M$" &amp; (11+S$47)) = 1, $H72 = (INDIRECT("$P$" &amp; (11+S$47)))), $E$9,0)</f>
        <v>0</v>
      </c>
      <c r="T72" s="1" cm="1">
        <f t="array" aca="1" ref="T72" ca="1">IF(AND(INDIRECT("$M$" &amp; (11+T$47)) = 1, $H72 = (INDIRECT("$P$" &amp; (11+T$47)))), $E$9,0)</f>
        <v>0</v>
      </c>
      <c r="U72" s="1" cm="1">
        <f t="array" aca="1" ref="U72" ca="1">IF(AND(INDIRECT("$M$" &amp; (11+U$47)) = 1, $H72 = (INDIRECT("$P$" &amp; (11+U$47)))), $E$9,0)</f>
        <v>0</v>
      </c>
      <c r="V72" s="1" cm="1">
        <f t="array" aca="1" ref="V72" ca="1">IF(AND(INDIRECT("$M$" &amp; (11+V$47)) = 1, $H72 = (INDIRECT("$P$" &amp; (11+V$47)))), $E$9,0)</f>
        <v>0</v>
      </c>
      <c r="W72" s="1" cm="1">
        <f t="array" aca="1" ref="W72" ca="1">IF(AND(INDIRECT("$M$" &amp; (11+W$47)) = 1, $H72 = (INDIRECT("$P$" &amp; (11+W$47)))), $E$9,0)</f>
        <v>0</v>
      </c>
      <c r="X72" s="1" cm="1">
        <f t="array" aca="1" ref="X72" ca="1">IF(AND(INDIRECT("$M$" &amp; (11+X$47)) = 1, $H72 = (INDIRECT("$P$" &amp; (11+X$47)))), $E$9,0)</f>
        <v>0</v>
      </c>
      <c r="Y72" s="1" cm="1">
        <f t="array" aca="1" ref="Y72" ca="1">IF(AND(INDIRECT("$M$" &amp; (11+Y$47)) = 1, $H72 = (INDIRECT("$P$" &amp; (11+Y$47)))), $E$9,0)</f>
        <v>0</v>
      </c>
      <c r="Z72" s="1" cm="1">
        <f t="array" aca="1" ref="Z72" ca="1">IF(AND(INDIRECT("$M$" &amp; (11+Z$47)) = 1, $H72 = (INDIRECT("$P$" &amp; (11+Z$47)))), $E$9,0)</f>
        <v>0</v>
      </c>
      <c r="AA72" s="1" cm="1">
        <f t="array" aca="1" ref="AA72" ca="1">IF(AND(INDIRECT("$M$" &amp; (11+AA$47)) = 1, $H72 = (INDIRECT("$P$" &amp; (11+AA$47)))), $E$9,0)</f>
        <v>0</v>
      </c>
      <c r="AB72" s="1" cm="1">
        <f t="array" aca="1" ref="AB72" ca="1">IF(AND(INDIRECT("$M$" &amp; (11+AB$47)) = 1, $H72 = (INDIRECT("$P$" &amp; (11+AB$47)))), $E$9,0)</f>
        <v>0</v>
      </c>
      <c r="AE72" s="219">
        <v>2035</v>
      </c>
      <c r="AF72" s="1" cm="1">
        <f t="array" aca="1" ref="AF72" ca="1">IF(AND(INDIRECT("$N$" &amp; (11+AF$47)) = 1, $AE72 = (INDIRECT("$Q$" &amp; (11+AF$47)))), $F$9,0)</f>
        <v>0</v>
      </c>
      <c r="AG72" s="1" cm="1">
        <f t="array" aca="1" ref="AG72" ca="1">IF(AND(INDIRECT("$N$" &amp; (11+AG$47)) = 1, $AE72 = (INDIRECT("$Q$" &amp; (11+AG$47)))), $F$9,0)</f>
        <v>0</v>
      </c>
      <c r="AH72" s="1" cm="1">
        <f t="array" aca="1" ref="AH72" ca="1">IF(AND(INDIRECT("$N$" &amp; (11+AH$47)) = 1, $AE72 = (INDIRECT("$Q$" &amp; (11+AH$47)))), $F$9,0)</f>
        <v>0</v>
      </c>
      <c r="AI72" s="1" cm="1">
        <f t="array" aca="1" ref="AI72" ca="1">IF(AND(INDIRECT("$N$" &amp; (11+AI$47)) = 1, $AE72 = (INDIRECT("$Q$" &amp; (11+AI$47)))), $F$9,0)</f>
        <v>0</v>
      </c>
      <c r="AJ72" s="1" cm="1">
        <f t="array" aca="1" ref="AJ72" ca="1">IF(AND(INDIRECT("$N$" &amp; (11+AJ$47)) = 1, $AE72 = (INDIRECT("$Q$" &amp; (11+AJ$47)))), $F$9,0)</f>
        <v>0</v>
      </c>
      <c r="AK72" s="1" cm="1">
        <f t="array" aca="1" ref="AK72" ca="1">IF(AND(INDIRECT("$N$" &amp; (11+AK$47)) = 1, $AE72 = (INDIRECT("$Q$" &amp; (11+AK$47)))), $F$9,0)</f>
        <v>0</v>
      </c>
      <c r="AL72" s="1" cm="1">
        <f t="array" aca="1" ref="AL72" ca="1">IF(AND(INDIRECT("$N$" &amp; (11+AL$47)) = 1, $AE72 = (INDIRECT("$Q$" &amp; (11+AL$47)))), $F$9,0)</f>
        <v>0</v>
      </c>
      <c r="AM72" s="1" cm="1">
        <f t="array" aca="1" ref="AM72" ca="1">IF(AND(INDIRECT("$N$" &amp; (11+AM$47)) = 1, $AE72 = (INDIRECT("$Q$" &amp; (11+AM$47)))), $F$9,0)</f>
        <v>0</v>
      </c>
      <c r="AN72" s="1" cm="1">
        <f t="array" aca="1" ref="AN72" ca="1">IF(AND(INDIRECT("$N$" &amp; (11+AN$47)) = 1, $AE72 = (INDIRECT("$Q$" &amp; (11+AN$47)))), $F$9,0)</f>
        <v>0</v>
      </c>
      <c r="AO72" s="1" cm="1">
        <f t="array" aca="1" ref="AO72" ca="1">IF(AND(INDIRECT("$N$" &amp; (11+AO$47)) = 1, $AE72 = (INDIRECT("$Q$" &amp; (11+AO$47)))), $F$9,0)</f>
        <v>0</v>
      </c>
      <c r="AP72" s="1" cm="1">
        <f t="array" aca="1" ref="AP72" ca="1">IF(AND(INDIRECT("$N$" &amp; (11+AP$47)) = 1, $AE72 = (INDIRECT("$Q$" &amp; (11+AP$47)))), $F$9,0)</f>
        <v>0</v>
      </c>
      <c r="AQ72" s="1" cm="1">
        <f t="array" aca="1" ref="AQ72" ca="1">IF(AND(INDIRECT("$N$" &amp; (11+AQ$47)) = 1, $AE72 = (INDIRECT("$Q$" &amp; (11+AQ$47)))), $F$9,0)</f>
        <v>0</v>
      </c>
      <c r="AR72" s="1" cm="1">
        <f t="array" aca="1" ref="AR72" ca="1">IF(AND(INDIRECT("$N$" &amp; (11+AR$47)) = 1, $AE72 = (INDIRECT("$Q$" &amp; (11+AR$47)))), $F$9,0)</f>
        <v>0</v>
      </c>
      <c r="AS72" s="1" cm="1">
        <f t="array" aca="1" ref="AS72" ca="1">IF(AND(INDIRECT("$N$" &amp; (11+AS$47)) = 1, $AE72 = (INDIRECT("$Q$" &amp; (11+AS$47)))), $F$9,0)</f>
        <v>0</v>
      </c>
      <c r="AT72" s="1" cm="1">
        <f t="array" aca="1" ref="AT72" ca="1">IF(AND(INDIRECT("$N$" &amp; (11+AT$47)) = 1, $AE72 = (INDIRECT("$Q$" &amp; (11+AT$47)))), $F$9,0)</f>
        <v>0</v>
      </c>
      <c r="AU72" s="1" cm="1">
        <f t="array" aca="1" ref="AU72" ca="1">IF(AND(INDIRECT("$N$" &amp; (11+AU$47)) = 1, $AE72 = (INDIRECT("$Q$" &amp; (11+AU$47)))), $F$9,0)</f>
        <v>0</v>
      </c>
      <c r="AV72" s="1" cm="1">
        <f t="array" aca="1" ref="AV72" ca="1">IF(AND(INDIRECT("$N$" &amp; (11+AV$47)) = 1, $AE72 = (INDIRECT("$Q$" &amp; (11+AV$47)))), $F$9,0)</f>
        <v>0</v>
      </c>
      <c r="AW72" s="1" cm="1">
        <f t="array" aca="1" ref="AW72" ca="1">IF(AND(INDIRECT("$N$" &amp; (11+AW$47)) = 1, $AE72 = (INDIRECT("$Q$" &amp; (11+AW$47)))), $F$9,0)</f>
        <v>0</v>
      </c>
      <c r="AX72" s="1" cm="1">
        <f t="array" aca="1" ref="AX72" ca="1">IF(AND(INDIRECT("$N$" &amp; (11+AX$47)) = 1, $AE72 = (INDIRECT("$Q$" &amp; (11+AX$47)))), $F$9,0)</f>
        <v>0</v>
      </c>
      <c r="AY72" s="1" cm="1">
        <f t="array" aca="1" ref="AY72" ca="1">IF(AND(INDIRECT("$N$" &amp; (11+AY$47)) = 1, $AE72 = (INDIRECT("$Q$" &amp; (11+AY$47)))), $F$9,0)</f>
        <v>0</v>
      </c>
    </row>
    <row r="73" spans="8:51" x14ac:dyDescent="0.3">
      <c r="H73" s="219">
        <v>2036</v>
      </c>
      <c r="I73" s="1" cm="1">
        <f t="array" aca="1" ref="I73" ca="1">IF(AND(INDIRECT("$M$" &amp; (11+I$47)) = 1, $H73 = (INDIRECT("$P$" &amp; (11+I$47)))), $E$9,0)</f>
        <v>0</v>
      </c>
      <c r="J73" s="1" cm="1">
        <f t="array" aca="1" ref="J73" ca="1">IF(AND(INDIRECT("$M$" &amp; (11+J$47)) = 1, $H73 = (INDIRECT("$P$" &amp; (11+J$47)))), $E$9,0)</f>
        <v>0</v>
      </c>
      <c r="K73" s="1" cm="1">
        <f t="array" aca="1" ref="K73" ca="1">IF(AND(INDIRECT("$M$" &amp; (11+K$47)) = 1, $H73 = (INDIRECT("$P$" &amp; (11+K$47)))), $E$9,0)</f>
        <v>0</v>
      </c>
      <c r="L73" s="1" cm="1">
        <f t="array" aca="1" ref="L73" ca="1">IF(AND(INDIRECT("$M$" &amp; (11+L$47)) = 1, $H73 = (INDIRECT("$P$" &amp; (11+L$47)))), $E$9,0)</f>
        <v>0</v>
      </c>
      <c r="M73" s="1" cm="1">
        <f t="array" aca="1" ref="M73" ca="1">IF(AND(INDIRECT("$M$" &amp; (11+M$47)) = 1, $H73 = (INDIRECT("$P$" &amp; (11+M$47)))), $E$9,0)</f>
        <v>0</v>
      </c>
      <c r="N73" s="1" cm="1">
        <f t="array" aca="1" ref="N73" ca="1">IF(AND(INDIRECT("$M$" &amp; (11+N$47)) = 1, $H73 = (INDIRECT("$P$" &amp; (11+N$47)))), $E$9,0)</f>
        <v>0</v>
      </c>
      <c r="O73" s="1" cm="1">
        <f t="array" aca="1" ref="O73" ca="1">IF(AND(INDIRECT("$M$" &amp; (11+O$47)) = 1, $H73 = (INDIRECT("$P$" &amp; (11+O$47)))), $E$9,0)</f>
        <v>0</v>
      </c>
      <c r="P73" s="1" cm="1">
        <f t="array" aca="1" ref="P73" ca="1">IF(AND(INDIRECT("$M$" &amp; (11+P$47)) = 1, $H73 = (INDIRECT("$P$" &amp; (11+P$47)))), $E$9,0)</f>
        <v>0</v>
      </c>
      <c r="Q73" s="1" cm="1">
        <f t="array" aca="1" ref="Q73" ca="1">IF(AND(INDIRECT("$M$" &amp; (11+Q$47)) = 1, $H73 = (INDIRECT("$P$" &amp; (11+Q$47)))), $E$9,0)</f>
        <v>0</v>
      </c>
      <c r="R73" s="1" cm="1">
        <f t="array" aca="1" ref="R73" ca="1">IF(AND(INDIRECT("$M$" &amp; (11+R$47)) = 1, $H73 = (INDIRECT("$P$" &amp; (11+R$47)))), $E$9,0)</f>
        <v>0</v>
      </c>
      <c r="S73" s="1" cm="1">
        <f t="array" aca="1" ref="S73" ca="1">IF(AND(INDIRECT("$M$" &amp; (11+S$47)) = 1, $H73 = (INDIRECT("$P$" &amp; (11+S$47)))), $E$9,0)</f>
        <v>0</v>
      </c>
      <c r="T73" s="1" cm="1">
        <f t="array" aca="1" ref="T73" ca="1">IF(AND(INDIRECT("$M$" &amp; (11+T$47)) = 1, $H73 = (INDIRECT("$P$" &amp; (11+T$47)))), $E$9,0)</f>
        <v>0</v>
      </c>
      <c r="U73" s="1" cm="1">
        <f t="array" aca="1" ref="U73" ca="1">IF(AND(INDIRECT("$M$" &amp; (11+U$47)) = 1, $H73 = (INDIRECT("$P$" &amp; (11+U$47)))), $E$9,0)</f>
        <v>0</v>
      </c>
      <c r="V73" s="1" cm="1">
        <f t="array" aca="1" ref="V73" ca="1">IF(AND(INDIRECT("$M$" &amp; (11+V$47)) = 1, $H73 = (INDIRECT("$P$" &amp; (11+V$47)))), $E$9,0)</f>
        <v>0</v>
      </c>
      <c r="W73" s="1" cm="1">
        <f t="array" aca="1" ref="W73" ca="1">IF(AND(INDIRECT("$M$" &amp; (11+W$47)) = 1, $H73 = (INDIRECT("$P$" &amp; (11+W$47)))), $E$9,0)</f>
        <v>0</v>
      </c>
      <c r="X73" s="1" cm="1">
        <f t="array" aca="1" ref="X73" ca="1">IF(AND(INDIRECT("$M$" &amp; (11+X$47)) = 1, $H73 = (INDIRECT("$P$" &amp; (11+X$47)))), $E$9,0)</f>
        <v>0</v>
      </c>
      <c r="Y73" s="1" cm="1">
        <f t="array" aca="1" ref="Y73" ca="1">IF(AND(INDIRECT("$M$" &amp; (11+Y$47)) = 1, $H73 = (INDIRECT("$P$" &amp; (11+Y$47)))), $E$9,0)</f>
        <v>0</v>
      </c>
      <c r="Z73" s="1" cm="1">
        <f t="array" aca="1" ref="Z73" ca="1">IF(AND(INDIRECT("$M$" &amp; (11+Z$47)) = 1, $H73 = (INDIRECT("$P$" &amp; (11+Z$47)))), $E$9,0)</f>
        <v>0</v>
      </c>
      <c r="AA73" s="1" cm="1">
        <f t="array" aca="1" ref="AA73" ca="1">IF(AND(INDIRECT("$M$" &amp; (11+AA$47)) = 1, $H73 = (INDIRECT("$P$" &amp; (11+AA$47)))), $E$9,0)</f>
        <v>0</v>
      </c>
      <c r="AB73" s="1" cm="1">
        <f t="array" aca="1" ref="AB73" ca="1">IF(AND(INDIRECT("$M$" &amp; (11+AB$47)) = 1, $H73 = (INDIRECT("$P$" &amp; (11+AB$47)))), $E$9,0)</f>
        <v>0</v>
      </c>
      <c r="AE73" s="219">
        <v>2036</v>
      </c>
      <c r="AF73" s="1" cm="1">
        <f t="array" aca="1" ref="AF73" ca="1">IF(AND(INDIRECT("$N$" &amp; (11+AF$47)) = 1, $AE73 = (INDIRECT("$Q$" &amp; (11+AF$47)))), $F$9,0)</f>
        <v>0</v>
      </c>
      <c r="AG73" s="1" cm="1">
        <f t="array" aca="1" ref="AG73" ca="1">IF(AND(INDIRECT("$N$" &amp; (11+AG$47)) = 1, $AE73 = (INDIRECT("$Q$" &amp; (11+AG$47)))), $F$9,0)</f>
        <v>0</v>
      </c>
      <c r="AH73" s="1" cm="1">
        <f t="array" aca="1" ref="AH73" ca="1">IF(AND(INDIRECT("$N$" &amp; (11+AH$47)) = 1, $AE73 = (INDIRECT("$Q$" &amp; (11+AH$47)))), $F$9,0)</f>
        <v>0</v>
      </c>
      <c r="AI73" s="1" cm="1">
        <f t="array" aca="1" ref="AI73" ca="1">IF(AND(INDIRECT("$N$" &amp; (11+AI$47)) = 1, $AE73 = (INDIRECT("$Q$" &amp; (11+AI$47)))), $F$9,0)</f>
        <v>0</v>
      </c>
      <c r="AJ73" s="1" cm="1">
        <f t="array" aca="1" ref="AJ73" ca="1">IF(AND(INDIRECT("$N$" &amp; (11+AJ$47)) = 1, $AE73 = (INDIRECT("$Q$" &amp; (11+AJ$47)))), $F$9,0)</f>
        <v>0</v>
      </c>
      <c r="AK73" s="1" cm="1">
        <f t="array" aca="1" ref="AK73" ca="1">IF(AND(INDIRECT("$N$" &amp; (11+AK$47)) = 1, $AE73 = (INDIRECT("$Q$" &amp; (11+AK$47)))), $F$9,0)</f>
        <v>0</v>
      </c>
      <c r="AL73" s="1" cm="1">
        <f t="array" aca="1" ref="AL73" ca="1">IF(AND(INDIRECT("$N$" &amp; (11+AL$47)) = 1, $AE73 = (INDIRECT("$Q$" &amp; (11+AL$47)))), $F$9,0)</f>
        <v>0</v>
      </c>
      <c r="AM73" s="1" cm="1">
        <f t="array" aca="1" ref="AM73" ca="1">IF(AND(INDIRECT("$N$" &amp; (11+AM$47)) = 1, $AE73 = (INDIRECT("$Q$" &amp; (11+AM$47)))), $F$9,0)</f>
        <v>0</v>
      </c>
      <c r="AN73" s="1" cm="1">
        <f t="array" aca="1" ref="AN73" ca="1">IF(AND(INDIRECT("$N$" &amp; (11+AN$47)) = 1, $AE73 = (INDIRECT("$Q$" &amp; (11+AN$47)))), $F$9,0)</f>
        <v>0</v>
      </c>
      <c r="AO73" s="1" cm="1">
        <f t="array" aca="1" ref="AO73" ca="1">IF(AND(INDIRECT("$N$" &amp; (11+AO$47)) = 1, $AE73 = (INDIRECT("$Q$" &amp; (11+AO$47)))), $F$9,0)</f>
        <v>0</v>
      </c>
      <c r="AP73" s="1" cm="1">
        <f t="array" aca="1" ref="AP73" ca="1">IF(AND(INDIRECT("$N$" &amp; (11+AP$47)) = 1, $AE73 = (INDIRECT("$Q$" &amp; (11+AP$47)))), $F$9,0)</f>
        <v>0</v>
      </c>
      <c r="AQ73" s="1" cm="1">
        <f t="array" aca="1" ref="AQ73" ca="1">IF(AND(INDIRECT("$N$" &amp; (11+AQ$47)) = 1, $AE73 = (INDIRECT("$Q$" &amp; (11+AQ$47)))), $F$9,0)</f>
        <v>0</v>
      </c>
      <c r="AR73" s="1" cm="1">
        <f t="array" aca="1" ref="AR73" ca="1">IF(AND(INDIRECT("$N$" &amp; (11+AR$47)) = 1, $AE73 = (INDIRECT("$Q$" &amp; (11+AR$47)))), $F$9,0)</f>
        <v>0</v>
      </c>
      <c r="AS73" s="1" cm="1">
        <f t="array" aca="1" ref="AS73" ca="1">IF(AND(INDIRECT("$N$" &amp; (11+AS$47)) = 1, $AE73 = (INDIRECT("$Q$" &amp; (11+AS$47)))), $F$9,0)</f>
        <v>0</v>
      </c>
      <c r="AT73" s="1" cm="1">
        <f t="array" aca="1" ref="AT73" ca="1">IF(AND(INDIRECT("$N$" &amp; (11+AT$47)) = 1, $AE73 = (INDIRECT("$Q$" &amp; (11+AT$47)))), $F$9,0)</f>
        <v>0</v>
      </c>
      <c r="AU73" s="1" cm="1">
        <f t="array" aca="1" ref="AU73" ca="1">IF(AND(INDIRECT("$N$" &amp; (11+AU$47)) = 1, $AE73 = (INDIRECT("$Q$" &amp; (11+AU$47)))), $F$9,0)</f>
        <v>0</v>
      </c>
      <c r="AV73" s="1" cm="1">
        <f t="array" aca="1" ref="AV73" ca="1">IF(AND(INDIRECT("$N$" &amp; (11+AV$47)) = 1, $AE73 = (INDIRECT("$Q$" &amp; (11+AV$47)))), $F$9,0)</f>
        <v>0</v>
      </c>
      <c r="AW73" s="1" cm="1">
        <f t="array" aca="1" ref="AW73" ca="1">IF(AND(INDIRECT("$N$" &amp; (11+AW$47)) = 1, $AE73 = (INDIRECT("$Q$" &amp; (11+AW$47)))), $F$9,0)</f>
        <v>0</v>
      </c>
      <c r="AX73" s="1" cm="1">
        <f t="array" aca="1" ref="AX73" ca="1">IF(AND(INDIRECT("$N$" &amp; (11+AX$47)) = 1, $AE73 = (INDIRECT("$Q$" &amp; (11+AX$47)))), $F$9,0)</f>
        <v>0</v>
      </c>
      <c r="AY73" s="1" cm="1">
        <f t="array" aca="1" ref="AY73" ca="1">IF(AND(INDIRECT("$N$" &amp; (11+AY$47)) = 1, $AE73 = (INDIRECT("$Q$" &amp; (11+AY$47)))), $F$9,0)</f>
        <v>0</v>
      </c>
    </row>
    <row r="74" spans="8:51" x14ac:dyDescent="0.3">
      <c r="H74" s="219">
        <v>2037</v>
      </c>
      <c r="I74" s="1" cm="1">
        <f t="array" aca="1" ref="I74" ca="1">IF(AND(INDIRECT("$M$" &amp; (11+I$47)) = 1, $H74 = (INDIRECT("$P$" &amp; (11+I$47)))), $E$9,0)</f>
        <v>0</v>
      </c>
      <c r="J74" s="1" cm="1">
        <f t="array" aca="1" ref="J74" ca="1">IF(AND(INDIRECT("$M$" &amp; (11+J$47)) = 1, $H74 = (INDIRECT("$P$" &amp; (11+J$47)))), $E$9,0)</f>
        <v>0</v>
      </c>
      <c r="K74" s="1" cm="1">
        <f t="array" aca="1" ref="K74" ca="1">IF(AND(INDIRECT("$M$" &amp; (11+K$47)) = 1, $H74 = (INDIRECT("$P$" &amp; (11+K$47)))), $E$9,0)</f>
        <v>0</v>
      </c>
      <c r="L74" s="1" cm="1">
        <f t="array" aca="1" ref="L74" ca="1">IF(AND(INDIRECT("$M$" &amp; (11+L$47)) = 1, $H74 = (INDIRECT("$P$" &amp; (11+L$47)))), $E$9,0)</f>
        <v>0</v>
      </c>
      <c r="M74" s="1" cm="1">
        <f t="array" aca="1" ref="M74" ca="1">IF(AND(INDIRECT("$M$" &amp; (11+M$47)) = 1, $H74 = (INDIRECT("$P$" &amp; (11+M$47)))), $E$9,0)</f>
        <v>0</v>
      </c>
      <c r="N74" s="1" cm="1">
        <f t="array" aca="1" ref="N74" ca="1">IF(AND(INDIRECT("$M$" &amp; (11+N$47)) = 1, $H74 = (INDIRECT("$P$" &amp; (11+N$47)))), $E$9,0)</f>
        <v>0</v>
      </c>
      <c r="O74" s="1" cm="1">
        <f t="array" aca="1" ref="O74" ca="1">IF(AND(INDIRECT("$M$" &amp; (11+O$47)) = 1, $H74 = (INDIRECT("$P$" &amp; (11+O$47)))), $E$9,0)</f>
        <v>0</v>
      </c>
      <c r="P74" s="1" cm="1">
        <f t="array" aca="1" ref="P74" ca="1">IF(AND(INDIRECT("$M$" &amp; (11+P$47)) = 1, $H74 = (INDIRECT("$P$" &amp; (11+P$47)))), $E$9,0)</f>
        <v>0</v>
      </c>
      <c r="Q74" s="1" cm="1">
        <f t="array" aca="1" ref="Q74" ca="1">IF(AND(INDIRECT("$M$" &amp; (11+Q$47)) = 1, $H74 = (INDIRECT("$P$" &amp; (11+Q$47)))), $E$9,0)</f>
        <v>0</v>
      </c>
      <c r="R74" s="1" cm="1">
        <f t="array" aca="1" ref="R74" ca="1">IF(AND(INDIRECT("$M$" &amp; (11+R$47)) = 1, $H74 = (INDIRECT("$P$" &amp; (11+R$47)))), $E$9,0)</f>
        <v>0</v>
      </c>
      <c r="S74" s="1" cm="1">
        <f t="array" aca="1" ref="S74" ca="1">IF(AND(INDIRECT("$M$" &amp; (11+S$47)) = 1, $H74 = (INDIRECT("$P$" &amp; (11+S$47)))), $E$9,0)</f>
        <v>0</v>
      </c>
      <c r="T74" s="1" cm="1">
        <f t="array" aca="1" ref="T74" ca="1">IF(AND(INDIRECT("$M$" &amp; (11+T$47)) = 1, $H74 = (INDIRECT("$P$" &amp; (11+T$47)))), $E$9,0)</f>
        <v>0</v>
      </c>
      <c r="U74" s="1" cm="1">
        <f t="array" aca="1" ref="U74" ca="1">IF(AND(INDIRECT("$M$" &amp; (11+U$47)) = 1, $H74 = (INDIRECT("$P$" &amp; (11+U$47)))), $E$9,0)</f>
        <v>0</v>
      </c>
      <c r="V74" s="1" cm="1">
        <f t="array" aca="1" ref="V74" ca="1">IF(AND(INDIRECT("$M$" &amp; (11+V$47)) = 1, $H74 = (INDIRECT("$P$" &amp; (11+V$47)))), $E$9,0)</f>
        <v>0</v>
      </c>
      <c r="W74" s="1" cm="1">
        <f t="array" aca="1" ref="W74" ca="1">IF(AND(INDIRECT("$M$" &amp; (11+W$47)) = 1, $H74 = (INDIRECT("$P$" &amp; (11+W$47)))), $E$9,0)</f>
        <v>0</v>
      </c>
      <c r="X74" s="1" cm="1">
        <f t="array" aca="1" ref="X74" ca="1">IF(AND(INDIRECT("$M$" &amp; (11+X$47)) = 1, $H74 = (INDIRECT("$P$" &amp; (11+X$47)))), $E$9,0)</f>
        <v>0</v>
      </c>
      <c r="Y74" s="1" cm="1">
        <f t="array" aca="1" ref="Y74" ca="1">IF(AND(INDIRECT("$M$" &amp; (11+Y$47)) = 1, $H74 = (INDIRECT("$P$" &amp; (11+Y$47)))), $E$9,0)</f>
        <v>0</v>
      </c>
      <c r="Z74" s="1" cm="1">
        <f t="array" aca="1" ref="Z74" ca="1">IF(AND(INDIRECT("$M$" &amp; (11+Z$47)) = 1, $H74 = (INDIRECT("$P$" &amp; (11+Z$47)))), $E$9,0)</f>
        <v>0</v>
      </c>
      <c r="AA74" s="1" cm="1">
        <f t="array" aca="1" ref="AA74" ca="1">IF(AND(INDIRECT("$M$" &amp; (11+AA$47)) = 1, $H74 = (INDIRECT("$P$" &amp; (11+AA$47)))), $E$9,0)</f>
        <v>0</v>
      </c>
      <c r="AB74" s="1" cm="1">
        <f t="array" aca="1" ref="AB74" ca="1">IF(AND(INDIRECT("$M$" &amp; (11+AB$47)) = 1, $H74 = (INDIRECT("$P$" &amp; (11+AB$47)))), $E$9,0)</f>
        <v>0</v>
      </c>
      <c r="AE74" s="219">
        <v>2037</v>
      </c>
      <c r="AF74" s="1" cm="1">
        <f t="array" aca="1" ref="AF74" ca="1">IF(AND(INDIRECT("$N$" &amp; (11+AF$47)) = 1, $AE74 = (INDIRECT("$Q$" &amp; (11+AF$47)))), $F$9,0)</f>
        <v>0</v>
      </c>
      <c r="AG74" s="1" cm="1">
        <f t="array" aca="1" ref="AG74" ca="1">IF(AND(INDIRECT("$N$" &amp; (11+AG$47)) = 1, $AE74 = (INDIRECT("$Q$" &amp; (11+AG$47)))), $F$9,0)</f>
        <v>0</v>
      </c>
      <c r="AH74" s="1" cm="1">
        <f t="array" aca="1" ref="AH74" ca="1">IF(AND(INDIRECT("$N$" &amp; (11+AH$47)) = 1, $AE74 = (INDIRECT("$Q$" &amp; (11+AH$47)))), $F$9,0)</f>
        <v>0</v>
      </c>
      <c r="AI74" s="1" cm="1">
        <f t="array" aca="1" ref="AI74" ca="1">IF(AND(INDIRECT("$N$" &amp; (11+AI$47)) = 1, $AE74 = (INDIRECT("$Q$" &amp; (11+AI$47)))), $F$9,0)</f>
        <v>0</v>
      </c>
      <c r="AJ74" s="1" cm="1">
        <f t="array" aca="1" ref="AJ74" ca="1">IF(AND(INDIRECT("$N$" &amp; (11+AJ$47)) = 1, $AE74 = (INDIRECT("$Q$" &amp; (11+AJ$47)))), $F$9,0)</f>
        <v>0</v>
      </c>
      <c r="AK74" s="1" cm="1">
        <f t="array" aca="1" ref="AK74" ca="1">IF(AND(INDIRECT("$N$" &amp; (11+AK$47)) = 1, $AE74 = (INDIRECT("$Q$" &amp; (11+AK$47)))), $F$9,0)</f>
        <v>0</v>
      </c>
      <c r="AL74" s="1" cm="1">
        <f t="array" aca="1" ref="AL74" ca="1">IF(AND(INDIRECT("$N$" &amp; (11+AL$47)) = 1, $AE74 = (INDIRECT("$Q$" &amp; (11+AL$47)))), $F$9,0)</f>
        <v>0</v>
      </c>
      <c r="AM74" s="1" cm="1">
        <f t="array" aca="1" ref="AM74" ca="1">IF(AND(INDIRECT("$N$" &amp; (11+AM$47)) = 1, $AE74 = (INDIRECT("$Q$" &amp; (11+AM$47)))), $F$9,0)</f>
        <v>0</v>
      </c>
      <c r="AN74" s="1" cm="1">
        <f t="array" aca="1" ref="AN74" ca="1">IF(AND(INDIRECT("$N$" &amp; (11+AN$47)) = 1, $AE74 = (INDIRECT("$Q$" &amp; (11+AN$47)))), $F$9,0)</f>
        <v>0</v>
      </c>
      <c r="AO74" s="1" cm="1">
        <f t="array" aca="1" ref="AO74" ca="1">IF(AND(INDIRECT("$N$" &amp; (11+AO$47)) = 1, $AE74 = (INDIRECT("$Q$" &amp; (11+AO$47)))), $F$9,0)</f>
        <v>0</v>
      </c>
      <c r="AP74" s="1" cm="1">
        <f t="array" aca="1" ref="AP74" ca="1">IF(AND(INDIRECT("$N$" &amp; (11+AP$47)) = 1, $AE74 = (INDIRECT("$Q$" &amp; (11+AP$47)))), $F$9,0)</f>
        <v>0</v>
      </c>
      <c r="AQ74" s="1" cm="1">
        <f t="array" aca="1" ref="AQ74" ca="1">IF(AND(INDIRECT("$N$" &amp; (11+AQ$47)) = 1, $AE74 = (INDIRECT("$Q$" &amp; (11+AQ$47)))), $F$9,0)</f>
        <v>0</v>
      </c>
      <c r="AR74" s="1" cm="1">
        <f t="array" aca="1" ref="AR74" ca="1">IF(AND(INDIRECT("$N$" &amp; (11+AR$47)) = 1, $AE74 = (INDIRECT("$Q$" &amp; (11+AR$47)))), $F$9,0)</f>
        <v>0</v>
      </c>
      <c r="AS74" s="1" cm="1">
        <f t="array" aca="1" ref="AS74" ca="1">IF(AND(INDIRECT("$N$" &amp; (11+AS$47)) = 1, $AE74 = (INDIRECT("$Q$" &amp; (11+AS$47)))), $F$9,0)</f>
        <v>0</v>
      </c>
      <c r="AT74" s="1" cm="1">
        <f t="array" aca="1" ref="AT74" ca="1">IF(AND(INDIRECT("$N$" &amp; (11+AT$47)) = 1, $AE74 = (INDIRECT("$Q$" &amp; (11+AT$47)))), $F$9,0)</f>
        <v>0</v>
      </c>
      <c r="AU74" s="1" cm="1">
        <f t="array" aca="1" ref="AU74" ca="1">IF(AND(INDIRECT("$N$" &amp; (11+AU$47)) = 1, $AE74 = (INDIRECT("$Q$" &amp; (11+AU$47)))), $F$9,0)</f>
        <v>0</v>
      </c>
      <c r="AV74" s="1" cm="1">
        <f t="array" aca="1" ref="AV74" ca="1">IF(AND(INDIRECT("$N$" &amp; (11+AV$47)) = 1, $AE74 = (INDIRECT("$Q$" &amp; (11+AV$47)))), $F$9,0)</f>
        <v>0</v>
      </c>
      <c r="AW74" s="1" cm="1">
        <f t="array" aca="1" ref="AW74" ca="1">IF(AND(INDIRECT("$N$" &amp; (11+AW$47)) = 1, $AE74 = (INDIRECT("$Q$" &amp; (11+AW$47)))), $F$9,0)</f>
        <v>0</v>
      </c>
      <c r="AX74" s="1" cm="1">
        <f t="array" aca="1" ref="AX74" ca="1">IF(AND(INDIRECT("$N$" &amp; (11+AX$47)) = 1, $AE74 = (INDIRECT("$Q$" &amp; (11+AX$47)))), $F$9,0)</f>
        <v>0</v>
      </c>
      <c r="AY74" s="1" cm="1">
        <f t="array" aca="1" ref="AY74" ca="1">IF(AND(INDIRECT("$N$" &amp; (11+AY$47)) = 1, $AE74 = (INDIRECT("$Q$" &amp; (11+AY$47)))), $F$9,0)</f>
        <v>0</v>
      </c>
    </row>
    <row r="75" spans="8:51" x14ac:dyDescent="0.3">
      <c r="H75" s="219">
        <v>2038</v>
      </c>
      <c r="I75" s="1" cm="1">
        <f t="array" aca="1" ref="I75" ca="1">IF(AND(INDIRECT("$M$" &amp; (11+I$47)) = 1, $H75 = (INDIRECT("$P$" &amp; (11+I$47)))), $E$9,0)</f>
        <v>0</v>
      </c>
      <c r="J75" s="1" cm="1">
        <f t="array" aca="1" ref="J75" ca="1">IF(AND(INDIRECT("$M$" &amp; (11+J$47)) = 1, $H75 = (INDIRECT("$P$" &amp; (11+J$47)))), $E$9,0)</f>
        <v>0</v>
      </c>
      <c r="K75" s="1" cm="1">
        <f t="array" aca="1" ref="K75" ca="1">IF(AND(INDIRECT("$M$" &amp; (11+K$47)) = 1, $H75 = (INDIRECT("$P$" &amp; (11+K$47)))), $E$9,0)</f>
        <v>0</v>
      </c>
      <c r="L75" s="1" cm="1">
        <f t="array" aca="1" ref="L75" ca="1">IF(AND(INDIRECT("$M$" &amp; (11+L$47)) = 1, $H75 = (INDIRECT("$P$" &amp; (11+L$47)))), $E$9,0)</f>
        <v>0</v>
      </c>
      <c r="M75" s="1" cm="1">
        <f t="array" aca="1" ref="M75" ca="1">IF(AND(INDIRECT("$M$" &amp; (11+M$47)) = 1, $H75 = (INDIRECT("$P$" &amp; (11+M$47)))), $E$9,0)</f>
        <v>0</v>
      </c>
      <c r="N75" s="1" cm="1">
        <f t="array" aca="1" ref="N75" ca="1">IF(AND(INDIRECT("$M$" &amp; (11+N$47)) = 1, $H75 = (INDIRECT("$P$" &amp; (11+N$47)))), $E$9,0)</f>
        <v>0</v>
      </c>
      <c r="O75" s="1" cm="1">
        <f t="array" aca="1" ref="O75" ca="1">IF(AND(INDIRECT("$M$" &amp; (11+O$47)) = 1, $H75 = (INDIRECT("$P$" &amp; (11+O$47)))), $E$9,0)</f>
        <v>0</v>
      </c>
      <c r="P75" s="1" cm="1">
        <f t="array" aca="1" ref="P75" ca="1">IF(AND(INDIRECT("$M$" &amp; (11+P$47)) = 1, $H75 = (INDIRECT("$P$" &amp; (11+P$47)))), $E$9,0)</f>
        <v>0</v>
      </c>
      <c r="Q75" s="1" cm="1">
        <f t="array" aca="1" ref="Q75" ca="1">IF(AND(INDIRECT("$M$" &amp; (11+Q$47)) = 1, $H75 = (INDIRECT("$P$" &amp; (11+Q$47)))), $E$9,0)</f>
        <v>0</v>
      </c>
      <c r="R75" s="1" cm="1">
        <f t="array" aca="1" ref="R75" ca="1">IF(AND(INDIRECT("$M$" &amp; (11+R$47)) = 1, $H75 = (INDIRECT("$P$" &amp; (11+R$47)))), $E$9,0)</f>
        <v>0</v>
      </c>
      <c r="S75" s="1" cm="1">
        <f t="array" aca="1" ref="S75" ca="1">IF(AND(INDIRECT("$M$" &amp; (11+S$47)) = 1, $H75 = (INDIRECT("$P$" &amp; (11+S$47)))), $E$9,0)</f>
        <v>0</v>
      </c>
      <c r="T75" s="1" cm="1">
        <f t="array" aca="1" ref="T75" ca="1">IF(AND(INDIRECT("$M$" &amp; (11+T$47)) = 1, $H75 = (INDIRECT("$P$" &amp; (11+T$47)))), $E$9,0)</f>
        <v>0</v>
      </c>
      <c r="U75" s="1" cm="1">
        <f t="array" aca="1" ref="U75" ca="1">IF(AND(INDIRECT("$M$" &amp; (11+U$47)) = 1, $H75 = (INDIRECT("$P$" &amp; (11+U$47)))), $E$9,0)</f>
        <v>0</v>
      </c>
      <c r="V75" s="1" cm="1">
        <f t="array" aca="1" ref="V75" ca="1">IF(AND(INDIRECT("$M$" &amp; (11+V$47)) = 1, $H75 = (INDIRECT("$P$" &amp; (11+V$47)))), $E$9,0)</f>
        <v>0</v>
      </c>
      <c r="W75" s="1" cm="1">
        <f t="array" aca="1" ref="W75" ca="1">IF(AND(INDIRECT("$M$" &amp; (11+W$47)) = 1, $H75 = (INDIRECT("$P$" &amp; (11+W$47)))), $E$9,0)</f>
        <v>0</v>
      </c>
      <c r="X75" s="1" cm="1">
        <f t="array" aca="1" ref="X75" ca="1">IF(AND(INDIRECT("$M$" &amp; (11+X$47)) = 1, $H75 = (INDIRECT("$P$" &amp; (11+X$47)))), $E$9,0)</f>
        <v>0</v>
      </c>
      <c r="Y75" s="1" cm="1">
        <f t="array" aca="1" ref="Y75" ca="1">IF(AND(INDIRECT("$M$" &amp; (11+Y$47)) = 1, $H75 = (INDIRECT("$P$" &amp; (11+Y$47)))), $E$9,0)</f>
        <v>0</v>
      </c>
      <c r="Z75" s="1" cm="1">
        <f t="array" aca="1" ref="Z75" ca="1">IF(AND(INDIRECT("$M$" &amp; (11+Z$47)) = 1, $H75 = (INDIRECT("$P$" &amp; (11+Z$47)))), $E$9,0)</f>
        <v>0</v>
      </c>
      <c r="AA75" s="1" cm="1">
        <f t="array" aca="1" ref="AA75" ca="1">IF(AND(INDIRECT("$M$" &amp; (11+AA$47)) = 1, $H75 = (INDIRECT("$P$" &amp; (11+AA$47)))), $E$9,0)</f>
        <v>0</v>
      </c>
      <c r="AB75" s="1" cm="1">
        <f t="array" aca="1" ref="AB75" ca="1">IF(AND(INDIRECT("$M$" &amp; (11+AB$47)) = 1, $H75 = (INDIRECT("$P$" &amp; (11+AB$47)))), $E$9,0)</f>
        <v>0</v>
      </c>
      <c r="AE75" s="219">
        <v>2038</v>
      </c>
      <c r="AF75" s="1" cm="1">
        <f t="array" aca="1" ref="AF75" ca="1">IF(AND(INDIRECT("$N$" &amp; (11+AF$47)) = 1, $AE75 = (INDIRECT("$Q$" &amp; (11+AF$47)))), $F$9,0)</f>
        <v>0</v>
      </c>
      <c r="AG75" s="1" cm="1">
        <f t="array" aca="1" ref="AG75" ca="1">IF(AND(INDIRECT("$N$" &amp; (11+AG$47)) = 1, $AE75 = (INDIRECT("$Q$" &amp; (11+AG$47)))), $F$9,0)</f>
        <v>0</v>
      </c>
      <c r="AH75" s="1" cm="1">
        <f t="array" aca="1" ref="AH75" ca="1">IF(AND(INDIRECT("$N$" &amp; (11+AH$47)) = 1, $AE75 = (INDIRECT("$Q$" &amp; (11+AH$47)))), $F$9,0)</f>
        <v>0</v>
      </c>
      <c r="AI75" s="1" cm="1">
        <f t="array" aca="1" ref="AI75" ca="1">IF(AND(INDIRECT("$N$" &amp; (11+AI$47)) = 1, $AE75 = (INDIRECT("$Q$" &amp; (11+AI$47)))), $F$9,0)</f>
        <v>0</v>
      </c>
      <c r="AJ75" s="1" cm="1">
        <f t="array" aca="1" ref="AJ75" ca="1">IF(AND(INDIRECT("$N$" &amp; (11+AJ$47)) = 1, $AE75 = (INDIRECT("$Q$" &amp; (11+AJ$47)))), $F$9,0)</f>
        <v>0</v>
      </c>
      <c r="AK75" s="1" cm="1">
        <f t="array" aca="1" ref="AK75" ca="1">IF(AND(INDIRECT("$N$" &amp; (11+AK$47)) = 1, $AE75 = (INDIRECT("$Q$" &amp; (11+AK$47)))), $F$9,0)</f>
        <v>0</v>
      </c>
      <c r="AL75" s="1" cm="1">
        <f t="array" aca="1" ref="AL75" ca="1">IF(AND(INDIRECT("$N$" &amp; (11+AL$47)) = 1, $AE75 = (INDIRECT("$Q$" &amp; (11+AL$47)))), $F$9,0)</f>
        <v>0</v>
      </c>
      <c r="AM75" s="1" cm="1">
        <f t="array" aca="1" ref="AM75" ca="1">IF(AND(INDIRECT("$N$" &amp; (11+AM$47)) = 1, $AE75 = (INDIRECT("$Q$" &amp; (11+AM$47)))), $F$9,0)</f>
        <v>0</v>
      </c>
      <c r="AN75" s="1" cm="1">
        <f t="array" aca="1" ref="AN75" ca="1">IF(AND(INDIRECT("$N$" &amp; (11+AN$47)) = 1, $AE75 = (INDIRECT("$Q$" &amp; (11+AN$47)))), $F$9,0)</f>
        <v>0</v>
      </c>
      <c r="AO75" s="1" cm="1">
        <f t="array" aca="1" ref="AO75" ca="1">IF(AND(INDIRECT("$N$" &amp; (11+AO$47)) = 1, $AE75 = (INDIRECT("$Q$" &amp; (11+AO$47)))), $F$9,0)</f>
        <v>0</v>
      </c>
      <c r="AP75" s="1" cm="1">
        <f t="array" aca="1" ref="AP75" ca="1">IF(AND(INDIRECT("$N$" &amp; (11+AP$47)) = 1, $AE75 = (INDIRECT("$Q$" &amp; (11+AP$47)))), $F$9,0)</f>
        <v>0</v>
      </c>
      <c r="AQ75" s="1" cm="1">
        <f t="array" aca="1" ref="AQ75" ca="1">IF(AND(INDIRECT("$N$" &amp; (11+AQ$47)) = 1, $AE75 = (INDIRECT("$Q$" &amp; (11+AQ$47)))), $F$9,0)</f>
        <v>0</v>
      </c>
      <c r="AR75" s="1" cm="1">
        <f t="array" aca="1" ref="AR75" ca="1">IF(AND(INDIRECT("$N$" &amp; (11+AR$47)) = 1, $AE75 = (INDIRECT("$Q$" &amp; (11+AR$47)))), $F$9,0)</f>
        <v>0</v>
      </c>
      <c r="AS75" s="1" cm="1">
        <f t="array" aca="1" ref="AS75" ca="1">IF(AND(INDIRECT("$N$" &amp; (11+AS$47)) = 1, $AE75 = (INDIRECT("$Q$" &amp; (11+AS$47)))), $F$9,0)</f>
        <v>0</v>
      </c>
      <c r="AT75" s="1" cm="1">
        <f t="array" aca="1" ref="AT75" ca="1">IF(AND(INDIRECT("$N$" &amp; (11+AT$47)) = 1, $AE75 = (INDIRECT("$Q$" &amp; (11+AT$47)))), $F$9,0)</f>
        <v>0</v>
      </c>
      <c r="AU75" s="1" cm="1">
        <f t="array" aca="1" ref="AU75" ca="1">IF(AND(INDIRECT("$N$" &amp; (11+AU$47)) = 1, $AE75 = (INDIRECT("$Q$" &amp; (11+AU$47)))), $F$9,0)</f>
        <v>0</v>
      </c>
      <c r="AV75" s="1" cm="1">
        <f t="array" aca="1" ref="AV75" ca="1">IF(AND(INDIRECT("$N$" &amp; (11+AV$47)) = 1, $AE75 = (INDIRECT("$Q$" &amp; (11+AV$47)))), $F$9,0)</f>
        <v>0</v>
      </c>
      <c r="AW75" s="1" cm="1">
        <f t="array" aca="1" ref="AW75" ca="1">IF(AND(INDIRECT("$N$" &amp; (11+AW$47)) = 1, $AE75 = (INDIRECT("$Q$" &amp; (11+AW$47)))), $F$9,0)</f>
        <v>0</v>
      </c>
      <c r="AX75" s="1" cm="1">
        <f t="array" aca="1" ref="AX75" ca="1">IF(AND(INDIRECT("$N$" &amp; (11+AX$47)) = 1, $AE75 = (INDIRECT("$Q$" &amp; (11+AX$47)))), $F$9,0)</f>
        <v>0</v>
      </c>
      <c r="AY75" s="1" cm="1">
        <f t="array" aca="1" ref="AY75" ca="1">IF(AND(INDIRECT("$N$" &amp; (11+AY$47)) = 1, $AE75 = (INDIRECT("$Q$" &amp; (11+AY$47)))), $F$9,0)</f>
        <v>0</v>
      </c>
    </row>
    <row r="76" spans="8:51" x14ac:dyDescent="0.3">
      <c r="H76" s="219">
        <v>2039</v>
      </c>
      <c r="I76" s="1" cm="1">
        <f t="array" aca="1" ref="I76" ca="1">IF(AND(INDIRECT("$M$" &amp; (11+I$47)) = 1, $H76 = (INDIRECT("$P$" &amp; (11+I$47)))), $E$9,0)</f>
        <v>0</v>
      </c>
      <c r="J76" s="1" cm="1">
        <f t="array" aca="1" ref="J76" ca="1">IF(AND(INDIRECT("$M$" &amp; (11+J$47)) = 1, $H76 = (INDIRECT("$P$" &amp; (11+J$47)))), $E$9,0)</f>
        <v>0</v>
      </c>
      <c r="K76" s="1" cm="1">
        <f t="array" aca="1" ref="K76" ca="1">IF(AND(INDIRECT("$M$" &amp; (11+K$47)) = 1, $H76 = (INDIRECT("$P$" &amp; (11+K$47)))), $E$9,0)</f>
        <v>0</v>
      </c>
      <c r="L76" s="1" cm="1">
        <f t="array" aca="1" ref="L76" ca="1">IF(AND(INDIRECT("$M$" &amp; (11+L$47)) = 1, $H76 = (INDIRECT("$P$" &amp; (11+L$47)))), $E$9,0)</f>
        <v>0</v>
      </c>
      <c r="M76" s="1" cm="1">
        <f t="array" aca="1" ref="M76" ca="1">IF(AND(INDIRECT("$M$" &amp; (11+M$47)) = 1, $H76 = (INDIRECT("$P$" &amp; (11+M$47)))), $E$9,0)</f>
        <v>0</v>
      </c>
      <c r="N76" s="1" cm="1">
        <f t="array" aca="1" ref="N76" ca="1">IF(AND(INDIRECT("$M$" &amp; (11+N$47)) = 1, $H76 = (INDIRECT("$P$" &amp; (11+N$47)))), $E$9,0)</f>
        <v>0</v>
      </c>
      <c r="O76" s="1" cm="1">
        <f t="array" aca="1" ref="O76" ca="1">IF(AND(INDIRECT("$M$" &amp; (11+O$47)) = 1, $H76 = (INDIRECT("$P$" &amp; (11+O$47)))), $E$9,0)</f>
        <v>0</v>
      </c>
      <c r="P76" s="1" cm="1">
        <f t="array" aca="1" ref="P76" ca="1">IF(AND(INDIRECT("$M$" &amp; (11+P$47)) = 1, $H76 = (INDIRECT("$P$" &amp; (11+P$47)))), $E$9,0)</f>
        <v>0</v>
      </c>
      <c r="Q76" s="1" cm="1">
        <f t="array" aca="1" ref="Q76" ca="1">IF(AND(INDIRECT("$M$" &amp; (11+Q$47)) = 1, $H76 = (INDIRECT("$P$" &amp; (11+Q$47)))), $E$9,0)</f>
        <v>0</v>
      </c>
      <c r="R76" s="1" cm="1">
        <f t="array" aca="1" ref="R76" ca="1">IF(AND(INDIRECT("$M$" &amp; (11+R$47)) = 1, $H76 = (INDIRECT("$P$" &amp; (11+R$47)))), $E$9,0)</f>
        <v>0</v>
      </c>
      <c r="S76" s="1" cm="1">
        <f t="array" aca="1" ref="S76" ca="1">IF(AND(INDIRECT("$M$" &amp; (11+S$47)) = 1, $H76 = (INDIRECT("$P$" &amp; (11+S$47)))), $E$9,0)</f>
        <v>0</v>
      </c>
      <c r="T76" s="1" cm="1">
        <f t="array" aca="1" ref="T76" ca="1">IF(AND(INDIRECT("$M$" &amp; (11+T$47)) = 1, $H76 = (INDIRECT("$P$" &amp; (11+T$47)))), $E$9,0)</f>
        <v>0</v>
      </c>
      <c r="U76" s="1" cm="1">
        <f t="array" aca="1" ref="U76" ca="1">IF(AND(INDIRECT("$M$" &amp; (11+U$47)) = 1, $H76 = (INDIRECT("$P$" &amp; (11+U$47)))), $E$9,0)</f>
        <v>0</v>
      </c>
      <c r="V76" s="1" cm="1">
        <f t="array" aca="1" ref="V76" ca="1">IF(AND(INDIRECT("$M$" &amp; (11+V$47)) = 1, $H76 = (INDIRECT("$P$" &amp; (11+V$47)))), $E$9,0)</f>
        <v>0</v>
      </c>
      <c r="W76" s="1" cm="1">
        <f t="array" aca="1" ref="W76" ca="1">IF(AND(INDIRECT("$M$" &amp; (11+W$47)) = 1, $H76 = (INDIRECT("$P$" &amp; (11+W$47)))), $E$9,0)</f>
        <v>0</v>
      </c>
      <c r="X76" s="1" cm="1">
        <f t="array" aca="1" ref="X76" ca="1">IF(AND(INDIRECT("$M$" &amp; (11+X$47)) = 1, $H76 = (INDIRECT("$P$" &amp; (11+X$47)))), $E$9,0)</f>
        <v>0</v>
      </c>
      <c r="Y76" s="1" cm="1">
        <f t="array" aca="1" ref="Y76" ca="1">IF(AND(INDIRECT("$M$" &amp; (11+Y$47)) = 1, $H76 = (INDIRECT("$P$" &amp; (11+Y$47)))), $E$9,0)</f>
        <v>0</v>
      </c>
      <c r="Z76" s="1" cm="1">
        <f t="array" aca="1" ref="Z76" ca="1">IF(AND(INDIRECT("$M$" &amp; (11+Z$47)) = 1, $H76 = (INDIRECT("$P$" &amp; (11+Z$47)))), $E$9,0)</f>
        <v>0</v>
      </c>
      <c r="AA76" s="1" cm="1">
        <f t="array" aca="1" ref="AA76" ca="1">IF(AND(INDIRECT("$M$" &amp; (11+AA$47)) = 1, $H76 = (INDIRECT("$P$" &amp; (11+AA$47)))), $E$9,0)</f>
        <v>0</v>
      </c>
      <c r="AB76" s="1" cm="1">
        <f t="array" aca="1" ref="AB76" ca="1">IF(AND(INDIRECT("$M$" &amp; (11+AB$47)) = 1, $H76 = (INDIRECT("$P$" &amp; (11+AB$47)))), $E$9,0)</f>
        <v>0</v>
      </c>
      <c r="AE76" s="219">
        <v>2039</v>
      </c>
      <c r="AF76" s="1" cm="1">
        <f t="array" aca="1" ref="AF76" ca="1">IF(AND(INDIRECT("$N$" &amp; (11+AF$47)) = 1, $AE76 = (INDIRECT("$Q$" &amp; (11+AF$47)))), $F$9,0)</f>
        <v>0</v>
      </c>
      <c r="AG76" s="1" cm="1">
        <f t="array" aca="1" ref="AG76" ca="1">IF(AND(INDIRECT("$N$" &amp; (11+AG$47)) = 1, $AE76 = (INDIRECT("$Q$" &amp; (11+AG$47)))), $F$9,0)</f>
        <v>0</v>
      </c>
      <c r="AH76" s="1" cm="1">
        <f t="array" aca="1" ref="AH76" ca="1">IF(AND(INDIRECT("$N$" &amp; (11+AH$47)) = 1, $AE76 = (INDIRECT("$Q$" &amp; (11+AH$47)))), $F$9,0)</f>
        <v>0</v>
      </c>
      <c r="AI76" s="1" cm="1">
        <f t="array" aca="1" ref="AI76" ca="1">IF(AND(INDIRECT("$N$" &amp; (11+AI$47)) = 1, $AE76 = (INDIRECT("$Q$" &amp; (11+AI$47)))), $F$9,0)</f>
        <v>0</v>
      </c>
      <c r="AJ76" s="1" cm="1">
        <f t="array" aca="1" ref="AJ76" ca="1">IF(AND(INDIRECT("$N$" &amp; (11+AJ$47)) = 1, $AE76 = (INDIRECT("$Q$" &amp; (11+AJ$47)))), $F$9,0)</f>
        <v>0</v>
      </c>
      <c r="AK76" s="1" cm="1">
        <f t="array" aca="1" ref="AK76" ca="1">IF(AND(INDIRECT("$N$" &amp; (11+AK$47)) = 1, $AE76 = (INDIRECT("$Q$" &amp; (11+AK$47)))), $F$9,0)</f>
        <v>0</v>
      </c>
      <c r="AL76" s="1" cm="1">
        <f t="array" aca="1" ref="AL76" ca="1">IF(AND(INDIRECT("$N$" &amp; (11+AL$47)) = 1, $AE76 = (INDIRECT("$Q$" &amp; (11+AL$47)))), $F$9,0)</f>
        <v>0</v>
      </c>
      <c r="AM76" s="1" cm="1">
        <f t="array" aca="1" ref="AM76" ca="1">IF(AND(INDIRECT("$N$" &amp; (11+AM$47)) = 1, $AE76 = (INDIRECT("$Q$" &amp; (11+AM$47)))), $F$9,0)</f>
        <v>0</v>
      </c>
      <c r="AN76" s="1" cm="1">
        <f t="array" aca="1" ref="AN76" ca="1">IF(AND(INDIRECT("$N$" &amp; (11+AN$47)) = 1, $AE76 = (INDIRECT("$Q$" &amp; (11+AN$47)))), $F$9,0)</f>
        <v>0</v>
      </c>
      <c r="AO76" s="1" cm="1">
        <f t="array" aca="1" ref="AO76" ca="1">IF(AND(INDIRECT("$N$" &amp; (11+AO$47)) = 1, $AE76 = (INDIRECT("$Q$" &amp; (11+AO$47)))), $F$9,0)</f>
        <v>0</v>
      </c>
      <c r="AP76" s="1" cm="1">
        <f t="array" aca="1" ref="AP76" ca="1">IF(AND(INDIRECT("$N$" &amp; (11+AP$47)) = 1, $AE76 = (INDIRECT("$Q$" &amp; (11+AP$47)))), $F$9,0)</f>
        <v>0</v>
      </c>
      <c r="AQ76" s="1" cm="1">
        <f t="array" aca="1" ref="AQ76" ca="1">IF(AND(INDIRECT("$N$" &amp; (11+AQ$47)) = 1, $AE76 = (INDIRECT("$Q$" &amp; (11+AQ$47)))), $F$9,0)</f>
        <v>0</v>
      </c>
      <c r="AR76" s="1" cm="1">
        <f t="array" aca="1" ref="AR76" ca="1">IF(AND(INDIRECT("$N$" &amp; (11+AR$47)) = 1, $AE76 = (INDIRECT("$Q$" &amp; (11+AR$47)))), $F$9,0)</f>
        <v>0</v>
      </c>
      <c r="AS76" s="1" cm="1">
        <f t="array" aca="1" ref="AS76" ca="1">IF(AND(INDIRECT("$N$" &amp; (11+AS$47)) = 1, $AE76 = (INDIRECT("$Q$" &amp; (11+AS$47)))), $F$9,0)</f>
        <v>0</v>
      </c>
      <c r="AT76" s="1" cm="1">
        <f t="array" aca="1" ref="AT76" ca="1">IF(AND(INDIRECT("$N$" &amp; (11+AT$47)) = 1, $AE76 = (INDIRECT("$Q$" &amp; (11+AT$47)))), $F$9,0)</f>
        <v>0</v>
      </c>
      <c r="AU76" s="1" cm="1">
        <f t="array" aca="1" ref="AU76" ca="1">IF(AND(INDIRECT("$N$" &amp; (11+AU$47)) = 1, $AE76 = (INDIRECT("$Q$" &amp; (11+AU$47)))), $F$9,0)</f>
        <v>0</v>
      </c>
      <c r="AV76" s="1" cm="1">
        <f t="array" aca="1" ref="AV76" ca="1">IF(AND(INDIRECT("$N$" &amp; (11+AV$47)) = 1, $AE76 = (INDIRECT("$Q$" &amp; (11+AV$47)))), $F$9,0)</f>
        <v>0</v>
      </c>
      <c r="AW76" s="1" cm="1">
        <f t="array" aca="1" ref="AW76" ca="1">IF(AND(INDIRECT("$N$" &amp; (11+AW$47)) = 1, $AE76 = (INDIRECT("$Q$" &amp; (11+AW$47)))), $F$9,0)</f>
        <v>0</v>
      </c>
      <c r="AX76" s="1" cm="1">
        <f t="array" aca="1" ref="AX76" ca="1">IF(AND(INDIRECT("$N$" &amp; (11+AX$47)) = 1, $AE76 = (INDIRECT("$Q$" &amp; (11+AX$47)))), $F$9,0)</f>
        <v>0</v>
      </c>
      <c r="AY76" s="1" cm="1">
        <f t="array" aca="1" ref="AY76" ca="1">IF(AND(INDIRECT("$N$" &amp; (11+AY$47)) = 1, $AE76 = (INDIRECT("$Q$" &amp; (11+AY$47)))), $F$9,0)</f>
        <v>0</v>
      </c>
    </row>
    <row r="77" spans="8:51" x14ac:dyDescent="0.3">
      <c r="H77" s="219">
        <v>2040</v>
      </c>
      <c r="I77" s="1" cm="1">
        <f t="array" aca="1" ref="I77" ca="1">IF(AND(INDIRECT("$M$" &amp; (11+I$47)) = 1, $H77 = (INDIRECT("$P$" &amp; (11+I$47)))), $E$9,0)</f>
        <v>0</v>
      </c>
      <c r="J77" s="1" cm="1">
        <f t="array" aca="1" ref="J77" ca="1">IF(AND(INDIRECT("$M$" &amp; (11+J$47)) = 1, $H77 = (INDIRECT("$P$" &amp; (11+J$47)))), $E$9,0)</f>
        <v>0</v>
      </c>
      <c r="K77" s="1" cm="1">
        <f t="array" aca="1" ref="K77" ca="1">IF(AND(INDIRECT("$M$" &amp; (11+K$47)) = 1, $H77 = (INDIRECT("$P$" &amp; (11+K$47)))), $E$9,0)</f>
        <v>0</v>
      </c>
      <c r="L77" s="1" cm="1">
        <f t="array" aca="1" ref="L77" ca="1">IF(AND(INDIRECT("$M$" &amp; (11+L$47)) = 1, $H77 = (INDIRECT("$P$" &amp; (11+L$47)))), $E$9,0)</f>
        <v>0</v>
      </c>
      <c r="M77" s="1" cm="1">
        <f t="array" aca="1" ref="M77" ca="1">IF(AND(INDIRECT("$M$" &amp; (11+M$47)) = 1, $H77 = (INDIRECT("$P$" &amp; (11+M$47)))), $E$9,0)</f>
        <v>0</v>
      </c>
      <c r="N77" s="1" cm="1">
        <f t="array" aca="1" ref="N77" ca="1">IF(AND(INDIRECT("$M$" &amp; (11+N$47)) = 1, $H77 = (INDIRECT("$P$" &amp; (11+N$47)))), $E$9,0)</f>
        <v>0</v>
      </c>
      <c r="O77" s="1" cm="1">
        <f t="array" aca="1" ref="O77" ca="1">IF(AND(INDIRECT("$M$" &amp; (11+O$47)) = 1, $H77 = (INDIRECT("$P$" &amp; (11+O$47)))), $E$9,0)</f>
        <v>0</v>
      </c>
      <c r="P77" s="1" cm="1">
        <f t="array" aca="1" ref="P77" ca="1">IF(AND(INDIRECT("$M$" &amp; (11+P$47)) = 1, $H77 = (INDIRECT("$P$" &amp; (11+P$47)))), $E$9,0)</f>
        <v>0</v>
      </c>
      <c r="Q77" s="1" cm="1">
        <f t="array" aca="1" ref="Q77" ca="1">IF(AND(INDIRECT("$M$" &amp; (11+Q$47)) = 1, $H77 = (INDIRECT("$P$" &amp; (11+Q$47)))), $E$9,0)</f>
        <v>0</v>
      </c>
      <c r="R77" s="1" cm="1">
        <f t="array" aca="1" ref="R77" ca="1">IF(AND(INDIRECT("$M$" &amp; (11+R$47)) = 1, $H77 = (INDIRECT("$P$" &amp; (11+R$47)))), $E$9,0)</f>
        <v>0</v>
      </c>
      <c r="S77" s="1" cm="1">
        <f t="array" aca="1" ref="S77" ca="1">IF(AND(INDIRECT("$M$" &amp; (11+S$47)) = 1, $H77 = (INDIRECT("$P$" &amp; (11+S$47)))), $E$9,0)</f>
        <v>0</v>
      </c>
      <c r="T77" s="1" cm="1">
        <f t="array" aca="1" ref="T77" ca="1">IF(AND(INDIRECT("$M$" &amp; (11+T$47)) = 1, $H77 = (INDIRECT("$P$" &amp; (11+T$47)))), $E$9,0)</f>
        <v>0</v>
      </c>
      <c r="U77" s="1" cm="1">
        <f t="array" aca="1" ref="U77" ca="1">IF(AND(INDIRECT("$M$" &amp; (11+U$47)) = 1, $H77 = (INDIRECT("$P$" &amp; (11+U$47)))), $E$9,0)</f>
        <v>0</v>
      </c>
      <c r="V77" s="1" cm="1">
        <f t="array" aca="1" ref="V77" ca="1">IF(AND(INDIRECT("$M$" &amp; (11+V$47)) = 1, $H77 = (INDIRECT("$P$" &amp; (11+V$47)))), $E$9,0)</f>
        <v>0</v>
      </c>
      <c r="W77" s="1" cm="1">
        <f t="array" aca="1" ref="W77" ca="1">IF(AND(INDIRECT("$M$" &amp; (11+W$47)) = 1, $H77 = (INDIRECT("$P$" &amp; (11+W$47)))), $E$9,0)</f>
        <v>0</v>
      </c>
      <c r="X77" s="1" cm="1">
        <f t="array" aca="1" ref="X77" ca="1">IF(AND(INDIRECT("$M$" &amp; (11+X$47)) = 1, $H77 = (INDIRECT("$P$" &amp; (11+X$47)))), $E$9,0)</f>
        <v>0</v>
      </c>
      <c r="Y77" s="1" cm="1">
        <f t="array" aca="1" ref="Y77" ca="1">IF(AND(INDIRECT("$M$" &amp; (11+Y$47)) = 1, $H77 = (INDIRECT("$P$" &amp; (11+Y$47)))), $E$9,0)</f>
        <v>0</v>
      </c>
      <c r="Z77" s="1" cm="1">
        <f t="array" aca="1" ref="Z77" ca="1">IF(AND(INDIRECT("$M$" &amp; (11+Z$47)) = 1, $H77 = (INDIRECT("$P$" &amp; (11+Z$47)))), $E$9,0)</f>
        <v>0</v>
      </c>
      <c r="AA77" s="1" cm="1">
        <f t="array" aca="1" ref="AA77" ca="1">IF(AND(INDIRECT("$M$" &amp; (11+AA$47)) = 1, $H77 = (INDIRECT("$P$" &amp; (11+AA$47)))), $E$9,0)</f>
        <v>0</v>
      </c>
      <c r="AB77" s="1" cm="1">
        <f t="array" aca="1" ref="AB77" ca="1">IF(AND(INDIRECT("$M$" &amp; (11+AB$47)) = 1, $H77 = (INDIRECT("$P$" &amp; (11+AB$47)))), $E$9,0)</f>
        <v>0</v>
      </c>
      <c r="AE77" s="219">
        <v>2040</v>
      </c>
      <c r="AF77" s="1" cm="1">
        <f t="array" aca="1" ref="AF77" ca="1">IF(AND(INDIRECT("$N$" &amp; (11+AF$47)) = 1, $AE77 = (INDIRECT("$Q$" &amp; (11+AF$47)))), $F$9,0)</f>
        <v>0</v>
      </c>
      <c r="AG77" s="1" cm="1">
        <f t="array" aca="1" ref="AG77" ca="1">IF(AND(INDIRECT("$N$" &amp; (11+AG$47)) = 1, $AE77 = (INDIRECT("$Q$" &amp; (11+AG$47)))), $F$9,0)</f>
        <v>0</v>
      </c>
      <c r="AH77" s="1" cm="1">
        <f t="array" aca="1" ref="AH77" ca="1">IF(AND(INDIRECT("$N$" &amp; (11+AH$47)) = 1, $AE77 = (INDIRECT("$Q$" &amp; (11+AH$47)))), $F$9,0)</f>
        <v>0</v>
      </c>
      <c r="AI77" s="1" cm="1">
        <f t="array" aca="1" ref="AI77" ca="1">IF(AND(INDIRECT("$N$" &amp; (11+AI$47)) = 1, $AE77 = (INDIRECT("$Q$" &amp; (11+AI$47)))), $F$9,0)</f>
        <v>0</v>
      </c>
      <c r="AJ77" s="1" cm="1">
        <f t="array" aca="1" ref="AJ77" ca="1">IF(AND(INDIRECT("$N$" &amp; (11+AJ$47)) = 1, $AE77 = (INDIRECT("$Q$" &amp; (11+AJ$47)))), $F$9,0)</f>
        <v>0</v>
      </c>
      <c r="AK77" s="1" cm="1">
        <f t="array" aca="1" ref="AK77" ca="1">IF(AND(INDIRECT("$N$" &amp; (11+AK$47)) = 1, $AE77 = (INDIRECT("$Q$" &amp; (11+AK$47)))), $F$9,0)</f>
        <v>0</v>
      </c>
      <c r="AL77" s="1" cm="1">
        <f t="array" aca="1" ref="AL77" ca="1">IF(AND(INDIRECT("$N$" &amp; (11+AL$47)) = 1, $AE77 = (INDIRECT("$Q$" &amp; (11+AL$47)))), $F$9,0)</f>
        <v>0</v>
      </c>
      <c r="AM77" s="1" cm="1">
        <f t="array" aca="1" ref="AM77" ca="1">IF(AND(INDIRECT("$N$" &amp; (11+AM$47)) = 1, $AE77 = (INDIRECT("$Q$" &amp; (11+AM$47)))), $F$9,0)</f>
        <v>0</v>
      </c>
      <c r="AN77" s="1" cm="1">
        <f t="array" aca="1" ref="AN77" ca="1">IF(AND(INDIRECT("$N$" &amp; (11+AN$47)) = 1, $AE77 = (INDIRECT("$Q$" &amp; (11+AN$47)))), $F$9,0)</f>
        <v>0</v>
      </c>
      <c r="AO77" s="1" cm="1">
        <f t="array" aca="1" ref="AO77" ca="1">IF(AND(INDIRECT("$N$" &amp; (11+AO$47)) = 1, $AE77 = (INDIRECT("$Q$" &amp; (11+AO$47)))), $F$9,0)</f>
        <v>0</v>
      </c>
      <c r="AP77" s="1" cm="1">
        <f t="array" aca="1" ref="AP77" ca="1">IF(AND(INDIRECT("$N$" &amp; (11+AP$47)) = 1, $AE77 = (INDIRECT("$Q$" &amp; (11+AP$47)))), $F$9,0)</f>
        <v>0</v>
      </c>
      <c r="AQ77" s="1" cm="1">
        <f t="array" aca="1" ref="AQ77" ca="1">IF(AND(INDIRECT("$N$" &amp; (11+AQ$47)) = 1, $AE77 = (INDIRECT("$Q$" &amp; (11+AQ$47)))), $F$9,0)</f>
        <v>0</v>
      </c>
      <c r="AR77" s="1" cm="1">
        <f t="array" aca="1" ref="AR77" ca="1">IF(AND(INDIRECT("$N$" &amp; (11+AR$47)) = 1, $AE77 = (INDIRECT("$Q$" &amp; (11+AR$47)))), $F$9,0)</f>
        <v>0</v>
      </c>
      <c r="AS77" s="1" cm="1">
        <f t="array" aca="1" ref="AS77" ca="1">IF(AND(INDIRECT("$N$" &amp; (11+AS$47)) = 1, $AE77 = (INDIRECT("$Q$" &amp; (11+AS$47)))), $F$9,0)</f>
        <v>0</v>
      </c>
      <c r="AT77" s="1" cm="1">
        <f t="array" aca="1" ref="AT77" ca="1">IF(AND(INDIRECT("$N$" &amp; (11+AT$47)) = 1, $AE77 = (INDIRECT("$Q$" &amp; (11+AT$47)))), $F$9,0)</f>
        <v>0</v>
      </c>
      <c r="AU77" s="1" cm="1">
        <f t="array" aca="1" ref="AU77" ca="1">IF(AND(INDIRECT("$N$" &amp; (11+AU$47)) = 1, $AE77 = (INDIRECT("$Q$" &amp; (11+AU$47)))), $F$9,0)</f>
        <v>0</v>
      </c>
      <c r="AV77" s="1" cm="1">
        <f t="array" aca="1" ref="AV77" ca="1">IF(AND(INDIRECT("$N$" &amp; (11+AV$47)) = 1, $AE77 = (INDIRECT("$Q$" &amp; (11+AV$47)))), $F$9,0)</f>
        <v>0</v>
      </c>
      <c r="AW77" s="1" cm="1">
        <f t="array" aca="1" ref="AW77" ca="1">IF(AND(INDIRECT("$N$" &amp; (11+AW$47)) = 1, $AE77 = (INDIRECT("$Q$" &amp; (11+AW$47)))), $F$9,0)</f>
        <v>0</v>
      </c>
      <c r="AX77" s="1" cm="1">
        <f t="array" aca="1" ref="AX77" ca="1">IF(AND(INDIRECT("$N$" &amp; (11+AX$47)) = 1, $AE77 = (INDIRECT("$Q$" &amp; (11+AX$47)))), $F$9,0)</f>
        <v>0</v>
      </c>
      <c r="AY77" s="1" cm="1">
        <f t="array" aca="1" ref="AY77" ca="1">IF(AND(INDIRECT("$N$" &amp; (11+AY$47)) = 1, $AE77 = (INDIRECT("$Q$" &amp; (11+AY$47)))), $F$9,0)</f>
        <v>0</v>
      </c>
    </row>
  </sheetData>
  <conditionalFormatting sqref="M12:N41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66E5-0292-41DE-88CA-8EE1DEFC0196}">
  <sheetPr>
    <tabColor theme="5" tint="-0.249977111117893"/>
  </sheetPr>
  <dimension ref="A1:AX136"/>
  <sheetViews>
    <sheetView showGridLines="0" tabSelected="1" topLeftCell="K14" zoomScale="70" zoomScaleNormal="70" workbookViewId="0">
      <selection activeCell="AN24" sqref="AN24"/>
    </sheetView>
  </sheetViews>
  <sheetFormatPr defaultColWidth="9.21875" defaultRowHeight="14.4" x14ac:dyDescent="0.3"/>
  <cols>
    <col min="1" max="1" width="17.21875" style="10" customWidth="1"/>
    <col min="2" max="2" width="20.77734375" style="10" customWidth="1"/>
    <col min="3" max="3" width="8.44140625" style="10" customWidth="1"/>
    <col min="4" max="4" width="8.21875" style="10" customWidth="1"/>
    <col min="5" max="50" width="7.44140625" style="10" customWidth="1"/>
    <col min="51" max="16384" width="9.21875" style="10"/>
  </cols>
  <sheetData>
    <row r="1" spans="1:28" x14ac:dyDescent="0.3">
      <c r="E1" s="11"/>
      <c r="F1" s="11" t="s">
        <v>112</v>
      </c>
      <c r="G1" s="11" t="s">
        <v>260</v>
      </c>
      <c r="I1" s="10" t="s">
        <v>426</v>
      </c>
    </row>
    <row r="2" spans="1:28" x14ac:dyDescent="0.3">
      <c r="D2" s="10" t="s">
        <v>2</v>
      </c>
      <c r="E2" s="11" t="s">
        <v>36</v>
      </c>
      <c r="F2" s="11" t="s">
        <v>126</v>
      </c>
      <c r="G2" s="11" t="s">
        <v>213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268</v>
      </c>
      <c r="O2" s="11" t="s">
        <v>269</v>
      </c>
      <c r="P2" s="11" t="s">
        <v>270</v>
      </c>
      <c r="Q2" s="11" t="s">
        <v>271</v>
      </c>
      <c r="R2" s="11" t="s">
        <v>272</v>
      </c>
      <c r="S2" s="11" t="s">
        <v>273</v>
      </c>
      <c r="T2" s="11" t="s">
        <v>274</v>
      </c>
      <c r="U2" s="11" t="s">
        <v>275</v>
      </c>
      <c r="V2" s="11" t="s">
        <v>276</v>
      </c>
      <c r="W2" s="11" t="s">
        <v>277</v>
      </c>
      <c r="X2" s="11" t="s">
        <v>278</v>
      </c>
      <c r="Y2" s="11" t="s">
        <v>279</v>
      </c>
      <c r="Z2" s="11" t="s">
        <v>280</v>
      </c>
      <c r="AA2" s="11" t="s">
        <v>281</v>
      </c>
      <c r="AB2" s="11" t="s">
        <v>282</v>
      </c>
    </row>
    <row r="3" spans="1:28" x14ac:dyDescent="0.3">
      <c r="A3" s="10" t="s">
        <v>14</v>
      </c>
      <c r="B3" s="10" t="s">
        <v>17</v>
      </c>
      <c r="C3" s="10" t="s">
        <v>427</v>
      </c>
      <c r="D3" s="10" t="s">
        <v>36</v>
      </c>
      <c r="E3" s="10">
        <v>0</v>
      </c>
      <c r="F3" s="9">
        <v>0</v>
      </c>
      <c r="G3" s="9">
        <v>0</v>
      </c>
      <c r="I3" s="3">
        <v>2000</v>
      </c>
      <c r="J3" s="3">
        <f t="shared" ref="J3:AB3" si="0">I3*(1+$B$21)</f>
        <v>2200</v>
      </c>
      <c r="K3" s="3">
        <f t="shared" si="0"/>
        <v>2420</v>
      </c>
      <c r="L3" s="3">
        <f t="shared" si="0"/>
        <v>2662</v>
      </c>
      <c r="M3" s="3">
        <f t="shared" si="0"/>
        <v>2928.2000000000003</v>
      </c>
      <c r="N3" s="3">
        <f t="shared" si="0"/>
        <v>3221.0200000000004</v>
      </c>
      <c r="O3" s="3">
        <f t="shared" si="0"/>
        <v>3543.1220000000008</v>
      </c>
      <c r="P3" s="3">
        <f t="shared" si="0"/>
        <v>3897.4342000000011</v>
      </c>
      <c r="Q3" s="3">
        <f t="shared" si="0"/>
        <v>4287.1776200000013</v>
      </c>
      <c r="R3" s="3">
        <f t="shared" si="0"/>
        <v>4715.8953820000015</v>
      </c>
      <c r="S3" s="3">
        <f t="shared" si="0"/>
        <v>5187.4849202000023</v>
      </c>
      <c r="T3" s="3">
        <f t="shared" si="0"/>
        <v>5706.2334122200027</v>
      </c>
      <c r="U3" s="3">
        <f t="shared" si="0"/>
        <v>6276.8567534420035</v>
      </c>
      <c r="V3" s="3">
        <f t="shared" si="0"/>
        <v>6904.5424287862043</v>
      </c>
      <c r="W3" s="3">
        <f t="shared" si="0"/>
        <v>7594.996671664825</v>
      </c>
      <c r="X3" s="3">
        <f t="shared" si="0"/>
        <v>8354.4963388313081</v>
      </c>
      <c r="Y3" s="3">
        <f t="shared" si="0"/>
        <v>9189.9459727144404</v>
      </c>
      <c r="Z3" s="3">
        <f t="shared" si="0"/>
        <v>10108.940569985885</v>
      </c>
      <c r="AA3" s="3">
        <f t="shared" si="0"/>
        <v>11119.834626984475</v>
      </c>
      <c r="AB3" s="3">
        <f t="shared" si="0"/>
        <v>12231.818089682924</v>
      </c>
    </row>
    <row r="4" spans="1:28" x14ac:dyDescent="0.3">
      <c r="A4" s="10" t="s">
        <v>19</v>
      </c>
      <c r="B4" s="10" t="s">
        <v>120</v>
      </c>
      <c r="D4" s="10" t="s">
        <v>7</v>
      </c>
      <c r="E4" s="9">
        <v>1</v>
      </c>
      <c r="F4" s="10">
        <v>0</v>
      </c>
      <c r="G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</row>
    <row r="6" spans="1:28" x14ac:dyDescent="0.3">
      <c r="D6" s="10" t="s">
        <v>49</v>
      </c>
      <c r="E6" s="11" t="s">
        <v>36</v>
      </c>
      <c r="F6" s="11" t="s">
        <v>126</v>
      </c>
      <c r="G6" s="11" t="s">
        <v>213</v>
      </c>
      <c r="I6" s="10" t="s">
        <v>11</v>
      </c>
    </row>
    <row r="7" spans="1:28" x14ac:dyDescent="0.3">
      <c r="A7" s="10" t="s">
        <v>14</v>
      </c>
      <c r="B7" s="10" t="s">
        <v>17</v>
      </c>
      <c r="D7" s="10" t="s">
        <v>36</v>
      </c>
      <c r="E7" s="10">
        <v>1</v>
      </c>
      <c r="F7" s="9">
        <v>0</v>
      </c>
      <c r="G7" s="9">
        <v>0</v>
      </c>
      <c r="I7" s="3">
        <f t="array" ref="I7:AB8">MMULT(E7:G8-E3:G4,TRANSPOSE(E24:G43))</f>
        <v>2000</v>
      </c>
      <c r="J7" s="3">
        <v>2200</v>
      </c>
      <c r="K7" s="3">
        <v>2420</v>
      </c>
      <c r="L7" s="3">
        <v>2662</v>
      </c>
      <c r="M7" s="3">
        <v>2928.2</v>
      </c>
      <c r="N7" s="3">
        <v>3221.02</v>
      </c>
      <c r="O7" s="3">
        <v>3543.1219999999998</v>
      </c>
      <c r="P7" s="3">
        <v>3897.4342000000001</v>
      </c>
      <c r="Q7" s="3">
        <v>4287.1776</v>
      </c>
      <c r="R7" s="3">
        <v>4715.8954000000003</v>
      </c>
      <c r="S7" s="3">
        <v>5187.4849000000004</v>
      </c>
      <c r="T7" s="3">
        <v>5706.2334000000001</v>
      </c>
      <c r="U7" s="3">
        <v>6276.8567999999996</v>
      </c>
      <c r="V7" s="3">
        <v>6904.5424000000003</v>
      </c>
      <c r="W7" s="3">
        <v>7594.9966999999997</v>
      </c>
      <c r="X7" s="3">
        <v>8354.4963000000007</v>
      </c>
      <c r="Y7" s="3">
        <v>9189.9459999999999</v>
      </c>
      <c r="Z7" s="3">
        <v>10108.941000000001</v>
      </c>
      <c r="AA7" s="3">
        <v>11119.834999999999</v>
      </c>
      <c r="AB7" s="3">
        <v>12231.817999999999</v>
      </c>
    </row>
    <row r="8" spans="1:28" x14ac:dyDescent="0.3">
      <c r="A8" s="10" t="s">
        <v>19</v>
      </c>
      <c r="B8" s="10" t="s">
        <v>120</v>
      </c>
      <c r="D8" s="10" t="s">
        <v>7</v>
      </c>
      <c r="E8" s="9">
        <v>0</v>
      </c>
      <c r="F8" s="10">
        <v>1</v>
      </c>
      <c r="G8" s="10">
        <v>1</v>
      </c>
      <c r="I8" s="1">
        <v>0</v>
      </c>
      <c r="J8" s="1">
        <v>0</v>
      </c>
      <c r="K8" s="1">
        <v>0</v>
      </c>
      <c r="L8" s="1">
        <v>0</v>
      </c>
      <c r="M8" s="1">
        <v>2.2737367544323206E-13</v>
      </c>
      <c r="N8" s="1">
        <v>0</v>
      </c>
      <c r="O8" s="1">
        <v>3.0000000151630957E-5</v>
      </c>
      <c r="P8" s="1">
        <v>0</v>
      </c>
      <c r="Q8" s="1">
        <v>0</v>
      </c>
      <c r="R8" s="1">
        <v>-4.5474735088646412E-13</v>
      </c>
      <c r="S8" s="1">
        <v>9.9999999747524271E-5</v>
      </c>
      <c r="T8" s="1">
        <v>4.5474735088646412E-13</v>
      </c>
      <c r="U8" s="1">
        <v>-3.0000000037944119E-5</v>
      </c>
      <c r="V8" s="1">
        <v>6.9999999425363058E-5</v>
      </c>
      <c r="W8" s="1">
        <v>-2.9999999526353349E-5</v>
      </c>
      <c r="X8" s="1">
        <v>9.9999863323319005E-7</v>
      </c>
      <c r="Y8" s="1">
        <v>2.2737367544323206E-13</v>
      </c>
      <c r="Z8" s="1">
        <v>-4.2000000212283339E-4</v>
      </c>
      <c r="AA8" s="1">
        <v>0</v>
      </c>
      <c r="AB8" s="1">
        <v>0</v>
      </c>
    </row>
    <row r="10" spans="1:28" x14ac:dyDescent="0.3">
      <c r="A10" s="10" t="s">
        <v>14</v>
      </c>
      <c r="B10" s="10" t="s">
        <v>428</v>
      </c>
      <c r="C10" s="10" t="s">
        <v>64</v>
      </c>
      <c r="D10" s="10" t="s">
        <v>45</v>
      </c>
      <c r="F10" s="9">
        <v>0.1</v>
      </c>
      <c r="G10" s="9">
        <v>0</v>
      </c>
    </row>
    <row r="11" spans="1:28" x14ac:dyDescent="0.3">
      <c r="B11" s="10" t="s">
        <v>429</v>
      </c>
      <c r="C11" s="10" t="s">
        <v>258</v>
      </c>
      <c r="D11" s="10" t="s">
        <v>46</v>
      </c>
      <c r="F11" s="3">
        <v>600</v>
      </c>
      <c r="G11" s="3">
        <v>1500</v>
      </c>
    </row>
    <row r="13" spans="1:28" x14ac:dyDescent="0.3">
      <c r="A13" s="10" t="s">
        <v>221</v>
      </c>
      <c r="B13" s="10" t="s">
        <v>430</v>
      </c>
      <c r="D13" s="10" t="s">
        <v>223</v>
      </c>
      <c r="F13" s="9">
        <v>0</v>
      </c>
      <c r="G13" s="9">
        <v>0.3</v>
      </c>
    </row>
    <row r="14" spans="1:28" x14ac:dyDescent="0.3">
      <c r="B14" s="10" t="s">
        <v>431</v>
      </c>
      <c r="D14" s="10" t="s">
        <v>225</v>
      </c>
      <c r="F14" s="9">
        <v>0.4</v>
      </c>
      <c r="G14" s="9">
        <v>0</v>
      </c>
    </row>
    <row r="15" spans="1:28" x14ac:dyDescent="0.3">
      <c r="B15" s="10" t="s">
        <v>432</v>
      </c>
      <c r="D15" s="10" t="s">
        <v>370</v>
      </c>
      <c r="F15" s="9">
        <v>0.9</v>
      </c>
      <c r="G15" s="9">
        <v>0</v>
      </c>
    </row>
    <row r="16" spans="1:28" x14ac:dyDescent="0.3">
      <c r="B16" s="10" t="s">
        <v>433</v>
      </c>
      <c r="D16" s="10" t="s">
        <v>372</v>
      </c>
      <c r="F16" s="3">
        <v>2</v>
      </c>
      <c r="G16" s="3">
        <v>8</v>
      </c>
    </row>
    <row r="17" spans="1:45" x14ac:dyDescent="0.3">
      <c r="B17" s="10" t="s">
        <v>434</v>
      </c>
      <c r="D17" s="10" t="s">
        <v>372</v>
      </c>
      <c r="F17" s="3">
        <v>2</v>
      </c>
      <c r="G17" s="3">
        <v>4</v>
      </c>
    </row>
    <row r="21" spans="1:45" x14ac:dyDescent="0.3">
      <c r="A21" s="10" t="s">
        <v>435</v>
      </c>
      <c r="B21" s="200">
        <v>0.1</v>
      </c>
      <c r="E21" s="198" t="s">
        <v>436</v>
      </c>
      <c r="F21" s="9"/>
      <c r="G21" s="9"/>
      <c r="H21" s="9"/>
      <c r="I21" s="9" t="s">
        <v>427</v>
      </c>
      <c r="J21" s="9"/>
      <c r="K21" s="9"/>
      <c r="M21" s="198" t="s">
        <v>437</v>
      </c>
      <c r="N21" s="9"/>
      <c r="O21" s="9"/>
      <c r="P21" s="9"/>
      <c r="Q21" s="9"/>
      <c r="R21" s="9"/>
      <c r="S21" s="9">
        <v>1.8</v>
      </c>
      <c r="T21" s="9">
        <v>1.8</v>
      </c>
      <c r="U21" s="9"/>
      <c r="V21" s="9"/>
      <c r="W21" s="9"/>
      <c r="X21" s="9"/>
      <c r="Y21" s="9"/>
      <c r="Z21" s="9"/>
      <c r="AB21" s="198" t="s">
        <v>438</v>
      </c>
      <c r="AC21" s="9"/>
      <c r="AE21" s="198" t="s">
        <v>439</v>
      </c>
      <c r="AF21" s="9"/>
      <c r="AG21" s="9"/>
      <c r="AH21" s="9"/>
      <c r="AI21" s="9"/>
      <c r="AJ21" s="9"/>
      <c r="AK21" s="9"/>
      <c r="AL21" s="9"/>
      <c r="AN21" s="198" t="s">
        <v>440</v>
      </c>
      <c r="AO21" s="9"/>
      <c r="AP21" s="9"/>
      <c r="AQ21" s="9"/>
      <c r="AR21" s="9"/>
      <c r="AS21" s="9"/>
    </row>
    <row r="22" spans="1:45" x14ac:dyDescent="0.3">
      <c r="A22" s="10" t="s">
        <v>261</v>
      </c>
      <c r="B22" s="202">
        <v>0.05</v>
      </c>
      <c r="E22" s="10" t="s">
        <v>441</v>
      </c>
      <c r="I22" s="11" t="s">
        <v>442</v>
      </c>
      <c r="J22" s="11" t="s">
        <v>229</v>
      </c>
      <c r="K22" s="11" t="s">
        <v>443</v>
      </c>
      <c r="M22" s="10" t="s">
        <v>444</v>
      </c>
      <c r="P22" s="10" t="s">
        <v>445</v>
      </c>
      <c r="S22" s="10" t="s">
        <v>446</v>
      </c>
      <c r="V22" s="10" t="s">
        <v>447</v>
      </c>
      <c r="Y22" s="10" t="s">
        <v>448</v>
      </c>
      <c r="AB22" s="10" t="s">
        <v>449</v>
      </c>
      <c r="AE22" s="10" t="s">
        <v>450</v>
      </c>
      <c r="AH22" s="10" t="s">
        <v>451</v>
      </c>
      <c r="AK22" s="10" t="s">
        <v>452</v>
      </c>
      <c r="AN22" s="10" t="s">
        <v>450</v>
      </c>
      <c r="AQ22" s="10" t="s">
        <v>451</v>
      </c>
    </row>
    <row r="23" spans="1:45" x14ac:dyDescent="0.3">
      <c r="A23" s="10" t="s">
        <v>453</v>
      </c>
      <c r="B23" s="202">
        <v>0.03</v>
      </c>
      <c r="E23" s="11" t="s">
        <v>36</v>
      </c>
      <c r="F23" s="199" t="s">
        <v>126</v>
      </c>
      <c r="G23" s="11" t="s">
        <v>213</v>
      </c>
      <c r="I23" s="11" t="s">
        <v>126</v>
      </c>
      <c r="J23" s="11" t="s">
        <v>126</v>
      </c>
      <c r="K23" s="11" t="s">
        <v>213</v>
      </c>
      <c r="M23" s="11" t="s">
        <v>126</v>
      </c>
      <c r="N23" s="11" t="s">
        <v>213</v>
      </c>
      <c r="P23" s="11" t="s">
        <v>126</v>
      </c>
      <c r="Q23" s="11" t="s">
        <v>213</v>
      </c>
      <c r="S23" s="11" t="s">
        <v>126</v>
      </c>
      <c r="T23" s="11" t="s">
        <v>213</v>
      </c>
      <c r="V23" s="11" t="s">
        <v>126</v>
      </c>
      <c r="W23" s="11" t="s">
        <v>213</v>
      </c>
      <c r="Y23" s="11" t="s">
        <v>126</v>
      </c>
      <c r="Z23" s="11" t="s">
        <v>213</v>
      </c>
      <c r="AB23" s="11" t="s">
        <v>126</v>
      </c>
      <c r="AC23" s="11" t="s">
        <v>213</v>
      </c>
      <c r="AE23" s="11" t="s">
        <v>126</v>
      </c>
      <c r="AF23" s="11" t="s">
        <v>213</v>
      </c>
      <c r="AH23" s="11" t="s">
        <v>126</v>
      </c>
      <c r="AI23" s="11" t="s">
        <v>213</v>
      </c>
      <c r="AK23" s="11" t="s">
        <v>126</v>
      </c>
      <c r="AL23" s="11" t="s">
        <v>213</v>
      </c>
      <c r="AN23" s="11" t="s">
        <v>126</v>
      </c>
      <c r="AO23" s="11" t="s">
        <v>213</v>
      </c>
    </row>
    <row r="24" spans="1:45" x14ac:dyDescent="0.3">
      <c r="A24" s="10" t="s">
        <v>454</v>
      </c>
      <c r="B24" s="77">
        <v>4</v>
      </c>
      <c r="D24" s="6">
        <v>1</v>
      </c>
      <c r="E24" s="5">
        <v>2000</v>
      </c>
      <c r="F24" s="174">
        <v>2000</v>
      </c>
      <c r="G24" s="5">
        <v>0</v>
      </c>
      <c r="I24" s="1">
        <f t="array" ref="I24:I43">Y24:Y43*8760*F14/1000</f>
        <v>888.88888888888891</v>
      </c>
      <c r="J24" s="1">
        <f t="array" ref="J24:J43">Y24:Y43*8760*F15/1000</f>
        <v>1999.9999999999998</v>
      </c>
      <c r="K24" s="1">
        <f t="array" ref="K24:K43">Z24:Z43*8760*G13/1000</f>
        <v>0</v>
      </c>
      <c r="M24" s="5">
        <v>10.423</v>
      </c>
      <c r="N24" s="5">
        <v>10.423</v>
      </c>
      <c r="P24" s="1">
        <v>0</v>
      </c>
      <c r="Q24" s="1">
        <v>0</v>
      </c>
      <c r="S24" s="1">
        <f>-ROUND(_xlfn.WEIBULL.DIST($D24+F$16/S$21,$B$24,F$16,FALSE),1)*Y$24</f>
        <v>-177.57483510908168</v>
      </c>
      <c r="T24" s="1">
        <f>-ROUND(_xlfn.WEIBULL.DIST($D24+G$16/T$21,$B$24,G$16,FALSE),1)*Z$24</f>
        <v>0</v>
      </c>
      <c r="V24" s="1">
        <f t="array" ref="V24:W24">P24:Q24+S24:T24</f>
        <v>-177.57483510908168</v>
      </c>
      <c r="W24" s="1">
        <v>0</v>
      </c>
      <c r="Y24" s="1">
        <f>I3/(F15*0.001*8760)</f>
        <v>253.67833587011668</v>
      </c>
      <c r="Z24" s="1">
        <v>0</v>
      </c>
      <c r="AB24" s="10">
        <f t="array" ref="AB24">F24*1000/Y24/8760</f>
        <v>0.9</v>
      </c>
      <c r="AE24" s="27">
        <f t="array" ref="AE24:AF43">MMULT(F24:G43*1000,F10:G10*_xlfn.MUNIT(2))*0.000001</f>
        <v>0.19999999999999998</v>
      </c>
      <c r="AF24" s="27">
        <v>0</v>
      </c>
      <c r="AH24" s="27">
        <f t="array" ref="AH24:AI43">MMULT(M24:N43,F11:G11*_xlfn.MUNIT(2))*0.000001</f>
        <v>6.2538000000000003E-3</v>
      </c>
      <c r="AI24" s="27">
        <v>1.5634499999999999E-2</v>
      </c>
      <c r="AK24" s="1">
        <f t="array" ref="AK24:AL43">AE24:AF43+AH24:AI43</f>
        <v>0.20625379999999999</v>
      </c>
      <c r="AL24" s="1">
        <v>1.5634499999999999E-2</v>
      </c>
      <c r="AN24" s="10">
        <f t="array" ref="AN24:AN43">AE24:AE43*(1/(1+$B$22)^($D24:$D43-1))</f>
        <v>0.19999999999999998</v>
      </c>
      <c r="AO24" s="10">
        <f t="shared" ref="AO24:AO43" si="1">AF24*(1/(1+$B$22)^($D24-1))</f>
        <v>0</v>
      </c>
    </row>
    <row r="25" spans="1:45" x14ac:dyDescent="0.3">
      <c r="D25" s="6">
        <v>2</v>
      </c>
      <c r="E25" s="5">
        <v>2200</v>
      </c>
      <c r="F25" s="174">
        <v>2000</v>
      </c>
      <c r="G25" s="5">
        <v>200</v>
      </c>
      <c r="I25" s="1">
        <v>888.88888888888891</v>
      </c>
      <c r="J25" s="1">
        <v>1999.9999999999998</v>
      </c>
      <c r="K25" s="1">
        <v>199.99999884096002</v>
      </c>
      <c r="M25" s="5">
        <v>0</v>
      </c>
      <c r="N25" s="5">
        <v>76.179680000000005</v>
      </c>
      <c r="P25" s="1">
        <f t="array" ref="P25:P43">-MMULT(AF75:AX93,M25:M43)</f>
        <v>0</v>
      </c>
      <c r="Q25" s="1">
        <f t="array" ref="Q25:Q43">-MMULT(AF109:AX127,N25:N43)</f>
        <v>-7.617968E-2</v>
      </c>
      <c r="S25" s="1">
        <f>-ROUND(_xlfn.WEIBULL.DIST($D25+F$16/S$21,$B$24,F$16,FALSE),1)*Y$24</f>
        <v>0</v>
      </c>
      <c r="T25" s="1">
        <f t="shared" ref="S25:T43" si="2">-ROUND(_xlfn.WEIBULL.DIST($D25+G$16/T$21,$B$24,G$16,FALSE),1)*Z$24</f>
        <v>0</v>
      </c>
      <c r="V25" s="1">
        <f t="array" ref="V25:W25">P25:Q25+S25:T25</f>
        <v>0</v>
      </c>
      <c r="W25" s="1">
        <v>-7.617968E-2</v>
      </c>
      <c r="Y25" s="180">
        <f t="array" ref="Y25:Z25">Y24:Z24+V25:W25+M25:N25</f>
        <v>253.67833587011668</v>
      </c>
      <c r="Z25" s="180">
        <v>76.103500320000009</v>
      </c>
      <c r="AB25" s="10">
        <f t="array" ref="AB25:AC43">F25:G43*1000/Y25:Z43/8760</f>
        <v>0.9</v>
      </c>
      <c r="AC25" s="10">
        <v>0.30000000173855995</v>
      </c>
      <c r="AE25" s="27">
        <v>0.19999999999999998</v>
      </c>
      <c r="AF25" s="27">
        <v>0</v>
      </c>
      <c r="AH25" s="27">
        <v>0</v>
      </c>
      <c r="AI25" s="27">
        <v>0.11426952</v>
      </c>
      <c r="AK25" s="1">
        <v>0.19999999999999998</v>
      </c>
      <c r="AL25" s="1">
        <v>0.11426952</v>
      </c>
      <c r="AN25" s="10">
        <v>0.19047619047619044</v>
      </c>
      <c r="AO25" s="10">
        <f t="shared" si="1"/>
        <v>0</v>
      </c>
    </row>
    <row r="26" spans="1:45" x14ac:dyDescent="0.3">
      <c r="A26" s="10" t="s">
        <v>455</v>
      </c>
      <c r="B26" s="10" t="s">
        <v>353</v>
      </c>
      <c r="D26" s="6">
        <v>3</v>
      </c>
      <c r="E26" s="5">
        <v>2420</v>
      </c>
      <c r="F26" s="174">
        <v>2000</v>
      </c>
      <c r="G26" s="5">
        <v>420</v>
      </c>
      <c r="I26" s="1">
        <v>888.88888888888891</v>
      </c>
      <c r="J26" s="1">
        <v>1999.9999999999998</v>
      </c>
      <c r="K26" s="1">
        <v>419.99999891155204</v>
      </c>
      <c r="M26" s="5">
        <v>0</v>
      </c>
      <c r="N26" s="5">
        <v>84.407696000000001</v>
      </c>
      <c r="P26" s="1">
        <v>0</v>
      </c>
      <c r="Q26" s="1">
        <v>-0.69384513599999997</v>
      </c>
      <c r="S26" s="1">
        <f t="shared" si="2"/>
        <v>0</v>
      </c>
      <c r="T26" s="1">
        <f t="shared" si="2"/>
        <v>0</v>
      </c>
      <c r="V26" s="1">
        <f t="array" ref="V26:W26">P26:Q26+S26:T26</f>
        <v>0</v>
      </c>
      <c r="W26" s="1">
        <v>-0.69384513599999997</v>
      </c>
      <c r="Y26" s="180">
        <f t="array" ref="Y26:Z26">Y25:Z25+V26:W26+M26:N26</f>
        <v>253.67833587011668</v>
      </c>
      <c r="Z26" s="180">
        <v>159.81735118400002</v>
      </c>
      <c r="AB26" s="10">
        <v>0.9</v>
      </c>
      <c r="AC26" s="10">
        <v>0.30000000077746281</v>
      </c>
      <c r="AE26" s="27">
        <v>0.19999999999999998</v>
      </c>
      <c r="AF26" s="27">
        <v>0</v>
      </c>
      <c r="AH26" s="27">
        <v>0</v>
      </c>
      <c r="AI26" s="27">
        <v>0.12661154399999999</v>
      </c>
      <c r="AK26" s="1">
        <v>0.19999999999999998</v>
      </c>
      <c r="AL26" s="1">
        <v>0.12661154399999999</v>
      </c>
      <c r="AN26" s="10">
        <v>0.18140589569160995</v>
      </c>
      <c r="AO26" s="10">
        <f t="shared" si="1"/>
        <v>0</v>
      </c>
    </row>
    <row r="27" spans="1:45" x14ac:dyDescent="0.3">
      <c r="A27" s="10" t="s">
        <v>456</v>
      </c>
      <c r="B27" s="76">
        <f>SUM(AN24:AN43)</f>
        <v>3.8609700027301579</v>
      </c>
      <c r="D27" s="6">
        <v>4</v>
      </c>
      <c r="E27" s="5">
        <v>2662</v>
      </c>
      <c r="F27" s="174">
        <v>2000</v>
      </c>
      <c r="G27" s="5">
        <v>662</v>
      </c>
      <c r="I27" s="1">
        <v>888.88888888888891</v>
      </c>
      <c r="J27" s="1">
        <v>1999.9999999999998</v>
      </c>
      <c r="K27" s="1">
        <v>661.99999845466812</v>
      </c>
      <c r="M27" s="5">
        <v>0</v>
      </c>
      <c r="N27" s="5">
        <v>94.836005</v>
      </c>
      <c r="P27" s="1">
        <v>0</v>
      </c>
      <c r="Q27" s="1">
        <v>-2.7507692530000001</v>
      </c>
      <c r="S27" s="1">
        <f t="shared" si="2"/>
        <v>0</v>
      </c>
      <c r="T27" s="1">
        <f t="shared" si="2"/>
        <v>0</v>
      </c>
      <c r="V27" s="1">
        <f t="array" ref="V27:W27">P27:Q27+S27:T27</f>
        <v>0</v>
      </c>
      <c r="W27" s="1">
        <v>-2.7507692530000001</v>
      </c>
      <c r="Y27" s="180">
        <f t="array" ref="Y27:Z27">Y26:Z26+V27:W27+M27:N27</f>
        <v>253.67833587011668</v>
      </c>
      <c r="Z27" s="180">
        <v>251.90258693100003</v>
      </c>
      <c r="AB27" s="10">
        <v>0.9</v>
      </c>
      <c r="AC27" s="10">
        <v>0.30000000070030147</v>
      </c>
      <c r="AE27" s="27">
        <v>0.19999999999999998</v>
      </c>
      <c r="AF27" s="27">
        <v>0</v>
      </c>
      <c r="AH27" s="27">
        <v>0</v>
      </c>
      <c r="AI27" s="27">
        <v>0.1422540075</v>
      </c>
      <c r="AK27" s="1">
        <v>0.19999999999999998</v>
      </c>
      <c r="AL27" s="1">
        <v>0.1422540075</v>
      </c>
      <c r="AN27" s="10">
        <v>0.1727675197062952</v>
      </c>
      <c r="AO27" s="10">
        <f t="shared" si="1"/>
        <v>0</v>
      </c>
    </row>
    <row r="28" spans="1:45" x14ac:dyDescent="0.3">
      <c r="A28" s="10" t="s">
        <v>457</v>
      </c>
      <c r="B28" s="76">
        <f>SUM(AA74:AA103,AA107:AA136)</f>
        <v>7.6102685240406931</v>
      </c>
      <c r="D28" s="6">
        <v>5</v>
      </c>
      <c r="E28" s="5">
        <v>2928.2</v>
      </c>
      <c r="F28" s="174">
        <v>2000</v>
      </c>
      <c r="G28" s="5">
        <v>928.2</v>
      </c>
      <c r="I28" s="1">
        <v>888.88888888888891</v>
      </c>
      <c r="J28" s="1">
        <v>1999.9999999999998</v>
      </c>
      <c r="K28" s="1">
        <v>928.20000037590012</v>
      </c>
      <c r="M28" s="5">
        <v>0</v>
      </c>
      <c r="N28" s="5">
        <v>108.8505</v>
      </c>
      <c r="P28" s="1">
        <v>0</v>
      </c>
      <c r="Q28" s="1">
        <v>-7.5567397560000007</v>
      </c>
      <c r="S28" s="1">
        <f t="shared" si="2"/>
        <v>0</v>
      </c>
      <c r="T28" s="1">
        <f t="shared" si="2"/>
        <v>0</v>
      </c>
      <c r="V28" s="1">
        <f t="array" ref="V28:W28">P28:Q28+S28:T28</f>
        <v>0</v>
      </c>
      <c r="W28" s="1">
        <v>-7.5567397560000007</v>
      </c>
      <c r="Y28" s="180">
        <f t="array" ref="Y28:Z28">Y27:Z27+V28:W28+M28:N28</f>
        <v>253.67833587011668</v>
      </c>
      <c r="Z28" s="180">
        <v>353.19634717500003</v>
      </c>
      <c r="AB28" s="10">
        <v>0.9</v>
      </c>
      <c r="AC28" s="10">
        <v>0.29999999987850678</v>
      </c>
      <c r="AE28" s="27">
        <v>0.19999999999999998</v>
      </c>
      <c r="AF28" s="27">
        <v>0</v>
      </c>
      <c r="AH28" s="27">
        <v>0</v>
      </c>
      <c r="AI28" s="27">
        <v>0.16327575</v>
      </c>
      <c r="AK28" s="1">
        <v>0.19999999999999998</v>
      </c>
      <c r="AL28" s="1">
        <v>0.16327575</v>
      </c>
      <c r="AN28" s="10">
        <v>0.16454049495837639</v>
      </c>
      <c r="AO28" s="10">
        <f t="shared" si="1"/>
        <v>0</v>
      </c>
    </row>
    <row r="29" spans="1:45" x14ac:dyDescent="0.3">
      <c r="A29" s="10" t="s">
        <v>458</v>
      </c>
      <c r="B29" s="76">
        <f>B27+B28</f>
        <v>11.471238526770851</v>
      </c>
      <c r="D29" s="6">
        <v>6</v>
      </c>
      <c r="E29" s="5">
        <v>3221.02</v>
      </c>
      <c r="F29" s="174">
        <v>2000</v>
      </c>
      <c r="G29" s="5">
        <v>1221.02</v>
      </c>
      <c r="I29" s="1">
        <v>888.88888888888891</v>
      </c>
      <c r="J29" s="1">
        <v>1999.9999999999998</v>
      </c>
      <c r="K29" s="1">
        <v>1221.019993757988</v>
      </c>
      <c r="M29" s="5">
        <v>0</v>
      </c>
      <c r="N29" s="5">
        <v>127.86646</v>
      </c>
      <c r="P29" s="1">
        <v>0</v>
      </c>
      <c r="Q29" s="1">
        <v>-16.443327054000001</v>
      </c>
      <c r="S29" s="1">
        <f t="shared" si="2"/>
        <v>0</v>
      </c>
      <c r="T29" s="1">
        <f t="shared" si="2"/>
        <v>0</v>
      </c>
      <c r="V29" s="1">
        <f t="array" ref="V29:W29">P29:Q29+S29:T29</f>
        <v>0</v>
      </c>
      <c r="W29" s="1">
        <v>-16.443327054000001</v>
      </c>
      <c r="Y29" s="180">
        <f t="array" ref="Y29:Z29">Y28:Z28+V29:W29+M29:N29</f>
        <v>253.67833587011668</v>
      </c>
      <c r="Z29" s="180">
        <v>464.61948012100004</v>
      </c>
      <c r="AB29" s="10">
        <v>0.9</v>
      </c>
      <c r="AC29" s="10">
        <v>0.30000000153363876</v>
      </c>
      <c r="AE29" s="27">
        <v>0.19999999999999998</v>
      </c>
      <c r="AF29" s="27">
        <v>0</v>
      </c>
      <c r="AH29" s="27">
        <v>0</v>
      </c>
      <c r="AI29" s="27">
        <v>0.19179968999999999</v>
      </c>
      <c r="AK29" s="1">
        <v>0.19999999999999998</v>
      </c>
      <c r="AL29" s="1">
        <v>0.19179968999999999</v>
      </c>
      <c r="AN29" s="10">
        <v>0.15670523329369179</v>
      </c>
      <c r="AO29" s="10">
        <f t="shared" si="1"/>
        <v>0</v>
      </c>
    </row>
    <row r="30" spans="1:45" x14ac:dyDescent="0.3">
      <c r="A30" s="10" t="s">
        <v>459</v>
      </c>
      <c r="B30" s="76">
        <f>SUM(AK24:AL43)</f>
        <v>21.3753425765</v>
      </c>
      <c r="D30" s="6">
        <v>7</v>
      </c>
      <c r="E30" s="5">
        <v>3543.1219999999998</v>
      </c>
      <c r="F30" s="174">
        <v>915.87693000000002</v>
      </c>
      <c r="G30" s="5">
        <v>2627.2451000000001</v>
      </c>
      <c r="I30" s="1">
        <v>888.88888888888891</v>
      </c>
      <c r="J30" s="1">
        <v>1999.9999999999998</v>
      </c>
      <c r="K30" s="1">
        <v>2627.2450558748883</v>
      </c>
      <c r="M30" s="5">
        <v>0</v>
      </c>
      <c r="N30" s="5">
        <v>565.70180000000005</v>
      </c>
      <c r="P30" s="1">
        <v>0</v>
      </c>
      <c r="Q30" s="1">
        <v>-30.608549575000001</v>
      </c>
      <c r="S30" s="1">
        <f t="shared" si="2"/>
        <v>0</v>
      </c>
      <c r="T30" s="1">
        <f t="shared" si="2"/>
        <v>0</v>
      </c>
      <c r="V30" s="1">
        <f t="array" ref="V30:W30">P30:Q30+S30:T30</f>
        <v>0</v>
      </c>
      <c r="W30" s="1">
        <v>-30.608549575000001</v>
      </c>
      <c r="Y30" s="180">
        <f t="array" ref="Y30:Z30">Y29:Z29+V30:W30+M30:N30</f>
        <v>253.67833587011668</v>
      </c>
      <c r="Z30" s="180">
        <v>999.7127305460001</v>
      </c>
      <c r="AB30" s="10">
        <v>0.4121446185</v>
      </c>
      <c r="AC30" s="10">
        <v>0.30000000503856061</v>
      </c>
      <c r="AE30" s="27">
        <v>9.1587693000000012E-2</v>
      </c>
      <c r="AF30" s="27">
        <v>0</v>
      </c>
      <c r="AH30" s="27">
        <v>0</v>
      </c>
      <c r="AI30" s="27">
        <v>0.84855270000000005</v>
      </c>
      <c r="AK30" s="1">
        <v>9.1587693000000012E-2</v>
      </c>
      <c r="AL30" s="1">
        <v>0.84855270000000005</v>
      </c>
      <c r="AN30" s="10">
        <v>6.8344146659028687E-2</v>
      </c>
      <c r="AO30" s="10">
        <f t="shared" si="1"/>
        <v>0</v>
      </c>
    </row>
    <row r="31" spans="1:45" x14ac:dyDescent="0.3">
      <c r="D31" s="6">
        <v>8</v>
      </c>
      <c r="E31" s="5">
        <v>3897.4342000000001</v>
      </c>
      <c r="F31" s="174">
        <v>1405.2638999999999</v>
      </c>
      <c r="G31" s="5">
        <v>2492.1703000000002</v>
      </c>
      <c r="I31" s="1">
        <v>888.88888888888891</v>
      </c>
      <c r="J31" s="1">
        <v>1999.9999999999998</v>
      </c>
      <c r="K31" s="1">
        <v>2492.1703023221162</v>
      </c>
      <c r="M31" s="5">
        <v>0</v>
      </c>
      <c r="N31" s="5">
        <v>0</v>
      </c>
      <c r="P31" s="1">
        <v>0</v>
      </c>
      <c r="Q31" s="1">
        <v>-51.398308049000001</v>
      </c>
      <c r="S31" s="1">
        <f t="shared" si="2"/>
        <v>0</v>
      </c>
      <c r="T31" s="1">
        <f t="shared" si="2"/>
        <v>0</v>
      </c>
      <c r="V31" s="1">
        <f t="array" ref="V31:W31">P31:Q31+S31:T31</f>
        <v>0</v>
      </c>
      <c r="W31" s="1">
        <v>-51.398308049000001</v>
      </c>
      <c r="Y31" s="180">
        <f t="array" ref="Y31:Z31">Y30:Z30+V31:W31+M31:N31</f>
        <v>253.67833587011668</v>
      </c>
      <c r="Z31" s="180">
        <v>948.31442249700012</v>
      </c>
      <c r="AB31" s="10">
        <v>0.632368755</v>
      </c>
      <c r="AC31" s="10">
        <v>0.29999999972047064</v>
      </c>
      <c r="AE31" s="27">
        <v>0.14052638999999997</v>
      </c>
      <c r="AF31" s="27">
        <v>0</v>
      </c>
      <c r="AH31" s="27">
        <v>0</v>
      </c>
      <c r="AI31" s="27">
        <v>0</v>
      </c>
      <c r="AK31" s="1">
        <v>0.14052638999999997</v>
      </c>
      <c r="AL31" s="1">
        <v>0</v>
      </c>
      <c r="AN31" s="10">
        <v>9.9869481763584178E-2</v>
      </c>
      <c r="AO31" s="10">
        <f t="shared" si="1"/>
        <v>0</v>
      </c>
    </row>
    <row r="32" spans="1:45" x14ac:dyDescent="0.3">
      <c r="D32" s="6">
        <v>9</v>
      </c>
      <c r="E32" s="5">
        <v>4287.1776</v>
      </c>
      <c r="F32" s="174">
        <v>2000</v>
      </c>
      <c r="G32" s="5">
        <v>2287.1776</v>
      </c>
      <c r="I32" s="1">
        <v>888.88888888888891</v>
      </c>
      <c r="J32" s="1">
        <v>1999.9999999999998</v>
      </c>
      <c r="K32" s="1">
        <v>2287.1776094605079</v>
      </c>
      <c r="M32" s="5">
        <v>0</v>
      </c>
      <c r="N32" s="5">
        <v>0</v>
      </c>
      <c r="P32" s="1">
        <v>0</v>
      </c>
      <c r="Q32" s="1">
        <v>-78.003307786000008</v>
      </c>
      <c r="S32" s="1">
        <f t="shared" si="2"/>
        <v>0</v>
      </c>
      <c r="T32" s="1">
        <f t="shared" si="2"/>
        <v>0</v>
      </c>
      <c r="V32" s="1">
        <f t="array" ref="V32:W32">P32:Q32+S32:T32</f>
        <v>0</v>
      </c>
      <c r="W32" s="1">
        <v>-78.003307786000008</v>
      </c>
      <c r="Y32" s="180">
        <f t="array" ref="Y32:Z32">Y31:Z31+V32:W32+M32:N32</f>
        <v>253.67833587011668</v>
      </c>
      <c r="Z32" s="180">
        <v>870.31111471100007</v>
      </c>
      <c r="AB32" s="10">
        <v>0.9</v>
      </c>
      <c r="AC32" s="10">
        <v>0.29999999875910272</v>
      </c>
      <c r="AE32" s="27">
        <v>0.19999999999999998</v>
      </c>
      <c r="AF32" s="27">
        <v>0</v>
      </c>
      <c r="AH32" s="27">
        <v>0</v>
      </c>
      <c r="AI32" s="27">
        <v>0</v>
      </c>
      <c r="AK32" s="1">
        <v>0.19999999999999998</v>
      </c>
      <c r="AL32" s="1">
        <v>0</v>
      </c>
      <c r="AN32" s="10">
        <v>0.13536787240573744</v>
      </c>
      <c r="AO32" s="10">
        <f t="shared" si="1"/>
        <v>0</v>
      </c>
    </row>
    <row r="33" spans="4:41" x14ac:dyDescent="0.3">
      <c r="D33" s="6">
        <v>10</v>
      </c>
      <c r="E33" s="5">
        <v>4715.8954000000003</v>
      </c>
      <c r="F33" s="174">
        <v>2711.5682999999999</v>
      </c>
      <c r="G33" s="5">
        <v>2004.3271</v>
      </c>
      <c r="I33" s="1">
        <v>1205.1414649112889</v>
      </c>
      <c r="J33" s="1">
        <v>2711.5682960504</v>
      </c>
      <c r="K33" s="1">
        <v>2004.327102827556</v>
      </c>
      <c r="M33" s="5">
        <v>117.98004</v>
      </c>
      <c r="N33" s="5">
        <v>0</v>
      </c>
      <c r="P33" s="1">
        <v>-27.7253094</v>
      </c>
      <c r="Q33" s="1">
        <v>-107.629568734</v>
      </c>
      <c r="S33" s="1">
        <f t="shared" si="2"/>
        <v>0</v>
      </c>
      <c r="T33" s="1">
        <f t="shared" si="2"/>
        <v>0</v>
      </c>
      <c r="V33" s="1">
        <f t="array" ref="V33:W33">P33:Q33+S33:T33</f>
        <v>-27.7253094</v>
      </c>
      <c r="W33" s="1">
        <v>-107.629568734</v>
      </c>
      <c r="Y33" s="180">
        <f t="array" ref="Y33:Z33">Y32:Z32+V33:W33+M33:N33</f>
        <v>343.93306647011673</v>
      </c>
      <c r="Z33" s="180">
        <v>762.68154597700004</v>
      </c>
      <c r="AB33" s="10">
        <v>0.90000000131091651</v>
      </c>
      <c r="AC33" s="10">
        <v>0.29999999957678219</v>
      </c>
      <c r="AE33" s="27">
        <v>0.27115683000000002</v>
      </c>
      <c r="AF33" s="27">
        <v>0</v>
      </c>
      <c r="AH33" s="27">
        <v>7.0788024000000005E-2</v>
      </c>
      <c r="AI33" s="27">
        <v>0</v>
      </c>
      <c r="AK33" s="1">
        <v>0.34194485400000002</v>
      </c>
      <c r="AL33" s="1">
        <v>0</v>
      </c>
      <c r="AN33" s="10">
        <v>0.1747901103113535</v>
      </c>
      <c r="AO33" s="10">
        <f t="shared" si="1"/>
        <v>0</v>
      </c>
    </row>
    <row r="34" spans="4:41" x14ac:dyDescent="0.3">
      <c r="D34" s="6">
        <v>11</v>
      </c>
      <c r="E34" s="5">
        <v>5187.4849000000004</v>
      </c>
      <c r="F34" s="174">
        <v>3538.8096</v>
      </c>
      <c r="G34" s="5">
        <v>1648.6754000000001</v>
      </c>
      <c r="I34" s="1">
        <v>1572.8042490959288</v>
      </c>
      <c r="J34" s="1">
        <v>3538.8095604658401</v>
      </c>
      <c r="K34" s="1">
        <v>1648.6753555762921</v>
      </c>
      <c r="M34" s="5">
        <v>250.66654</v>
      </c>
      <c r="N34" s="5">
        <v>0</v>
      </c>
      <c r="P34" s="1">
        <v>-145.73994633999999</v>
      </c>
      <c r="Q34" s="1">
        <v>-135.33171508800001</v>
      </c>
      <c r="S34" s="1">
        <f t="shared" si="2"/>
        <v>0</v>
      </c>
      <c r="T34" s="1">
        <f t="shared" si="2"/>
        <v>0</v>
      </c>
      <c r="V34" s="1">
        <f t="array" ref="V34:W34">P34:Q34+S34:T34</f>
        <v>-145.73994633999999</v>
      </c>
      <c r="W34" s="1">
        <v>-135.33171508800001</v>
      </c>
      <c r="Y34" s="180">
        <f t="array" ref="Y34:Z34">Y33:Z33+V34:W34+M34:N34</f>
        <v>448.85966013011671</v>
      </c>
      <c r="Z34" s="180">
        <v>627.34983088900003</v>
      </c>
      <c r="AB34" s="10">
        <v>0.90000001005443875</v>
      </c>
      <c r="AC34" s="10">
        <v>0.30000000808352739</v>
      </c>
      <c r="AE34" s="27">
        <v>0.35388096000000002</v>
      </c>
      <c r="AF34" s="27">
        <v>0</v>
      </c>
      <c r="AH34" s="27">
        <v>0.15039992399999999</v>
      </c>
      <c r="AI34" s="27">
        <v>0</v>
      </c>
      <c r="AK34" s="1">
        <v>0.50428088400000004</v>
      </c>
      <c r="AL34" s="1">
        <v>0</v>
      </c>
      <c r="AN34" s="10">
        <v>0.21725221151972732</v>
      </c>
      <c r="AO34" s="10">
        <f t="shared" si="1"/>
        <v>0</v>
      </c>
    </row>
    <row r="35" spans="4:41" x14ac:dyDescent="0.3">
      <c r="D35" s="6">
        <v>12</v>
      </c>
      <c r="E35" s="5">
        <v>5706.2334000000001</v>
      </c>
      <c r="F35" s="174">
        <v>4463.3433000000005</v>
      </c>
      <c r="G35" s="5">
        <v>1242.8901000000001</v>
      </c>
      <c r="I35" s="1">
        <v>1983.7081597520889</v>
      </c>
      <c r="J35" s="1">
        <v>4463.3433594421995</v>
      </c>
      <c r="K35" s="1">
        <v>1242.8900748180722</v>
      </c>
      <c r="M35" s="5">
        <v>401.08602999999999</v>
      </c>
      <c r="N35" s="5">
        <v>0</v>
      </c>
      <c r="P35" s="1">
        <v>-283.81893220999996</v>
      </c>
      <c r="Q35" s="1">
        <v>-154.408402115</v>
      </c>
      <c r="S35" s="1">
        <f t="shared" si="2"/>
        <v>0</v>
      </c>
      <c r="T35" s="1">
        <f t="shared" si="2"/>
        <v>0</v>
      </c>
      <c r="V35" s="1">
        <f t="array" ref="V35:W35">P35:Q35+S35:T35</f>
        <v>-283.81893220999996</v>
      </c>
      <c r="W35" s="1">
        <v>-154.408402115</v>
      </c>
      <c r="Y35" s="180">
        <f t="array" ref="Y35:Z35">Y34:Z34+V35:W35+M35:N35</f>
        <v>566.12675792011669</v>
      </c>
      <c r="Z35" s="180">
        <v>472.94142877400003</v>
      </c>
      <c r="AB35" s="10">
        <v>0.89999998801392256</v>
      </c>
      <c r="AC35" s="10">
        <v>0.30000000607823535</v>
      </c>
      <c r="AE35" s="27">
        <v>0.44633433000000006</v>
      </c>
      <c r="AF35" s="27">
        <v>0</v>
      </c>
      <c r="AH35" s="27">
        <v>0.24065161799999998</v>
      </c>
      <c r="AI35" s="27">
        <v>0</v>
      </c>
      <c r="AK35" s="1">
        <v>0.68698594800000001</v>
      </c>
      <c r="AL35" s="1">
        <v>0</v>
      </c>
      <c r="AN35" s="10">
        <v>0.26096243875927139</v>
      </c>
      <c r="AO35" s="10">
        <f t="shared" si="1"/>
        <v>0</v>
      </c>
    </row>
    <row r="36" spans="4:41" x14ac:dyDescent="0.3">
      <c r="D36" s="6">
        <v>13</v>
      </c>
      <c r="E36" s="5">
        <v>6276.8567999999996</v>
      </c>
      <c r="F36" s="174">
        <v>5444.5950999999995</v>
      </c>
      <c r="G36" s="5">
        <v>832.26166999999998</v>
      </c>
      <c r="I36" s="1">
        <v>2419.820033381689</v>
      </c>
      <c r="J36" s="1">
        <v>5444.5950751088003</v>
      </c>
      <c r="K36" s="1">
        <v>832.26166130624404</v>
      </c>
      <c r="M36" s="5">
        <v>562.66552999999999</v>
      </c>
      <c r="N36" s="5">
        <v>0</v>
      </c>
      <c r="P36" s="1">
        <v>-438.20437885000001</v>
      </c>
      <c r="Q36" s="1">
        <v>-156.25129890100001</v>
      </c>
      <c r="S36" s="1">
        <f t="shared" si="2"/>
        <v>0</v>
      </c>
      <c r="T36" s="1">
        <f t="shared" si="2"/>
        <v>0</v>
      </c>
      <c r="V36" s="1">
        <f t="array" ref="V36:W36">P36:Q36+S36:T36</f>
        <v>-438.20437885000001</v>
      </c>
      <c r="W36" s="1">
        <v>-156.25129890100001</v>
      </c>
      <c r="Y36" s="180">
        <f t="array" ref="Y36:Z36">Y35:Z35+V36:W36+M36:N36</f>
        <v>690.58790907011667</v>
      </c>
      <c r="Z36" s="180">
        <v>316.69012987300005</v>
      </c>
      <c r="AB36" s="10">
        <v>0.90000000411455394</v>
      </c>
      <c r="AC36" s="10">
        <v>0.30000000313378217</v>
      </c>
      <c r="AE36" s="27">
        <v>0.54445951000000004</v>
      </c>
      <c r="AF36" s="27">
        <v>0</v>
      </c>
      <c r="AH36" s="27">
        <v>0.33759931799999998</v>
      </c>
      <c r="AI36" s="27">
        <v>0</v>
      </c>
      <c r="AK36" s="1">
        <v>0.88205882800000002</v>
      </c>
      <c r="AL36" s="1">
        <v>0</v>
      </c>
      <c r="AN36" s="10">
        <v>0.30317542785061913</v>
      </c>
      <c r="AO36" s="10">
        <f t="shared" si="1"/>
        <v>0</v>
      </c>
    </row>
    <row r="37" spans="4:41" x14ac:dyDescent="0.3">
      <c r="D37" s="6">
        <v>14</v>
      </c>
      <c r="E37" s="5">
        <v>6904.5424000000003</v>
      </c>
      <c r="F37" s="174">
        <v>6430.0074999999997</v>
      </c>
      <c r="G37" s="5">
        <v>474.53496999999999</v>
      </c>
      <c r="I37" s="1">
        <v>6430.0074060532088</v>
      </c>
      <c r="J37" s="1">
        <v>14467.516663619719</v>
      </c>
      <c r="K37" s="1">
        <v>474.53496985371606</v>
      </c>
      <c r="M37" s="5">
        <v>2059.9063999999998</v>
      </c>
      <c r="N37" s="5">
        <v>0</v>
      </c>
      <c r="P37" s="1">
        <v>-915.44653337</v>
      </c>
      <c r="Q37" s="1">
        <v>-136.121267676</v>
      </c>
      <c r="S37" s="1">
        <f t="shared" si="2"/>
        <v>0</v>
      </c>
      <c r="T37" s="1">
        <f t="shared" si="2"/>
        <v>0</v>
      </c>
      <c r="V37" s="1">
        <f t="array" ref="V37:W37">P37:Q37+S37:T37</f>
        <v>-915.44653337</v>
      </c>
      <c r="W37" s="1">
        <v>-136.121267676</v>
      </c>
      <c r="Y37" s="180">
        <f t="array" ref="Y37:Z37">Y36:Z36+V37:W37+M37:N37</f>
        <v>1835.0477757001165</v>
      </c>
      <c r="Z37" s="180">
        <v>180.56886219700004</v>
      </c>
      <c r="AB37" s="10">
        <v>0.4000000058442727</v>
      </c>
      <c r="AC37" s="10">
        <v>0.30000000009248035</v>
      </c>
      <c r="AE37" s="27">
        <v>0.64300075000000001</v>
      </c>
      <c r="AF37" s="27">
        <v>0</v>
      </c>
      <c r="AH37" s="27">
        <v>1.2359438399999998</v>
      </c>
      <c r="AI37" s="27">
        <v>0</v>
      </c>
      <c r="AK37" s="1">
        <v>1.8789445899999997</v>
      </c>
      <c r="AL37" s="1">
        <v>0</v>
      </c>
      <c r="AN37" s="10">
        <v>0.34099702620593741</v>
      </c>
      <c r="AO37" s="10">
        <f t="shared" si="1"/>
        <v>0</v>
      </c>
    </row>
    <row r="38" spans="4:41" x14ac:dyDescent="0.3">
      <c r="D38" s="6">
        <v>15</v>
      </c>
      <c r="E38" s="5">
        <v>7594.9966999999997</v>
      </c>
      <c r="F38" s="174">
        <v>7375.1008000000002</v>
      </c>
      <c r="G38" s="5">
        <v>219.89587</v>
      </c>
      <c r="I38" s="1">
        <v>7375.1007648354471</v>
      </c>
      <c r="J38" s="1">
        <v>16593.976720879757</v>
      </c>
      <c r="K38" s="1">
        <v>219.89586658500011</v>
      </c>
      <c r="M38" s="5">
        <v>2366.0185000000001</v>
      </c>
      <c r="N38" s="5">
        <v>0</v>
      </c>
      <c r="P38" s="1">
        <v>-2096.3000756900001</v>
      </c>
      <c r="Q38" s="1">
        <v>-96.894635946999998</v>
      </c>
      <c r="S38" s="1">
        <f t="shared" si="2"/>
        <v>0</v>
      </c>
      <c r="T38" s="1">
        <f t="shared" si="2"/>
        <v>0</v>
      </c>
      <c r="V38" s="1">
        <f t="array" ref="V38:W38">P38:Q38+S38:T38</f>
        <v>-2096.3000756900001</v>
      </c>
      <c r="W38" s="1">
        <v>-96.894635946999998</v>
      </c>
      <c r="Y38" s="180">
        <f t="array" ref="Y38:Z38">Y37:Z37+V38:W38+M38:N38</f>
        <v>2104.7662000101163</v>
      </c>
      <c r="Z38" s="180">
        <v>83.674226250000046</v>
      </c>
      <c r="AB38" s="10">
        <v>0.40000000190720392</v>
      </c>
      <c r="AC38" s="10">
        <v>0.30000000465902327</v>
      </c>
      <c r="AE38" s="27">
        <v>0.73751008000000007</v>
      </c>
      <c r="AF38" s="27">
        <v>0</v>
      </c>
      <c r="AH38" s="27">
        <v>1.4196111</v>
      </c>
      <c r="AI38" s="27">
        <v>0</v>
      </c>
      <c r="AK38" s="1">
        <v>2.1571211799999999</v>
      </c>
      <c r="AL38" s="1">
        <v>0</v>
      </c>
      <c r="AN38" s="10">
        <v>0.37249270641916138</v>
      </c>
      <c r="AO38" s="10">
        <f t="shared" si="1"/>
        <v>0</v>
      </c>
    </row>
    <row r="39" spans="4:41" x14ac:dyDescent="0.3">
      <c r="D39" s="6">
        <v>16</v>
      </c>
      <c r="E39" s="5">
        <v>8354.4963000000007</v>
      </c>
      <c r="F39" s="174">
        <v>8276.7091999999993</v>
      </c>
      <c r="G39" s="5">
        <v>77.787101000000007</v>
      </c>
      <c r="I39" s="1">
        <v>8276.7093083826476</v>
      </c>
      <c r="J39" s="1">
        <v>18622.595943860957</v>
      </c>
      <c r="K39" s="1">
        <v>77.787100157040086</v>
      </c>
      <c r="M39" s="5">
        <v>2728.4627</v>
      </c>
      <c r="N39" s="5">
        <v>0</v>
      </c>
      <c r="P39" s="1">
        <v>-2471.1543257000003</v>
      </c>
      <c r="Q39" s="1">
        <v>-54.07487307000001</v>
      </c>
      <c r="S39" s="1">
        <f t="shared" si="2"/>
        <v>0</v>
      </c>
      <c r="T39" s="1">
        <f t="shared" si="2"/>
        <v>0</v>
      </c>
      <c r="V39" s="1">
        <f t="array" ref="V39:W39">P39:Q39+S39:T39</f>
        <v>-2471.1543257000003</v>
      </c>
      <c r="W39" s="1">
        <v>-54.07487307000001</v>
      </c>
      <c r="Y39" s="180">
        <f t="array" ref="Y39:Z39">Y38:Z38+V39:W39+M39:N39</f>
        <v>2362.0745743101161</v>
      </c>
      <c r="Z39" s="180">
        <v>29.599353180000037</v>
      </c>
      <c r="AB39" s="10">
        <v>0.39999999476204157</v>
      </c>
      <c r="AC39" s="10">
        <v>0.3000000032510271</v>
      </c>
      <c r="AE39" s="27">
        <v>0.82767091999999987</v>
      </c>
      <c r="AF39" s="27">
        <v>0</v>
      </c>
      <c r="AH39" s="27">
        <v>1.6370776200000001</v>
      </c>
      <c r="AI39" s="27">
        <v>0</v>
      </c>
      <c r="AK39" s="1">
        <v>2.46474854</v>
      </c>
      <c r="AL39" s="1">
        <v>0</v>
      </c>
      <c r="AN39" s="10">
        <v>0.39812386411268347</v>
      </c>
      <c r="AO39" s="10">
        <f t="shared" si="1"/>
        <v>0</v>
      </c>
    </row>
    <row r="40" spans="4:41" x14ac:dyDescent="0.3">
      <c r="D40" s="6">
        <v>17</v>
      </c>
      <c r="E40" s="5">
        <v>9189.9459999999999</v>
      </c>
      <c r="F40" s="174">
        <v>7558.8971000000001</v>
      </c>
      <c r="G40" s="5">
        <v>1631.0489</v>
      </c>
      <c r="I40" s="1">
        <v>7558.8972370098472</v>
      </c>
      <c r="J40" s="1">
        <v>17007.518783272157</v>
      </c>
      <c r="K40" s="1">
        <v>1631.0488576309201</v>
      </c>
      <c r="M40" s="5">
        <v>2490.2383</v>
      </c>
      <c r="N40" s="5">
        <v>613.64643000000001</v>
      </c>
      <c r="P40" s="1">
        <v>-2695.0933431999997</v>
      </c>
      <c r="Q40" s="1">
        <v>-22.603143289999998</v>
      </c>
      <c r="S40" s="1">
        <f t="shared" si="2"/>
        <v>0</v>
      </c>
      <c r="T40" s="1">
        <f t="shared" si="2"/>
        <v>0</v>
      </c>
      <c r="V40" s="1">
        <f t="array" ref="V40:W40">P40:Q40+S40:T40</f>
        <v>-2695.0933431999997</v>
      </c>
      <c r="W40" s="1">
        <v>-22.603143289999998</v>
      </c>
      <c r="Y40" s="180">
        <f t="array" ref="Y40:Z40">Y39:Z39+V40:W40+M40:N40</f>
        <v>2157.2195311101163</v>
      </c>
      <c r="Z40" s="180">
        <v>620.64263989000005</v>
      </c>
      <c r="AB40" s="10">
        <v>0.39999999274974418</v>
      </c>
      <c r="AC40" s="10">
        <v>0.30000000779297559</v>
      </c>
      <c r="AE40" s="27">
        <v>0.75588971000000005</v>
      </c>
      <c r="AF40" s="27">
        <v>0</v>
      </c>
      <c r="AH40" s="27">
        <v>1.4941429799999999</v>
      </c>
      <c r="AI40" s="27">
        <v>0.92046964499999995</v>
      </c>
      <c r="AK40" s="1">
        <v>2.2500326899999998</v>
      </c>
      <c r="AL40" s="1">
        <v>0.92046964499999995</v>
      </c>
      <c r="AN40" s="10">
        <v>0.34628178550573813</v>
      </c>
      <c r="AO40" s="10">
        <f t="shared" si="1"/>
        <v>0</v>
      </c>
    </row>
    <row r="41" spans="4:41" x14ac:dyDescent="0.3">
      <c r="D41" s="6">
        <v>18</v>
      </c>
      <c r="E41" s="5">
        <v>10108.941000000001</v>
      </c>
      <c r="F41" s="174">
        <v>725.60918000000004</v>
      </c>
      <c r="G41" s="5">
        <v>9383.3313999999991</v>
      </c>
      <c r="I41" s="1">
        <v>725.6091827202481</v>
      </c>
      <c r="J41" s="1">
        <v>1632.6206611205582</v>
      </c>
      <c r="K41" s="1">
        <v>9383.3315128076392</v>
      </c>
      <c r="M41" s="5">
        <v>0</v>
      </c>
      <c r="N41" s="5">
        <v>2964.2311</v>
      </c>
      <c r="P41" s="1">
        <v>-1950.1392848999999</v>
      </c>
      <c r="Q41" s="1">
        <v>-14.351855260000001</v>
      </c>
      <c r="S41" s="1">
        <f t="shared" si="2"/>
        <v>0</v>
      </c>
      <c r="T41" s="1">
        <f t="shared" si="2"/>
        <v>0</v>
      </c>
      <c r="V41" s="1">
        <f t="array" ref="V41:W41">P41:Q41+S41:T41</f>
        <v>-1950.1392848999999</v>
      </c>
      <c r="W41" s="1">
        <v>-14.351855260000001</v>
      </c>
      <c r="Y41" s="180">
        <f t="array" ref="Y41:Z41">Y40:Z40+V41:W41+M41:N41</f>
        <v>207.08024621011646</v>
      </c>
      <c r="Z41" s="180">
        <v>3570.5218846299999</v>
      </c>
      <c r="AB41" s="10">
        <v>0.39999999850043355</v>
      </c>
      <c r="AC41" s="10">
        <v>0.29999999639336067</v>
      </c>
      <c r="AE41" s="27">
        <v>7.2560918000000002E-2</v>
      </c>
      <c r="AF41" s="27">
        <v>0</v>
      </c>
      <c r="AH41" s="27">
        <v>0</v>
      </c>
      <c r="AI41" s="27">
        <v>4.4463466499999997</v>
      </c>
      <c r="AK41" s="1">
        <v>7.2560918000000002E-2</v>
      </c>
      <c r="AL41" s="1">
        <v>4.4463466499999997</v>
      </c>
      <c r="AN41" s="10">
        <v>3.1658088173403029E-2</v>
      </c>
      <c r="AO41" s="10">
        <f t="shared" si="1"/>
        <v>0</v>
      </c>
    </row>
    <row r="42" spans="4:41" x14ac:dyDescent="0.3">
      <c r="D42" s="6">
        <v>19</v>
      </c>
      <c r="E42" s="5">
        <v>11119.834999999999</v>
      </c>
      <c r="F42" s="174">
        <v>350.4</v>
      </c>
      <c r="G42" s="5">
        <v>10769.434999999999</v>
      </c>
      <c r="I42" s="1">
        <v>350.3999975826481</v>
      </c>
      <c r="J42" s="1">
        <v>788.39999456095825</v>
      </c>
      <c r="K42" s="1">
        <v>10769.434753093919</v>
      </c>
      <c r="M42" s="5">
        <v>0</v>
      </c>
      <c r="N42" s="5">
        <v>568.80541000000005</v>
      </c>
      <c r="P42" s="1">
        <v>-107.08024689999999</v>
      </c>
      <c r="Q42" s="1">
        <v>-41.368864989999999</v>
      </c>
      <c r="S42" s="1">
        <f t="shared" si="2"/>
        <v>0</v>
      </c>
      <c r="T42" s="1">
        <f t="shared" si="2"/>
        <v>0</v>
      </c>
      <c r="V42" s="1">
        <f t="array" ref="V42:W42">P42:Q42+S42:T42</f>
        <v>-107.08024689999999</v>
      </c>
      <c r="W42" s="1">
        <v>-41.368864989999999</v>
      </c>
      <c r="Y42" s="180">
        <f t="array" ref="Y42:Z42">Y41:Z41+V42:W42+M42:N42</f>
        <v>99.999999310116465</v>
      </c>
      <c r="Z42" s="180">
        <v>4097.9584296399998</v>
      </c>
      <c r="AB42" s="10">
        <v>0.40000000275953418</v>
      </c>
      <c r="AC42" s="10">
        <v>0.30000000687796768</v>
      </c>
      <c r="AE42" s="27">
        <v>3.5040000000000002E-2</v>
      </c>
      <c r="AF42" s="27">
        <v>0</v>
      </c>
      <c r="AH42" s="27">
        <v>0</v>
      </c>
      <c r="AI42" s="27">
        <v>0.85320811500000004</v>
      </c>
      <c r="AK42" s="1">
        <v>3.5040000000000002E-2</v>
      </c>
      <c r="AL42" s="1">
        <v>0.85320811500000004</v>
      </c>
      <c r="AN42" s="10">
        <v>1.4559843746556609E-2</v>
      </c>
      <c r="AO42" s="10">
        <f t="shared" si="1"/>
        <v>0</v>
      </c>
    </row>
    <row r="43" spans="4:41" x14ac:dyDescent="0.3">
      <c r="D43" s="6">
        <v>20</v>
      </c>
      <c r="E43" s="5">
        <v>12231.817999999999</v>
      </c>
      <c r="F43" s="174">
        <v>788.4</v>
      </c>
      <c r="G43" s="5">
        <v>11443.418</v>
      </c>
      <c r="I43" s="1">
        <v>350.3999975826481</v>
      </c>
      <c r="J43" s="1">
        <v>788.39999456095825</v>
      </c>
      <c r="K43" s="1">
        <v>11443.418218835639</v>
      </c>
      <c r="M43" s="5">
        <v>0</v>
      </c>
      <c r="N43" s="5">
        <v>374.66275999999999</v>
      </c>
      <c r="P43" s="1">
        <v>0</v>
      </c>
      <c r="Q43" s="1">
        <v>-118.20025400999999</v>
      </c>
      <c r="S43" s="1">
        <f t="shared" si="2"/>
        <v>0</v>
      </c>
      <c r="T43" s="1">
        <f t="shared" si="2"/>
        <v>0</v>
      </c>
      <c r="V43" s="1">
        <f t="array" ref="V43:W43">P43:Q43+S43:T43</f>
        <v>0</v>
      </c>
      <c r="W43" s="1">
        <v>-118.20025400999999</v>
      </c>
      <c r="Y43" s="180">
        <f t="array" ref="Y43:Z43">Y42:Z42+V43:W43+M43:N43</f>
        <v>99.999999310116465</v>
      </c>
      <c r="Z43" s="180">
        <v>4354.4209356299998</v>
      </c>
      <c r="AB43" s="10">
        <v>0.90000000620895182</v>
      </c>
      <c r="AC43" s="10">
        <v>0.29999999426301732</v>
      </c>
      <c r="AE43" s="27">
        <v>7.8839999999999993E-2</v>
      </c>
      <c r="AF43" s="27">
        <v>0</v>
      </c>
      <c r="AH43" s="27">
        <v>0</v>
      </c>
      <c r="AI43" s="27">
        <v>0.56199414000000003</v>
      </c>
      <c r="AK43" s="1">
        <v>7.8839999999999993E-2</v>
      </c>
      <c r="AL43" s="1">
        <v>0.56199414000000003</v>
      </c>
      <c r="AN43" s="10">
        <v>3.1199665171192732E-2</v>
      </c>
      <c r="AO43" s="10">
        <f t="shared" si="1"/>
        <v>0</v>
      </c>
    </row>
    <row r="44" spans="4:41" x14ac:dyDescent="0.3">
      <c r="H44" s="11"/>
    </row>
    <row r="45" spans="4:41" x14ac:dyDescent="0.3">
      <c r="H45" s="11"/>
    </row>
    <row r="46" spans="4:41" x14ac:dyDescent="0.3">
      <c r="H46" s="11"/>
    </row>
    <row r="70" spans="2:50" x14ac:dyDescent="0.3">
      <c r="D70" s="14" t="s">
        <v>460</v>
      </c>
      <c r="AD70" s="14" t="s">
        <v>461</v>
      </c>
    </row>
    <row r="72" spans="2:50" x14ac:dyDescent="0.3">
      <c r="D72" s="10" t="s">
        <v>112</v>
      </c>
      <c r="E72" s="201">
        <f t="array" ref="E72:X72">TRANSPOSE(M24:M43)*$F$11*0.000001</f>
        <v>6.2538000000000003E-3</v>
      </c>
      <c r="F72" s="201">
        <v>0</v>
      </c>
      <c r="G72" s="201">
        <v>0</v>
      </c>
      <c r="H72" s="201">
        <v>0</v>
      </c>
      <c r="I72" s="201">
        <v>0</v>
      </c>
      <c r="J72" s="201">
        <v>0</v>
      </c>
      <c r="K72" s="201">
        <v>0</v>
      </c>
      <c r="L72" s="201">
        <v>0</v>
      </c>
      <c r="M72" s="201">
        <v>0</v>
      </c>
      <c r="N72" s="201">
        <v>7.0788024000000005E-2</v>
      </c>
      <c r="O72" s="201">
        <v>0.15039992399999999</v>
      </c>
      <c r="P72" s="201">
        <v>0.24065161799999998</v>
      </c>
      <c r="Q72" s="201">
        <v>0.33759931799999998</v>
      </c>
      <c r="R72" s="201">
        <v>1.2359438399999998</v>
      </c>
      <c r="S72" s="201">
        <v>1.4196111</v>
      </c>
      <c r="T72" s="201">
        <v>1.6370776200000001</v>
      </c>
      <c r="U72" s="201">
        <v>1.4941429799999999</v>
      </c>
      <c r="V72" s="201">
        <v>0</v>
      </c>
      <c r="W72" s="201">
        <v>0</v>
      </c>
      <c r="X72" s="201">
        <v>0</v>
      </c>
      <c r="AD72" s="10" t="s">
        <v>112</v>
      </c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01"/>
      <c r="AW72" s="201"/>
      <c r="AX72" s="201"/>
    </row>
    <row r="73" spans="2:50" x14ac:dyDescent="0.3">
      <c r="D73" s="10" t="s">
        <v>308</v>
      </c>
      <c r="E73" s="2">
        <v>1</v>
      </c>
      <c r="F73" s="2">
        <v>2</v>
      </c>
      <c r="G73" s="2">
        <v>3</v>
      </c>
      <c r="H73" s="2">
        <v>4</v>
      </c>
      <c r="I73" s="2">
        <v>5</v>
      </c>
      <c r="J73" s="2">
        <v>6</v>
      </c>
      <c r="K73" s="2">
        <v>7</v>
      </c>
      <c r="L73" s="2">
        <v>8</v>
      </c>
      <c r="M73" s="2">
        <v>9</v>
      </c>
      <c r="N73" s="2">
        <v>10</v>
      </c>
      <c r="O73" s="2">
        <v>11</v>
      </c>
      <c r="P73" s="2">
        <v>12</v>
      </c>
      <c r="Q73" s="2">
        <v>13</v>
      </c>
      <c r="R73" s="2">
        <v>14</v>
      </c>
      <c r="S73" s="2">
        <v>15</v>
      </c>
      <c r="T73" s="2">
        <v>16</v>
      </c>
      <c r="U73" s="2">
        <v>17</v>
      </c>
      <c r="V73" s="2">
        <v>18</v>
      </c>
      <c r="W73" s="2">
        <v>19</v>
      </c>
      <c r="X73" s="2">
        <v>20</v>
      </c>
      <c r="Z73" s="11" t="s">
        <v>462</v>
      </c>
      <c r="AA73" s="11" t="s">
        <v>463</v>
      </c>
      <c r="AD73" s="10" t="s">
        <v>308</v>
      </c>
      <c r="AE73" s="2">
        <v>1</v>
      </c>
      <c r="AF73" s="2">
        <v>2</v>
      </c>
      <c r="AG73" s="2">
        <v>3</v>
      </c>
      <c r="AH73" s="2">
        <v>4</v>
      </c>
      <c r="AI73" s="2">
        <v>5</v>
      </c>
      <c r="AJ73" s="2">
        <v>6</v>
      </c>
      <c r="AK73" s="2">
        <v>7</v>
      </c>
      <c r="AL73" s="2">
        <v>8</v>
      </c>
      <c r="AM73" s="2">
        <v>9</v>
      </c>
      <c r="AN73" s="2">
        <v>10</v>
      </c>
      <c r="AO73" s="2">
        <v>11</v>
      </c>
      <c r="AP73" s="2">
        <v>12</v>
      </c>
      <c r="AQ73" s="2">
        <v>13</v>
      </c>
      <c r="AR73" s="2">
        <v>14</v>
      </c>
      <c r="AS73" s="2">
        <v>15</v>
      </c>
      <c r="AT73" s="2">
        <v>16</v>
      </c>
      <c r="AU73" s="2">
        <v>17</v>
      </c>
      <c r="AV73" s="2">
        <v>18</v>
      </c>
      <c r="AW73" s="2">
        <v>19</v>
      </c>
      <c r="AX73" s="2">
        <v>20</v>
      </c>
    </row>
    <row r="74" spans="2:50" x14ac:dyDescent="0.3">
      <c r="D74" s="6">
        <v>1</v>
      </c>
      <c r="E74" s="201">
        <f>IF($D74-E$73&lt;$F$17,IF($B$23=0,1/$F$17,($B$23*(1+$B$23)^$F$17)/((1+$B$23)^$F$17-1)),0)</f>
        <v>0.52261083743842396</v>
      </c>
      <c r="F74" s="201">
        <v>0</v>
      </c>
      <c r="G74" s="201">
        <v>0</v>
      </c>
      <c r="H74" s="201">
        <v>0</v>
      </c>
      <c r="I74" s="201">
        <v>0</v>
      </c>
      <c r="J74" s="201">
        <v>0</v>
      </c>
      <c r="K74" s="201">
        <v>0</v>
      </c>
      <c r="L74" s="201">
        <v>0</v>
      </c>
      <c r="M74" s="201">
        <v>0</v>
      </c>
      <c r="N74" s="201">
        <v>0</v>
      </c>
      <c r="O74" s="201">
        <v>0</v>
      </c>
      <c r="P74" s="201">
        <v>0</v>
      </c>
      <c r="Q74" s="201">
        <v>0</v>
      </c>
      <c r="R74" s="201">
        <v>0</v>
      </c>
      <c r="S74" s="201">
        <v>0</v>
      </c>
      <c r="T74" s="201">
        <v>0</v>
      </c>
      <c r="U74" s="201">
        <v>0</v>
      </c>
      <c r="V74" s="201">
        <v>0</v>
      </c>
      <c r="W74" s="201">
        <v>0</v>
      </c>
      <c r="X74" s="201">
        <v>0</v>
      </c>
      <c r="Y74" s="201"/>
      <c r="Z74" s="201">
        <f t="array" ref="Z74:Z103">MMULT(E74:X103,TRANSPOSE(E72:X72))</f>
        <v>3.2683036551724161E-3</v>
      </c>
      <c r="AA74" s="201">
        <f>Z74*(1/(1+$B$22)^(D74-1))</f>
        <v>3.2683036551724161E-3</v>
      </c>
      <c r="AD74" s="6">
        <v>1</v>
      </c>
      <c r="AE74" s="10">
        <f>ROUND(_xlfn.WEIBULL.DIST(COUNTA($AD$74:$AD74),$B$24,$F$16,FALSE),3)</f>
        <v>0.23499999999999999</v>
      </c>
      <c r="AF74" s="201">
        <v>0</v>
      </c>
      <c r="AG74" s="201">
        <v>0</v>
      </c>
      <c r="AH74" s="201">
        <v>0</v>
      </c>
      <c r="AI74" s="201">
        <v>0</v>
      </c>
      <c r="AJ74" s="201">
        <v>0</v>
      </c>
      <c r="AK74" s="201">
        <v>0</v>
      </c>
      <c r="AL74" s="201">
        <v>0</v>
      </c>
      <c r="AM74" s="201">
        <v>0</v>
      </c>
      <c r="AN74" s="201">
        <v>0</v>
      </c>
      <c r="AO74" s="201">
        <v>0</v>
      </c>
      <c r="AP74" s="201">
        <v>0</v>
      </c>
      <c r="AQ74" s="201">
        <v>0</v>
      </c>
      <c r="AR74" s="201">
        <v>0</v>
      </c>
      <c r="AS74" s="201">
        <v>0</v>
      </c>
      <c r="AT74" s="201">
        <v>0</v>
      </c>
      <c r="AU74" s="201">
        <v>0</v>
      </c>
      <c r="AV74" s="201">
        <v>0</v>
      </c>
      <c r="AW74" s="201">
        <v>0</v>
      </c>
      <c r="AX74" s="201">
        <v>0</v>
      </c>
    </row>
    <row r="75" spans="2:50" x14ac:dyDescent="0.3">
      <c r="D75" s="6">
        <v>2</v>
      </c>
      <c r="E75" s="201">
        <f t="shared" ref="E75:T101" si="3">IF($D75-E$73&lt;$F$17,IF($B$23=0,1/$F$17,($B$23*(1+$B$23)^$F$17)/((1+$B$23)^$F$17-1)),0)</f>
        <v>0.52261083743842396</v>
      </c>
      <c r="F75" s="201">
        <f>IF($D75-F$73&lt;$F$17,IF($B$23=0,1/$F$17,($B$23*(1+$B$23)^$F$17)/((1+$B$23)^$F$17-1)),0)</f>
        <v>0.52261083743842396</v>
      </c>
      <c r="G75" s="201">
        <v>0</v>
      </c>
      <c r="H75" s="201">
        <v>0</v>
      </c>
      <c r="I75" s="201">
        <v>0</v>
      </c>
      <c r="J75" s="201">
        <v>0</v>
      </c>
      <c r="K75" s="201">
        <v>0</v>
      </c>
      <c r="L75" s="201">
        <v>0</v>
      </c>
      <c r="M75" s="201">
        <v>0</v>
      </c>
      <c r="N75" s="201">
        <v>0</v>
      </c>
      <c r="O75" s="201">
        <v>0</v>
      </c>
      <c r="P75" s="201">
        <v>0</v>
      </c>
      <c r="Q75" s="201">
        <v>0</v>
      </c>
      <c r="R75" s="201">
        <v>0</v>
      </c>
      <c r="S75" s="201">
        <v>0</v>
      </c>
      <c r="T75" s="201">
        <v>0</v>
      </c>
      <c r="U75" s="201">
        <v>0</v>
      </c>
      <c r="V75" s="201">
        <v>0</v>
      </c>
      <c r="W75" s="201">
        <v>0</v>
      </c>
      <c r="X75" s="201">
        <v>0</v>
      </c>
      <c r="Y75" s="201"/>
      <c r="Z75" s="201">
        <v>3.2683036551724161E-3</v>
      </c>
      <c r="AA75" s="201">
        <f t="shared" ref="AA75:AA103" si="4">Z75*(1/(1+$B$22)^(D75-1))</f>
        <v>3.1126701477832532E-3</v>
      </c>
      <c r="AD75" s="6">
        <v>2</v>
      </c>
      <c r="AE75" s="10">
        <f>ROUND(_xlfn.WEIBULL.DIST(COUNTA($AD$74:$AD75),$B$24,$F$16,FALSE),3)</f>
        <v>0.73599999999999999</v>
      </c>
      <c r="AF75" s="10">
        <f>ROUND(_xlfn.WEIBULL.DIST(COUNTA($AD$75:$AD75),$B$24,$F$16,FALSE),3)</f>
        <v>0.23499999999999999</v>
      </c>
      <c r="AG75" s="201">
        <v>0</v>
      </c>
      <c r="AH75" s="201">
        <v>0</v>
      </c>
      <c r="AI75" s="201">
        <v>0</v>
      </c>
      <c r="AJ75" s="201">
        <v>0</v>
      </c>
      <c r="AK75" s="201">
        <v>0</v>
      </c>
      <c r="AL75" s="201">
        <v>0</v>
      </c>
      <c r="AM75" s="201">
        <v>0</v>
      </c>
      <c r="AN75" s="201">
        <v>0</v>
      </c>
      <c r="AO75" s="201">
        <v>0</v>
      </c>
      <c r="AP75" s="201">
        <v>0</v>
      </c>
      <c r="AQ75" s="201">
        <v>0</v>
      </c>
      <c r="AR75" s="201">
        <v>0</v>
      </c>
      <c r="AS75" s="201">
        <v>0</v>
      </c>
      <c r="AT75" s="201">
        <v>0</v>
      </c>
      <c r="AU75" s="201">
        <v>0</v>
      </c>
      <c r="AV75" s="201">
        <v>0</v>
      </c>
      <c r="AW75" s="201">
        <v>0</v>
      </c>
      <c r="AX75" s="201">
        <v>0</v>
      </c>
    </row>
    <row r="76" spans="2:50" x14ac:dyDescent="0.3">
      <c r="D76" s="6">
        <v>3</v>
      </c>
      <c r="E76" s="201">
        <f t="shared" si="3"/>
        <v>0</v>
      </c>
      <c r="F76" s="201">
        <f t="shared" si="3"/>
        <v>0.52261083743842396</v>
      </c>
      <c r="G76" s="201">
        <f>IF($D76-G$73&lt;$F$17,IF($B$23=0,1/$F$17,($B$23*(1+$B$23)^$F$17)/((1+$B$23)^$F$17-1)),0)</f>
        <v>0.52261083743842396</v>
      </c>
      <c r="H76" s="201">
        <v>0</v>
      </c>
      <c r="I76" s="201">
        <v>0</v>
      </c>
      <c r="J76" s="201">
        <v>0</v>
      </c>
      <c r="K76" s="201">
        <v>0</v>
      </c>
      <c r="L76" s="201">
        <v>0</v>
      </c>
      <c r="M76" s="201">
        <v>0</v>
      </c>
      <c r="N76" s="201">
        <v>0</v>
      </c>
      <c r="O76" s="201">
        <v>0</v>
      </c>
      <c r="P76" s="201">
        <v>0</v>
      </c>
      <c r="Q76" s="201">
        <v>0</v>
      </c>
      <c r="R76" s="201">
        <v>0</v>
      </c>
      <c r="S76" s="201">
        <v>0</v>
      </c>
      <c r="T76" s="201">
        <v>0</v>
      </c>
      <c r="U76" s="201">
        <v>0</v>
      </c>
      <c r="V76" s="201">
        <v>0</v>
      </c>
      <c r="W76" s="201">
        <v>0</v>
      </c>
      <c r="X76" s="201">
        <v>0</v>
      </c>
      <c r="Y76" s="201"/>
      <c r="Z76" s="201">
        <v>0</v>
      </c>
      <c r="AA76" s="201">
        <f t="shared" si="4"/>
        <v>0</v>
      </c>
      <c r="AD76" s="6">
        <v>3</v>
      </c>
      <c r="AE76" s="10">
        <f>ROUND(_xlfn.WEIBULL.DIST(COUNTA($AD$74:$AD76),$B$24,$F$16,FALSE),3)</f>
        <v>4.2999999999999997E-2</v>
      </c>
      <c r="AF76" s="10">
        <f>ROUND(_xlfn.WEIBULL.DIST(COUNTA($AD$75:$AD76),$B$24,$F$16,FALSE),3)</f>
        <v>0.73599999999999999</v>
      </c>
      <c r="AG76" s="10">
        <f>ROUND(_xlfn.WEIBULL.DIST(COUNTA($AD$76:$AD76),$B$24,$F$16,FALSE),3)</f>
        <v>0.23499999999999999</v>
      </c>
      <c r="AH76" s="201">
        <v>0</v>
      </c>
      <c r="AI76" s="201">
        <v>0</v>
      </c>
      <c r="AJ76" s="201">
        <v>0</v>
      </c>
      <c r="AK76" s="201">
        <v>0</v>
      </c>
      <c r="AL76" s="201">
        <v>0</v>
      </c>
      <c r="AM76" s="201">
        <v>0</v>
      </c>
      <c r="AN76" s="201">
        <v>0</v>
      </c>
      <c r="AO76" s="201">
        <v>0</v>
      </c>
      <c r="AP76" s="201">
        <v>0</v>
      </c>
      <c r="AQ76" s="201">
        <v>0</v>
      </c>
      <c r="AR76" s="201">
        <v>0</v>
      </c>
      <c r="AS76" s="201">
        <v>0</v>
      </c>
      <c r="AT76" s="201">
        <v>0</v>
      </c>
      <c r="AU76" s="201">
        <v>0</v>
      </c>
      <c r="AV76" s="201">
        <v>0</v>
      </c>
      <c r="AW76" s="201">
        <v>0</v>
      </c>
      <c r="AX76" s="201">
        <v>0</v>
      </c>
    </row>
    <row r="77" spans="2:50" x14ac:dyDescent="0.3">
      <c r="D77" s="6">
        <v>4</v>
      </c>
      <c r="E77" s="201">
        <f t="shared" si="3"/>
        <v>0</v>
      </c>
      <c r="F77" s="201">
        <f t="shared" si="3"/>
        <v>0</v>
      </c>
      <c r="G77" s="201">
        <f t="shared" si="3"/>
        <v>0.52261083743842396</v>
      </c>
      <c r="H77" s="201">
        <f>IF($D77-H$73&lt;$F$17,IF($B$23=0,1/$F$17,($B$23*(1+$B$23)^$F$17)/((1+$B$23)^$F$17-1)),0)</f>
        <v>0.52261083743842396</v>
      </c>
      <c r="I77" s="201">
        <v>0</v>
      </c>
      <c r="J77" s="201">
        <v>0</v>
      </c>
      <c r="K77" s="201">
        <v>0</v>
      </c>
      <c r="L77" s="201">
        <v>0</v>
      </c>
      <c r="M77" s="201">
        <v>0</v>
      </c>
      <c r="N77" s="201">
        <v>0</v>
      </c>
      <c r="O77" s="201">
        <v>0</v>
      </c>
      <c r="P77" s="201">
        <v>0</v>
      </c>
      <c r="Q77" s="201">
        <v>0</v>
      </c>
      <c r="R77" s="201">
        <v>0</v>
      </c>
      <c r="S77" s="201">
        <v>0</v>
      </c>
      <c r="T77" s="201">
        <v>0</v>
      </c>
      <c r="U77" s="201">
        <v>0</v>
      </c>
      <c r="V77" s="201">
        <v>0</v>
      </c>
      <c r="W77" s="201">
        <v>0</v>
      </c>
      <c r="X77" s="201">
        <v>0</v>
      </c>
      <c r="Y77" s="201"/>
      <c r="Z77" s="201">
        <v>0</v>
      </c>
      <c r="AA77" s="201">
        <f t="shared" si="4"/>
        <v>0</v>
      </c>
      <c r="AD77" s="6">
        <v>4</v>
      </c>
      <c r="AE77" s="10">
        <f>ROUND(_xlfn.WEIBULL.DIST(COUNTA($AD$74:$AD77),$B$24,$F$16,FALSE),3)</f>
        <v>0</v>
      </c>
      <c r="AF77" s="10">
        <f>ROUND(_xlfn.WEIBULL.DIST(COUNTA($AD$75:$AD77),$B$24,$F$16,FALSE),3)</f>
        <v>4.2999999999999997E-2</v>
      </c>
      <c r="AG77" s="10">
        <f>ROUND(_xlfn.WEIBULL.DIST(COUNTA($AD$76:$AD77),$B$24,$F$16,FALSE),3)</f>
        <v>0.73599999999999999</v>
      </c>
      <c r="AH77" s="10">
        <f>ROUND(_xlfn.WEIBULL.DIST(COUNTA($AD$77:$AD77),$B$24,$F$16,FALSE),3)</f>
        <v>0.23499999999999999</v>
      </c>
      <c r="AI77" s="201">
        <v>0</v>
      </c>
      <c r="AJ77" s="201">
        <v>0</v>
      </c>
      <c r="AK77" s="201">
        <v>0</v>
      </c>
      <c r="AL77" s="201">
        <v>0</v>
      </c>
      <c r="AM77" s="201">
        <v>0</v>
      </c>
      <c r="AN77" s="201">
        <v>0</v>
      </c>
      <c r="AO77" s="201">
        <v>0</v>
      </c>
      <c r="AP77" s="201">
        <v>0</v>
      </c>
      <c r="AQ77" s="201">
        <v>0</v>
      </c>
      <c r="AR77" s="201">
        <v>0</v>
      </c>
      <c r="AS77" s="201">
        <v>0</v>
      </c>
      <c r="AT77" s="201">
        <v>0</v>
      </c>
      <c r="AU77" s="201">
        <v>0</v>
      </c>
      <c r="AV77" s="201">
        <v>0</v>
      </c>
      <c r="AW77" s="201">
        <v>0</v>
      </c>
      <c r="AX77" s="201">
        <v>0</v>
      </c>
    </row>
    <row r="78" spans="2:50" x14ac:dyDescent="0.3">
      <c r="B78" s="214">
        <f>E72*E74</f>
        <v>3.2683036551724161E-3</v>
      </c>
      <c r="D78" s="6">
        <v>5</v>
      </c>
      <c r="E78" s="201">
        <f t="shared" si="3"/>
        <v>0</v>
      </c>
      <c r="F78" s="201">
        <f t="shared" si="3"/>
        <v>0</v>
      </c>
      <c r="G78" s="201">
        <f t="shared" si="3"/>
        <v>0</v>
      </c>
      <c r="H78" s="201">
        <f t="shared" si="3"/>
        <v>0.52261083743842396</v>
      </c>
      <c r="I78" s="201">
        <f>IF($D78-I$73&lt;$F$17,IF($B$23=0,1/$F$17,($B$23*(1+$B$23)^$F$17)/((1+$B$23)^$F$17-1)),0)</f>
        <v>0.52261083743842396</v>
      </c>
      <c r="J78" s="201">
        <v>0</v>
      </c>
      <c r="K78" s="201">
        <v>0</v>
      </c>
      <c r="L78" s="201">
        <v>0</v>
      </c>
      <c r="M78" s="201">
        <v>0</v>
      </c>
      <c r="N78" s="201">
        <v>0</v>
      </c>
      <c r="O78" s="201">
        <v>0</v>
      </c>
      <c r="P78" s="201">
        <v>0</v>
      </c>
      <c r="Q78" s="201">
        <v>0</v>
      </c>
      <c r="R78" s="201">
        <v>0</v>
      </c>
      <c r="S78" s="201">
        <v>0</v>
      </c>
      <c r="T78" s="201">
        <v>0</v>
      </c>
      <c r="U78" s="201">
        <v>0</v>
      </c>
      <c r="V78" s="201">
        <v>0</v>
      </c>
      <c r="W78" s="201">
        <v>0</v>
      </c>
      <c r="X78" s="201">
        <v>0</v>
      </c>
      <c r="Y78" s="201"/>
      <c r="Z78" s="201">
        <v>0</v>
      </c>
      <c r="AA78" s="201">
        <f t="shared" si="4"/>
        <v>0</v>
      </c>
      <c r="AD78" s="6">
        <v>5</v>
      </c>
      <c r="AE78" s="10">
        <f>ROUND(_xlfn.WEIBULL.DIST(COUNTA($AD$74:$AD78),$B$24,$F$16,FALSE),3)</f>
        <v>0</v>
      </c>
      <c r="AF78" s="10">
        <f>ROUND(_xlfn.WEIBULL.DIST(COUNTA($AD$75:$AD78),$B$24,$F$16,FALSE),3)</f>
        <v>0</v>
      </c>
      <c r="AG78" s="10">
        <f>ROUND(_xlfn.WEIBULL.DIST(COUNTA($AD$76:$AD78),$B$24,$F$16,FALSE),3)</f>
        <v>4.2999999999999997E-2</v>
      </c>
      <c r="AH78" s="10">
        <f>ROUND(_xlfn.WEIBULL.DIST(COUNTA($AD$77:$AD78),$B$24,$F$16,FALSE),3)</f>
        <v>0.73599999999999999</v>
      </c>
      <c r="AI78" s="10">
        <f>ROUND(_xlfn.WEIBULL.DIST(COUNTA($AD$78:$AD78),$B$24,$F$16,FALSE),3)</f>
        <v>0.23499999999999999</v>
      </c>
      <c r="AJ78" s="201">
        <v>0</v>
      </c>
      <c r="AK78" s="201">
        <v>0</v>
      </c>
      <c r="AL78" s="201">
        <v>0</v>
      </c>
      <c r="AM78" s="201">
        <v>0</v>
      </c>
      <c r="AN78" s="201">
        <v>0</v>
      </c>
      <c r="AO78" s="201">
        <v>0</v>
      </c>
      <c r="AP78" s="201">
        <v>0</v>
      </c>
      <c r="AQ78" s="201">
        <v>0</v>
      </c>
      <c r="AR78" s="201">
        <v>0</v>
      </c>
      <c r="AS78" s="201">
        <v>0</v>
      </c>
      <c r="AT78" s="201">
        <v>0</v>
      </c>
      <c r="AU78" s="201">
        <v>0</v>
      </c>
      <c r="AV78" s="201">
        <v>0</v>
      </c>
      <c r="AW78" s="201">
        <v>0</v>
      </c>
      <c r="AX78" s="201">
        <v>0</v>
      </c>
    </row>
    <row r="79" spans="2:50" x14ac:dyDescent="0.3">
      <c r="B79" s="214"/>
      <c r="D79" s="6">
        <v>6</v>
      </c>
      <c r="E79" s="201">
        <f t="shared" si="3"/>
        <v>0</v>
      </c>
      <c r="F79" s="201">
        <f t="shared" si="3"/>
        <v>0</v>
      </c>
      <c r="G79" s="201">
        <f t="shared" si="3"/>
        <v>0</v>
      </c>
      <c r="H79" s="201">
        <f t="shared" si="3"/>
        <v>0</v>
      </c>
      <c r="I79" s="201">
        <f t="shared" si="3"/>
        <v>0.52261083743842396</v>
      </c>
      <c r="J79" s="201">
        <f>IF($D79-J$73&lt;$F$17,IF($B$23=0,1/$F$17,($B$23*(1+$B$23)^$F$17)/((1+$B$23)^$F$17-1)),0)</f>
        <v>0.52261083743842396</v>
      </c>
      <c r="K79" s="201">
        <v>0</v>
      </c>
      <c r="L79" s="201">
        <v>0</v>
      </c>
      <c r="M79" s="201">
        <v>0</v>
      </c>
      <c r="N79" s="201">
        <v>0</v>
      </c>
      <c r="O79" s="201">
        <v>0</v>
      </c>
      <c r="P79" s="201">
        <v>0</v>
      </c>
      <c r="Q79" s="201">
        <v>0</v>
      </c>
      <c r="R79" s="201">
        <v>0</v>
      </c>
      <c r="S79" s="201">
        <v>0</v>
      </c>
      <c r="T79" s="201">
        <v>0</v>
      </c>
      <c r="U79" s="201">
        <v>0</v>
      </c>
      <c r="V79" s="201">
        <v>0</v>
      </c>
      <c r="W79" s="201">
        <v>0</v>
      </c>
      <c r="X79" s="201">
        <v>0</v>
      </c>
      <c r="Y79" s="201"/>
      <c r="Z79" s="201">
        <v>0</v>
      </c>
      <c r="AA79" s="201">
        <f t="shared" si="4"/>
        <v>0</v>
      </c>
      <c r="AD79" s="6">
        <v>6</v>
      </c>
      <c r="AE79" s="10">
        <f>ROUND(_xlfn.WEIBULL.DIST(COUNTA($AD$74:$AD79),$B$24,$F$16,FALSE),3)</f>
        <v>0</v>
      </c>
      <c r="AF79" s="10">
        <f>ROUND(_xlfn.WEIBULL.DIST(COUNTA($AD$75:$AD79),$B$24,$F$16,FALSE),3)</f>
        <v>0</v>
      </c>
      <c r="AG79" s="10">
        <f>ROUND(_xlfn.WEIBULL.DIST(COUNTA($AD$76:$AD79),$B$24,$F$16,FALSE),3)</f>
        <v>0</v>
      </c>
      <c r="AH79" s="10">
        <f>ROUND(_xlfn.WEIBULL.DIST(COUNTA($AD$77:$AD79),$B$24,$F$16,FALSE),3)</f>
        <v>4.2999999999999997E-2</v>
      </c>
      <c r="AI79" s="10">
        <f>ROUND(_xlfn.WEIBULL.DIST(COUNTA($AD$78:$AD79),$B$24,$F$16,FALSE),3)</f>
        <v>0.73599999999999999</v>
      </c>
      <c r="AJ79" s="10">
        <f>ROUND(_xlfn.WEIBULL.DIST(COUNTA($AD$79:$AD79),$B$24,$F$16,FALSE),3)</f>
        <v>0.23499999999999999</v>
      </c>
      <c r="AK79" s="201">
        <v>0</v>
      </c>
      <c r="AL79" s="201">
        <v>0</v>
      </c>
      <c r="AM79" s="201">
        <v>0</v>
      </c>
      <c r="AN79" s="201">
        <v>0</v>
      </c>
      <c r="AO79" s="201">
        <v>0</v>
      </c>
      <c r="AP79" s="201">
        <v>0</v>
      </c>
      <c r="AQ79" s="201">
        <v>0</v>
      </c>
      <c r="AR79" s="201">
        <v>0</v>
      </c>
      <c r="AS79" s="201">
        <v>0</v>
      </c>
      <c r="AT79" s="201">
        <v>0</v>
      </c>
      <c r="AU79" s="201">
        <v>0</v>
      </c>
      <c r="AV79" s="201">
        <v>0</v>
      </c>
      <c r="AW79" s="201">
        <v>0</v>
      </c>
      <c r="AX79" s="201">
        <v>0</v>
      </c>
    </row>
    <row r="80" spans="2:50" x14ac:dyDescent="0.3">
      <c r="D80" s="6">
        <v>7</v>
      </c>
      <c r="E80" s="201">
        <f t="shared" si="3"/>
        <v>0</v>
      </c>
      <c r="F80" s="201">
        <f t="shared" si="3"/>
        <v>0</v>
      </c>
      <c r="G80" s="201">
        <f t="shared" si="3"/>
        <v>0</v>
      </c>
      <c r="H80" s="201">
        <f t="shared" si="3"/>
        <v>0</v>
      </c>
      <c r="I80" s="201">
        <f t="shared" si="3"/>
        <v>0</v>
      </c>
      <c r="J80" s="201">
        <f t="shared" si="3"/>
        <v>0.52261083743842396</v>
      </c>
      <c r="K80" s="201">
        <f>IF($D80-K$73&lt;$F$17,IF($B$23=0,1/$F$17,($B$23*(1+$B$23)^$F$17)/((1+$B$23)^$F$17-1)),0)</f>
        <v>0.52261083743842396</v>
      </c>
      <c r="L80" s="201">
        <v>0</v>
      </c>
      <c r="M80" s="201">
        <v>0</v>
      </c>
      <c r="N80" s="201">
        <v>0</v>
      </c>
      <c r="O80" s="201">
        <v>0</v>
      </c>
      <c r="P80" s="201">
        <v>0</v>
      </c>
      <c r="Q80" s="201">
        <v>0</v>
      </c>
      <c r="R80" s="201">
        <v>0</v>
      </c>
      <c r="S80" s="201">
        <v>0</v>
      </c>
      <c r="T80" s="201">
        <v>0</v>
      </c>
      <c r="U80" s="201">
        <v>0</v>
      </c>
      <c r="V80" s="201">
        <v>0</v>
      </c>
      <c r="W80" s="201">
        <v>0</v>
      </c>
      <c r="X80" s="201">
        <v>0</v>
      </c>
      <c r="Y80" s="201"/>
      <c r="Z80" s="201">
        <v>0</v>
      </c>
      <c r="AA80" s="201">
        <f t="shared" si="4"/>
        <v>0</v>
      </c>
      <c r="AD80" s="6">
        <v>7</v>
      </c>
      <c r="AE80" s="10">
        <f>ROUND(_xlfn.WEIBULL.DIST(COUNTA($AD$74:$AD80),$B$24,$F$16,FALSE),3)</f>
        <v>0</v>
      </c>
      <c r="AF80" s="10">
        <f>ROUND(_xlfn.WEIBULL.DIST(COUNTA($AD$75:$AD80),$B$24,$F$16,FALSE),3)</f>
        <v>0</v>
      </c>
      <c r="AG80" s="10">
        <f>ROUND(_xlfn.WEIBULL.DIST(COUNTA($AD$76:$AD80),$B$24,$F$16,FALSE),3)</f>
        <v>0</v>
      </c>
      <c r="AH80" s="10">
        <f>ROUND(_xlfn.WEIBULL.DIST(COUNTA($AD$77:$AD80),$B$24,$F$16,FALSE),3)</f>
        <v>0</v>
      </c>
      <c r="AI80" s="10">
        <f>ROUND(_xlfn.WEIBULL.DIST(COUNTA($AD$78:$AD80),$B$24,$F$16,FALSE),3)</f>
        <v>4.2999999999999997E-2</v>
      </c>
      <c r="AJ80" s="10">
        <f>ROUND(_xlfn.WEIBULL.DIST(COUNTA($AD$79:$AD80),$B$24,$F$16,FALSE),3)</f>
        <v>0.73599999999999999</v>
      </c>
      <c r="AK80" s="10">
        <f>ROUND(_xlfn.WEIBULL.DIST(COUNTA($AD$80:$AD80),$B$24,$F$16,FALSE),3)</f>
        <v>0.23499999999999999</v>
      </c>
      <c r="AL80" s="201">
        <v>0</v>
      </c>
      <c r="AM80" s="201">
        <v>0</v>
      </c>
      <c r="AN80" s="201">
        <v>0</v>
      </c>
      <c r="AO80" s="201">
        <v>0</v>
      </c>
      <c r="AP80" s="201">
        <v>0</v>
      </c>
      <c r="AQ80" s="201">
        <v>0</v>
      </c>
      <c r="AR80" s="201">
        <v>0</v>
      </c>
      <c r="AS80" s="201">
        <v>0</v>
      </c>
      <c r="AT80" s="201">
        <v>0</v>
      </c>
      <c r="AU80" s="201">
        <v>0</v>
      </c>
      <c r="AV80" s="201">
        <v>0</v>
      </c>
      <c r="AW80" s="201">
        <v>0</v>
      </c>
      <c r="AX80" s="201">
        <v>0</v>
      </c>
    </row>
    <row r="81" spans="4:50" x14ac:dyDescent="0.3">
      <c r="D81" s="6">
        <v>8</v>
      </c>
      <c r="E81" s="201">
        <f t="shared" si="3"/>
        <v>0</v>
      </c>
      <c r="F81" s="201">
        <f t="shared" si="3"/>
        <v>0</v>
      </c>
      <c r="G81" s="201">
        <f t="shared" si="3"/>
        <v>0</v>
      </c>
      <c r="H81" s="201">
        <f t="shared" si="3"/>
        <v>0</v>
      </c>
      <c r="I81" s="201">
        <f t="shared" si="3"/>
        <v>0</v>
      </c>
      <c r="J81" s="201">
        <f t="shared" si="3"/>
        <v>0</v>
      </c>
      <c r="K81" s="201">
        <f t="shared" si="3"/>
        <v>0.52261083743842396</v>
      </c>
      <c r="L81" s="201">
        <f>IF($D81-L$73&lt;$F$17,IF($B$23=0,1/$F$17,($B$23*(1+$B$23)^$F$17)/((1+$B$23)^$F$17-1)),0)</f>
        <v>0.52261083743842396</v>
      </c>
      <c r="M81" s="201">
        <v>0</v>
      </c>
      <c r="N81" s="201">
        <v>0</v>
      </c>
      <c r="O81" s="201">
        <v>0</v>
      </c>
      <c r="P81" s="201">
        <v>0</v>
      </c>
      <c r="Q81" s="201">
        <v>0</v>
      </c>
      <c r="R81" s="201">
        <v>0</v>
      </c>
      <c r="S81" s="201">
        <v>0</v>
      </c>
      <c r="T81" s="201">
        <v>0</v>
      </c>
      <c r="U81" s="201">
        <v>0</v>
      </c>
      <c r="V81" s="201">
        <v>0</v>
      </c>
      <c r="W81" s="201">
        <v>0</v>
      </c>
      <c r="X81" s="201">
        <v>0</v>
      </c>
      <c r="Y81" s="201"/>
      <c r="Z81" s="201">
        <v>0</v>
      </c>
      <c r="AA81" s="201">
        <f t="shared" si="4"/>
        <v>0</v>
      </c>
      <c r="AD81" s="6">
        <v>8</v>
      </c>
      <c r="AE81" s="10">
        <f>ROUND(_xlfn.WEIBULL.DIST(COUNTA($AD$74:$AD81),$B$24,$F$16,FALSE),3)</f>
        <v>0</v>
      </c>
      <c r="AF81" s="10">
        <f>ROUND(_xlfn.WEIBULL.DIST(COUNTA($AD$75:$AD81),$B$24,$F$16,FALSE),3)</f>
        <v>0</v>
      </c>
      <c r="AG81" s="10">
        <f>ROUND(_xlfn.WEIBULL.DIST(COUNTA($AD$76:$AD81),$B$24,$F$16,FALSE),3)</f>
        <v>0</v>
      </c>
      <c r="AH81" s="10">
        <f>ROUND(_xlfn.WEIBULL.DIST(COUNTA($AD$77:$AD81),$B$24,$F$16,FALSE),3)</f>
        <v>0</v>
      </c>
      <c r="AI81" s="10">
        <f>ROUND(_xlfn.WEIBULL.DIST(COUNTA($AD$78:$AD81),$B$24,$F$16,FALSE),3)</f>
        <v>0</v>
      </c>
      <c r="AJ81" s="10">
        <f>ROUND(_xlfn.WEIBULL.DIST(COUNTA($AD$79:$AD81),$B$24,$F$16,FALSE),3)</f>
        <v>4.2999999999999997E-2</v>
      </c>
      <c r="AK81" s="10">
        <f>ROUND(_xlfn.WEIBULL.DIST(COUNTA($AD$80:$AD81),$B$24,$F$16,FALSE),3)</f>
        <v>0.73599999999999999</v>
      </c>
      <c r="AL81" s="10">
        <f>ROUND(_xlfn.WEIBULL.DIST(COUNTA($AD$81:$AD81),$B$24,$F$16,FALSE),3)</f>
        <v>0.23499999999999999</v>
      </c>
      <c r="AM81" s="201">
        <v>0</v>
      </c>
      <c r="AN81" s="201">
        <v>0</v>
      </c>
      <c r="AO81" s="201">
        <v>0</v>
      </c>
      <c r="AP81" s="201">
        <v>0</v>
      </c>
      <c r="AQ81" s="201">
        <v>0</v>
      </c>
      <c r="AR81" s="201">
        <v>0</v>
      </c>
      <c r="AS81" s="201">
        <v>0</v>
      </c>
      <c r="AT81" s="201">
        <v>0</v>
      </c>
      <c r="AU81" s="201">
        <v>0</v>
      </c>
      <c r="AV81" s="201">
        <v>0</v>
      </c>
      <c r="AW81" s="201">
        <v>0</v>
      </c>
      <c r="AX81" s="201">
        <v>0</v>
      </c>
    </row>
    <row r="82" spans="4:50" x14ac:dyDescent="0.3">
      <c r="D82" s="6">
        <v>9</v>
      </c>
      <c r="E82" s="201">
        <f t="shared" si="3"/>
        <v>0</v>
      </c>
      <c r="F82" s="201">
        <f t="shared" si="3"/>
        <v>0</v>
      </c>
      <c r="G82" s="201">
        <f t="shared" si="3"/>
        <v>0</v>
      </c>
      <c r="H82" s="201">
        <f t="shared" si="3"/>
        <v>0</v>
      </c>
      <c r="I82" s="201">
        <f t="shared" si="3"/>
        <v>0</v>
      </c>
      <c r="J82" s="201">
        <f t="shared" si="3"/>
        <v>0</v>
      </c>
      <c r="K82" s="201">
        <f t="shared" si="3"/>
        <v>0</v>
      </c>
      <c r="L82" s="201">
        <f t="shared" si="3"/>
        <v>0.52261083743842396</v>
      </c>
      <c r="M82" s="201">
        <f>IF($D82-M$73&lt;$F$17,IF($B$23=0,1/$F$17,($B$23*(1+$B$23)^$F$17)/((1+$B$23)^$F$17-1)),0)</f>
        <v>0.52261083743842396</v>
      </c>
      <c r="N82" s="201">
        <v>0</v>
      </c>
      <c r="O82" s="201">
        <v>0</v>
      </c>
      <c r="P82" s="201">
        <v>0</v>
      </c>
      <c r="Q82" s="201">
        <v>0</v>
      </c>
      <c r="R82" s="201">
        <v>0</v>
      </c>
      <c r="S82" s="201">
        <v>0</v>
      </c>
      <c r="T82" s="201">
        <v>0</v>
      </c>
      <c r="U82" s="201">
        <v>0</v>
      </c>
      <c r="V82" s="201">
        <v>0</v>
      </c>
      <c r="W82" s="201">
        <v>0</v>
      </c>
      <c r="X82" s="201">
        <v>0</v>
      </c>
      <c r="Y82" s="201"/>
      <c r="Z82" s="201">
        <v>0</v>
      </c>
      <c r="AA82" s="201">
        <f t="shared" si="4"/>
        <v>0</v>
      </c>
      <c r="AD82" s="6">
        <v>9</v>
      </c>
      <c r="AE82" s="10">
        <f>ROUND(_xlfn.WEIBULL.DIST(COUNTA($AD$74:$AD82),$B$24,$F$16,FALSE),3)</f>
        <v>0</v>
      </c>
      <c r="AF82" s="10">
        <f>ROUND(_xlfn.WEIBULL.DIST(COUNTA($AD$75:$AD82),$B$24,$F$16,FALSE),3)</f>
        <v>0</v>
      </c>
      <c r="AG82" s="10">
        <f>ROUND(_xlfn.WEIBULL.DIST(COUNTA($AD$76:$AD82),$B$24,$F$16,FALSE),3)</f>
        <v>0</v>
      </c>
      <c r="AH82" s="10">
        <f>ROUND(_xlfn.WEIBULL.DIST(COUNTA($AD$77:$AD82),$B$24,$F$16,FALSE),3)</f>
        <v>0</v>
      </c>
      <c r="AI82" s="10">
        <f>ROUND(_xlfn.WEIBULL.DIST(COUNTA($AD$78:$AD82),$B$24,$F$16,FALSE),3)</f>
        <v>0</v>
      </c>
      <c r="AJ82" s="10">
        <f>ROUND(_xlfn.WEIBULL.DIST(COUNTA($AD$79:$AD82),$B$24,$F$16,FALSE),3)</f>
        <v>0</v>
      </c>
      <c r="AK82" s="10">
        <f>ROUND(_xlfn.WEIBULL.DIST(COUNTA($AD$80:$AD82),$B$24,$F$16,FALSE),3)</f>
        <v>4.2999999999999997E-2</v>
      </c>
      <c r="AL82" s="10">
        <f>ROUND(_xlfn.WEIBULL.DIST(COUNTA($AD$81:$AD82),$B$24,$F$16,FALSE),3)</f>
        <v>0.73599999999999999</v>
      </c>
      <c r="AM82" s="10">
        <f>ROUND(_xlfn.WEIBULL.DIST(COUNTA($AD$82:$AD82),$B$24,$F$16,FALSE),3)</f>
        <v>0.23499999999999999</v>
      </c>
      <c r="AN82" s="201">
        <v>0</v>
      </c>
      <c r="AO82" s="201">
        <v>0</v>
      </c>
      <c r="AP82" s="201">
        <v>0</v>
      </c>
      <c r="AQ82" s="201">
        <v>0</v>
      </c>
      <c r="AR82" s="201">
        <v>0</v>
      </c>
      <c r="AS82" s="201">
        <v>0</v>
      </c>
      <c r="AT82" s="201">
        <v>0</v>
      </c>
      <c r="AU82" s="201">
        <v>0</v>
      </c>
      <c r="AV82" s="201">
        <v>0</v>
      </c>
      <c r="AW82" s="201">
        <v>0</v>
      </c>
      <c r="AX82" s="201">
        <v>0</v>
      </c>
    </row>
    <row r="83" spans="4:50" x14ac:dyDescent="0.3">
      <c r="D83" s="6">
        <v>10</v>
      </c>
      <c r="E83" s="201">
        <f t="shared" si="3"/>
        <v>0</v>
      </c>
      <c r="F83" s="201">
        <f t="shared" si="3"/>
        <v>0</v>
      </c>
      <c r="G83" s="201">
        <f t="shared" si="3"/>
        <v>0</v>
      </c>
      <c r="H83" s="201">
        <f t="shared" si="3"/>
        <v>0</v>
      </c>
      <c r="I83" s="201">
        <f t="shared" si="3"/>
        <v>0</v>
      </c>
      <c r="J83" s="201">
        <f t="shared" si="3"/>
        <v>0</v>
      </c>
      <c r="K83" s="201">
        <f t="shared" si="3"/>
        <v>0</v>
      </c>
      <c r="L83" s="201">
        <f t="shared" si="3"/>
        <v>0</v>
      </c>
      <c r="M83" s="201">
        <f t="shared" si="3"/>
        <v>0.52261083743842396</v>
      </c>
      <c r="N83" s="201">
        <f>IF($D83-N$73&lt;$F$17,IF($B$23=0,1/$F$17,($B$23*(1+$B$23)^$F$17)/((1+$B$23)^$F$17-1)),0)</f>
        <v>0.52261083743842396</v>
      </c>
      <c r="O83" s="201">
        <v>0</v>
      </c>
      <c r="P83" s="201">
        <v>0</v>
      </c>
      <c r="Q83" s="201">
        <v>0</v>
      </c>
      <c r="R83" s="201">
        <v>0</v>
      </c>
      <c r="S83" s="201">
        <v>0</v>
      </c>
      <c r="T83" s="201">
        <v>0</v>
      </c>
      <c r="U83" s="201">
        <v>0</v>
      </c>
      <c r="V83" s="201">
        <v>0</v>
      </c>
      <c r="W83" s="201">
        <v>0</v>
      </c>
      <c r="X83" s="201">
        <v>0</v>
      </c>
      <c r="Y83" s="201"/>
      <c r="Z83" s="201">
        <v>3.6994588503251255E-2</v>
      </c>
      <c r="AA83" s="201">
        <f t="shared" si="4"/>
        <v>2.3847041601004173E-2</v>
      </c>
      <c r="AD83" s="6">
        <v>10</v>
      </c>
      <c r="AE83" s="10">
        <f>ROUND(_xlfn.WEIBULL.DIST(COUNTA($AD$74:$AD83),$B$24,$F$16,FALSE),3)</f>
        <v>0</v>
      </c>
      <c r="AF83" s="10">
        <f>ROUND(_xlfn.WEIBULL.DIST(COUNTA($AD$75:$AD83),$B$24,$F$16,FALSE),3)</f>
        <v>0</v>
      </c>
      <c r="AG83" s="10">
        <f>ROUND(_xlfn.WEIBULL.DIST(COUNTA($AD$76:$AD83),$B$24,$F$16,FALSE),3)</f>
        <v>0</v>
      </c>
      <c r="AH83" s="10">
        <f>ROUND(_xlfn.WEIBULL.DIST(COUNTA($AD$77:$AD83),$B$24,$F$16,FALSE),3)</f>
        <v>0</v>
      </c>
      <c r="AI83" s="10">
        <f>ROUND(_xlfn.WEIBULL.DIST(COUNTA($AD$78:$AD83),$B$24,$F$16,FALSE),3)</f>
        <v>0</v>
      </c>
      <c r="AJ83" s="10">
        <f>ROUND(_xlfn.WEIBULL.DIST(COUNTA($AD$79:$AD83),$B$24,$F$16,FALSE),3)</f>
        <v>0</v>
      </c>
      <c r="AK83" s="10">
        <f>ROUND(_xlfn.WEIBULL.DIST(COUNTA($AD$80:$AD83),$B$24,$F$16,FALSE),3)</f>
        <v>0</v>
      </c>
      <c r="AL83" s="10">
        <f>ROUND(_xlfn.WEIBULL.DIST(COUNTA($AD$81:$AD83),$B$24,$F$16,FALSE),3)</f>
        <v>4.2999999999999997E-2</v>
      </c>
      <c r="AM83" s="10">
        <f>ROUND(_xlfn.WEIBULL.DIST(COUNTA($AD$82:$AD83),$B$24,$F$16,FALSE),3)</f>
        <v>0.73599999999999999</v>
      </c>
      <c r="AN83" s="10">
        <f>ROUND(_xlfn.WEIBULL.DIST(COUNTA($AD$83:$AD83),$B$24,$F$16,FALSE),3)</f>
        <v>0.23499999999999999</v>
      </c>
      <c r="AO83" s="201">
        <v>0</v>
      </c>
      <c r="AP83" s="201">
        <v>0</v>
      </c>
      <c r="AQ83" s="201">
        <v>0</v>
      </c>
      <c r="AR83" s="201">
        <v>0</v>
      </c>
      <c r="AS83" s="201">
        <v>0</v>
      </c>
      <c r="AT83" s="201">
        <v>0</v>
      </c>
      <c r="AU83" s="201">
        <v>0</v>
      </c>
      <c r="AV83" s="201">
        <v>0</v>
      </c>
      <c r="AW83" s="201">
        <v>0</v>
      </c>
      <c r="AX83" s="201">
        <v>0</v>
      </c>
    </row>
    <row r="84" spans="4:50" x14ac:dyDescent="0.3">
      <c r="D84" s="6">
        <v>11</v>
      </c>
      <c r="E84" s="201">
        <f t="shared" si="3"/>
        <v>0</v>
      </c>
      <c r="F84" s="201">
        <f t="shared" si="3"/>
        <v>0</v>
      </c>
      <c r="G84" s="201">
        <f t="shared" si="3"/>
        <v>0</v>
      </c>
      <c r="H84" s="201">
        <f t="shared" si="3"/>
        <v>0</v>
      </c>
      <c r="I84" s="201">
        <f t="shared" si="3"/>
        <v>0</v>
      </c>
      <c r="J84" s="201">
        <f t="shared" si="3"/>
        <v>0</v>
      </c>
      <c r="K84" s="201">
        <f t="shared" si="3"/>
        <v>0</v>
      </c>
      <c r="L84" s="201">
        <f t="shared" si="3"/>
        <v>0</v>
      </c>
      <c r="M84" s="201">
        <f t="shared" si="3"/>
        <v>0</v>
      </c>
      <c r="N84" s="201">
        <f t="shared" si="3"/>
        <v>0.52261083743842396</v>
      </c>
      <c r="O84" s="201">
        <f>IF($D84-O$73&lt;$F$17,IF($B$23=0,1/$F$17,($B$23*(1+$B$23)^$F$17)/((1+$B$23)^$F$17-1)),0)</f>
        <v>0.52261083743842396</v>
      </c>
      <c r="P84" s="201">
        <v>0</v>
      </c>
      <c r="Q84" s="201">
        <v>0</v>
      </c>
      <c r="R84" s="201">
        <v>0</v>
      </c>
      <c r="S84" s="201">
        <v>0</v>
      </c>
      <c r="T84" s="201">
        <v>0</v>
      </c>
      <c r="U84" s="201">
        <v>0</v>
      </c>
      <c r="V84" s="201">
        <v>0</v>
      </c>
      <c r="W84" s="201">
        <v>0</v>
      </c>
      <c r="X84" s="201">
        <v>0</v>
      </c>
      <c r="Y84" s="201"/>
      <c r="Z84" s="201">
        <v>0.11559521873556657</v>
      </c>
      <c r="AA84" s="201">
        <f t="shared" si="4"/>
        <v>7.0965436827707409E-2</v>
      </c>
      <c r="AD84" s="6">
        <v>11</v>
      </c>
      <c r="AE84" s="10">
        <f>ROUND(_xlfn.WEIBULL.DIST(COUNTA($AD$74:$AD84),$B$24,$F$16,FALSE),3)</f>
        <v>0</v>
      </c>
      <c r="AF84" s="10">
        <f>ROUND(_xlfn.WEIBULL.DIST(COUNTA($AD$75:$AD84),$B$24,$F$16,FALSE),3)</f>
        <v>0</v>
      </c>
      <c r="AG84" s="10">
        <f>ROUND(_xlfn.WEIBULL.DIST(COUNTA($AD$76:$AD84),$B$24,$F$16,FALSE),3)</f>
        <v>0</v>
      </c>
      <c r="AH84" s="10">
        <f>ROUND(_xlfn.WEIBULL.DIST(COUNTA($AD$77:$AD84),$B$24,$F$16,FALSE),3)</f>
        <v>0</v>
      </c>
      <c r="AI84" s="10">
        <f>ROUND(_xlfn.WEIBULL.DIST(COUNTA($AD$78:$AD84),$B$24,$F$16,FALSE),3)</f>
        <v>0</v>
      </c>
      <c r="AJ84" s="10">
        <f>ROUND(_xlfn.WEIBULL.DIST(COUNTA($AD$79:$AD84),$B$24,$F$16,FALSE),3)</f>
        <v>0</v>
      </c>
      <c r="AK84" s="10">
        <f>ROUND(_xlfn.WEIBULL.DIST(COUNTA($AD$80:$AD84),$B$24,$F$16,FALSE),3)</f>
        <v>0</v>
      </c>
      <c r="AL84" s="10">
        <f>ROUND(_xlfn.WEIBULL.DIST(COUNTA($AD$81:$AD84),$B$24,$F$16,FALSE),3)</f>
        <v>0</v>
      </c>
      <c r="AM84" s="10">
        <f>ROUND(_xlfn.WEIBULL.DIST(COUNTA($AD$82:$AD84),$B$24,$F$16,FALSE),3)</f>
        <v>4.2999999999999997E-2</v>
      </c>
      <c r="AN84" s="10">
        <f>ROUND(_xlfn.WEIBULL.DIST(COUNTA($AD$83:$AD84),$B$24,$F$16,FALSE),3)</f>
        <v>0.73599999999999999</v>
      </c>
      <c r="AO84" s="10">
        <f>ROUND(_xlfn.WEIBULL.DIST(COUNTA($AD$84:$AD84),$B$24,$F$16,FALSE),3)</f>
        <v>0.23499999999999999</v>
      </c>
      <c r="AP84" s="201">
        <v>0</v>
      </c>
      <c r="AQ84" s="201">
        <v>0</v>
      </c>
      <c r="AR84" s="201">
        <v>0</v>
      </c>
      <c r="AS84" s="201">
        <v>0</v>
      </c>
      <c r="AT84" s="201">
        <v>0</v>
      </c>
      <c r="AU84" s="201">
        <v>0</v>
      </c>
      <c r="AV84" s="201">
        <v>0</v>
      </c>
      <c r="AW84" s="201">
        <v>0</v>
      </c>
      <c r="AX84" s="201">
        <v>0</v>
      </c>
    </row>
    <row r="85" spans="4:50" x14ac:dyDescent="0.3">
      <c r="D85" s="6">
        <v>12</v>
      </c>
      <c r="E85" s="201">
        <f t="shared" si="3"/>
        <v>0</v>
      </c>
      <c r="F85" s="201">
        <f t="shared" si="3"/>
        <v>0</v>
      </c>
      <c r="G85" s="201">
        <f t="shared" si="3"/>
        <v>0</v>
      </c>
      <c r="H85" s="201">
        <f t="shared" si="3"/>
        <v>0</v>
      </c>
      <c r="I85" s="201">
        <f t="shared" si="3"/>
        <v>0</v>
      </c>
      <c r="J85" s="201">
        <f t="shared" si="3"/>
        <v>0</v>
      </c>
      <c r="K85" s="201">
        <f t="shared" si="3"/>
        <v>0</v>
      </c>
      <c r="L85" s="201">
        <f t="shared" si="3"/>
        <v>0</v>
      </c>
      <c r="M85" s="201">
        <f t="shared" si="3"/>
        <v>0</v>
      </c>
      <c r="N85" s="201">
        <f t="shared" si="3"/>
        <v>0</v>
      </c>
      <c r="O85" s="201">
        <f t="shared" si="3"/>
        <v>0.52261083743842396</v>
      </c>
      <c r="P85" s="201">
        <f>IF($D85-P$73&lt;$F$17,IF($B$23=0,1/$F$17,($B$23*(1+$B$23)^$F$17)/((1+$B$23)^$F$17-1)),0)</f>
        <v>0.52261083743842396</v>
      </c>
      <c r="Q85" s="201">
        <v>0</v>
      </c>
      <c r="R85" s="201">
        <v>0</v>
      </c>
      <c r="S85" s="201">
        <v>0</v>
      </c>
      <c r="T85" s="201">
        <v>0</v>
      </c>
      <c r="U85" s="201">
        <v>0</v>
      </c>
      <c r="V85" s="201">
        <v>0</v>
      </c>
      <c r="W85" s="201">
        <v>0</v>
      </c>
      <c r="X85" s="201">
        <v>0</v>
      </c>
      <c r="Y85" s="201"/>
      <c r="Z85" s="201">
        <v>0.204367773846207</v>
      </c>
      <c r="AA85" s="201">
        <f t="shared" si="4"/>
        <v>0.11948960472457812</v>
      </c>
      <c r="AD85" s="6">
        <v>12</v>
      </c>
      <c r="AE85" s="10">
        <f>ROUND(_xlfn.WEIBULL.DIST(COUNTA($AD$74:$AD85),$B$24,$F$16,FALSE),3)</f>
        <v>0</v>
      </c>
      <c r="AF85" s="10">
        <f>ROUND(_xlfn.WEIBULL.DIST(COUNTA($AD$75:$AD85),$B$24,$F$16,FALSE),3)</f>
        <v>0</v>
      </c>
      <c r="AG85" s="10">
        <f>ROUND(_xlfn.WEIBULL.DIST(COUNTA($AD$76:$AD85),$B$24,$F$16,FALSE),3)</f>
        <v>0</v>
      </c>
      <c r="AH85" s="10">
        <f>ROUND(_xlfn.WEIBULL.DIST(COUNTA($AD$77:$AD85),$B$24,$F$16,FALSE),3)</f>
        <v>0</v>
      </c>
      <c r="AI85" s="10">
        <f>ROUND(_xlfn.WEIBULL.DIST(COUNTA($AD$78:$AD85),$B$24,$F$16,FALSE),3)</f>
        <v>0</v>
      </c>
      <c r="AJ85" s="10">
        <f>ROUND(_xlfn.WEIBULL.DIST(COUNTA($AD$79:$AD85),$B$24,$F$16,FALSE),3)</f>
        <v>0</v>
      </c>
      <c r="AK85" s="10">
        <f>ROUND(_xlfn.WEIBULL.DIST(COUNTA($AD$80:$AD85),$B$24,$F$16,FALSE),3)</f>
        <v>0</v>
      </c>
      <c r="AL85" s="10">
        <f>ROUND(_xlfn.WEIBULL.DIST(COUNTA($AD$81:$AD85),$B$24,$F$16,FALSE),3)</f>
        <v>0</v>
      </c>
      <c r="AM85" s="10">
        <f>ROUND(_xlfn.WEIBULL.DIST(COUNTA($AD$82:$AD85),$B$24,$F$16,FALSE),3)</f>
        <v>0</v>
      </c>
      <c r="AN85" s="10">
        <f>ROUND(_xlfn.WEIBULL.DIST(COUNTA($AD$83:$AD85),$B$24,$F$16,FALSE),3)</f>
        <v>4.2999999999999997E-2</v>
      </c>
      <c r="AO85" s="10">
        <f>ROUND(_xlfn.WEIBULL.DIST(COUNTA($AD$84:$AD85),$B$24,$F$16,FALSE),3)</f>
        <v>0.73599999999999999</v>
      </c>
      <c r="AP85" s="10">
        <f>ROUND(_xlfn.WEIBULL.DIST(COUNTA($AD$85:$AD85),$B$24,$F$16,FALSE),3)</f>
        <v>0.23499999999999999</v>
      </c>
      <c r="AQ85" s="201">
        <v>0</v>
      </c>
      <c r="AR85" s="201">
        <v>0</v>
      </c>
      <c r="AS85" s="201">
        <v>0</v>
      </c>
      <c r="AT85" s="201">
        <v>0</v>
      </c>
      <c r="AU85" s="201">
        <v>0</v>
      </c>
      <c r="AV85" s="201">
        <v>0</v>
      </c>
      <c r="AW85" s="201">
        <v>0</v>
      </c>
      <c r="AX85" s="201">
        <v>0</v>
      </c>
    </row>
    <row r="86" spans="4:50" x14ac:dyDescent="0.3">
      <c r="D86" s="6">
        <v>13</v>
      </c>
      <c r="E86" s="201">
        <f t="shared" si="3"/>
        <v>0</v>
      </c>
      <c r="F86" s="201">
        <f t="shared" si="3"/>
        <v>0</v>
      </c>
      <c r="G86" s="201">
        <f t="shared" si="3"/>
        <v>0</v>
      </c>
      <c r="H86" s="201">
        <f t="shared" si="3"/>
        <v>0</v>
      </c>
      <c r="I86" s="201">
        <f t="shared" si="3"/>
        <v>0</v>
      </c>
      <c r="J86" s="201">
        <f t="shared" si="3"/>
        <v>0</v>
      </c>
      <c r="K86" s="201">
        <f t="shared" si="3"/>
        <v>0</v>
      </c>
      <c r="L86" s="201">
        <f t="shared" si="3"/>
        <v>0</v>
      </c>
      <c r="M86" s="201">
        <f t="shared" si="3"/>
        <v>0</v>
      </c>
      <c r="N86" s="201">
        <f t="shared" si="3"/>
        <v>0</v>
      </c>
      <c r="O86" s="201">
        <f t="shared" si="3"/>
        <v>0</v>
      </c>
      <c r="P86" s="201">
        <f t="shared" si="3"/>
        <v>0.52261083743842396</v>
      </c>
      <c r="Q86" s="201">
        <f>IF($D86-Q$73&lt;$F$17,IF($B$23=0,1/$F$17,($B$23*(1+$B$23)^$F$17)/((1+$B$23)^$F$17-1)),0)</f>
        <v>0.52261083743842396</v>
      </c>
      <c r="R86" s="201">
        <v>0</v>
      </c>
      <c r="S86" s="201">
        <v>0</v>
      </c>
      <c r="T86" s="201">
        <v>0</v>
      </c>
      <c r="U86" s="201">
        <v>0</v>
      </c>
      <c r="V86" s="201">
        <v>0</v>
      </c>
      <c r="W86" s="201">
        <v>0</v>
      </c>
      <c r="X86" s="201">
        <v>0</v>
      </c>
      <c r="Y86" s="201"/>
      <c r="Z86" s="201">
        <v>0.30220020591251251</v>
      </c>
      <c r="AA86" s="201">
        <f t="shared" si="4"/>
        <v>0.16827638243305032</v>
      </c>
      <c r="AD86" s="6">
        <v>13</v>
      </c>
      <c r="AE86" s="10">
        <f>ROUND(_xlfn.WEIBULL.DIST(COUNTA($AD$74:$AD86),$B$24,$F$16,FALSE),3)</f>
        <v>0</v>
      </c>
      <c r="AF86" s="10">
        <f>ROUND(_xlfn.WEIBULL.DIST(COUNTA($AD$75:$AD86),$B$24,$F$16,FALSE),3)</f>
        <v>0</v>
      </c>
      <c r="AG86" s="10">
        <f>ROUND(_xlfn.WEIBULL.DIST(COUNTA($AD$76:$AD86),$B$24,$F$16,FALSE),3)</f>
        <v>0</v>
      </c>
      <c r="AH86" s="10">
        <f>ROUND(_xlfn.WEIBULL.DIST(COUNTA($AD$77:$AD86),$B$24,$F$16,FALSE),3)</f>
        <v>0</v>
      </c>
      <c r="AI86" s="10">
        <f>ROUND(_xlfn.WEIBULL.DIST(COUNTA($AD$78:$AD86),$B$24,$F$16,FALSE),3)</f>
        <v>0</v>
      </c>
      <c r="AJ86" s="10">
        <f>ROUND(_xlfn.WEIBULL.DIST(COUNTA($AD$79:$AD86),$B$24,$F$16,FALSE),3)</f>
        <v>0</v>
      </c>
      <c r="AK86" s="10">
        <f>ROUND(_xlfn.WEIBULL.DIST(COUNTA($AD$80:$AD86),$B$24,$F$16,FALSE),3)</f>
        <v>0</v>
      </c>
      <c r="AL86" s="10">
        <f>ROUND(_xlfn.WEIBULL.DIST(COUNTA($AD$81:$AD86),$B$24,$F$16,FALSE),3)</f>
        <v>0</v>
      </c>
      <c r="AM86" s="10">
        <f>ROUND(_xlfn.WEIBULL.DIST(COUNTA($AD$82:$AD86),$B$24,$F$16,FALSE),3)</f>
        <v>0</v>
      </c>
      <c r="AN86" s="10">
        <f>ROUND(_xlfn.WEIBULL.DIST(COUNTA($AD$83:$AD86),$B$24,$F$16,FALSE),3)</f>
        <v>0</v>
      </c>
      <c r="AO86" s="10">
        <f>ROUND(_xlfn.WEIBULL.DIST(COUNTA($AD$84:$AD86),$B$24,$F$16,FALSE),3)</f>
        <v>4.2999999999999997E-2</v>
      </c>
      <c r="AP86" s="10">
        <f>ROUND(_xlfn.WEIBULL.DIST(COUNTA($AD$85:$AD86),$B$24,$F$16,FALSE),3)</f>
        <v>0.73599999999999999</v>
      </c>
      <c r="AQ86" s="10">
        <f>ROUND(_xlfn.WEIBULL.DIST(COUNTA($AD$86:$AD86),$B$24,$F$16,FALSE),3)</f>
        <v>0.23499999999999999</v>
      </c>
      <c r="AR86" s="201">
        <v>0</v>
      </c>
      <c r="AS86" s="201">
        <v>0</v>
      </c>
      <c r="AT86" s="201">
        <v>0</v>
      </c>
      <c r="AU86" s="201">
        <v>0</v>
      </c>
      <c r="AV86" s="201">
        <v>0</v>
      </c>
      <c r="AW86" s="201">
        <v>0</v>
      </c>
      <c r="AX86" s="201">
        <v>0</v>
      </c>
    </row>
    <row r="87" spans="4:50" x14ac:dyDescent="0.3">
      <c r="D87" s="6">
        <v>14</v>
      </c>
      <c r="E87" s="201">
        <f t="shared" si="3"/>
        <v>0</v>
      </c>
      <c r="F87" s="201">
        <f t="shared" si="3"/>
        <v>0</v>
      </c>
      <c r="G87" s="201">
        <f t="shared" si="3"/>
        <v>0</v>
      </c>
      <c r="H87" s="201">
        <f t="shared" si="3"/>
        <v>0</v>
      </c>
      <c r="I87" s="201">
        <f t="shared" si="3"/>
        <v>0</v>
      </c>
      <c r="J87" s="201">
        <f t="shared" si="3"/>
        <v>0</v>
      </c>
      <c r="K87" s="201">
        <f t="shared" si="3"/>
        <v>0</v>
      </c>
      <c r="L87" s="201">
        <f t="shared" si="3"/>
        <v>0</v>
      </c>
      <c r="M87" s="201">
        <f t="shared" si="3"/>
        <v>0</v>
      </c>
      <c r="N87" s="201">
        <f t="shared" si="3"/>
        <v>0</v>
      </c>
      <c r="O87" s="201">
        <f t="shared" si="3"/>
        <v>0</v>
      </c>
      <c r="P87" s="201">
        <f t="shared" si="3"/>
        <v>0</v>
      </c>
      <c r="Q87" s="201">
        <f t="shared" si="3"/>
        <v>0.52261083743842396</v>
      </c>
      <c r="R87" s="201">
        <f>IF($D87-R$73&lt;$F$17,IF($B$23=0,1/$F$17,($B$23*(1+$B$23)^$F$17)/((1+$B$23)^$F$17-1)),0)</f>
        <v>0.52261083743842396</v>
      </c>
      <c r="S87" s="201">
        <v>0</v>
      </c>
      <c r="T87" s="201">
        <v>0</v>
      </c>
      <c r="U87" s="201">
        <v>0</v>
      </c>
      <c r="V87" s="201">
        <v>0</v>
      </c>
      <c r="W87" s="201">
        <v>0</v>
      </c>
      <c r="X87" s="201">
        <v>0</v>
      </c>
      <c r="Y87" s="201"/>
      <c r="Z87" s="201">
        <v>0.82235070754788209</v>
      </c>
      <c r="AA87" s="201">
        <f t="shared" si="4"/>
        <v>0.43611013793090653</v>
      </c>
      <c r="AD87" s="6">
        <v>14</v>
      </c>
      <c r="AE87" s="10">
        <f>ROUND(_xlfn.WEIBULL.DIST(COUNTA($AD$74:$AD87),$B$24,$F$16,FALSE),3)</f>
        <v>0</v>
      </c>
      <c r="AF87" s="10">
        <f>ROUND(_xlfn.WEIBULL.DIST(COUNTA($AD$75:$AD87),$B$24,$F$16,FALSE),3)</f>
        <v>0</v>
      </c>
      <c r="AG87" s="10">
        <f>ROUND(_xlfn.WEIBULL.DIST(COUNTA($AD$76:$AD87),$B$24,$F$16,FALSE),3)</f>
        <v>0</v>
      </c>
      <c r="AH87" s="10">
        <f>ROUND(_xlfn.WEIBULL.DIST(COUNTA($AD$77:$AD87),$B$24,$F$16,FALSE),3)</f>
        <v>0</v>
      </c>
      <c r="AI87" s="10">
        <f>ROUND(_xlfn.WEIBULL.DIST(COUNTA($AD$78:$AD87),$B$24,$F$16,FALSE),3)</f>
        <v>0</v>
      </c>
      <c r="AJ87" s="10">
        <f>ROUND(_xlfn.WEIBULL.DIST(COUNTA($AD$79:$AD87),$B$24,$F$16,FALSE),3)</f>
        <v>0</v>
      </c>
      <c r="AK87" s="10">
        <f>ROUND(_xlfn.WEIBULL.DIST(COUNTA($AD$80:$AD87),$B$24,$F$16,FALSE),3)</f>
        <v>0</v>
      </c>
      <c r="AL87" s="10">
        <f>ROUND(_xlfn.WEIBULL.DIST(COUNTA($AD$81:$AD87),$B$24,$F$16,FALSE),3)</f>
        <v>0</v>
      </c>
      <c r="AM87" s="10">
        <f>ROUND(_xlfn.WEIBULL.DIST(COUNTA($AD$82:$AD87),$B$24,$F$16,FALSE),3)</f>
        <v>0</v>
      </c>
      <c r="AN87" s="10">
        <f>ROUND(_xlfn.WEIBULL.DIST(COUNTA($AD$83:$AD87),$B$24,$F$16,FALSE),3)</f>
        <v>0</v>
      </c>
      <c r="AO87" s="10">
        <f>ROUND(_xlfn.WEIBULL.DIST(COUNTA($AD$84:$AD87),$B$24,$F$16,FALSE),3)</f>
        <v>0</v>
      </c>
      <c r="AP87" s="10">
        <f>ROUND(_xlfn.WEIBULL.DIST(COUNTA($AD$85:$AD87),$B$24,$F$16,FALSE),3)</f>
        <v>4.2999999999999997E-2</v>
      </c>
      <c r="AQ87" s="10">
        <f>ROUND(_xlfn.WEIBULL.DIST(COUNTA($AD$86:$AD87),$B$24,$F$16,FALSE),3)</f>
        <v>0.73599999999999999</v>
      </c>
      <c r="AR87" s="10">
        <f>ROUND(_xlfn.WEIBULL.DIST(COUNTA($AD$87:$AD87),$B$24,$F$16,FALSE),3)</f>
        <v>0.23499999999999999</v>
      </c>
      <c r="AS87" s="201">
        <v>0</v>
      </c>
      <c r="AT87" s="201">
        <v>0</v>
      </c>
      <c r="AU87" s="201">
        <v>0</v>
      </c>
      <c r="AV87" s="201">
        <v>0</v>
      </c>
      <c r="AW87" s="201">
        <v>0</v>
      </c>
      <c r="AX87" s="201">
        <v>0</v>
      </c>
    </row>
    <row r="88" spans="4:50" x14ac:dyDescent="0.3">
      <c r="D88" s="6">
        <v>15</v>
      </c>
      <c r="E88" s="201">
        <f t="shared" si="3"/>
        <v>0</v>
      </c>
      <c r="F88" s="201">
        <f t="shared" si="3"/>
        <v>0</v>
      </c>
      <c r="G88" s="201">
        <f t="shared" si="3"/>
        <v>0</v>
      </c>
      <c r="H88" s="201">
        <f t="shared" si="3"/>
        <v>0</v>
      </c>
      <c r="I88" s="201">
        <f t="shared" si="3"/>
        <v>0</v>
      </c>
      <c r="J88" s="201">
        <f t="shared" si="3"/>
        <v>0</v>
      </c>
      <c r="K88" s="201">
        <f t="shared" si="3"/>
        <v>0</v>
      </c>
      <c r="L88" s="201">
        <f t="shared" si="3"/>
        <v>0</v>
      </c>
      <c r="M88" s="201">
        <f t="shared" si="3"/>
        <v>0</v>
      </c>
      <c r="N88" s="201">
        <f t="shared" si="3"/>
        <v>0</v>
      </c>
      <c r="O88" s="201">
        <f t="shared" si="3"/>
        <v>0</v>
      </c>
      <c r="P88" s="201">
        <f t="shared" si="3"/>
        <v>0</v>
      </c>
      <c r="Q88" s="201">
        <f t="shared" si="3"/>
        <v>0</v>
      </c>
      <c r="R88" s="201">
        <f t="shared" si="3"/>
        <v>0.52261083743842396</v>
      </c>
      <c r="S88" s="201">
        <f>IF($D88-S$73&lt;$F$17,IF($B$23=0,1/$F$17,($B$23*(1+$B$23)^$F$17)/((1+$B$23)^$F$17-1)),0)</f>
        <v>0.52261083743842396</v>
      </c>
      <c r="T88" s="201">
        <v>0</v>
      </c>
      <c r="U88" s="201">
        <v>0</v>
      </c>
      <c r="V88" s="201">
        <v>0</v>
      </c>
      <c r="W88" s="201">
        <v>0</v>
      </c>
      <c r="X88" s="201">
        <v>0</v>
      </c>
      <c r="Y88" s="201"/>
      <c r="Z88" s="201">
        <v>1.3878217910571435</v>
      </c>
      <c r="AA88" s="201">
        <f t="shared" si="4"/>
        <v>0.70094431113180622</v>
      </c>
      <c r="AD88" s="6">
        <v>15</v>
      </c>
      <c r="AE88" s="10">
        <f>ROUND(_xlfn.WEIBULL.DIST(COUNTA($AD$74:$AD88),$B$24,$F$16,FALSE),3)</f>
        <v>0</v>
      </c>
      <c r="AF88" s="10">
        <f>ROUND(_xlfn.WEIBULL.DIST(COUNTA($AD$75:$AD88),$B$24,$F$16,FALSE),3)</f>
        <v>0</v>
      </c>
      <c r="AG88" s="10">
        <f>ROUND(_xlfn.WEIBULL.DIST(COUNTA($AD$76:$AD88),$B$24,$F$16,FALSE),3)</f>
        <v>0</v>
      </c>
      <c r="AH88" s="10">
        <f>ROUND(_xlfn.WEIBULL.DIST(COUNTA($AD$77:$AD88),$B$24,$F$16,FALSE),3)</f>
        <v>0</v>
      </c>
      <c r="AI88" s="10">
        <f>ROUND(_xlfn.WEIBULL.DIST(COUNTA($AD$78:$AD88),$B$24,$F$16,FALSE),3)</f>
        <v>0</v>
      </c>
      <c r="AJ88" s="10">
        <f>ROUND(_xlfn.WEIBULL.DIST(COUNTA($AD$79:$AD88),$B$24,$F$16,FALSE),3)</f>
        <v>0</v>
      </c>
      <c r="AK88" s="10">
        <f>ROUND(_xlfn.WEIBULL.DIST(COUNTA($AD$80:$AD88),$B$24,$F$16,FALSE),3)</f>
        <v>0</v>
      </c>
      <c r="AL88" s="10">
        <f>ROUND(_xlfn.WEIBULL.DIST(COUNTA($AD$81:$AD88),$B$24,$F$16,FALSE),3)</f>
        <v>0</v>
      </c>
      <c r="AM88" s="10">
        <f>ROUND(_xlfn.WEIBULL.DIST(COUNTA($AD$82:$AD88),$B$24,$F$16,FALSE),3)</f>
        <v>0</v>
      </c>
      <c r="AN88" s="10">
        <f>ROUND(_xlfn.WEIBULL.DIST(COUNTA($AD$83:$AD88),$B$24,$F$16,FALSE),3)</f>
        <v>0</v>
      </c>
      <c r="AO88" s="10">
        <f>ROUND(_xlfn.WEIBULL.DIST(COUNTA($AD$84:$AD88),$B$24,$F$16,FALSE),3)</f>
        <v>0</v>
      </c>
      <c r="AP88" s="10">
        <f>ROUND(_xlfn.WEIBULL.DIST(COUNTA($AD$85:$AD88),$B$24,$F$16,FALSE),3)</f>
        <v>0</v>
      </c>
      <c r="AQ88" s="10">
        <f>ROUND(_xlfn.WEIBULL.DIST(COUNTA($AD$86:$AD88),$B$24,$F$16,FALSE),3)</f>
        <v>4.2999999999999997E-2</v>
      </c>
      <c r="AR88" s="10">
        <f>ROUND(_xlfn.WEIBULL.DIST(COUNTA($AD$87:$AD88),$B$24,$F$16,FALSE),3)</f>
        <v>0.73599999999999999</v>
      </c>
      <c r="AS88" s="10">
        <f>ROUND(_xlfn.WEIBULL.DIST(COUNTA($AD$88:$AD88),$B$24,$F$16,FALSE),3)</f>
        <v>0.23499999999999999</v>
      </c>
      <c r="AT88" s="201">
        <v>0</v>
      </c>
      <c r="AU88" s="201">
        <v>0</v>
      </c>
      <c r="AV88" s="201">
        <v>0</v>
      </c>
      <c r="AW88" s="201">
        <v>0</v>
      </c>
      <c r="AX88" s="201">
        <v>0</v>
      </c>
    </row>
    <row r="89" spans="4:50" x14ac:dyDescent="0.3">
      <c r="D89" s="6">
        <v>16</v>
      </c>
      <c r="E89" s="201">
        <f t="shared" si="3"/>
        <v>0</v>
      </c>
      <c r="F89" s="201">
        <f t="shared" si="3"/>
        <v>0</v>
      </c>
      <c r="G89" s="201">
        <f t="shared" si="3"/>
        <v>0</v>
      </c>
      <c r="H89" s="201">
        <f t="shared" si="3"/>
        <v>0</v>
      </c>
      <c r="I89" s="201">
        <f t="shared" si="3"/>
        <v>0</v>
      </c>
      <c r="J89" s="201">
        <f t="shared" si="3"/>
        <v>0</v>
      </c>
      <c r="K89" s="201">
        <f t="shared" si="3"/>
        <v>0</v>
      </c>
      <c r="L89" s="201">
        <f t="shared" si="3"/>
        <v>0</v>
      </c>
      <c r="M89" s="201">
        <f t="shared" si="3"/>
        <v>0</v>
      </c>
      <c r="N89" s="201">
        <f t="shared" si="3"/>
        <v>0</v>
      </c>
      <c r="O89" s="201">
        <f t="shared" si="3"/>
        <v>0</v>
      </c>
      <c r="P89" s="201">
        <f t="shared" si="3"/>
        <v>0</v>
      </c>
      <c r="Q89" s="201">
        <f t="shared" si="3"/>
        <v>0</v>
      </c>
      <c r="R89" s="201">
        <f t="shared" si="3"/>
        <v>0</v>
      </c>
      <c r="S89" s="201">
        <f t="shared" si="3"/>
        <v>0.52261083743842396</v>
      </c>
      <c r="T89" s="201">
        <f>IF($D89-T$73&lt;$F$17,IF($B$23=0,1/$F$17,($B$23*(1+$B$23)^$F$17)/((1+$B$23)^$F$17-1)),0)</f>
        <v>0.52261083743842396</v>
      </c>
      <c r="U89" s="201">
        <v>0</v>
      </c>
      <c r="V89" s="201">
        <v>0</v>
      </c>
      <c r="W89" s="201">
        <v>0</v>
      </c>
      <c r="X89" s="201">
        <v>0</v>
      </c>
      <c r="Y89" s="201"/>
      <c r="Z89" s="201">
        <v>1.5974586517477842</v>
      </c>
      <c r="AA89" s="201">
        <f t="shared" si="4"/>
        <v>0.7684049249840329</v>
      </c>
      <c r="AD89" s="6">
        <v>16</v>
      </c>
      <c r="AE89" s="10">
        <f>ROUND(_xlfn.WEIBULL.DIST(COUNTA($AD$74:$AD89),$B$24,$F$16,FALSE),3)</f>
        <v>0</v>
      </c>
      <c r="AF89" s="10">
        <f>ROUND(_xlfn.WEIBULL.DIST(COUNTA($AD$75:$AD89),$B$24,$F$16,FALSE),3)</f>
        <v>0</v>
      </c>
      <c r="AG89" s="10">
        <f>ROUND(_xlfn.WEIBULL.DIST(COUNTA($AD$76:$AD89),$B$24,$F$16,FALSE),3)</f>
        <v>0</v>
      </c>
      <c r="AH89" s="10">
        <f>ROUND(_xlfn.WEIBULL.DIST(COUNTA($AD$77:$AD89),$B$24,$F$16,FALSE),3)</f>
        <v>0</v>
      </c>
      <c r="AI89" s="10">
        <f>ROUND(_xlfn.WEIBULL.DIST(COUNTA($AD$78:$AD89),$B$24,$F$16,FALSE),3)</f>
        <v>0</v>
      </c>
      <c r="AJ89" s="10">
        <f>ROUND(_xlfn.WEIBULL.DIST(COUNTA($AD$79:$AD89),$B$24,$F$16,FALSE),3)</f>
        <v>0</v>
      </c>
      <c r="AK89" s="10">
        <f>ROUND(_xlfn.WEIBULL.DIST(COUNTA($AD$80:$AD89),$B$24,$F$16,FALSE),3)</f>
        <v>0</v>
      </c>
      <c r="AL89" s="10">
        <f>ROUND(_xlfn.WEIBULL.DIST(COUNTA($AD$81:$AD89),$B$24,$F$16,FALSE),3)</f>
        <v>0</v>
      </c>
      <c r="AM89" s="10">
        <f>ROUND(_xlfn.WEIBULL.DIST(COUNTA($AD$82:$AD89),$B$24,$F$16,FALSE),3)</f>
        <v>0</v>
      </c>
      <c r="AN89" s="10">
        <f>ROUND(_xlfn.WEIBULL.DIST(COUNTA($AD$83:$AD89),$B$24,$F$16,FALSE),3)</f>
        <v>0</v>
      </c>
      <c r="AO89" s="10">
        <f>ROUND(_xlfn.WEIBULL.DIST(COUNTA($AD$84:$AD89),$B$24,$F$16,FALSE),3)</f>
        <v>0</v>
      </c>
      <c r="AP89" s="10">
        <f>ROUND(_xlfn.WEIBULL.DIST(COUNTA($AD$85:$AD89),$B$24,$F$16,FALSE),3)</f>
        <v>0</v>
      </c>
      <c r="AQ89" s="10">
        <f>ROUND(_xlfn.WEIBULL.DIST(COUNTA($AD$86:$AD89),$B$24,$F$16,FALSE),3)</f>
        <v>0</v>
      </c>
      <c r="AR89" s="10">
        <f>ROUND(_xlfn.WEIBULL.DIST(COUNTA($AD$87:$AD89),$B$24,$F$16,FALSE),3)</f>
        <v>4.2999999999999997E-2</v>
      </c>
      <c r="AS89" s="10">
        <f>ROUND(_xlfn.WEIBULL.DIST(COUNTA($AD$88:$AD89),$B$24,$F$16,FALSE),3)</f>
        <v>0.73599999999999999</v>
      </c>
      <c r="AT89" s="10">
        <f>ROUND(_xlfn.WEIBULL.DIST(COUNTA($AD$89:$AD89),$B$24,$F$16,FALSE),3)</f>
        <v>0.23499999999999999</v>
      </c>
      <c r="AU89" s="201">
        <v>0</v>
      </c>
      <c r="AV89" s="201">
        <v>0</v>
      </c>
      <c r="AW89" s="201">
        <v>0</v>
      </c>
      <c r="AX89" s="201">
        <v>0</v>
      </c>
    </row>
    <row r="90" spans="4:50" x14ac:dyDescent="0.3">
      <c r="D90" s="6">
        <v>17</v>
      </c>
      <c r="E90" s="201">
        <f t="shared" si="3"/>
        <v>0</v>
      </c>
      <c r="F90" s="201">
        <f t="shared" si="3"/>
        <v>0</v>
      </c>
      <c r="G90" s="201">
        <f t="shared" si="3"/>
        <v>0</v>
      </c>
      <c r="H90" s="201">
        <f t="shared" si="3"/>
        <v>0</v>
      </c>
      <c r="I90" s="201">
        <f t="shared" si="3"/>
        <v>0</v>
      </c>
      <c r="J90" s="201">
        <f t="shared" si="3"/>
        <v>0</v>
      </c>
      <c r="K90" s="201">
        <f t="shared" si="3"/>
        <v>0</v>
      </c>
      <c r="L90" s="201">
        <f t="shared" si="3"/>
        <v>0</v>
      </c>
      <c r="M90" s="201">
        <f t="shared" si="3"/>
        <v>0</v>
      </c>
      <c r="N90" s="201">
        <f t="shared" si="3"/>
        <v>0</v>
      </c>
      <c r="O90" s="201">
        <f t="shared" si="3"/>
        <v>0</v>
      </c>
      <c r="P90" s="201">
        <f t="shared" si="3"/>
        <v>0</v>
      </c>
      <c r="Q90" s="201">
        <f t="shared" si="3"/>
        <v>0</v>
      </c>
      <c r="R90" s="201">
        <f t="shared" si="3"/>
        <v>0</v>
      </c>
      <c r="S90" s="201">
        <f t="shared" si="3"/>
        <v>0</v>
      </c>
      <c r="T90" s="201">
        <f t="shared" si="3"/>
        <v>0.52261083743842396</v>
      </c>
      <c r="U90" s="201">
        <f>IF($D90-U$73&lt;$F$17,IF($B$23=0,1/$F$17,($B$23*(1+$B$23)^$F$17)/((1+$B$23)^$F$17-1)),0)</f>
        <v>0.52261083743842396</v>
      </c>
      <c r="V90" s="201">
        <v>0</v>
      </c>
      <c r="W90" s="201">
        <v>0</v>
      </c>
      <c r="X90" s="201">
        <v>0</v>
      </c>
      <c r="Y90" s="201"/>
      <c r="Z90" s="201">
        <v>1.6364098199704444</v>
      </c>
      <c r="AA90" s="201">
        <f t="shared" si="4"/>
        <v>0.74965819322833349</v>
      </c>
      <c r="AD90" s="6">
        <v>17</v>
      </c>
      <c r="AE90" s="10">
        <f>ROUND(_xlfn.WEIBULL.DIST(COUNTA($AD$74:$AD90),$B$24,$F$16,FALSE),3)</f>
        <v>0</v>
      </c>
      <c r="AF90" s="10">
        <f>ROUND(_xlfn.WEIBULL.DIST(COUNTA($AD$75:$AD90),$B$24,$F$16,FALSE),3)</f>
        <v>0</v>
      </c>
      <c r="AG90" s="10">
        <f>ROUND(_xlfn.WEIBULL.DIST(COUNTA($AD$76:$AD90),$B$24,$F$16,FALSE),3)</f>
        <v>0</v>
      </c>
      <c r="AH90" s="10">
        <f>ROUND(_xlfn.WEIBULL.DIST(COUNTA($AD$77:$AD90),$B$24,$F$16,FALSE),3)</f>
        <v>0</v>
      </c>
      <c r="AI90" s="10">
        <f>ROUND(_xlfn.WEIBULL.DIST(COUNTA($AD$78:$AD90),$B$24,$F$16,FALSE),3)</f>
        <v>0</v>
      </c>
      <c r="AJ90" s="10">
        <f>ROUND(_xlfn.WEIBULL.DIST(COUNTA($AD$79:$AD90),$B$24,$F$16,FALSE),3)</f>
        <v>0</v>
      </c>
      <c r="AK90" s="10">
        <f>ROUND(_xlfn.WEIBULL.DIST(COUNTA($AD$80:$AD90),$B$24,$F$16,FALSE),3)</f>
        <v>0</v>
      </c>
      <c r="AL90" s="10">
        <f>ROUND(_xlfn.WEIBULL.DIST(COUNTA($AD$81:$AD90),$B$24,$F$16,FALSE),3)</f>
        <v>0</v>
      </c>
      <c r="AM90" s="10">
        <f>ROUND(_xlfn.WEIBULL.DIST(COUNTA($AD$82:$AD90),$B$24,$F$16,FALSE),3)</f>
        <v>0</v>
      </c>
      <c r="AN90" s="10">
        <f>ROUND(_xlfn.WEIBULL.DIST(COUNTA($AD$83:$AD90),$B$24,$F$16,FALSE),3)</f>
        <v>0</v>
      </c>
      <c r="AO90" s="10">
        <f>ROUND(_xlfn.WEIBULL.DIST(COUNTA($AD$84:$AD90),$B$24,$F$16,FALSE),3)</f>
        <v>0</v>
      </c>
      <c r="AP90" s="10">
        <f>ROUND(_xlfn.WEIBULL.DIST(COUNTA($AD$85:$AD90),$B$24,$F$16,FALSE),3)</f>
        <v>0</v>
      </c>
      <c r="AQ90" s="10">
        <f>ROUND(_xlfn.WEIBULL.DIST(COUNTA($AD$86:$AD90),$B$24,$F$16,FALSE),3)</f>
        <v>0</v>
      </c>
      <c r="AR90" s="10">
        <f>ROUND(_xlfn.WEIBULL.DIST(COUNTA($AD$87:$AD90),$B$24,$F$16,FALSE),3)</f>
        <v>0</v>
      </c>
      <c r="AS90" s="10">
        <f>ROUND(_xlfn.WEIBULL.DIST(COUNTA($AD$88:$AD90),$B$24,$F$16,FALSE),3)</f>
        <v>4.2999999999999997E-2</v>
      </c>
      <c r="AT90" s="10">
        <f>ROUND(_xlfn.WEIBULL.DIST(COUNTA($AD$89:$AD90),$B$24,$F$16,FALSE),3)</f>
        <v>0.73599999999999999</v>
      </c>
      <c r="AU90" s="10">
        <f>ROUND(_xlfn.WEIBULL.DIST(COUNTA($AD$90:$AD90),$B$24,$F$16,FALSE),3)</f>
        <v>0.23499999999999999</v>
      </c>
      <c r="AV90" s="201">
        <v>0</v>
      </c>
      <c r="AW90" s="201">
        <v>0</v>
      </c>
      <c r="AX90" s="201">
        <v>0</v>
      </c>
    </row>
    <row r="91" spans="4:50" x14ac:dyDescent="0.3">
      <c r="D91" s="6">
        <v>18</v>
      </c>
      <c r="E91" s="201">
        <f t="shared" si="3"/>
        <v>0</v>
      </c>
      <c r="F91" s="201">
        <f t="shared" si="3"/>
        <v>0</v>
      </c>
      <c r="G91" s="201">
        <f t="shared" si="3"/>
        <v>0</v>
      </c>
      <c r="H91" s="201">
        <f t="shared" si="3"/>
        <v>0</v>
      </c>
      <c r="I91" s="201">
        <f t="shared" si="3"/>
        <v>0</v>
      </c>
      <c r="J91" s="201">
        <f t="shared" si="3"/>
        <v>0</v>
      </c>
      <c r="K91" s="201">
        <f t="shared" si="3"/>
        <v>0</v>
      </c>
      <c r="L91" s="201">
        <f t="shared" si="3"/>
        <v>0</v>
      </c>
      <c r="M91" s="201">
        <f t="shared" si="3"/>
        <v>0</v>
      </c>
      <c r="N91" s="201">
        <f t="shared" si="3"/>
        <v>0</v>
      </c>
      <c r="O91" s="201">
        <f t="shared" si="3"/>
        <v>0</v>
      </c>
      <c r="P91" s="201">
        <f t="shared" si="3"/>
        <v>0</v>
      </c>
      <c r="Q91" s="201">
        <f t="shared" si="3"/>
        <v>0</v>
      </c>
      <c r="R91" s="201">
        <f t="shared" si="3"/>
        <v>0</v>
      </c>
      <c r="S91" s="201">
        <f t="shared" si="3"/>
        <v>0</v>
      </c>
      <c r="T91" s="201">
        <f t="shared" si="3"/>
        <v>0</v>
      </c>
      <c r="U91" s="201">
        <f t="shared" ref="P91:X103" si="5">IF($D91-U$73&lt;$F$17,IF($B$23=0,1/$F$17,($B$23*(1+$B$23)^$F$17)/((1+$B$23)^$F$17-1)),0)</f>
        <v>0.52261083743842396</v>
      </c>
      <c r="V91" s="201">
        <f>IF($D91-V$73&lt;$F$17,IF($B$23=0,1/$F$17,($B$23*(1+$B$23)^$F$17)/((1+$B$23)^$F$17-1)),0)</f>
        <v>0.52261083743842396</v>
      </c>
      <c r="W91" s="201">
        <v>0</v>
      </c>
      <c r="X91" s="201">
        <v>0</v>
      </c>
      <c r="Y91" s="201"/>
      <c r="Z91" s="201">
        <v>0.78085531403054231</v>
      </c>
      <c r="AA91" s="201">
        <f t="shared" si="4"/>
        <v>0.34068458701486137</v>
      </c>
      <c r="AD91" s="6">
        <v>18</v>
      </c>
      <c r="AE91" s="10">
        <f>ROUND(_xlfn.WEIBULL.DIST(COUNTA($AD$74:$AD91),$B$24,$F$16,FALSE),3)</f>
        <v>0</v>
      </c>
      <c r="AF91" s="10">
        <f>ROUND(_xlfn.WEIBULL.DIST(COUNTA($AD$75:$AD91),$B$24,$F$16,FALSE),3)</f>
        <v>0</v>
      </c>
      <c r="AG91" s="10">
        <f>ROUND(_xlfn.WEIBULL.DIST(COUNTA($AD$76:$AD91),$B$24,$F$16,FALSE),3)</f>
        <v>0</v>
      </c>
      <c r="AH91" s="10">
        <f>ROUND(_xlfn.WEIBULL.DIST(COUNTA($AD$77:$AD91),$B$24,$F$16,FALSE),3)</f>
        <v>0</v>
      </c>
      <c r="AI91" s="10">
        <f>ROUND(_xlfn.WEIBULL.DIST(COUNTA($AD$78:$AD91),$B$24,$F$16,FALSE),3)</f>
        <v>0</v>
      </c>
      <c r="AJ91" s="10">
        <f>ROUND(_xlfn.WEIBULL.DIST(COUNTA($AD$79:$AD91),$B$24,$F$16,FALSE),3)</f>
        <v>0</v>
      </c>
      <c r="AK91" s="10">
        <f>ROUND(_xlfn.WEIBULL.DIST(COUNTA($AD$80:$AD91),$B$24,$F$16,FALSE),3)</f>
        <v>0</v>
      </c>
      <c r="AL91" s="10">
        <f>ROUND(_xlfn.WEIBULL.DIST(COUNTA($AD$81:$AD91),$B$24,$F$16,FALSE),3)</f>
        <v>0</v>
      </c>
      <c r="AM91" s="10">
        <f>ROUND(_xlfn.WEIBULL.DIST(COUNTA($AD$82:$AD91),$B$24,$F$16,FALSE),3)</f>
        <v>0</v>
      </c>
      <c r="AN91" s="10">
        <f>ROUND(_xlfn.WEIBULL.DIST(COUNTA($AD$83:$AD91),$B$24,$F$16,FALSE),3)</f>
        <v>0</v>
      </c>
      <c r="AO91" s="10">
        <f>ROUND(_xlfn.WEIBULL.DIST(COUNTA($AD$84:$AD91),$B$24,$F$16,FALSE),3)</f>
        <v>0</v>
      </c>
      <c r="AP91" s="10">
        <f>ROUND(_xlfn.WEIBULL.DIST(COUNTA($AD$85:$AD91),$B$24,$F$16,FALSE),3)</f>
        <v>0</v>
      </c>
      <c r="AQ91" s="10">
        <f>ROUND(_xlfn.WEIBULL.DIST(COUNTA($AD$86:$AD91),$B$24,$F$16,FALSE),3)</f>
        <v>0</v>
      </c>
      <c r="AR91" s="10">
        <f>ROUND(_xlfn.WEIBULL.DIST(COUNTA($AD$87:$AD91),$B$24,$F$16,FALSE),3)</f>
        <v>0</v>
      </c>
      <c r="AS91" s="10">
        <f>ROUND(_xlfn.WEIBULL.DIST(COUNTA($AD$88:$AD91),$B$24,$F$16,FALSE),3)</f>
        <v>0</v>
      </c>
      <c r="AT91" s="10">
        <f>ROUND(_xlfn.WEIBULL.DIST(COUNTA($AD$89:$AD91),$B$24,$F$16,FALSE),3)</f>
        <v>4.2999999999999997E-2</v>
      </c>
      <c r="AU91" s="10">
        <f>ROUND(_xlfn.WEIBULL.DIST(COUNTA($AD$90:$AD91),$B$24,$F$16,FALSE),3)</f>
        <v>0.73599999999999999</v>
      </c>
      <c r="AV91" s="10">
        <f>ROUND(_xlfn.WEIBULL.DIST(COUNTA($AD$91:$AD91),$B$24,$F$16,FALSE),3)</f>
        <v>0.23499999999999999</v>
      </c>
      <c r="AW91" s="201">
        <v>0</v>
      </c>
      <c r="AX91" s="201">
        <v>0</v>
      </c>
    </row>
    <row r="92" spans="4:50" x14ac:dyDescent="0.3">
      <c r="D92" s="6">
        <v>19</v>
      </c>
      <c r="E92" s="201">
        <f t="shared" si="3"/>
        <v>0</v>
      </c>
      <c r="F92" s="201">
        <f t="shared" si="3"/>
        <v>0</v>
      </c>
      <c r="G92" s="201">
        <f t="shared" si="3"/>
        <v>0</v>
      </c>
      <c r="H92" s="201">
        <f t="shared" si="3"/>
        <v>0</v>
      </c>
      <c r="I92" s="201">
        <f t="shared" si="3"/>
        <v>0</v>
      </c>
      <c r="J92" s="201">
        <f t="shared" si="3"/>
        <v>0</v>
      </c>
      <c r="K92" s="201">
        <f t="shared" si="3"/>
        <v>0</v>
      </c>
      <c r="L92" s="201">
        <f t="shared" si="3"/>
        <v>0</v>
      </c>
      <c r="M92" s="201">
        <f t="shared" si="3"/>
        <v>0</v>
      </c>
      <c r="N92" s="201">
        <f t="shared" si="3"/>
        <v>0</v>
      </c>
      <c r="O92" s="201">
        <f t="shared" si="3"/>
        <v>0</v>
      </c>
      <c r="P92" s="201">
        <f t="shared" si="5"/>
        <v>0</v>
      </c>
      <c r="Q92" s="201">
        <f t="shared" si="5"/>
        <v>0</v>
      </c>
      <c r="R92" s="201">
        <f t="shared" si="5"/>
        <v>0</v>
      </c>
      <c r="S92" s="201">
        <f t="shared" si="5"/>
        <v>0</v>
      </c>
      <c r="T92" s="201">
        <f t="shared" si="5"/>
        <v>0</v>
      </c>
      <c r="U92" s="201">
        <f t="shared" si="5"/>
        <v>0</v>
      </c>
      <c r="V92" s="201">
        <f t="shared" si="5"/>
        <v>0.52261083743842396</v>
      </c>
      <c r="W92" s="201">
        <f>IF($D92-W$73&lt;$F$17,IF($B$23=0,1/$F$17,($B$23*(1+$B$23)^$F$17)/((1+$B$23)^$F$17-1)),0)</f>
        <v>0.52261083743842396</v>
      </c>
      <c r="X92" s="201">
        <v>0</v>
      </c>
      <c r="Y92" s="201"/>
      <c r="Z92" s="201">
        <v>0</v>
      </c>
      <c r="AA92" s="201">
        <f t="shared" si="4"/>
        <v>0</v>
      </c>
      <c r="AD92" s="6">
        <v>19</v>
      </c>
      <c r="AE92" s="10">
        <f>ROUND(_xlfn.WEIBULL.DIST(COUNTA($AD$74:$AD92),$B$24,$F$16,FALSE),3)</f>
        <v>0</v>
      </c>
      <c r="AF92" s="10">
        <f>ROUND(_xlfn.WEIBULL.DIST(COUNTA($AD$75:$AD92),$B$24,$F$16,FALSE),3)</f>
        <v>0</v>
      </c>
      <c r="AG92" s="10">
        <f>ROUND(_xlfn.WEIBULL.DIST(COUNTA($AD$76:$AD92),$B$24,$F$16,FALSE),3)</f>
        <v>0</v>
      </c>
      <c r="AH92" s="10">
        <f>ROUND(_xlfn.WEIBULL.DIST(COUNTA($AD$77:$AD92),$B$24,$F$16,FALSE),3)</f>
        <v>0</v>
      </c>
      <c r="AI92" s="10">
        <f>ROUND(_xlfn.WEIBULL.DIST(COUNTA($AD$78:$AD92),$B$24,$F$16,FALSE),3)</f>
        <v>0</v>
      </c>
      <c r="AJ92" s="10">
        <f>ROUND(_xlfn.WEIBULL.DIST(COUNTA($AD$79:$AD92),$B$24,$F$16,FALSE),3)</f>
        <v>0</v>
      </c>
      <c r="AK92" s="10">
        <f>ROUND(_xlfn.WEIBULL.DIST(COUNTA($AD$80:$AD92),$B$24,$F$16,FALSE),3)</f>
        <v>0</v>
      </c>
      <c r="AL92" s="10">
        <f>ROUND(_xlfn.WEIBULL.DIST(COUNTA($AD$81:$AD92),$B$24,$F$16,FALSE),3)</f>
        <v>0</v>
      </c>
      <c r="AM92" s="10">
        <f>ROUND(_xlfn.WEIBULL.DIST(COUNTA($AD$82:$AD92),$B$24,$F$16,FALSE),3)</f>
        <v>0</v>
      </c>
      <c r="AN92" s="10">
        <f>ROUND(_xlfn.WEIBULL.DIST(COUNTA($AD$83:$AD92),$B$24,$F$16,FALSE),3)</f>
        <v>0</v>
      </c>
      <c r="AO92" s="10">
        <f>ROUND(_xlfn.WEIBULL.DIST(COUNTA($AD$84:$AD92),$B$24,$F$16,FALSE),3)</f>
        <v>0</v>
      </c>
      <c r="AP92" s="10">
        <f>ROUND(_xlfn.WEIBULL.DIST(COUNTA($AD$85:$AD92),$B$24,$F$16,FALSE),3)</f>
        <v>0</v>
      </c>
      <c r="AQ92" s="10">
        <f>ROUND(_xlfn.WEIBULL.DIST(COUNTA($AD$86:$AD92),$B$24,$F$16,FALSE),3)</f>
        <v>0</v>
      </c>
      <c r="AR92" s="10">
        <f>ROUND(_xlfn.WEIBULL.DIST(COUNTA($AD$87:$AD92),$B$24,$F$16,FALSE),3)</f>
        <v>0</v>
      </c>
      <c r="AS92" s="10">
        <f>ROUND(_xlfn.WEIBULL.DIST(COUNTA($AD$88:$AD92),$B$24,$F$16,FALSE),3)</f>
        <v>0</v>
      </c>
      <c r="AT92" s="10">
        <f>ROUND(_xlfn.WEIBULL.DIST(COUNTA($AD$89:$AD92),$B$24,$F$16,FALSE),3)</f>
        <v>0</v>
      </c>
      <c r="AU92" s="10">
        <f>ROUND(_xlfn.WEIBULL.DIST(COUNTA($AD$90:$AD92),$B$24,$F$16,FALSE),3)</f>
        <v>4.2999999999999997E-2</v>
      </c>
      <c r="AV92" s="10">
        <f>ROUND(_xlfn.WEIBULL.DIST(COUNTA($AD$91:$AD92),$B$24,$F$16,FALSE),3)</f>
        <v>0.73599999999999999</v>
      </c>
      <c r="AW92" s="10">
        <f>ROUND(_xlfn.WEIBULL.DIST(COUNTA($AD$92:$AD92),$B$24,$F$16,FALSE),3)</f>
        <v>0.23499999999999999</v>
      </c>
      <c r="AX92" s="201">
        <v>0</v>
      </c>
    </row>
    <row r="93" spans="4:50" x14ac:dyDescent="0.3">
      <c r="D93" s="6">
        <v>20</v>
      </c>
      <c r="E93" s="201">
        <f t="shared" si="3"/>
        <v>0</v>
      </c>
      <c r="F93" s="201">
        <f t="shared" si="3"/>
        <v>0</v>
      </c>
      <c r="G93" s="201">
        <f t="shared" si="3"/>
        <v>0</v>
      </c>
      <c r="H93" s="201">
        <f t="shared" si="3"/>
        <v>0</v>
      </c>
      <c r="I93" s="201">
        <f t="shared" si="3"/>
        <v>0</v>
      </c>
      <c r="J93" s="201">
        <f t="shared" si="3"/>
        <v>0</v>
      </c>
      <c r="K93" s="201">
        <f t="shared" si="3"/>
        <v>0</v>
      </c>
      <c r="L93" s="201">
        <f t="shared" si="3"/>
        <v>0</v>
      </c>
      <c r="M93" s="201">
        <f t="shared" si="3"/>
        <v>0</v>
      </c>
      <c r="N93" s="201">
        <f t="shared" si="3"/>
        <v>0</v>
      </c>
      <c r="O93" s="201">
        <f t="shared" si="3"/>
        <v>0</v>
      </c>
      <c r="P93" s="201">
        <f t="shared" si="5"/>
        <v>0</v>
      </c>
      <c r="Q93" s="201">
        <f t="shared" si="5"/>
        <v>0</v>
      </c>
      <c r="R93" s="201">
        <f t="shared" si="5"/>
        <v>0</v>
      </c>
      <c r="S93" s="201">
        <f t="shared" si="5"/>
        <v>0</v>
      </c>
      <c r="T93" s="201">
        <f t="shared" si="5"/>
        <v>0</v>
      </c>
      <c r="U93" s="201">
        <f t="shared" si="5"/>
        <v>0</v>
      </c>
      <c r="V93" s="201">
        <f t="shared" si="5"/>
        <v>0</v>
      </c>
      <c r="W93" s="201">
        <f t="shared" si="5"/>
        <v>0.52261083743842396</v>
      </c>
      <c r="X93" s="201">
        <f>IF($D93-X$73&lt;$F$17,IF($B$23=0,1/$F$17,($B$23*(1+$B$23)^$F$17)/((1+$B$23)^$F$17-1)),0)</f>
        <v>0.52261083743842396</v>
      </c>
      <c r="Y93" s="201"/>
      <c r="Z93" s="201">
        <v>0</v>
      </c>
      <c r="AA93" s="201">
        <f t="shared" si="4"/>
        <v>0</v>
      </c>
      <c r="AD93" s="6">
        <v>20</v>
      </c>
      <c r="AE93" s="10">
        <f>ROUND(_xlfn.WEIBULL.DIST(COUNTA($AD$74:$AD93),$B$24,$F$16,FALSE),3)</f>
        <v>0</v>
      </c>
      <c r="AF93" s="10">
        <f>ROUND(_xlfn.WEIBULL.DIST(COUNTA($AD$75:$AD93),$B$24,$F$16,FALSE),3)</f>
        <v>0</v>
      </c>
      <c r="AG93" s="10">
        <f>ROUND(_xlfn.WEIBULL.DIST(COUNTA($AD$76:$AD93),$B$24,$F$16,FALSE),3)</f>
        <v>0</v>
      </c>
      <c r="AH93" s="10">
        <f>ROUND(_xlfn.WEIBULL.DIST(COUNTA($AD$77:$AD93),$B$24,$F$16,FALSE),3)</f>
        <v>0</v>
      </c>
      <c r="AI93" s="10">
        <f>ROUND(_xlfn.WEIBULL.DIST(COUNTA($AD$78:$AD93),$B$24,$F$16,FALSE),3)</f>
        <v>0</v>
      </c>
      <c r="AJ93" s="10">
        <f>ROUND(_xlfn.WEIBULL.DIST(COUNTA($AD$79:$AD93),$B$24,$F$16,FALSE),3)</f>
        <v>0</v>
      </c>
      <c r="AK93" s="10">
        <f>ROUND(_xlfn.WEIBULL.DIST(COUNTA($AD$80:$AD93),$B$24,$F$16,FALSE),3)</f>
        <v>0</v>
      </c>
      <c r="AL93" s="10">
        <f>ROUND(_xlfn.WEIBULL.DIST(COUNTA($AD$81:$AD93),$B$24,$F$16,FALSE),3)</f>
        <v>0</v>
      </c>
      <c r="AM93" s="10">
        <f>ROUND(_xlfn.WEIBULL.DIST(COUNTA($AD$82:$AD93),$B$24,$F$16,FALSE),3)</f>
        <v>0</v>
      </c>
      <c r="AN93" s="10">
        <f>ROUND(_xlfn.WEIBULL.DIST(COUNTA($AD$83:$AD93),$B$24,$F$16,FALSE),3)</f>
        <v>0</v>
      </c>
      <c r="AO93" s="10">
        <f>ROUND(_xlfn.WEIBULL.DIST(COUNTA($AD$84:$AD93),$B$24,$F$16,FALSE),3)</f>
        <v>0</v>
      </c>
      <c r="AP93" s="10">
        <f>ROUND(_xlfn.WEIBULL.DIST(COUNTA($AD$85:$AD93),$B$24,$F$16,FALSE),3)</f>
        <v>0</v>
      </c>
      <c r="AQ93" s="10">
        <f>ROUND(_xlfn.WEIBULL.DIST(COUNTA($AD$86:$AD93),$B$24,$F$16,FALSE),3)</f>
        <v>0</v>
      </c>
      <c r="AR93" s="10">
        <f>ROUND(_xlfn.WEIBULL.DIST(COUNTA($AD$87:$AD93),$B$24,$F$16,FALSE),3)</f>
        <v>0</v>
      </c>
      <c r="AS93" s="10">
        <f>ROUND(_xlfn.WEIBULL.DIST(COUNTA($AD$88:$AD93),$B$24,$F$16,FALSE),3)</f>
        <v>0</v>
      </c>
      <c r="AT93" s="10">
        <f>ROUND(_xlfn.WEIBULL.DIST(COUNTA($AD$89:$AD93),$B$24,$F$16,FALSE),3)</f>
        <v>0</v>
      </c>
      <c r="AU93" s="10">
        <f>ROUND(_xlfn.WEIBULL.DIST(COUNTA($AD$90:$AD93),$B$24,$F$16,FALSE),3)</f>
        <v>0</v>
      </c>
      <c r="AV93" s="10">
        <f>ROUND(_xlfn.WEIBULL.DIST(COUNTA($AD$91:$AD93),$B$24,$F$16,FALSE),3)</f>
        <v>4.2999999999999997E-2</v>
      </c>
      <c r="AW93" s="10">
        <f>ROUND(_xlfn.WEIBULL.DIST(COUNTA($AD$92:$AD93),$B$24,$F$16,FALSE),3)</f>
        <v>0.73599999999999999</v>
      </c>
      <c r="AX93" s="10">
        <f>ROUND(_xlfn.WEIBULL.DIST(COUNTA($AD$93:$AD93),$B$24,$F$16,FALSE),3)</f>
        <v>0.23499999999999999</v>
      </c>
    </row>
    <row r="94" spans="4:50" x14ac:dyDescent="0.3">
      <c r="D94" s="6">
        <v>21</v>
      </c>
      <c r="E94" s="201">
        <f t="shared" si="3"/>
        <v>0</v>
      </c>
      <c r="F94" s="201">
        <f t="shared" si="3"/>
        <v>0</v>
      </c>
      <c r="G94" s="201">
        <f t="shared" si="3"/>
        <v>0</v>
      </c>
      <c r="H94" s="201">
        <f t="shared" si="3"/>
        <v>0</v>
      </c>
      <c r="I94" s="201">
        <f t="shared" si="3"/>
        <v>0</v>
      </c>
      <c r="J94" s="201">
        <f t="shared" si="3"/>
        <v>0</v>
      </c>
      <c r="K94" s="201">
        <f t="shared" si="3"/>
        <v>0</v>
      </c>
      <c r="L94" s="201">
        <f t="shared" si="3"/>
        <v>0</v>
      </c>
      <c r="M94" s="201">
        <f t="shared" si="3"/>
        <v>0</v>
      </c>
      <c r="N94" s="201">
        <f t="shared" si="3"/>
        <v>0</v>
      </c>
      <c r="O94" s="201">
        <f t="shared" si="3"/>
        <v>0</v>
      </c>
      <c r="P94" s="201">
        <f t="shared" si="5"/>
        <v>0</v>
      </c>
      <c r="Q94" s="201">
        <f t="shared" si="5"/>
        <v>0</v>
      </c>
      <c r="R94" s="201">
        <f t="shared" si="5"/>
        <v>0</v>
      </c>
      <c r="S94" s="201">
        <f t="shared" si="5"/>
        <v>0</v>
      </c>
      <c r="T94" s="201">
        <f t="shared" si="5"/>
        <v>0</v>
      </c>
      <c r="U94" s="201">
        <f t="shared" si="5"/>
        <v>0</v>
      </c>
      <c r="V94" s="201">
        <f t="shared" si="5"/>
        <v>0</v>
      </c>
      <c r="W94" s="201">
        <f t="shared" si="5"/>
        <v>0</v>
      </c>
      <c r="X94" s="201">
        <f t="shared" si="5"/>
        <v>0.52261083743842396</v>
      </c>
      <c r="Y94" s="201"/>
      <c r="Z94" s="201">
        <v>0</v>
      </c>
      <c r="AA94" s="201">
        <f t="shared" si="4"/>
        <v>0</v>
      </c>
    </row>
    <row r="95" spans="4:50" x14ac:dyDescent="0.3">
      <c r="D95" s="6">
        <v>22</v>
      </c>
      <c r="E95" s="201">
        <f t="shared" si="3"/>
        <v>0</v>
      </c>
      <c r="F95" s="201">
        <f t="shared" si="3"/>
        <v>0</v>
      </c>
      <c r="G95" s="201">
        <f t="shared" si="3"/>
        <v>0</v>
      </c>
      <c r="H95" s="201">
        <f t="shared" si="3"/>
        <v>0</v>
      </c>
      <c r="I95" s="201">
        <f t="shared" si="3"/>
        <v>0</v>
      </c>
      <c r="J95" s="201">
        <f t="shared" si="3"/>
        <v>0</v>
      </c>
      <c r="K95" s="201">
        <f t="shared" si="3"/>
        <v>0</v>
      </c>
      <c r="L95" s="201">
        <f t="shared" si="3"/>
        <v>0</v>
      </c>
      <c r="M95" s="201">
        <f t="shared" si="3"/>
        <v>0</v>
      </c>
      <c r="N95" s="201">
        <f t="shared" si="3"/>
        <v>0</v>
      </c>
      <c r="O95" s="201">
        <f t="shared" si="3"/>
        <v>0</v>
      </c>
      <c r="P95" s="201">
        <f t="shared" si="5"/>
        <v>0</v>
      </c>
      <c r="Q95" s="201">
        <f t="shared" si="5"/>
        <v>0</v>
      </c>
      <c r="R95" s="201">
        <f t="shared" si="5"/>
        <v>0</v>
      </c>
      <c r="S95" s="201">
        <f t="shared" si="5"/>
        <v>0</v>
      </c>
      <c r="T95" s="201">
        <f t="shared" si="5"/>
        <v>0</v>
      </c>
      <c r="U95" s="201">
        <f t="shared" si="5"/>
        <v>0</v>
      </c>
      <c r="V95" s="201">
        <f t="shared" si="5"/>
        <v>0</v>
      </c>
      <c r="W95" s="201">
        <f t="shared" si="5"/>
        <v>0</v>
      </c>
      <c r="X95" s="201">
        <f t="shared" si="5"/>
        <v>0</v>
      </c>
      <c r="Y95" s="201"/>
      <c r="Z95" s="201">
        <v>0</v>
      </c>
      <c r="AA95" s="201">
        <f t="shared" si="4"/>
        <v>0</v>
      </c>
    </row>
    <row r="96" spans="4:50" x14ac:dyDescent="0.3">
      <c r="D96" s="6">
        <v>23</v>
      </c>
      <c r="E96" s="201">
        <f t="shared" si="3"/>
        <v>0</v>
      </c>
      <c r="F96" s="201">
        <f t="shared" si="3"/>
        <v>0</v>
      </c>
      <c r="G96" s="201">
        <f t="shared" si="3"/>
        <v>0</v>
      </c>
      <c r="H96" s="201">
        <f t="shared" si="3"/>
        <v>0</v>
      </c>
      <c r="I96" s="201">
        <f t="shared" si="3"/>
        <v>0</v>
      </c>
      <c r="J96" s="201">
        <f t="shared" si="3"/>
        <v>0</v>
      </c>
      <c r="K96" s="201">
        <f t="shared" si="3"/>
        <v>0</v>
      </c>
      <c r="L96" s="201">
        <f t="shared" si="3"/>
        <v>0</v>
      </c>
      <c r="M96" s="201">
        <f t="shared" si="3"/>
        <v>0</v>
      </c>
      <c r="N96" s="201">
        <f t="shared" si="3"/>
        <v>0</v>
      </c>
      <c r="O96" s="201">
        <f t="shared" si="3"/>
        <v>0</v>
      </c>
      <c r="P96" s="201">
        <f t="shared" si="5"/>
        <v>0</v>
      </c>
      <c r="Q96" s="201">
        <f t="shared" si="5"/>
        <v>0</v>
      </c>
      <c r="R96" s="201">
        <f t="shared" si="5"/>
        <v>0</v>
      </c>
      <c r="S96" s="201">
        <f t="shared" si="5"/>
        <v>0</v>
      </c>
      <c r="T96" s="201">
        <f t="shared" si="5"/>
        <v>0</v>
      </c>
      <c r="U96" s="201">
        <f t="shared" si="5"/>
        <v>0</v>
      </c>
      <c r="V96" s="201">
        <f t="shared" si="5"/>
        <v>0</v>
      </c>
      <c r="W96" s="201">
        <f t="shared" si="5"/>
        <v>0</v>
      </c>
      <c r="X96" s="201">
        <f t="shared" si="5"/>
        <v>0</v>
      </c>
      <c r="Y96" s="201"/>
      <c r="Z96" s="201">
        <v>0</v>
      </c>
      <c r="AA96" s="201">
        <f t="shared" si="4"/>
        <v>0</v>
      </c>
    </row>
    <row r="97" spans="4:50" x14ac:dyDescent="0.3">
      <c r="D97" s="6">
        <v>24</v>
      </c>
      <c r="E97" s="201">
        <f t="shared" si="3"/>
        <v>0</v>
      </c>
      <c r="F97" s="201">
        <f t="shared" si="3"/>
        <v>0</v>
      </c>
      <c r="G97" s="201">
        <f t="shared" si="3"/>
        <v>0</v>
      </c>
      <c r="H97" s="201">
        <f t="shared" si="3"/>
        <v>0</v>
      </c>
      <c r="I97" s="201">
        <f t="shared" si="3"/>
        <v>0</v>
      </c>
      <c r="J97" s="201">
        <f t="shared" si="3"/>
        <v>0</v>
      </c>
      <c r="K97" s="201">
        <f t="shared" si="3"/>
        <v>0</v>
      </c>
      <c r="L97" s="201">
        <f t="shared" si="3"/>
        <v>0</v>
      </c>
      <c r="M97" s="201">
        <f t="shared" si="3"/>
        <v>0</v>
      </c>
      <c r="N97" s="201">
        <f t="shared" si="3"/>
        <v>0</v>
      </c>
      <c r="O97" s="201">
        <f t="shared" si="3"/>
        <v>0</v>
      </c>
      <c r="P97" s="201">
        <f t="shared" si="5"/>
        <v>0</v>
      </c>
      <c r="Q97" s="201">
        <f t="shared" si="5"/>
        <v>0</v>
      </c>
      <c r="R97" s="201">
        <f t="shared" si="5"/>
        <v>0</v>
      </c>
      <c r="S97" s="201">
        <f t="shared" si="5"/>
        <v>0</v>
      </c>
      <c r="T97" s="201">
        <f t="shared" si="5"/>
        <v>0</v>
      </c>
      <c r="U97" s="201">
        <f t="shared" si="5"/>
        <v>0</v>
      </c>
      <c r="V97" s="201">
        <f t="shared" si="5"/>
        <v>0</v>
      </c>
      <c r="W97" s="201">
        <f t="shared" si="5"/>
        <v>0</v>
      </c>
      <c r="X97" s="201">
        <f t="shared" si="5"/>
        <v>0</v>
      </c>
      <c r="Y97" s="201"/>
      <c r="Z97" s="201">
        <v>0</v>
      </c>
      <c r="AA97" s="201">
        <f t="shared" si="4"/>
        <v>0</v>
      </c>
    </row>
    <row r="98" spans="4:50" x14ac:dyDescent="0.3">
      <c r="D98" s="6">
        <v>25</v>
      </c>
      <c r="E98" s="201">
        <f t="shared" si="3"/>
        <v>0</v>
      </c>
      <c r="F98" s="201">
        <f t="shared" si="3"/>
        <v>0</v>
      </c>
      <c r="G98" s="201">
        <f t="shared" si="3"/>
        <v>0</v>
      </c>
      <c r="H98" s="201">
        <f t="shared" si="3"/>
        <v>0</v>
      </c>
      <c r="I98" s="201">
        <f t="shared" si="3"/>
        <v>0</v>
      </c>
      <c r="J98" s="201">
        <f t="shared" si="3"/>
        <v>0</v>
      </c>
      <c r="K98" s="201">
        <f t="shared" si="3"/>
        <v>0</v>
      </c>
      <c r="L98" s="201">
        <f t="shared" si="3"/>
        <v>0</v>
      </c>
      <c r="M98" s="201">
        <f t="shared" si="3"/>
        <v>0</v>
      </c>
      <c r="N98" s="201">
        <f t="shared" si="3"/>
        <v>0</v>
      </c>
      <c r="O98" s="201">
        <f t="shared" si="3"/>
        <v>0</v>
      </c>
      <c r="P98" s="201">
        <f t="shared" si="5"/>
        <v>0</v>
      </c>
      <c r="Q98" s="201">
        <f t="shared" si="5"/>
        <v>0</v>
      </c>
      <c r="R98" s="201">
        <f t="shared" si="5"/>
        <v>0</v>
      </c>
      <c r="S98" s="201">
        <f t="shared" si="5"/>
        <v>0</v>
      </c>
      <c r="T98" s="201">
        <f t="shared" si="5"/>
        <v>0</v>
      </c>
      <c r="U98" s="201">
        <f t="shared" si="5"/>
        <v>0</v>
      </c>
      <c r="V98" s="201">
        <f t="shared" si="5"/>
        <v>0</v>
      </c>
      <c r="W98" s="201">
        <f t="shared" si="5"/>
        <v>0</v>
      </c>
      <c r="X98" s="201">
        <f t="shared" si="5"/>
        <v>0</v>
      </c>
      <c r="Y98" s="201"/>
      <c r="Z98" s="201">
        <v>0</v>
      </c>
      <c r="AA98" s="201">
        <f t="shared" si="4"/>
        <v>0</v>
      </c>
    </row>
    <row r="99" spans="4:50" x14ac:dyDescent="0.3">
      <c r="D99" s="6">
        <v>26</v>
      </c>
      <c r="E99" s="201">
        <f t="shared" si="3"/>
        <v>0</v>
      </c>
      <c r="F99" s="201">
        <f t="shared" si="3"/>
        <v>0</v>
      </c>
      <c r="G99" s="201">
        <f t="shared" si="3"/>
        <v>0</v>
      </c>
      <c r="H99" s="201">
        <f t="shared" si="3"/>
        <v>0</v>
      </c>
      <c r="I99" s="201">
        <f t="shared" si="3"/>
        <v>0</v>
      </c>
      <c r="J99" s="201">
        <f t="shared" si="3"/>
        <v>0</v>
      </c>
      <c r="K99" s="201">
        <f t="shared" si="3"/>
        <v>0</v>
      </c>
      <c r="L99" s="201">
        <f t="shared" si="3"/>
        <v>0</v>
      </c>
      <c r="M99" s="201">
        <f t="shared" si="3"/>
        <v>0</v>
      </c>
      <c r="N99" s="201">
        <f t="shared" si="3"/>
        <v>0</v>
      </c>
      <c r="O99" s="201">
        <f t="shared" si="3"/>
        <v>0</v>
      </c>
      <c r="P99" s="201">
        <f t="shared" si="5"/>
        <v>0</v>
      </c>
      <c r="Q99" s="201">
        <f t="shared" si="5"/>
        <v>0</v>
      </c>
      <c r="R99" s="201">
        <f t="shared" si="5"/>
        <v>0</v>
      </c>
      <c r="S99" s="201">
        <f t="shared" si="5"/>
        <v>0</v>
      </c>
      <c r="T99" s="201">
        <f t="shared" si="5"/>
        <v>0</v>
      </c>
      <c r="U99" s="201">
        <f t="shared" si="5"/>
        <v>0</v>
      </c>
      <c r="V99" s="201">
        <f t="shared" si="5"/>
        <v>0</v>
      </c>
      <c r="W99" s="201">
        <f t="shared" si="5"/>
        <v>0</v>
      </c>
      <c r="X99" s="201">
        <f t="shared" si="5"/>
        <v>0</v>
      </c>
      <c r="Y99" s="201"/>
      <c r="Z99" s="201">
        <v>0</v>
      </c>
      <c r="AA99" s="201">
        <f t="shared" si="4"/>
        <v>0</v>
      </c>
    </row>
    <row r="100" spans="4:50" x14ac:dyDescent="0.3">
      <c r="D100" s="6">
        <v>27</v>
      </c>
      <c r="E100" s="201">
        <f t="shared" si="3"/>
        <v>0</v>
      </c>
      <c r="F100" s="201">
        <f t="shared" si="3"/>
        <v>0</v>
      </c>
      <c r="G100" s="201">
        <f t="shared" si="3"/>
        <v>0</v>
      </c>
      <c r="H100" s="201">
        <f t="shared" si="3"/>
        <v>0</v>
      </c>
      <c r="I100" s="201">
        <f t="shared" si="3"/>
        <v>0</v>
      </c>
      <c r="J100" s="201">
        <f t="shared" si="3"/>
        <v>0</v>
      </c>
      <c r="K100" s="201">
        <f t="shared" si="3"/>
        <v>0</v>
      </c>
      <c r="L100" s="201">
        <f t="shared" si="3"/>
        <v>0</v>
      </c>
      <c r="M100" s="201">
        <f t="shared" si="3"/>
        <v>0</v>
      </c>
      <c r="N100" s="201">
        <f t="shared" si="3"/>
        <v>0</v>
      </c>
      <c r="O100" s="201">
        <f t="shared" si="3"/>
        <v>0</v>
      </c>
      <c r="P100" s="201">
        <f t="shared" si="5"/>
        <v>0</v>
      </c>
      <c r="Q100" s="201">
        <f t="shared" si="5"/>
        <v>0</v>
      </c>
      <c r="R100" s="201">
        <f t="shared" si="5"/>
        <v>0</v>
      </c>
      <c r="S100" s="201">
        <f t="shared" si="5"/>
        <v>0</v>
      </c>
      <c r="T100" s="201">
        <f t="shared" si="5"/>
        <v>0</v>
      </c>
      <c r="U100" s="201">
        <f t="shared" si="5"/>
        <v>0</v>
      </c>
      <c r="V100" s="201">
        <f t="shared" si="5"/>
        <v>0</v>
      </c>
      <c r="W100" s="201">
        <f t="shared" si="5"/>
        <v>0</v>
      </c>
      <c r="X100" s="201">
        <f t="shared" si="5"/>
        <v>0</v>
      </c>
      <c r="Y100" s="201"/>
      <c r="Z100" s="201">
        <v>0</v>
      </c>
      <c r="AA100" s="201">
        <f t="shared" si="4"/>
        <v>0</v>
      </c>
    </row>
    <row r="101" spans="4:50" x14ac:dyDescent="0.3">
      <c r="D101" s="6">
        <v>28</v>
      </c>
      <c r="E101" s="201">
        <f t="shared" si="3"/>
        <v>0</v>
      </c>
      <c r="F101" s="201">
        <f t="shared" si="3"/>
        <v>0</v>
      </c>
      <c r="G101" s="201">
        <f t="shared" si="3"/>
        <v>0</v>
      </c>
      <c r="H101" s="201">
        <f t="shared" si="3"/>
        <v>0</v>
      </c>
      <c r="I101" s="201">
        <f t="shared" ref="E101:O103" si="6">IF($D101-I$73&lt;$F$17,IF($B$23=0,1/$F$17,($B$23*(1+$B$23)^$F$17)/((1+$B$23)^$F$17-1)),0)</f>
        <v>0</v>
      </c>
      <c r="J101" s="201">
        <f t="shared" si="6"/>
        <v>0</v>
      </c>
      <c r="K101" s="201">
        <f t="shared" si="6"/>
        <v>0</v>
      </c>
      <c r="L101" s="201">
        <f t="shared" si="6"/>
        <v>0</v>
      </c>
      <c r="M101" s="201">
        <f t="shared" si="6"/>
        <v>0</v>
      </c>
      <c r="N101" s="201">
        <f t="shared" si="6"/>
        <v>0</v>
      </c>
      <c r="O101" s="201">
        <f t="shared" si="6"/>
        <v>0</v>
      </c>
      <c r="P101" s="201">
        <f t="shared" si="5"/>
        <v>0</v>
      </c>
      <c r="Q101" s="201">
        <f t="shared" si="5"/>
        <v>0</v>
      </c>
      <c r="R101" s="201">
        <f t="shared" si="5"/>
        <v>0</v>
      </c>
      <c r="S101" s="201">
        <f t="shared" si="5"/>
        <v>0</v>
      </c>
      <c r="T101" s="201">
        <f t="shared" si="5"/>
        <v>0</v>
      </c>
      <c r="U101" s="201">
        <f t="shared" si="5"/>
        <v>0</v>
      </c>
      <c r="V101" s="201">
        <f t="shared" si="5"/>
        <v>0</v>
      </c>
      <c r="W101" s="201">
        <f t="shared" si="5"/>
        <v>0</v>
      </c>
      <c r="X101" s="201">
        <f t="shared" si="5"/>
        <v>0</v>
      </c>
      <c r="Y101" s="201"/>
      <c r="Z101" s="201">
        <v>0</v>
      </c>
      <c r="AA101" s="201">
        <f t="shared" si="4"/>
        <v>0</v>
      </c>
    </row>
    <row r="102" spans="4:50" x14ac:dyDescent="0.3">
      <c r="D102" s="6">
        <v>29</v>
      </c>
      <c r="E102" s="201">
        <f t="shared" si="6"/>
        <v>0</v>
      </c>
      <c r="F102" s="201">
        <f t="shared" si="6"/>
        <v>0</v>
      </c>
      <c r="G102" s="201">
        <f t="shared" si="6"/>
        <v>0</v>
      </c>
      <c r="H102" s="201">
        <f t="shared" si="6"/>
        <v>0</v>
      </c>
      <c r="I102" s="201">
        <f t="shared" si="6"/>
        <v>0</v>
      </c>
      <c r="J102" s="201">
        <f t="shared" si="6"/>
        <v>0</v>
      </c>
      <c r="K102" s="201">
        <f t="shared" si="6"/>
        <v>0</v>
      </c>
      <c r="L102" s="201">
        <f t="shared" si="6"/>
        <v>0</v>
      </c>
      <c r="M102" s="201">
        <f t="shared" si="6"/>
        <v>0</v>
      </c>
      <c r="N102" s="201">
        <f t="shared" si="6"/>
        <v>0</v>
      </c>
      <c r="O102" s="201">
        <f t="shared" si="6"/>
        <v>0</v>
      </c>
      <c r="P102" s="201">
        <f t="shared" si="5"/>
        <v>0</v>
      </c>
      <c r="Q102" s="201">
        <f t="shared" si="5"/>
        <v>0</v>
      </c>
      <c r="R102" s="201">
        <f t="shared" si="5"/>
        <v>0</v>
      </c>
      <c r="S102" s="201">
        <f t="shared" si="5"/>
        <v>0</v>
      </c>
      <c r="T102" s="201">
        <f t="shared" si="5"/>
        <v>0</v>
      </c>
      <c r="U102" s="201">
        <f t="shared" si="5"/>
        <v>0</v>
      </c>
      <c r="V102" s="201">
        <f t="shared" si="5"/>
        <v>0</v>
      </c>
      <c r="W102" s="201">
        <f t="shared" si="5"/>
        <v>0</v>
      </c>
      <c r="X102" s="201">
        <f t="shared" si="5"/>
        <v>0</v>
      </c>
      <c r="Y102" s="201"/>
      <c r="Z102" s="201">
        <v>0</v>
      </c>
      <c r="AA102" s="201">
        <f t="shared" si="4"/>
        <v>0</v>
      </c>
    </row>
    <row r="103" spans="4:50" x14ac:dyDescent="0.3">
      <c r="D103" s="6">
        <v>30</v>
      </c>
      <c r="E103" s="201">
        <f t="shared" si="6"/>
        <v>0</v>
      </c>
      <c r="F103" s="201">
        <f t="shared" si="6"/>
        <v>0</v>
      </c>
      <c r="G103" s="201">
        <f t="shared" si="6"/>
        <v>0</v>
      </c>
      <c r="H103" s="201">
        <f t="shared" si="6"/>
        <v>0</v>
      </c>
      <c r="I103" s="201">
        <f t="shared" si="6"/>
        <v>0</v>
      </c>
      <c r="J103" s="201">
        <f t="shared" si="6"/>
        <v>0</v>
      </c>
      <c r="K103" s="201">
        <f t="shared" si="6"/>
        <v>0</v>
      </c>
      <c r="L103" s="201">
        <f t="shared" si="6"/>
        <v>0</v>
      </c>
      <c r="M103" s="201">
        <f t="shared" si="6"/>
        <v>0</v>
      </c>
      <c r="N103" s="201">
        <f t="shared" si="6"/>
        <v>0</v>
      </c>
      <c r="O103" s="201">
        <f t="shared" si="6"/>
        <v>0</v>
      </c>
      <c r="P103" s="201">
        <f t="shared" si="5"/>
        <v>0</v>
      </c>
      <c r="Q103" s="201">
        <f t="shared" si="5"/>
        <v>0</v>
      </c>
      <c r="R103" s="201">
        <f t="shared" si="5"/>
        <v>0</v>
      </c>
      <c r="S103" s="201">
        <f t="shared" si="5"/>
        <v>0</v>
      </c>
      <c r="T103" s="201">
        <f t="shared" si="5"/>
        <v>0</v>
      </c>
      <c r="U103" s="201">
        <f t="shared" si="5"/>
        <v>0</v>
      </c>
      <c r="V103" s="201">
        <f t="shared" si="5"/>
        <v>0</v>
      </c>
      <c r="W103" s="201">
        <f t="shared" si="5"/>
        <v>0</v>
      </c>
      <c r="X103" s="201">
        <f t="shared" si="5"/>
        <v>0</v>
      </c>
      <c r="Y103" s="201"/>
      <c r="Z103" s="201">
        <v>0</v>
      </c>
      <c r="AA103" s="201">
        <f t="shared" si="4"/>
        <v>0</v>
      </c>
    </row>
    <row r="104" spans="4:50" x14ac:dyDescent="0.3">
      <c r="F104" s="1"/>
      <c r="H104" s="1"/>
      <c r="I104" s="1"/>
    </row>
    <row r="105" spans="4:50" x14ac:dyDescent="0.3">
      <c r="D105" s="10" t="s">
        <v>260</v>
      </c>
      <c r="E105" s="201">
        <f t="array" ref="E105:X105">TRANSPOSE(N24:N43)*$G$11*0.000001</f>
        <v>1.5634499999999999E-2</v>
      </c>
      <c r="F105" s="201">
        <v>0.11426952</v>
      </c>
      <c r="G105" s="201">
        <v>0.12661154399999999</v>
      </c>
      <c r="H105" s="201">
        <v>0.1422540075</v>
      </c>
      <c r="I105" s="201">
        <v>0.16327575</v>
      </c>
      <c r="J105" s="201">
        <v>0.19179968999999999</v>
      </c>
      <c r="K105" s="201">
        <v>0.84855270000000005</v>
      </c>
      <c r="L105" s="201">
        <v>0</v>
      </c>
      <c r="M105" s="201">
        <v>0</v>
      </c>
      <c r="N105" s="201">
        <v>0</v>
      </c>
      <c r="O105" s="201">
        <v>0</v>
      </c>
      <c r="P105" s="201">
        <v>0</v>
      </c>
      <c r="Q105" s="201">
        <v>0</v>
      </c>
      <c r="R105" s="201">
        <v>0</v>
      </c>
      <c r="S105" s="201">
        <v>0</v>
      </c>
      <c r="T105" s="201">
        <v>0</v>
      </c>
      <c r="U105" s="201">
        <v>0.92046964499999995</v>
      </c>
      <c r="V105" s="201">
        <v>4.4463466499999997</v>
      </c>
      <c r="W105" s="201">
        <v>0.85320811500000004</v>
      </c>
      <c r="X105" s="201">
        <v>0.56199414000000003</v>
      </c>
    </row>
    <row r="106" spans="4:50" x14ac:dyDescent="0.3">
      <c r="D106" s="10" t="s">
        <v>308</v>
      </c>
      <c r="E106" s="2">
        <v>1</v>
      </c>
      <c r="F106" s="2">
        <v>2</v>
      </c>
      <c r="G106" s="2">
        <v>3</v>
      </c>
      <c r="H106" s="2">
        <v>4</v>
      </c>
      <c r="I106" s="2">
        <v>5</v>
      </c>
      <c r="J106" s="2">
        <v>6</v>
      </c>
      <c r="K106" s="2">
        <v>7</v>
      </c>
      <c r="L106" s="2">
        <v>8</v>
      </c>
      <c r="M106" s="2">
        <v>9</v>
      </c>
      <c r="N106" s="2">
        <v>10</v>
      </c>
      <c r="O106" s="2">
        <v>11</v>
      </c>
      <c r="P106" s="2">
        <v>12</v>
      </c>
      <c r="Q106" s="2">
        <v>13</v>
      </c>
      <c r="R106" s="2">
        <v>14</v>
      </c>
      <c r="S106" s="2">
        <v>15</v>
      </c>
      <c r="T106" s="2">
        <v>16</v>
      </c>
      <c r="U106" s="2">
        <v>17</v>
      </c>
      <c r="V106" s="2">
        <v>18</v>
      </c>
      <c r="W106" s="2">
        <v>19</v>
      </c>
      <c r="X106" s="2">
        <v>20</v>
      </c>
      <c r="Z106" s="11" t="s">
        <v>462</v>
      </c>
      <c r="AA106" s="11" t="s">
        <v>463</v>
      </c>
      <c r="AD106" s="10" t="s">
        <v>260</v>
      </c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01"/>
      <c r="AX106" s="201"/>
    </row>
    <row r="107" spans="4:50" x14ac:dyDescent="0.3">
      <c r="D107" s="6">
        <v>1</v>
      </c>
      <c r="E107" s="201">
        <f>IF($D107-E$106&lt;$G$17,IF($B$23=0,1/$G$17,($B$23*(1+$B$23)^$G$17)/((1+$B$23)^$G$17-1)),0)</f>
        <v>0.26902704519308257</v>
      </c>
      <c r="F107" s="201">
        <v>0</v>
      </c>
      <c r="G107" s="201">
        <v>0</v>
      </c>
      <c r="H107" s="201">
        <v>0</v>
      </c>
      <c r="I107" s="201">
        <v>0</v>
      </c>
      <c r="J107" s="201">
        <v>0</v>
      </c>
      <c r="K107" s="201">
        <v>0</v>
      </c>
      <c r="L107" s="201">
        <v>0</v>
      </c>
      <c r="M107" s="201">
        <v>0</v>
      </c>
      <c r="N107" s="201">
        <v>0</v>
      </c>
      <c r="O107" s="201">
        <v>0</v>
      </c>
      <c r="P107" s="201">
        <v>0</v>
      </c>
      <c r="Q107" s="201">
        <v>0</v>
      </c>
      <c r="R107" s="201">
        <v>0</v>
      </c>
      <c r="S107" s="201">
        <v>0</v>
      </c>
      <c r="T107" s="201">
        <v>0</v>
      </c>
      <c r="U107" s="201">
        <v>0</v>
      </c>
      <c r="V107" s="201">
        <v>0</v>
      </c>
      <c r="W107" s="201">
        <v>0</v>
      </c>
      <c r="X107" s="201">
        <v>0</v>
      </c>
      <c r="Y107" s="201"/>
      <c r="Z107" s="201">
        <f t="array" ref="Z107:Z136">MMULT(E107:X136,TRANSPOSE(E105:X105))</f>
        <v>4.206103338071249E-3</v>
      </c>
      <c r="AA107" s="201">
        <f>Z107*(1/(1+$B$22)^(D107-1))</f>
        <v>4.206103338071249E-3</v>
      </c>
      <c r="AD107" s="10" t="s">
        <v>308</v>
      </c>
      <c r="AE107" s="2">
        <v>1</v>
      </c>
      <c r="AF107" s="2">
        <v>2</v>
      </c>
      <c r="AG107" s="2">
        <v>3</v>
      </c>
      <c r="AH107" s="2">
        <v>4</v>
      </c>
      <c r="AI107" s="2">
        <v>5</v>
      </c>
      <c r="AJ107" s="2">
        <v>6</v>
      </c>
      <c r="AK107" s="2">
        <v>7</v>
      </c>
      <c r="AL107" s="2">
        <v>8</v>
      </c>
      <c r="AM107" s="2">
        <v>9</v>
      </c>
      <c r="AN107" s="2">
        <v>10</v>
      </c>
      <c r="AO107" s="2">
        <v>11</v>
      </c>
      <c r="AP107" s="2">
        <v>12</v>
      </c>
      <c r="AQ107" s="2">
        <v>13</v>
      </c>
      <c r="AR107" s="2">
        <v>14</v>
      </c>
      <c r="AS107" s="2">
        <v>15</v>
      </c>
      <c r="AT107" s="2">
        <v>16</v>
      </c>
      <c r="AU107" s="2">
        <v>17</v>
      </c>
      <c r="AV107" s="2">
        <v>18</v>
      </c>
      <c r="AW107" s="2">
        <v>19</v>
      </c>
      <c r="AX107" s="2">
        <v>20</v>
      </c>
    </row>
    <row r="108" spans="4:50" x14ac:dyDescent="0.3">
      <c r="D108" s="6">
        <v>2</v>
      </c>
      <c r="E108" s="201">
        <f t="shared" ref="E108:T134" si="7">IF($D108-E$106&lt;$G$17,IF($B$23=0,1/$G$17,($B$23*(1+$B$23)^$G$17)/((1+$B$23)^$G$17-1)),0)</f>
        <v>0.26902704519308257</v>
      </c>
      <c r="F108" s="201">
        <f>IF($D108-F$106&lt;$G$17,IF($B$23=0,1/$G$17,($B$23*(1+$B$23)^$G$17)/((1+$B$23)^$G$17-1)),0)</f>
        <v>0.26902704519308257</v>
      </c>
      <c r="G108" s="201">
        <v>0</v>
      </c>
      <c r="H108" s="201">
        <v>0</v>
      </c>
      <c r="I108" s="201">
        <v>0</v>
      </c>
      <c r="J108" s="201">
        <v>0</v>
      </c>
      <c r="K108" s="201">
        <v>0</v>
      </c>
      <c r="L108" s="201">
        <v>0</v>
      </c>
      <c r="M108" s="201">
        <v>0</v>
      </c>
      <c r="N108" s="201">
        <v>0</v>
      </c>
      <c r="O108" s="201">
        <v>0</v>
      </c>
      <c r="P108" s="201">
        <v>0</v>
      </c>
      <c r="Q108" s="201">
        <v>0</v>
      </c>
      <c r="R108" s="201">
        <v>0</v>
      </c>
      <c r="S108" s="201">
        <v>0</v>
      </c>
      <c r="T108" s="201">
        <v>0</v>
      </c>
      <c r="U108" s="201">
        <v>0</v>
      </c>
      <c r="V108" s="201">
        <v>0</v>
      </c>
      <c r="W108" s="201">
        <v>0</v>
      </c>
      <c r="X108" s="201">
        <v>0</v>
      </c>
      <c r="Y108" s="201"/>
      <c r="Z108" s="201">
        <v>3.49476946593031E-2</v>
      </c>
      <c r="AA108" s="201">
        <f t="shared" ref="AA108:AA136" si="8">Z108*(1/(1+$B$22)^(D108-1))</f>
        <v>3.3283518723145805E-2</v>
      </c>
      <c r="AD108" s="6">
        <v>1</v>
      </c>
      <c r="AE108" s="10">
        <f>ROUND(_xlfn.WEIBULL.DIST(COUNTA($AD$108:$AD108),$B$24,$G$16,FALSE),3)</f>
        <v>1E-3</v>
      </c>
      <c r="AF108" s="201">
        <v>0</v>
      </c>
      <c r="AG108" s="201">
        <v>0</v>
      </c>
      <c r="AH108" s="201">
        <v>0</v>
      </c>
      <c r="AI108" s="201">
        <v>0</v>
      </c>
      <c r="AJ108" s="201">
        <v>0</v>
      </c>
      <c r="AK108" s="201">
        <v>0</v>
      </c>
      <c r="AL108" s="201">
        <v>0</v>
      </c>
      <c r="AM108" s="201">
        <v>0</v>
      </c>
      <c r="AN108" s="201">
        <v>0</v>
      </c>
      <c r="AO108" s="201">
        <v>0</v>
      </c>
      <c r="AP108" s="201">
        <v>0</v>
      </c>
      <c r="AQ108" s="201">
        <v>0</v>
      </c>
      <c r="AR108" s="201">
        <v>0</v>
      </c>
      <c r="AS108" s="201">
        <v>0</v>
      </c>
      <c r="AT108" s="201">
        <v>0</v>
      </c>
      <c r="AU108" s="201">
        <v>0</v>
      </c>
      <c r="AV108" s="201">
        <v>0</v>
      </c>
      <c r="AW108" s="201">
        <v>0</v>
      </c>
      <c r="AX108" s="201">
        <v>0</v>
      </c>
    </row>
    <row r="109" spans="4:50" x14ac:dyDescent="0.3">
      <c r="D109" s="6">
        <v>3</v>
      </c>
      <c r="E109" s="201">
        <f t="shared" si="7"/>
        <v>0.26902704519308257</v>
      </c>
      <c r="F109" s="201">
        <f t="shared" si="7"/>
        <v>0.26902704519308257</v>
      </c>
      <c r="G109" s="201">
        <f>IF($D109-G$106&lt;$G$17,IF($B$23=0,1/$G$17,($B$23*(1+$B$23)^$G$17)/((1+$B$23)^$G$17-1)),0)</f>
        <v>0.26902704519308257</v>
      </c>
      <c r="H109" s="201">
        <v>0</v>
      </c>
      <c r="I109" s="201">
        <v>0</v>
      </c>
      <c r="J109" s="201">
        <v>0</v>
      </c>
      <c r="K109" s="201">
        <v>0</v>
      </c>
      <c r="L109" s="201">
        <v>0</v>
      </c>
      <c r="M109" s="201">
        <v>0</v>
      </c>
      <c r="N109" s="201">
        <v>0</v>
      </c>
      <c r="O109" s="201">
        <v>0</v>
      </c>
      <c r="P109" s="201">
        <v>0</v>
      </c>
      <c r="Q109" s="201">
        <v>0</v>
      </c>
      <c r="R109" s="201">
        <v>0</v>
      </c>
      <c r="S109" s="201">
        <v>0</v>
      </c>
      <c r="T109" s="201">
        <v>0</v>
      </c>
      <c r="U109" s="201">
        <v>0</v>
      </c>
      <c r="V109" s="201">
        <v>0</v>
      </c>
      <c r="W109" s="201">
        <v>0</v>
      </c>
      <c r="X109" s="201">
        <v>0</v>
      </c>
      <c r="Y109" s="201"/>
      <c r="Z109" s="201">
        <v>6.9009624228957067E-2</v>
      </c>
      <c r="AA109" s="201">
        <f t="shared" si="8"/>
        <v>6.2593763472976932E-2</v>
      </c>
      <c r="AD109" s="6">
        <v>2</v>
      </c>
      <c r="AE109" s="10">
        <f>ROUND(_xlfn.WEIBULL.DIST(COUNTA($AD$108:$AD109),$B$24,$G$16,FALSE),3)</f>
        <v>8.0000000000000002E-3</v>
      </c>
      <c r="AF109" s="10">
        <f>ROUND(_xlfn.WEIBULL.DIST(COUNTA($AD$109:$AD109),$B$24,$G$16,FALSE),3)</f>
        <v>1E-3</v>
      </c>
      <c r="AG109" s="201">
        <v>0</v>
      </c>
      <c r="AH109" s="201">
        <v>0</v>
      </c>
      <c r="AI109" s="201">
        <v>0</v>
      </c>
      <c r="AJ109" s="201">
        <v>0</v>
      </c>
      <c r="AK109" s="201">
        <v>0</v>
      </c>
      <c r="AL109" s="201">
        <v>0</v>
      </c>
      <c r="AM109" s="201">
        <v>0</v>
      </c>
      <c r="AN109" s="201">
        <v>0</v>
      </c>
      <c r="AO109" s="201">
        <v>0</v>
      </c>
      <c r="AP109" s="201">
        <v>0</v>
      </c>
      <c r="AQ109" s="201">
        <v>0</v>
      </c>
      <c r="AR109" s="201">
        <v>0</v>
      </c>
      <c r="AS109" s="201">
        <v>0</v>
      </c>
      <c r="AT109" s="201">
        <v>0</v>
      </c>
      <c r="AU109" s="201">
        <v>0</v>
      </c>
      <c r="AV109" s="201">
        <v>0</v>
      </c>
      <c r="AW109" s="201">
        <v>0</v>
      </c>
      <c r="AX109" s="201">
        <v>0</v>
      </c>
    </row>
    <row r="110" spans="4:50" x14ac:dyDescent="0.3">
      <c r="D110" s="6">
        <v>4</v>
      </c>
      <c r="E110" s="201">
        <f t="shared" si="7"/>
        <v>0.26902704519308257</v>
      </c>
      <c r="F110" s="201">
        <f t="shared" si="7"/>
        <v>0.26902704519308257</v>
      </c>
      <c r="G110" s="201">
        <f t="shared" si="7"/>
        <v>0.26902704519308257</v>
      </c>
      <c r="H110" s="201">
        <f>IF($D110-H$106&lt;$G$17,IF($B$23=0,1/$G$17,($B$23*(1+$B$23)^$G$17)/((1+$B$23)^$G$17-1)),0)</f>
        <v>0.26902704519308257</v>
      </c>
      <c r="I110" s="201">
        <v>0</v>
      </c>
      <c r="J110" s="201">
        <v>0</v>
      </c>
      <c r="K110" s="201">
        <v>0</v>
      </c>
      <c r="L110" s="201">
        <v>0</v>
      </c>
      <c r="M110" s="201">
        <v>0</v>
      </c>
      <c r="N110" s="201">
        <v>0</v>
      </c>
      <c r="O110" s="201">
        <v>0</v>
      </c>
      <c r="P110" s="201">
        <v>0</v>
      </c>
      <c r="Q110" s="201">
        <v>0</v>
      </c>
      <c r="R110" s="201">
        <v>0</v>
      </c>
      <c r="S110" s="201">
        <v>0</v>
      </c>
      <c r="T110" s="201">
        <v>0</v>
      </c>
      <c r="U110" s="201">
        <v>0</v>
      </c>
      <c r="V110" s="201">
        <v>0</v>
      </c>
      <c r="W110" s="201">
        <v>0</v>
      </c>
      <c r="X110" s="201">
        <v>0</v>
      </c>
      <c r="Y110" s="201"/>
      <c r="Z110" s="201">
        <v>0.10727979953355668</v>
      </c>
      <c r="AA110" s="201">
        <f t="shared" si="8"/>
        <v>9.2672324400005765E-2</v>
      </c>
      <c r="AD110" s="6">
        <v>3</v>
      </c>
      <c r="AE110" s="10">
        <f>ROUND(_xlfn.WEIBULL.DIST(COUNTA($AD$108:$AD110),$B$24,$G$16,FALSE),3)</f>
        <v>2.5999999999999999E-2</v>
      </c>
      <c r="AF110" s="10">
        <f>ROUND(_xlfn.WEIBULL.DIST(COUNTA($AD$109:$AD110),$B$24,$G$16,FALSE),3)</f>
        <v>8.0000000000000002E-3</v>
      </c>
      <c r="AG110" s="10">
        <f>ROUND(_xlfn.WEIBULL.DIST(COUNTA($AD$110:$AD110),$B$24,$G$16,FALSE),3)</f>
        <v>1E-3</v>
      </c>
      <c r="AH110" s="201">
        <v>0</v>
      </c>
      <c r="AI110" s="201">
        <v>0</v>
      </c>
      <c r="AJ110" s="201">
        <v>0</v>
      </c>
      <c r="AK110" s="201">
        <v>0</v>
      </c>
      <c r="AL110" s="201">
        <v>0</v>
      </c>
      <c r="AM110" s="201">
        <v>0</v>
      </c>
      <c r="AN110" s="201">
        <v>0</v>
      </c>
      <c r="AO110" s="201">
        <v>0</v>
      </c>
      <c r="AP110" s="201">
        <v>0</v>
      </c>
      <c r="AQ110" s="201">
        <v>0</v>
      </c>
      <c r="AR110" s="201">
        <v>0</v>
      </c>
      <c r="AS110" s="201">
        <v>0</v>
      </c>
      <c r="AT110" s="201">
        <v>0</v>
      </c>
      <c r="AU110" s="201">
        <v>0</v>
      </c>
      <c r="AV110" s="201">
        <v>0</v>
      </c>
      <c r="AW110" s="201">
        <v>0</v>
      </c>
      <c r="AX110" s="201">
        <v>0</v>
      </c>
    </row>
    <row r="111" spans="4:50" x14ac:dyDescent="0.3">
      <c r="D111" s="6">
        <v>5</v>
      </c>
      <c r="E111" s="201">
        <f t="shared" si="7"/>
        <v>0</v>
      </c>
      <c r="F111" s="201">
        <f t="shared" si="7"/>
        <v>0.26902704519308257</v>
      </c>
      <c r="G111" s="201">
        <f t="shared" si="7"/>
        <v>0.26902704519308257</v>
      </c>
      <c r="H111" s="201">
        <f t="shared" si="7"/>
        <v>0.26902704519308257</v>
      </c>
      <c r="I111" s="201">
        <f>IF($D111-I$106&lt;$G$17,IF($B$23=0,1/$G$17,($B$23*(1+$B$23)^$G$17)/((1+$B$23)^$G$17-1)),0)</f>
        <v>0.26902704519308257</v>
      </c>
      <c r="J111" s="201">
        <v>0</v>
      </c>
      <c r="K111" s="201">
        <v>0</v>
      </c>
      <c r="L111" s="201">
        <v>0</v>
      </c>
      <c r="M111" s="201">
        <v>0</v>
      </c>
      <c r="N111" s="201">
        <v>0</v>
      </c>
      <c r="O111" s="201">
        <v>0</v>
      </c>
      <c r="P111" s="201">
        <v>0</v>
      </c>
      <c r="Q111" s="201">
        <v>0</v>
      </c>
      <c r="R111" s="201">
        <v>0</v>
      </c>
      <c r="S111" s="201">
        <v>0</v>
      </c>
      <c r="T111" s="201">
        <v>0</v>
      </c>
      <c r="U111" s="201">
        <v>0</v>
      </c>
      <c r="V111" s="201">
        <v>0</v>
      </c>
      <c r="W111" s="201">
        <v>0</v>
      </c>
      <c r="X111" s="201">
        <v>0</v>
      </c>
      <c r="Y111" s="201"/>
      <c r="Z111" s="201">
        <v>0.14699928876966989</v>
      </c>
      <c r="AA111" s="201">
        <f t="shared" si="8"/>
        <v>0.12093667866345392</v>
      </c>
      <c r="AD111" s="6">
        <v>4</v>
      </c>
      <c r="AE111" s="10">
        <f>ROUND(_xlfn.WEIBULL.DIST(COUNTA($AD$108:$AD111),$B$24,$G$16,FALSE),3)</f>
        <v>5.8999999999999997E-2</v>
      </c>
      <c r="AF111" s="10">
        <f>ROUND(_xlfn.WEIBULL.DIST(COUNTA($AD$109:$AD111),$B$24,$G$16,FALSE),3)</f>
        <v>2.5999999999999999E-2</v>
      </c>
      <c r="AG111" s="10">
        <f>ROUND(_xlfn.WEIBULL.DIST(COUNTA($AD$110:$AD111),$B$24,$G$16,FALSE),3)</f>
        <v>8.0000000000000002E-3</v>
      </c>
      <c r="AH111" s="10">
        <f>ROUND(_xlfn.WEIBULL.DIST(COUNTA($AD$111:$AD111),$B$24,$G$16,FALSE),3)</f>
        <v>1E-3</v>
      </c>
      <c r="AI111" s="201">
        <v>0</v>
      </c>
      <c r="AJ111" s="201">
        <v>0</v>
      </c>
      <c r="AK111" s="201">
        <v>0</v>
      </c>
      <c r="AL111" s="201">
        <v>0</v>
      </c>
      <c r="AM111" s="201">
        <v>0</v>
      </c>
      <c r="AN111" s="201">
        <v>0</v>
      </c>
      <c r="AO111" s="201">
        <v>0</v>
      </c>
      <c r="AP111" s="201">
        <v>0</v>
      </c>
      <c r="AQ111" s="201">
        <v>0</v>
      </c>
      <c r="AR111" s="201">
        <v>0</v>
      </c>
      <c r="AS111" s="201">
        <v>0</v>
      </c>
      <c r="AT111" s="201">
        <v>0</v>
      </c>
      <c r="AU111" s="201">
        <v>0</v>
      </c>
      <c r="AV111" s="201">
        <v>0</v>
      </c>
      <c r="AW111" s="201">
        <v>0</v>
      </c>
      <c r="AX111" s="201">
        <v>0</v>
      </c>
    </row>
    <row r="112" spans="4:50" x14ac:dyDescent="0.3">
      <c r="D112" s="6">
        <v>6</v>
      </c>
      <c r="E112" s="201">
        <f t="shared" si="7"/>
        <v>0</v>
      </c>
      <c r="F112" s="201">
        <f t="shared" si="7"/>
        <v>0</v>
      </c>
      <c r="G112" s="201">
        <f t="shared" si="7"/>
        <v>0.26902704519308257</v>
      </c>
      <c r="H112" s="201">
        <f t="shared" si="7"/>
        <v>0.26902704519308257</v>
      </c>
      <c r="I112" s="201">
        <f t="shared" si="7"/>
        <v>0.26902704519308257</v>
      </c>
      <c r="J112" s="201">
        <f>IF($D112-J$106&lt;$G$17,IF($B$23=0,1/$G$17,($B$23*(1+$B$23)^$G$17)/((1+$B$23)^$G$17-1)),0)</f>
        <v>0.26902704519308257</v>
      </c>
      <c r="K112" s="201">
        <v>0</v>
      </c>
      <c r="L112" s="201">
        <v>0</v>
      </c>
      <c r="M112" s="201">
        <v>0</v>
      </c>
      <c r="N112" s="201">
        <v>0</v>
      </c>
      <c r="O112" s="201">
        <v>0</v>
      </c>
      <c r="P112" s="201">
        <v>0</v>
      </c>
      <c r="Q112" s="201">
        <v>0</v>
      </c>
      <c r="R112" s="201">
        <v>0</v>
      </c>
      <c r="S112" s="201">
        <v>0</v>
      </c>
      <c r="T112" s="201">
        <v>0</v>
      </c>
      <c r="U112" s="201">
        <v>0</v>
      </c>
      <c r="V112" s="201">
        <v>0</v>
      </c>
      <c r="W112" s="201">
        <v>0</v>
      </c>
      <c r="X112" s="201">
        <v>0</v>
      </c>
      <c r="Y112" s="201"/>
      <c r="Z112" s="201">
        <v>0.16785700131808723</v>
      </c>
      <c r="AA112" s="201">
        <f t="shared" si="8"/>
        <v>0.13152035275765195</v>
      </c>
      <c r="AD112" s="6">
        <v>5</v>
      </c>
      <c r="AE112" s="10">
        <f>ROUND(_xlfn.WEIBULL.DIST(COUNTA($AD$108:$AD112),$B$24,$G$16,FALSE),3)</f>
        <v>0.105</v>
      </c>
      <c r="AF112" s="10">
        <f>ROUND(_xlfn.WEIBULL.DIST(COUNTA($AD$109:$AD112),$B$24,$G$16,FALSE),3)</f>
        <v>5.8999999999999997E-2</v>
      </c>
      <c r="AG112" s="10">
        <f>ROUND(_xlfn.WEIBULL.DIST(COUNTA($AD$110:$AD112),$B$24,$G$16,FALSE),3)</f>
        <v>2.5999999999999999E-2</v>
      </c>
      <c r="AH112" s="10">
        <f>ROUND(_xlfn.WEIBULL.DIST(COUNTA($AD$111:$AD112),$B$24,$G$16,FALSE),3)</f>
        <v>8.0000000000000002E-3</v>
      </c>
      <c r="AI112" s="10">
        <f>ROUND(_xlfn.WEIBULL.DIST(COUNTA($AD$112:$AD112),$B$24,$G$16,FALSE),3)</f>
        <v>1E-3</v>
      </c>
      <c r="AJ112" s="201">
        <v>0</v>
      </c>
      <c r="AK112" s="201">
        <v>0</v>
      </c>
      <c r="AL112" s="201">
        <v>0</v>
      </c>
      <c r="AM112" s="201">
        <v>0</v>
      </c>
      <c r="AN112" s="201">
        <v>0</v>
      </c>
      <c r="AO112" s="201">
        <v>0</v>
      </c>
      <c r="AP112" s="201">
        <v>0</v>
      </c>
      <c r="AQ112" s="201">
        <v>0</v>
      </c>
      <c r="AR112" s="201">
        <v>0</v>
      </c>
      <c r="AS112" s="201">
        <v>0</v>
      </c>
      <c r="AT112" s="201">
        <v>0</v>
      </c>
      <c r="AU112" s="201">
        <v>0</v>
      </c>
      <c r="AV112" s="201">
        <v>0</v>
      </c>
      <c r="AW112" s="201">
        <v>0</v>
      </c>
      <c r="AX112" s="201">
        <v>0</v>
      </c>
    </row>
    <row r="113" spans="4:50" x14ac:dyDescent="0.3">
      <c r="D113" s="6">
        <v>7</v>
      </c>
      <c r="E113" s="201">
        <f t="shared" si="7"/>
        <v>0</v>
      </c>
      <c r="F113" s="201">
        <f t="shared" si="7"/>
        <v>0</v>
      </c>
      <c r="G113" s="201">
        <f t="shared" si="7"/>
        <v>0</v>
      </c>
      <c r="H113" s="201">
        <f t="shared" si="7"/>
        <v>0.26902704519308257</v>
      </c>
      <c r="I113" s="201">
        <f t="shared" si="7"/>
        <v>0.26902704519308257</v>
      </c>
      <c r="J113" s="201">
        <f t="shared" si="7"/>
        <v>0.26902704519308257</v>
      </c>
      <c r="K113" s="201">
        <f>IF($D113-K$106&lt;$G$17,IF($B$23=0,1/$G$17,($B$23*(1+$B$23)^$G$17)/((1+$B$23)^$G$17-1)),0)</f>
        <v>0.26902704519308257</v>
      </c>
      <c r="L113" s="201">
        <v>0</v>
      </c>
      <c r="M113" s="201">
        <v>0</v>
      </c>
      <c r="N113" s="201">
        <v>0</v>
      </c>
      <c r="O113" s="201">
        <v>0</v>
      </c>
      <c r="P113" s="201">
        <v>0</v>
      </c>
      <c r="Q113" s="201">
        <v>0</v>
      </c>
      <c r="R113" s="201">
        <v>0</v>
      </c>
      <c r="S113" s="201">
        <v>0</v>
      </c>
      <c r="T113" s="201">
        <v>0</v>
      </c>
      <c r="U113" s="201">
        <v>0</v>
      </c>
      <c r="V113" s="201">
        <v>0</v>
      </c>
      <c r="W113" s="201">
        <v>0</v>
      </c>
      <c r="X113" s="201">
        <v>0</v>
      </c>
      <c r="Y113" s="201"/>
      <c r="Z113" s="201">
        <v>0.3620786973200455</v>
      </c>
      <c r="AA113" s="201">
        <f t="shared" si="8"/>
        <v>0.2701886987343512</v>
      </c>
      <c r="AD113" s="6">
        <v>6</v>
      </c>
      <c r="AE113" s="10">
        <f>ROUND(_xlfn.WEIBULL.DIST(COUNTA($AD$108:$AD113),$B$24,$G$16,FALSE),3)</f>
        <v>0.154</v>
      </c>
      <c r="AF113" s="10">
        <f>ROUND(_xlfn.WEIBULL.DIST(COUNTA($AD$109:$AD113),$B$24,$G$16,FALSE),3)</f>
        <v>0.105</v>
      </c>
      <c r="AG113" s="10">
        <f>ROUND(_xlfn.WEIBULL.DIST(COUNTA($AD$110:$AD113),$B$24,$G$16,FALSE),3)</f>
        <v>5.8999999999999997E-2</v>
      </c>
      <c r="AH113" s="10">
        <f>ROUND(_xlfn.WEIBULL.DIST(COUNTA($AD$111:$AD113),$B$24,$G$16,FALSE),3)</f>
        <v>2.5999999999999999E-2</v>
      </c>
      <c r="AI113" s="10">
        <f>ROUND(_xlfn.WEIBULL.DIST(COUNTA($AD$112:$AD113),$B$24,$G$16,FALSE),3)</f>
        <v>8.0000000000000002E-3</v>
      </c>
      <c r="AJ113" s="10">
        <f>ROUND(_xlfn.WEIBULL.DIST(COUNTA($AD$113:$AD113),$B$24,$G$16,FALSE),3)</f>
        <v>1E-3</v>
      </c>
      <c r="AK113" s="201">
        <v>0</v>
      </c>
      <c r="AL113" s="201">
        <v>0</v>
      </c>
      <c r="AM113" s="201">
        <v>0</v>
      </c>
      <c r="AN113" s="201">
        <v>0</v>
      </c>
      <c r="AO113" s="201">
        <v>0</v>
      </c>
      <c r="AP113" s="201">
        <v>0</v>
      </c>
      <c r="AQ113" s="201">
        <v>0</v>
      </c>
      <c r="AR113" s="201">
        <v>0</v>
      </c>
      <c r="AS113" s="201">
        <v>0</v>
      </c>
      <c r="AT113" s="201">
        <v>0</v>
      </c>
      <c r="AU113" s="201">
        <v>0</v>
      </c>
      <c r="AV113" s="201">
        <v>0</v>
      </c>
      <c r="AW113" s="201">
        <v>0</v>
      </c>
      <c r="AX113" s="201">
        <v>0</v>
      </c>
    </row>
    <row r="114" spans="4:50" x14ac:dyDescent="0.3">
      <c r="D114" s="6">
        <v>8</v>
      </c>
      <c r="E114" s="201">
        <f t="shared" si="7"/>
        <v>0</v>
      </c>
      <c r="F114" s="201">
        <f t="shared" si="7"/>
        <v>0</v>
      </c>
      <c r="G114" s="201">
        <f t="shared" si="7"/>
        <v>0</v>
      </c>
      <c r="H114" s="201">
        <f t="shared" si="7"/>
        <v>0</v>
      </c>
      <c r="I114" s="201">
        <f t="shared" si="7"/>
        <v>0.26902704519308257</v>
      </c>
      <c r="J114" s="201">
        <f t="shared" si="7"/>
        <v>0.26902704519308257</v>
      </c>
      <c r="K114" s="201">
        <f t="shared" si="7"/>
        <v>0.26902704519308257</v>
      </c>
      <c r="L114" s="201">
        <f>IF($D114-L$106&lt;$G$17,IF($B$23=0,1/$G$17,($B$23*(1+$B$23)^$G$17)/((1+$B$23)^$G$17-1)),0)</f>
        <v>0.26902704519308257</v>
      </c>
      <c r="M114" s="201">
        <v>0</v>
      </c>
      <c r="N114" s="201">
        <v>0</v>
      </c>
      <c r="O114" s="201">
        <v>0</v>
      </c>
      <c r="P114" s="201">
        <v>0</v>
      </c>
      <c r="Q114" s="201">
        <v>0</v>
      </c>
      <c r="R114" s="201">
        <v>0</v>
      </c>
      <c r="S114" s="201">
        <v>0</v>
      </c>
      <c r="T114" s="201">
        <v>0</v>
      </c>
      <c r="U114" s="201">
        <v>0</v>
      </c>
      <c r="V114" s="201">
        <v>0</v>
      </c>
      <c r="W114" s="201">
        <v>0</v>
      </c>
      <c r="X114" s="201">
        <v>0</v>
      </c>
      <c r="Y114" s="201"/>
      <c r="Z114" s="201">
        <v>0.32380852201544591</v>
      </c>
      <c r="AA114" s="201">
        <f t="shared" si="8"/>
        <v>0.23012467113340582</v>
      </c>
      <c r="AD114" s="6">
        <v>7</v>
      </c>
      <c r="AE114" s="10">
        <f>ROUND(_xlfn.WEIBULL.DIST(COUNTA($AD$108:$AD114),$B$24,$G$16,FALSE),3)</f>
        <v>0.186</v>
      </c>
      <c r="AF114" s="10">
        <f>ROUND(_xlfn.WEIBULL.DIST(COUNTA($AD$109:$AD114),$B$24,$G$16,FALSE),3)</f>
        <v>0.154</v>
      </c>
      <c r="AG114" s="10">
        <f>ROUND(_xlfn.WEIBULL.DIST(COUNTA($AD$110:$AD114),$B$24,$G$16,FALSE),3)</f>
        <v>0.105</v>
      </c>
      <c r="AH114" s="10">
        <f>ROUND(_xlfn.WEIBULL.DIST(COUNTA($AD$111:$AD114),$B$24,$G$16,FALSE),3)</f>
        <v>5.8999999999999997E-2</v>
      </c>
      <c r="AI114" s="10">
        <f>ROUND(_xlfn.WEIBULL.DIST(COUNTA($AD$112:$AD114),$B$24,$G$16,FALSE),3)</f>
        <v>2.5999999999999999E-2</v>
      </c>
      <c r="AJ114" s="10">
        <f>ROUND(_xlfn.WEIBULL.DIST(COUNTA($AD$113:$AD114),$B$24,$G$16,FALSE),3)</f>
        <v>8.0000000000000002E-3</v>
      </c>
      <c r="AK114" s="10">
        <f>ROUND(_xlfn.WEIBULL.DIST(COUNTA($AD$114:$AD114),$B$24,$G$16,FALSE),3)</f>
        <v>1E-3</v>
      </c>
      <c r="AL114" s="201">
        <v>0</v>
      </c>
      <c r="AM114" s="201">
        <v>0</v>
      </c>
      <c r="AN114" s="201">
        <v>0</v>
      </c>
      <c r="AO114" s="201">
        <v>0</v>
      </c>
      <c r="AP114" s="201">
        <v>0</v>
      </c>
      <c r="AQ114" s="201">
        <v>0</v>
      </c>
      <c r="AR114" s="201">
        <v>0</v>
      </c>
      <c r="AS114" s="201">
        <v>0</v>
      </c>
      <c r="AT114" s="201">
        <v>0</v>
      </c>
      <c r="AU114" s="201">
        <v>0</v>
      </c>
      <c r="AV114" s="201">
        <v>0</v>
      </c>
      <c r="AW114" s="201">
        <v>0</v>
      </c>
      <c r="AX114" s="201">
        <v>0</v>
      </c>
    </row>
    <row r="115" spans="4:50" x14ac:dyDescent="0.3">
      <c r="D115" s="6">
        <v>9</v>
      </c>
      <c r="E115" s="201">
        <f t="shared" si="7"/>
        <v>0</v>
      </c>
      <c r="F115" s="201">
        <f t="shared" si="7"/>
        <v>0</v>
      </c>
      <c r="G115" s="201">
        <f t="shared" si="7"/>
        <v>0</v>
      </c>
      <c r="H115" s="201">
        <f t="shared" si="7"/>
        <v>0</v>
      </c>
      <c r="I115" s="201">
        <f t="shared" si="7"/>
        <v>0</v>
      </c>
      <c r="J115" s="201">
        <f t="shared" si="7"/>
        <v>0.26902704519308257</v>
      </c>
      <c r="K115" s="201">
        <f t="shared" si="7"/>
        <v>0.26902704519308257</v>
      </c>
      <c r="L115" s="201">
        <f t="shared" si="7"/>
        <v>0.26902704519308257</v>
      </c>
      <c r="M115" s="201">
        <f>IF($D115-M$106&lt;$G$17,IF($B$23=0,1/$G$17,($B$23*(1+$B$23)^$G$17)/((1+$B$23)^$G$17-1)),0)</f>
        <v>0.26902704519308257</v>
      </c>
      <c r="N115" s="201">
        <v>0</v>
      </c>
      <c r="O115" s="201">
        <v>0</v>
      </c>
      <c r="P115" s="201">
        <v>0</v>
      </c>
      <c r="Q115" s="201">
        <v>0</v>
      </c>
      <c r="R115" s="201">
        <v>0</v>
      </c>
      <c r="S115" s="201">
        <v>0</v>
      </c>
      <c r="T115" s="201">
        <v>0</v>
      </c>
      <c r="U115" s="201">
        <v>0</v>
      </c>
      <c r="V115" s="201">
        <v>0</v>
      </c>
      <c r="W115" s="201">
        <v>0</v>
      </c>
      <c r="X115" s="201">
        <v>0</v>
      </c>
      <c r="Y115" s="201"/>
      <c r="Z115" s="201">
        <v>0.27988292944126147</v>
      </c>
      <c r="AA115" s="201">
        <f t="shared" si="8"/>
        <v>0.18943578340574349</v>
      </c>
      <c r="AD115" s="6">
        <v>8</v>
      </c>
      <c r="AE115" s="10">
        <f>ROUND(_xlfn.WEIBULL.DIST(COUNTA($AD$108:$AD115),$B$24,$G$16,FALSE),3)</f>
        <v>0.184</v>
      </c>
      <c r="AF115" s="10">
        <f>ROUND(_xlfn.WEIBULL.DIST(COUNTA($AD$109:$AD115),$B$24,$G$16,FALSE),3)</f>
        <v>0.186</v>
      </c>
      <c r="AG115" s="10">
        <f>ROUND(_xlfn.WEIBULL.DIST(COUNTA($AD$110:$AD115),$B$24,$G$16,FALSE),3)</f>
        <v>0.154</v>
      </c>
      <c r="AH115" s="10">
        <f>ROUND(_xlfn.WEIBULL.DIST(COUNTA($AD$111:$AD115),$B$24,$G$16,FALSE),3)</f>
        <v>0.105</v>
      </c>
      <c r="AI115" s="10">
        <f>ROUND(_xlfn.WEIBULL.DIST(COUNTA($AD$112:$AD115),$B$24,$G$16,FALSE),3)</f>
        <v>5.8999999999999997E-2</v>
      </c>
      <c r="AJ115" s="10">
        <f>ROUND(_xlfn.WEIBULL.DIST(COUNTA($AD$113:$AD115),$B$24,$G$16,FALSE),3)</f>
        <v>2.5999999999999999E-2</v>
      </c>
      <c r="AK115" s="10">
        <f>ROUND(_xlfn.WEIBULL.DIST(COUNTA($AD$114:$AD115),$B$24,$G$16,FALSE),3)</f>
        <v>8.0000000000000002E-3</v>
      </c>
      <c r="AL115" s="10">
        <f>ROUND(_xlfn.WEIBULL.DIST(COUNTA($AD$115:$AD115),$B$24,$G$16,FALSE),3)</f>
        <v>1E-3</v>
      </c>
      <c r="AM115" s="201">
        <v>0</v>
      </c>
      <c r="AN115" s="201">
        <v>0</v>
      </c>
      <c r="AO115" s="201">
        <v>0</v>
      </c>
      <c r="AP115" s="201">
        <v>0</v>
      </c>
      <c r="AQ115" s="201">
        <v>0</v>
      </c>
      <c r="AR115" s="201">
        <v>0</v>
      </c>
      <c r="AS115" s="201">
        <v>0</v>
      </c>
      <c r="AT115" s="201">
        <v>0</v>
      </c>
      <c r="AU115" s="201">
        <v>0</v>
      </c>
      <c r="AV115" s="201">
        <v>0</v>
      </c>
      <c r="AW115" s="201">
        <v>0</v>
      </c>
      <c r="AX115" s="201">
        <v>0</v>
      </c>
    </row>
    <row r="116" spans="4:50" x14ac:dyDescent="0.3">
      <c r="D116" s="6">
        <v>10</v>
      </c>
      <c r="E116" s="201">
        <f t="shared" si="7"/>
        <v>0</v>
      </c>
      <c r="F116" s="201">
        <f t="shared" si="7"/>
        <v>0</v>
      </c>
      <c r="G116" s="201">
        <f t="shared" si="7"/>
        <v>0</v>
      </c>
      <c r="H116" s="201">
        <f t="shared" si="7"/>
        <v>0</v>
      </c>
      <c r="I116" s="201">
        <f t="shared" si="7"/>
        <v>0</v>
      </c>
      <c r="J116" s="201">
        <f t="shared" si="7"/>
        <v>0</v>
      </c>
      <c r="K116" s="201">
        <f t="shared" si="7"/>
        <v>0.26902704519308257</v>
      </c>
      <c r="L116" s="201">
        <f t="shared" si="7"/>
        <v>0.26902704519308257</v>
      </c>
      <c r="M116" s="201">
        <f t="shared" si="7"/>
        <v>0.26902704519308257</v>
      </c>
      <c r="N116" s="201">
        <f>IF($D116-N$106&lt;$G$17,IF($B$23=0,1/$G$17,($B$23*(1+$B$23)^$G$17)/((1+$B$23)^$G$17-1)),0)</f>
        <v>0.26902704519308257</v>
      </c>
      <c r="O116" s="201">
        <v>0</v>
      </c>
      <c r="P116" s="201">
        <v>0</v>
      </c>
      <c r="Q116" s="201">
        <v>0</v>
      </c>
      <c r="R116" s="201">
        <v>0</v>
      </c>
      <c r="S116" s="201">
        <v>0</v>
      </c>
      <c r="T116" s="201">
        <v>0</v>
      </c>
      <c r="U116" s="201">
        <v>0</v>
      </c>
      <c r="V116" s="201">
        <v>0</v>
      </c>
      <c r="W116" s="201">
        <v>0</v>
      </c>
      <c r="X116" s="201">
        <v>0</v>
      </c>
      <c r="Y116" s="201"/>
      <c r="Z116" s="201">
        <v>0.22828362557161225</v>
      </c>
      <c r="AA116" s="201">
        <f t="shared" si="8"/>
        <v>0.1471536604699864</v>
      </c>
      <c r="AD116" s="6">
        <v>9</v>
      </c>
      <c r="AE116" s="10">
        <f>ROUND(_xlfn.WEIBULL.DIST(COUNTA($AD$108:$AD116),$B$24,$G$16,FALSE),3)</f>
        <v>0.14299999999999999</v>
      </c>
      <c r="AF116" s="10">
        <f>ROUND(_xlfn.WEIBULL.DIST(COUNTA($AD$109:$AD116),$B$24,$G$16,FALSE),3)</f>
        <v>0.184</v>
      </c>
      <c r="AG116" s="10">
        <f>ROUND(_xlfn.WEIBULL.DIST(COUNTA($AD$110:$AD116),$B$24,$G$16,FALSE),3)</f>
        <v>0.186</v>
      </c>
      <c r="AH116" s="10">
        <f>ROUND(_xlfn.WEIBULL.DIST(COUNTA($AD$111:$AD116),$B$24,$G$16,FALSE),3)</f>
        <v>0.154</v>
      </c>
      <c r="AI116" s="10">
        <f>ROUND(_xlfn.WEIBULL.DIST(COUNTA($AD$112:$AD116),$B$24,$G$16,FALSE),3)</f>
        <v>0.105</v>
      </c>
      <c r="AJ116" s="10">
        <f>ROUND(_xlfn.WEIBULL.DIST(COUNTA($AD$113:$AD116),$B$24,$G$16,FALSE),3)</f>
        <v>5.8999999999999997E-2</v>
      </c>
      <c r="AK116" s="10">
        <f>ROUND(_xlfn.WEIBULL.DIST(COUNTA($AD$114:$AD116),$B$24,$G$16,FALSE),3)</f>
        <v>2.5999999999999999E-2</v>
      </c>
      <c r="AL116" s="10">
        <f>ROUND(_xlfn.WEIBULL.DIST(COUNTA($AD$115:$AD116),$B$24,$G$16,FALSE),3)</f>
        <v>8.0000000000000002E-3</v>
      </c>
      <c r="AM116" s="10">
        <f>ROUND(_xlfn.WEIBULL.DIST(COUNTA($AD$116:$AD116),$B$24,$G$16,FALSE),3)</f>
        <v>1E-3</v>
      </c>
      <c r="AN116" s="201">
        <v>0</v>
      </c>
      <c r="AO116" s="201">
        <v>0</v>
      </c>
      <c r="AP116" s="201">
        <v>0</v>
      </c>
      <c r="AQ116" s="201">
        <v>0</v>
      </c>
      <c r="AR116" s="201">
        <v>0</v>
      </c>
      <c r="AS116" s="201">
        <v>0</v>
      </c>
      <c r="AT116" s="201">
        <v>0</v>
      </c>
      <c r="AU116" s="201">
        <v>0</v>
      </c>
      <c r="AV116" s="201">
        <v>0</v>
      </c>
      <c r="AW116" s="201">
        <v>0</v>
      </c>
      <c r="AX116" s="201">
        <v>0</v>
      </c>
    </row>
    <row r="117" spans="4:50" x14ac:dyDescent="0.3">
      <c r="D117" s="6">
        <v>11</v>
      </c>
      <c r="E117" s="201">
        <f t="shared" si="7"/>
        <v>0</v>
      </c>
      <c r="F117" s="201">
        <f t="shared" si="7"/>
        <v>0</v>
      </c>
      <c r="G117" s="201">
        <f t="shared" si="7"/>
        <v>0</v>
      </c>
      <c r="H117" s="201">
        <f t="shared" si="7"/>
        <v>0</v>
      </c>
      <c r="I117" s="201">
        <f t="shared" si="7"/>
        <v>0</v>
      </c>
      <c r="J117" s="201">
        <f t="shared" si="7"/>
        <v>0</v>
      </c>
      <c r="K117" s="201">
        <f t="shared" si="7"/>
        <v>0</v>
      </c>
      <c r="L117" s="201">
        <f t="shared" si="7"/>
        <v>0.26902704519308257</v>
      </c>
      <c r="M117" s="201">
        <f t="shared" si="7"/>
        <v>0.26902704519308257</v>
      </c>
      <c r="N117" s="201">
        <f t="shared" si="7"/>
        <v>0.26902704519308257</v>
      </c>
      <c r="O117" s="201">
        <f>IF($D117-O$106&lt;$G$17,IF($B$23=0,1/$G$17,($B$23*(1+$B$23)^$G$17)/((1+$B$23)^$G$17-1)),0)</f>
        <v>0.26902704519308257</v>
      </c>
      <c r="P117" s="201">
        <v>0</v>
      </c>
      <c r="Q117" s="201">
        <v>0</v>
      </c>
      <c r="R117" s="201">
        <v>0</v>
      </c>
      <c r="S117" s="201">
        <v>0</v>
      </c>
      <c r="T117" s="201">
        <v>0</v>
      </c>
      <c r="U117" s="201">
        <v>0</v>
      </c>
      <c r="V117" s="201">
        <v>0</v>
      </c>
      <c r="W117" s="201">
        <v>0</v>
      </c>
      <c r="X117" s="201">
        <v>0</v>
      </c>
      <c r="Y117" s="201"/>
      <c r="Z117" s="201">
        <v>0</v>
      </c>
      <c r="AA117" s="201">
        <f t="shared" si="8"/>
        <v>0</v>
      </c>
      <c r="AD117" s="6">
        <v>10</v>
      </c>
      <c r="AE117" s="10">
        <f>ROUND(_xlfn.WEIBULL.DIST(COUNTA($AD$108:$AD117),$B$24,$G$16,FALSE),3)</f>
        <v>8.5000000000000006E-2</v>
      </c>
      <c r="AF117" s="10">
        <f>ROUND(_xlfn.WEIBULL.DIST(COUNTA($AD$109:$AD117),$B$24,$G$16,FALSE),3)</f>
        <v>0.14299999999999999</v>
      </c>
      <c r="AG117" s="10">
        <f>ROUND(_xlfn.WEIBULL.DIST(COUNTA($AD$110:$AD117),$B$24,$G$16,FALSE),3)</f>
        <v>0.184</v>
      </c>
      <c r="AH117" s="10">
        <f>ROUND(_xlfn.WEIBULL.DIST(COUNTA($AD$111:$AD117),$B$24,$G$16,FALSE),3)</f>
        <v>0.186</v>
      </c>
      <c r="AI117" s="10">
        <f>ROUND(_xlfn.WEIBULL.DIST(COUNTA($AD$112:$AD117),$B$24,$G$16,FALSE),3)</f>
        <v>0.154</v>
      </c>
      <c r="AJ117" s="10">
        <f>ROUND(_xlfn.WEIBULL.DIST(COUNTA($AD$113:$AD117),$B$24,$G$16,FALSE),3)</f>
        <v>0.105</v>
      </c>
      <c r="AK117" s="10">
        <f>ROUND(_xlfn.WEIBULL.DIST(COUNTA($AD$114:$AD117),$B$24,$G$16,FALSE),3)</f>
        <v>5.8999999999999997E-2</v>
      </c>
      <c r="AL117" s="10">
        <f>ROUND(_xlfn.WEIBULL.DIST(COUNTA($AD$115:$AD117),$B$24,$G$16,FALSE),3)</f>
        <v>2.5999999999999999E-2</v>
      </c>
      <c r="AM117" s="10">
        <f>ROUND(_xlfn.WEIBULL.DIST(COUNTA($AD$116:$AD117),$B$24,$G$16,FALSE),3)</f>
        <v>8.0000000000000002E-3</v>
      </c>
      <c r="AN117" s="10">
        <f>ROUND(_xlfn.WEIBULL.DIST(COUNTA($AD$117:$AD117),$B$24,$G$16,FALSE),3)</f>
        <v>1E-3</v>
      </c>
      <c r="AO117" s="201">
        <v>0</v>
      </c>
      <c r="AP117" s="201">
        <v>0</v>
      </c>
      <c r="AQ117" s="201">
        <v>0</v>
      </c>
      <c r="AR117" s="201">
        <v>0</v>
      </c>
      <c r="AS117" s="201">
        <v>0</v>
      </c>
      <c r="AT117" s="201">
        <v>0</v>
      </c>
      <c r="AU117" s="201">
        <v>0</v>
      </c>
      <c r="AV117" s="201">
        <v>0</v>
      </c>
      <c r="AW117" s="201">
        <v>0</v>
      </c>
      <c r="AX117" s="201">
        <v>0</v>
      </c>
    </row>
    <row r="118" spans="4:50" x14ac:dyDescent="0.3">
      <c r="D118" s="6">
        <v>12</v>
      </c>
      <c r="E118" s="201">
        <f t="shared" si="7"/>
        <v>0</v>
      </c>
      <c r="F118" s="201">
        <f t="shared" si="7"/>
        <v>0</v>
      </c>
      <c r="G118" s="201">
        <f t="shared" si="7"/>
        <v>0</v>
      </c>
      <c r="H118" s="201">
        <f t="shared" si="7"/>
        <v>0</v>
      </c>
      <c r="I118" s="201">
        <f t="shared" si="7"/>
        <v>0</v>
      </c>
      <c r="J118" s="201">
        <f t="shared" si="7"/>
        <v>0</v>
      </c>
      <c r="K118" s="201">
        <f t="shared" si="7"/>
        <v>0</v>
      </c>
      <c r="L118" s="201">
        <f t="shared" si="7"/>
        <v>0</v>
      </c>
      <c r="M118" s="201">
        <f t="shared" si="7"/>
        <v>0.26902704519308257</v>
      </c>
      <c r="N118" s="201">
        <f t="shared" si="7"/>
        <v>0.26902704519308257</v>
      </c>
      <c r="O118" s="201">
        <f t="shared" si="7"/>
        <v>0.26902704519308257</v>
      </c>
      <c r="P118" s="201">
        <f>IF($D118-P$106&lt;$G$17,IF($B$23=0,1/$G$17,($B$23*(1+$B$23)^$G$17)/((1+$B$23)^$G$17-1)),0)</f>
        <v>0.26902704519308257</v>
      </c>
      <c r="Q118" s="201">
        <v>0</v>
      </c>
      <c r="R118" s="201">
        <v>0</v>
      </c>
      <c r="S118" s="201">
        <v>0</v>
      </c>
      <c r="T118" s="201">
        <v>0</v>
      </c>
      <c r="U118" s="201">
        <v>0</v>
      </c>
      <c r="V118" s="201">
        <v>0</v>
      </c>
      <c r="W118" s="201">
        <v>0</v>
      </c>
      <c r="X118" s="201">
        <v>0</v>
      </c>
      <c r="Y118" s="201"/>
      <c r="Z118" s="201">
        <v>0</v>
      </c>
      <c r="AA118" s="201">
        <f t="shared" si="8"/>
        <v>0</v>
      </c>
      <c r="AD118" s="6">
        <v>11</v>
      </c>
      <c r="AE118" s="10">
        <f>ROUND(_xlfn.WEIBULL.DIST(COUNTA($AD$108:$AD118),$B$24,$G$16,FALSE),3)</f>
        <v>3.5999999999999997E-2</v>
      </c>
      <c r="AF118" s="10">
        <f>ROUND(_xlfn.WEIBULL.DIST(COUNTA($AD$109:$AD118),$B$24,$G$16,FALSE),3)</f>
        <v>8.5000000000000006E-2</v>
      </c>
      <c r="AG118" s="10">
        <f>ROUND(_xlfn.WEIBULL.DIST(COUNTA($AD$110:$AD118),$B$24,$G$16,FALSE),3)</f>
        <v>0.14299999999999999</v>
      </c>
      <c r="AH118" s="10">
        <f>ROUND(_xlfn.WEIBULL.DIST(COUNTA($AD$111:$AD118),$B$24,$G$16,FALSE),3)</f>
        <v>0.184</v>
      </c>
      <c r="AI118" s="10">
        <f>ROUND(_xlfn.WEIBULL.DIST(COUNTA($AD$112:$AD118),$B$24,$G$16,FALSE),3)</f>
        <v>0.186</v>
      </c>
      <c r="AJ118" s="10">
        <f>ROUND(_xlfn.WEIBULL.DIST(COUNTA($AD$113:$AD118),$B$24,$G$16,FALSE),3)</f>
        <v>0.154</v>
      </c>
      <c r="AK118" s="10">
        <f>ROUND(_xlfn.WEIBULL.DIST(COUNTA($AD$114:$AD118),$B$24,$G$16,FALSE),3)</f>
        <v>0.105</v>
      </c>
      <c r="AL118" s="10">
        <f>ROUND(_xlfn.WEIBULL.DIST(COUNTA($AD$115:$AD118),$B$24,$G$16,FALSE),3)</f>
        <v>5.8999999999999997E-2</v>
      </c>
      <c r="AM118" s="10">
        <f>ROUND(_xlfn.WEIBULL.DIST(COUNTA($AD$116:$AD118),$B$24,$G$16,FALSE),3)</f>
        <v>2.5999999999999999E-2</v>
      </c>
      <c r="AN118" s="10">
        <f>ROUND(_xlfn.WEIBULL.DIST(COUNTA($AD$117:$AD118),$B$24,$G$16,FALSE),3)</f>
        <v>8.0000000000000002E-3</v>
      </c>
      <c r="AO118" s="10">
        <f>ROUND(_xlfn.WEIBULL.DIST(COUNTA($AD$118:$AD118),$B$24,$G$16,FALSE),3)</f>
        <v>1E-3</v>
      </c>
      <c r="AP118" s="201">
        <v>0</v>
      </c>
      <c r="AQ118" s="201">
        <v>0</v>
      </c>
      <c r="AR118" s="201">
        <v>0</v>
      </c>
      <c r="AS118" s="201">
        <v>0</v>
      </c>
      <c r="AT118" s="201">
        <v>0</v>
      </c>
      <c r="AU118" s="201">
        <v>0</v>
      </c>
      <c r="AV118" s="201">
        <v>0</v>
      </c>
      <c r="AW118" s="201">
        <v>0</v>
      </c>
      <c r="AX118" s="201">
        <v>0</v>
      </c>
    </row>
    <row r="119" spans="4:50" x14ac:dyDescent="0.3">
      <c r="D119" s="6">
        <v>13</v>
      </c>
      <c r="E119" s="201">
        <f t="shared" si="7"/>
        <v>0</v>
      </c>
      <c r="F119" s="201">
        <f t="shared" si="7"/>
        <v>0</v>
      </c>
      <c r="G119" s="201">
        <f t="shared" si="7"/>
        <v>0</v>
      </c>
      <c r="H119" s="201">
        <f t="shared" si="7"/>
        <v>0</v>
      </c>
      <c r="I119" s="201">
        <f t="shared" si="7"/>
        <v>0</v>
      </c>
      <c r="J119" s="201">
        <f t="shared" si="7"/>
        <v>0</v>
      </c>
      <c r="K119" s="201">
        <f t="shared" si="7"/>
        <v>0</v>
      </c>
      <c r="L119" s="201">
        <f t="shared" si="7"/>
        <v>0</v>
      </c>
      <c r="M119" s="201">
        <f t="shared" si="7"/>
        <v>0</v>
      </c>
      <c r="N119" s="201">
        <f t="shared" si="7"/>
        <v>0.26902704519308257</v>
      </c>
      <c r="O119" s="201">
        <f t="shared" si="7"/>
        <v>0.26902704519308257</v>
      </c>
      <c r="P119" s="201">
        <f t="shared" si="7"/>
        <v>0.26902704519308257</v>
      </c>
      <c r="Q119" s="201">
        <f>IF($D119-Q$106&lt;$G$17,IF($B$23=0,1/$G$17,($B$23*(1+$B$23)^$G$17)/((1+$B$23)^$G$17-1)),0)</f>
        <v>0.26902704519308257</v>
      </c>
      <c r="R119" s="201">
        <v>0</v>
      </c>
      <c r="S119" s="201">
        <v>0</v>
      </c>
      <c r="T119" s="201">
        <v>0</v>
      </c>
      <c r="U119" s="201">
        <v>0</v>
      </c>
      <c r="V119" s="201">
        <v>0</v>
      </c>
      <c r="W119" s="201">
        <v>0</v>
      </c>
      <c r="X119" s="201">
        <v>0</v>
      </c>
      <c r="Y119" s="201"/>
      <c r="Z119" s="201">
        <v>0</v>
      </c>
      <c r="AA119" s="201">
        <f t="shared" si="8"/>
        <v>0</v>
      </c>
      <c r="AD119" s="6">
        <v>12</v>
      </c>
      <c r="AE119" s="10">
        <f>ROUND(_xlfn.WEIBULL.DIST(COUNTA($AD$108:$AD119),$B$24,$G$16,FALSE),3)</f>
        <v>1.0999999999999999E-2</v>
      </c>
      <c r="AF119" s="10">
        <f>ROUND(_xlfn.WEIBULL.DIST(COUNTA($AD$109:$AD119),$B$24,$G$16,FALSE),3)</f>
        <v>3.5999999999999997E-2</v>
      </c>
      <c r="AG119" s="10">
        <f>ROUND(_xlfn.WEIBULL.DIST(COUNTA($AD$110:$AD119),$B$24,$G$16,FALSE),3)</f>
        <v>8.5000000000000006E-2</v>
      </c>
      <c r="AH119" s="10">
        <f>ROUND(_xlfn.WEIBULL.DIST(COUNTA($AD$111:$AD119),$B$24,$G$16,FALSE),3)</f>
        <v>0.14299999999999999</v>
      </c>
      <c r="AI119" s="10">
        <f>ROUND(_xlfn.WEIBULL.DIST(COUNTA($AD$112:$AD119),$B$24,$G$16,FALSE),3)</f>
        <v>0.184</v>
      </c>
      <c r="AJ119" s="10">
        <f>ROUND(_xlfn.WEIBULL.DIST(COUNTA($AD$113:$AD119),$B$24,$G$16,FALSE),3)</f>
        <v>0.186</v>
      </c>
      <c r="AK119" s="10">
        <f>ROUND(_xlfn.WEIBULL.DIST(COUNTA($AD$114:$AD119),$B$24,$G$16,FALSE),3)</f>
        <v>0.154</v>
      </c>
      <c r="AL119" s="10">
        <f>ROUND(_xlfn.WEIBULL.DIST(COUNTA($AD$115:$AD119),$B$24,$G$16,FALSE),3)</f>
        <v>0.105</v>
      </c>
      <c r="AM119" s="10">
        <f>ROUND(_xlfn.WEIBULL.DIST(COUNTA($AD$116:$AD119),$B$24,$G$16,FALSE),3)</f>
        <v>5.8999999999999997E-2</v>
      </c>
      <c r="AN119" s="10">
        <f>ROUND(_xlfn.WEIBULL.DIST(COUNTA($AD$117:$AD119),$B$24,$G$16,FALSE),3)</f>
        <v>2.5999999999999999E-2</v>
      </c>
      <c r="AO119" s="10">
        <f>ROUND(_xlfn.WEIBULL.DIST(COUNTA($AD$118:$AD119),$B$24,$G$16,FALSE),3)</f>
        <v>8.0000000000000002E-3</v>
      </c>
      <c r="AP119" s="10">
        <f>ROUND(_xlfn.WEIBULL.DIST(COUNTA($AD$119:$AD119),$B$24,$G$16,FALSE),3)</f>
        <v>1E-3</v>
      </c>
      <c r="AQ119" s="201">
        <v>0</v>
      </c>
      <c r="AR119" s="201">
        <v>0</v>
      </c>
      <c r="AS119" s="201">
        <v>0</v>
      </c>
      <c r="AT119" s="201">
        <v>0</v>
      </c>
      <c r="AU119" s="201">
        <v>0</v>
      </c>
      <c r="AV119" s="201">
        <v>0</v>
      </c>
      <c r="AW119" s="201">
        <v>0</v>
      </c>
      <c r="AX119" s="201">
        <v>0</v>
      </c>
    </row>
    <row r="120" spans="4:50" x14ac:dyDescent="0.3">
      <c r="D120" s="6">
        <v>14</v>
      </c>
      <c r="E120" s="201">
        <f t="shared" si="7"/>
        <v>0</v>
      </c>
      <c r="F120" s="201">
        <f t="shared" si="7"/>
        <v>0</v>
      </c>
      <c r="G120" s="201">
        <f t="shared" si="7"/>
        <v>0</v>
      </c>
      <c r="H120" s="201">
        <f t="shared" si="7"/>
        <v>0</v>
      </c>
      <c r="I120" s="201">
        <f t="shared" si="7"/>
        <v>0</v>
      </c>
      <c r="J120" s="201">
        <f t="shared" si="7"/>
        <v>0</v>
      </c>
      <c r="K120" s="201">
        <f t="shared" si="7"/>
        <v>0</v>
      </c>
      <c r="L120" s="201">
        <f t="shared" si="7"/>
        <v>0</v>
      </c>
      <c r="M120" s="201">
        <f t="shared" si="7"/>
        <v>0</v>
      </c>
      <c r="N120" s="201">
        <f t="shared" si="7"/>
        <v>0</v>
      </c>
      <c r="O120" s="201">
        <f t="shared" si="7"/>
        <v>0.26902704519308257</v>
      </c>
      <c r="P120" s="201">
        <f t="shared" si="7"/>
        <v>0.26902704519308257</v>
      </c>
      <c r="Q120" s="201">
        <f t="shared" si="7"/>
        <v>0.26902704519308257</v>
      </c>
      <c r="R120" s="201">
        <f>IF($D120-R$106&lt;$G$17,IF($B$23=0,1/$G$17,($B$23*(1+$B$23)^$G$17)/((1+$B$23)^$G$17-1)),0)</f>
        <v>0.26902704519308257</v>
      </c>
      <c r="S120" s="201">
        <v>0</v>
      </c>
      <c r="T120" s="201">
        <v>0</v>
      </c>
      <c r="U120" s="201">
        <v>0</v>
      </c>
      <c r="V120" s="201">
        <v>0</v>
      </c>
      <c r="W120" s="201">
        <v>0</v>
      </c>
      <c r="X120" s="201">
        <v>0</v>
      </c>
      <c r="Y120" s="201"/>
      <c r="Z120" s="201">
        <v>0</v>
      </c>
      <c r="AA120" s="201">
        <f t="shared" si="8"/>
        <v>0</v>
      </c>
      <c r="AD120" s="6">
        <v>13</v>
      </c>
      <c r="AE120" s="10">
        <f>ROUND(_xlfn.WEIBULL.DIST(COUNTA($AD$108:$AD120),$B$24,$G$16,FALSE),3)</f>
        <v>2E-3</v>
      </c>
      <c r="AF120" s="10">
        <f>ROUND(_xlfn.WEIBULL.DIST(COUNTA($AD$109:$AD120),$B$24,$G$16,FALSE),3)</f>
        <v>1.0999999999999999E-2</v>
      </c>
      <c r="AG120" s="10">
        <f>ROUND(_xlfn.WEIBULL.DIST(COUNTA($AD$110:$AD120),$B$24,$G$16,FALSE),3)</f>
        <v>3.5999999999999997E-2</v>
      </c>
      <c r="AH120" s="10">
        <f>ROUND(_xlfn.WEIBULL.DIST(COUNTA($AD$111:$AD120),$B$24,$G$16,FALSE),3)</f>
        <v>8.5000000000000006E-2</v>
      </c>
      <c r="AI120" s="10">
        <f>ROUND(_xlfn.WEIBULL.DIST(COUNTA($AD$112:$AD120),$B$24,$G$16,FALSE),3)</f>
        <v>0.14299999999999999</v>
      </c>
      <c r="AJ120" s="10">
        <f>ROUND(_xlfn.WEIBULL.DIST(COUNTA($AD$113:$AD120),$B$24,$G$16,FALSE),3)</f>
        <v>0.184</v>
      </c>
      <c r="AK120" s="10">
        <f>ROUND(_xlfn.WEIBULL.DIST(COUNTA($AD$114:$AD120),$B$24,$G$16,FALSE),3)</f>
        <v>0.186</v>
      </c>
      <c r="AL120" s="10">
        <f>ROUND(_xlfn.WEIBULL.DIST(COUNTA($AD$115:$AD120),$B$24,$G$16,FALSE),3)</f>
        <v>0.154</v>
      </c>
      <c r="AM120" s="10">
        <f>ROUND(_xlfn.WEIBULL.DIST(COUNTA($AD$116:$AD120),$B$24,$G$16,FALSE),3)</f>
        <v>0.105</v>
      </c>
      <c r="AN120" s="10">
        <f>ROUND(_xlfn.WEIBULL.DIST(COUNTA($AD$117:$AD120),$B$24,$G$16,FALSE),3)</f>
        <v>5.8999999999999997E-2</v>
      </c>
      <c r="AO120" s="10">
        <f>ROUND(_xlfn.WEIBULL.DIST(COUNTA($AD$118:$AD120),$B$24,$G$16,FALSE),3)</f>
        <v>2.5999999999999999E-2</v>
      </c>
      <c r="AP120" s="10">
        <f>ROUND(_xlfn.WEIBULL.DIST(COUNTA($AD$119:$AD120),$B$24,$G$16,FALSE),3)</f>
        <v>8.0000000000000002E-3</v>
      </c>
      <c r="AQ120" s="10">
        <f>ROUND(_xlfn.WEIBULL.DIST(COUNTA($AD$120:$AD120),$B$24,$G$16,FALSE),3)</f>
        <v>1E-3</v>
      </c>
      <c r="AR120" s="201">
        <v>0</v>
      </c>
      <c r="AS120" s="201">
        <v>0</v>
      </c>
      <c r="AT120" s="201">
        <v>0</v>
      </c>
      <c r="AU120" s="201">
        <v>0</v>
      </c>
      <c r="AV120" s="201">
        <v>0</v>
      </c>
      <c r="AW120" s="201">
        <v>0</v>
      </c>
      <c r="AX120" s="201">
        <v>0</v>
      </c>
    </row>
    <row r="121" spans="4:50" x14ac:dyDescent="0.3">
      <c r="D121" s="6">
        <v>15</v>
      </c>
      <c r="E121" s="201">
        <f t="shared" si="7"/>
        <v>0</v>
      </c>
      <c r="F121" s="201">
        <f t="shared" si="7"/>
        <v>0</v>
      </c>
      <c r="G121" s="201">
        <f t="shared" si="7"/>
        <v>0</v>
      </c>
      <c r="H121" s="201">
        <f t="shared" si="7"/>
        <v>0</v>
      </c>
      <c r="I121" s="201">
        <f t="shared" si="7"/>
        <v>0</v>
      </c>
      <c r="J121" s="201">
        <f t="shared" si="7"/>
        <v>0</v>
      </c>
      <c r="K121" s="201">
        <f t="shared" si="7"/>
        <v>0</v>
      </c>
      <c r="L121" s="201">
        <f t="shared" si="7"/>
        <v>0</v>
      </c>
      <c r="M121" s="201">
        <f t="shared" si="7"/>
        <v>0</v>
      </c>
      <c r="N121" s="201">
        <f t="shared" si="7"/>
        <v>0</v>
      </c>
      <c r="O121" s="201">
        <f t="shared" si="7"/>
        <v>0</v>
      </c>
      <c r="P121" s="201">
        <f t="shared" si="7"/>
        <v>0.26902704519308257</v>
      </c>
      <c r="Q121" s="201">
        <f t="shared" si="7"/>
        <v>0.26902704519308257</v>
      </c>
      <c r="R121" s="201">
        <f t="shared" si="7"/>
        <v>0.26902704519308257</v>
      </c>
      <c r="S121" s="201">
        <f>IF($D121-S$106&lt;$G$17,IF($B$23=0,1/$G$17,($B$23*(1+$B$23)^$G$17)/((1+$B$23)^$G$17-1)),0)</f>
        <v>0.26902704519308257</v>
      </c>
      <c r="T121" s="201">
        <v>0</v>
      </c>
      <c r="U121" s="201">
        <v>0</v>
      </c>
      <c r="V121" s="201">
        <v>0</v>
      </c>
      <c r="W121" s="201">
        <v>0</v>
      </c>
      <c r="X121" s="201">
        <v>0</v>
      </c>
      <c r="Y121" s="201"/>
      <c r="Z121" s="201">
        <v>0</v>
      </c>
      <c r="AA121" s="201">
        <f t="shared" si="8"/>
        <v>0</v>
      </c>
      <c r="AD121" s="6">
        <v>14</v>
      </c>
      <c r="AE121" s="10">
        <f>ROUND(_xlfn.WEIBULL.DIST(COUNTA($AD$108:$AD121),$B$24,$G$16,FALSE),3)</f>
        <v>0</v>
      </c>
      <c r="AF121" s="10">
        <f>ROUND(_xlfn.WEIBULL.DIST(COUNTA($AD$109:$AD121),$B$24,$G$16,FALSE),3)</f>
        <v>2E-3</v>
      </c>
      <c r="AG121" s="10">
        <f>ROUND(_xlfn.WEIBULL.DIST(COUNTA($AD$110:$AD121),$B$24,$G$16,FALSE),3)</f>
        <v>1.0999999999999999E-2</v>
      </c>
      <c r="AH121" s="10">
        <f>ROUND(_xlfn.WEIBULL.DIST(COUNTA($AD$111:$AD121),$B$24,$G$16,FALSE),3)</f>
        <v>3.5999999999999997E-2</v>
      </c>
      <c r="AI121" s="10">
        <f>ROUND(_xlfn.WEIBULL.DIST(COUNTA($AD$112:$AD121),$B$24,$G$16,FALSE),3)</f>
        <v>8.5000000000000006E-2</v>
      </c>
      <c r="AJ121" s="10">
        <f>ROUND(_xlfn.WEIBULL.DIST(COUNTA($AD$113:$AD121),$B$24,$G$16,FALSE),3)</f>
        <v>0.14299999999999999</v>
      </c>
      <c r="AK121" s="10">
        <f>ROUND(_xlfn.WEIBULL.DIST(COUNTA($AD$114:$AD121),$B$24,$G$16,FALSE),3)</f>
        <v>0.184</v>
      </c>
      <c r="AL121" s="10">
        <f>ROUND(_xlfn.WEIBULL.DIST(COUNTA($AD$115:$AD121),$B$24,$G$16,FALSE),3)</f>
        <v>0.186</v>
      </c>
      <c r="AM121" s="10">
        <f>ROUND(_xlfn.WEIBULL.DIST(COUNTA($AD$116:$AD121),$B$24,$G$16,FALSE),3)</f>
        <v>0.154</v>
      </c>
      <c r="AN121" s="10">
        <f>ROUND(_xlfn.WEIBULL.DIST(COUNTA($AD$117:$AD121),$B$24,$G$16,FALSE),3)</f>
        <v>0.105</v>
      </c>
      <c r="AO121" s="10">
        <f>ROUND(_xlfn.WEIBULL.DIST(COUNTA($AD$118:$AD121),$B$24,$G$16,FALSE),3)</f>
        <v>5.8999999999999997E-2</v>
      </c>
      <c r="AP121" s="10">
        <f>ROUND(_xlfn.WEIBULL.DIST(COUNTA($AD$119:$AD121),$B$24,$G$16,FALSE),3)</f>
        <v>2.5999999999999999E-2</v>
      </c>
      <c r="AQ121" s="10">
        <f>ROUND(_xlfn.WEIBULL.DIST(COUNTA($AD$120:$AD121),$B$24,$G$16,FALSE),3)</f>
        <v>8.0000000000000002E-3</v>
      </c>
      <c r="AR121" s="10">
        <f>ROUND(_xlfn.WEIBULL.DIST(COUNTA($AD$121:$AD121),$B$24,$G$16,FALSE),3)</f>
        <v>1E-3</v>
      </c>
      <c r="AS121" s="201">
        <v>0</v>
      </c>
      <c r="AT121" s="201">
        <v>0</v>
      </c>
      <c r="AU121" s="201">
        <v>0</v>
      </c>
      <c r="AV121" s="201">
        <v>0</v>
      </c>
      <c r="AW121" s="201">
        <v>0</v>
      </c>
      <c r="AX121" s="201">
        <v>0</v>
      </c>
    </row>
    <row r="122" spans="4:50" x14ac:dyDescent="0.3">
      <c r="D122" s="6">
        <v>16</v>
      </c>
      <c r="E122" s="201">
        <f t="shared" si="7"/>
        <v>0</v>
      </c>
      <c r="F122" s="201">
        <f t="shared" si="7"/>
        <v>0</v>
      </c>
      <c r="G122" s="201">
        <f t="shared" si="7"/>
        <v>0</v>
      </c>
      <c r="H122" s="201">
        <f t="shared" si="7"/>
        <v>0</v>
      </c>
      <c r="I122" s="201">
        <f t="shared" si="7"/>
        <v>0</v>
      </c>
      <c r="J122" s="201">
        <f t="shared" si="7"/>
        <v>0</v>
      </c>
      <c r="K122" s="201">
        <f t="shared" si="7"/>
        <v>0</v>
      </c>
      <c r="L122" s="201">
        <f t="shared" si="7"/>
        <v>0</v>
      </c>
      <c r="M122" s="201">
        <f t="shared" si="7"/>
        <v>0</v>
      </c>
      <c r="N122" s="201">
        <f t="shared" si="7"/>
        <v>0</v>
      </c>
      <c r="O122" s="201">
        <f t="shared" si="7"/>
        <v>0</v>
      </c>
      <c r="P122" s="201">
        <f t="shared" si="7"/>
        <v>0</v>
      </c>
      <c r="Q122" s="201">
        <f t="shared" si="7"/>
        <v>0.26902704519308257</v>
      </c>
      <c r="R122" s="201">
        <f t="shared" si="7"/>
        <v>0.26902704519308257</v>
      </c>
      <c r="S122" s="201">
        <f t="shared" si="7"/>
        <v>0.26902704519308257</v>
      </c>
      <c r="T122" s="201">
        <f>IF($D122-T$106&lt;$G$17,IF($B$23=0,1/$G$17,($B$23*(1+$B$23)^$G$17)/((1+$B$23)^$G$17-1)),0)</f>
        <v>0.26902704519308257</v>
      </c>
      <c r="U122" s="201">
        <v>0</v>
      </c>
      <c r="V122" s="201">
        <v>0</v>
      </c>
      <c r="W122" s="201">
        <v>0</v>
      </c>
      <c r="X122" s="201">
        <v>0</v>
      </c>
      <c r="Y122" s="201"/>
      <c r="Z122" s="201">
        <v>0</v>
      </c>
      <c r="AA122" s="201">
        <f t="shared" si="8"/>
        <v>0</v>
      </c>
      <c r="AD122" s="6">
        <v>15</v>
      </c>
      <c r="AE122" s="10">
        <f>ROUND(_xlfn.WEIBULL.DIST(COUNTA($AD$108:$AD122),$B$24,$G$16,FALSE),3)</f>
        <v>0</v>
      </c>
      <c r="AF122" s="10">
        <f>ROUND(_xlfn.WEIBULL.DIST(COUNTA($AD$109:$AD122),$B$24,$G$16,FALSE),3)</f>
        <v>0</v>
      </c>
      <c r="AG122" s="10">
        <f>ROUND(_xlfn.WEIBULL.DIST(COUNTA($AD$110:$AD122),$B$24,$G$16,FALSE),3)</f>
        <v>2E-3</v>
      </c>
      <c r="AH122" s="10">
        <f>ROUND(_xlfn.WEIBULL.DIST(COUNTA($AD$111:$AD122),$B$24,$G$16,FALSE),3)</f>
        <v>1.0999999999999999E-2</v>
      </c>
      <c r="AI122" s="10">
        <f>ROUND(_xlfn.WEIBULL.DIST(COUNTA($AD$112:$AD122),$B$24,$G$16,FALSE),3)</f>
        <v>3.5999999999999997E-2</v>
      </c>
      <c r="AJ122" s="10">
        <f>ROUND(_xlfn.WEIBULL.DIST(COUNTA($AD$113:$AD122),$B$24,$G$16,FALSE),3)</f>
        <v>8.5000000000000006E-2</v>
      </c>
      <c r="AK122" s="10">
        <f>ROUND(_xlfn.WEIBULL.DIST(COUNTA($AD$114:$AD122),$B$24,$G$16,FALSE),3)</f>
        <v>0.14299999999999999</v>
      </c>
      <c r="AL122" s="10">
        <f>ROUND(_xlfn.WEIBULL.DIST(COUNTA($AD$115:$AD122),$B$24,$G$16,FALSE),3)</f>
        <v>0.184</v>
      </c>
      <c r="AM122" s="10">
        <f>ROUND(_xlfn.WEIBULL.DIST(COUNTA($AD$116:$AD122),$B$24,$G$16,FALSE),3)</f>
        <v>0.186</v>
      </c>
      <c r="AN122" s="10">
        <f>ROUND(_xlfn.WEIBULL.DIST(COUNTA($AD$117:$AD122),$B$24,$G$16,FALSE),3)</f>
        <v>0.154</v>
      </c>
      <c r="AO122" s="10">
        <f>ROUND(_xlfn.WEIBULL.DIST(COUNTA($AD$118:$AD122),$B$24,$G$16,FALSE),3)</f>
        <v>0.105</v>
      </c>
      <c r="AP122" s="10">
        <f>ROUND(_xlfn.WEIBULL.DIST(COUNTA($AD$119:$AD122),$B$24,$G$16,FALSE),3)</f>
        <v>5.8999999999999997E-2</v>
      </c>
      <c r="AQ122" s="10">
        <f>ROUND(_xlfn.WEIBULL.DIST(COUNTA($AD$120:$AD122),$B$24,$G$16,FALSE),3)</f>
        <v>2.5999999999999999E-2</v>
      </c>
      <c r="AR122" s="10">
        <f>ROUND(_xlfn.WEIBULL.DIST(COUNTA($AD$121:$AD122),$B$24,$G$16,FALSE),3)</f>
        <v>8.0000000000000002E-3</v>
      </c>
      <c r="AS122" s="10">
        <f>ROUND(_xlfn.WEIBULL.DIST(COUNTA($AD$122:$AD122),$B$24,$G$16,FALSE),3)</f>
        <v>1E-3</v>
      </c>
      <c r="AT122" s="201">
        <v>0</v>
      </c>
      <c r="AU122" s="201">
        <v>0</v>
      </c>
      <c r="AV122" s="201">
        <v>0</v>
      </c>
      <c r="AW122" s="201">
        <v>0</v>
      </c>
      <c r="AX122" s="201">
        <v>0</v>
      </c>
    </row>
    <row r="123" spans="4:50" x14ac:dyDescent="0.3">
      <c r="D123" s="6">
        <v>17</v>
      </c>
      <c r="E123" s="201">
        <f t="shared" si="7"/>
        <v>0</v>
      </c>
      <c r="F123" s="201">
        <f t="shared" si="7"/>
        <v>0</v>
      </c>
      <c r="G123" s="201">
        <f t="shared" si="7"/>
        <v>0</v>
      </c>
      <c r="H123" s="201">
        <f t="shared" si="7"/>
        <v>0</v>
      </c>
      <c r="I123" s="201">
        <f t="shared" si="7"/>
        <v>0</v>
      </c>
      <c r="J123" s="201">
        <f t="shared" si="7"/>
        <v>0</v>
      </c>
      <c r="K123" s="201">
        <f t="shared" si="7"/>
        <v>0</v>
      </c>
      <c r="L123" s="201">
        <f t="shared" si="7"/>
        <v>0</v>
      </c>
      <c r="M123" s="201">
        <f t="shared" si="7"/>
        <v>0</v>
      </c>
      <c r="N123" s="201">
        <f t="shared" si="7"/>
        <v>0</v>
      </c>
      <c r="O123" s="201">
        <f t="shared" si="7"/>
        <v>0</v>
      </c>
      <c r="P123" s="201">
        <f t="shared" si="7"/>
        <v>0</v>
      </c>
      <c r="Q123" s="201">
        <f t="shared" si="7"/>
        <v>0</v>
      </c>
      <c r="R123" s="201">
        <f t="shared" si="7"/>
        <v>0.26902704519308257</v>
      </c>
      <c r="S123" s="201">
        <f t="shared" si="7"/>
        <v>0.26902704519308257</v>
      </c>
      <c r="T123" s="201">
        <f t="shared" si="7"/>
        <v>0.26902704519308257</v>
      </c>
      <c r="U123" s="201">
        <f>IF($D123-U$106&lt;$G$17,IF($B$23=0,1/$G$17,($B$23*(1+$B$23)^$G$17)/((1+$B$23)^$G$17-1)),0)</f>
        <v>0.26902704519308257</v>
      </c>
      <c r="V123" s="201">
        <v>0</v>
      </c>
      <c r="W123" s="201">
        <v>0</v>
      </c>
      <c r="X123" s="201">
        <v>0</v>
      </c>
      <c r="Y123" s="201"/>
      <c r="Z123" s="201">
        <v>0.24763122878427565</v>
      </c>
      <c r="AA123" s="201">
        <f t="shared" si="8"/>
        <v>0.11344271911096515</v>
      </c>
      <c r="AD123" s="6">
        <v>16</v>
      </c>
      <c r="AE123" s="10">
        <f>ROUND(_xlfn.WEIBULL.DIST(COUNTA($AD$108:$AD123),$B$24,$G$16,FALSE),3)</f>
        <v>0</v>
      </c>
      <c r="AF123" s="10">
        <f>ROUND(_xlfn.WEIBULL.DIST(COUNTA($AD$109:$AD123),$B$24,$G$16,FALSE),3)</f>
        <v>0</v>
      </c>
      <c r="AG123" s="10">
        <f>ROUND(_xlfn.WEIBULL.DIST(COUNTA($AD$110:$AD123),$B$24,$G$16,FALSE),3)</f>
        <v>0</v>
      </c>
      <c r="AH123" s="10">
        <f>ROUND(_xlfn.WEIBULL.DIST(COUNTA($AD$111:$AD123),$B$24,$G$16,FALSE),3)</f>
        <v>2E-3</v>
      </c>
      <c r="AI123" s="10">
        <f>ROUND(_xlfn.WEIBULL.DIST(COUNTA($AD$112:$AD123),$B$24,$G$16,FALSE),3)</f>
        <v>1.0999999999999999E-2</v>
      </c>
      <c r="AJ123" s="10">
        <f>ROUND(_xlfn.WEIBULL.DIST(COUNTA($AD$113:$AD123),$B$24,$G$16,FALSE),3)</f>
        <v>3.5999999999999997E-2</v>
      </c>
      <c r="AK123" s="10">
        <f>ROUND(_xlfn.WEIBULL.DIST(COUNTA($AD$114:$AD123),$B$24,$G$16,FALSE),3)</f>
        <v>8.5000000000000006E-2</v>
      </c>
      <c r="AL123" s="10">
        <f>ROUND(_xlfn.WEIBULL.DIST(COUNTA($AD$115:$AD123),$B$24,$G$16,FALSE),3)</f>
        <v>0.14299999999999999</v>
      </c>
      <c r="AM123" s="10">
        <f>ROUND(_xlfn.WEIBULL.DIST(COUNTA($AD$116:$AD123),$B$24,$G$16,FALSE),3)</f>
        <v>0.184</v>
      </c>
      <c r="AN123" s="10">
        <f>ROUND(_xlfn.WEIBULL.DIST(COUNTA($AD$117:$AD123),$B$24,$G$16,FALSE),3)</f>
        <v>0.186</v>
      </c>
      <c r="AO123" s="10">
        <f>ROUND(_xlfn.WEIBULL.DIST(COUNTA($AD$118:$AD123),$B$24,$G$16,FALSE),3)</f>
        <v>0.154</v>
      </c>
      <c r="AP123" s="10">
        <f>ROUND(_xlfn.WEIBULL.DIST(COUNTA($AD$119:$AD123),$B$24,$G$16,FALSE),3)</f>
        <v>0.105</v>
      </c>
      <c r="AQ123" s="10">
        <f>ROUND(_xlfn.WEIBULL.DIST(COUNTA($AD$120:$AD123),$B$24,$G$16,FALSE),3)</f>
        <v>5.8999999999999997E-2</v>
      </c>
      <c r="AR123" s="10">
        <f>ROUND(_xlfn.WEIBULL.DIST(COUNTA($AD$121:$AD123),$B$24,$G$16,FALSE),3)</f>
        <v>2.5999999999999999E-2</v>
      </c>
      <c r="AS123" s="10">
        <f>ROUND(_xlfn.WEIBULL.DIST(COUNTA($AD$122:$AD123),$B$24,$G$16,FALSE),3)</f>
        <v>8.0000000000000002E-3</v>
      </c>
      <c r="AT123" s="10">
        <f>ROUND(_xlfn.WEIBULL.DIST(COUNTA($AD$123:$AD123),$B$24,$G$16,FALSE),3)</f>
        <v>1E-3</v>
      </c>
      <c r="AU123" s="201">
        <v>0</v>
      </c>
      <c r="AV123" s="201">
        <v>0</v>
      </c>
      <c r="AW123" s="201">
        <v>0</v>
      </c>
      <c r="AX123" s="201">
        <v>0</v>
      </c>
    </row>
    <row r="124" spans="4:50" x14ac:dyDescent="0.3">
      <c r="D124" s="6">
        <v>18</v>
      </c>
      <c r="E124" s="201">
        <f t="shared" si="7"/>
        <v>0</v>
      </c>
      <c r="F124" s="201">
        <f t="shared" si="7"/>
        <v>0</v>
      </c>
      <c r="G124" s="201">
        <f t="shared" si="7"/>
        <v>0</v>
      </c>
      <c r="H124" s="201">
        <f t="shared" si="7"/>
        <v>0</v>
      </c>
      <c r="I124" s="201">
        <f t="shared" si="7"/>
        <v>0</v>
      </c>
      <c r="J124" s="201">
        <f t="shared" si="7"/>
        <v>0</v>
      </c>
      <c r="K124" s="201">
        <f t="shared" si="7"/>
        <v>0</v>
      </c>
      <c r="L124" s="201">
        <f t="shared" si="7"/>
        <v>0</v>
      </c>
      <c r="M124" s="201">
        <f t="shared" si="7"/>
        <v>0</v>
      </c>
      <c r="N124" s="201">
        <f t="shared" si="7"/>
        <v>0</v>
      </c>
      <c r="O124" s="201">
        <f t="shared" si="7"/>
        <v>0</v>
      </c>
      <c r="P124" s="201">
        <f t="shared" si="7"/>
        <v>0</v>
      </c>
      <c r="Q124" s="201">
        <f t="shared" si="7"/>
        <v>0</v>
      </c>
      <c r="R124" s="201">
        <f t="shared" si="7"/>
        <v>0</v>
      </c>
      <c r="S124" s="201">
        <f t="shared" si="7"/>
        <v>0.26902704519308257</v>
      </c>
      <c r="T124" s="201">
        <f t="shared" si="7"/>
        <v>0.26902704519308257</v>
      </c>
      <c r="U124" s="201">
        <f t="shared" ref="P124:X136" si="9">IF($D124-U$106&lt;$G$17,IF($B$23=0,1/$G$17,($B$23*(1+$B$23)^$G$17)/((1+$B$23)^$G$17-1)),0)</f>
        <v>0.26902704519308257</v>
      </c>
      <c r="V124" s="201">
        <f>IF($D124-V$106&lt;$G$17,IF($B$23=0,1/$G$17,($B$23*(1+$B$23)^$G$17)/((1+$B$23)^$G$17-1)),0)</f>
        <v>0.26902704519308257</v>
      </c>
      <c r="W124" s="201">
        <v>0</v>
      </c>
      <c r="X124" s="201">
        <v>0</v>
      </c>
      <c r="Y124" s="201"/>
      <c r="Z124" s="201">
        <v>1.4438187299379368</v>
      </c>
      <c r="AA124" s="201">
        <f t="shared" si="8"/>
        <v>0.62993332938243674</v>
      </c>
      <c r="AD124" s="6">
        <v>17</v>
      </c>
      <c r="AE124" s="10">
        <f>ROUND(_xlfn.WEIBULL.DIST(COUNTA($AD$108:$AD124),$B$24,$G$16,FALSE),3)</f>
        <v>0</v>
      </c>
      <c r="AF124" s="10">
        <f>ROUND(_xlfn.WEIBULL.DIST(COUNTA($AD$109:$AD124),$B$24,$G$16,FALSE),3)</f>
        <v>0</v>
      </c>
      <c r="AG124" s="10">
        <f>ROUND(_xlfn.WEIBULL.DIST(COUNTA($AD$110:$AD124),$B$24,$G$16,FALSE),3)</f>
        <v>0</v>
      </c>
      <c r="AH124" s="10">
        <f>ROUND(_xlfn.WEIBULL.DIST(COUNTA($AD$111:$AD124),$B$24,$G$16,FALSE),3)</f>
        <v>0</v>
      </c>
      <c r="AI124" s="10">
        <f>ROUND(_xlfn.WEIBULL.DIST(COUNTA($AD$112:$AD124),$B$24,$G$16,FALSE),3)</f>
        <v>2E-3</v>
      </c>
      <c r="AJ124" s="10">
        <f>ROUND(_xlfn.WEIBULL.DIST(COUNTA($AD$113:$AD124),$B$24,$G$16,FALSE),3)</f>
        <v>1.0999999999999999E-2</v>
      </c>
      <c r="AK124" s="10">
        <f>ROUND(_xlfn.WEIBULL.DIST(COUNTA($AD$114:$AD124),$B$24,$G$16,FALSE),3)</f>
        <v>3.5999999999999997E-2</v>
      </c>
      <c r="AL124" s="10">
        <f>ROUND(_xlfn.WEIBULL.DIST(COUNTA($AD$115:$AD124),$B$24,$G$16,FALSE),3)</f>
        <v>8.5000000000000006E-2</v>
      </c>
      <c r="AM124" s="10">
        <f>ROUND(_xlfn.WEIBULL.DIST(COUNTA($AD$116:$AD124),$B$24,$G$16,FALSE),3)</f>
        <v>0.14299999999999999</v>
      </c>
      <c r="AN124" s="10">
        <f>ROUND(_xlfn.WEIBULL.DIST(COUNTA($AD$117:$AD124),$B$24,$G$16,FALSE),3)</f>
        <v>0.184</v>
      </c>
      <c r="AO124" s="10">
        <f>ROUND(_xlfn.WEIBULL.DIST(COUNTA($AD$118:$AD124),$B$24,$G$16,FALSE),3)</f>
        <v>0.186</v>
      </c>
      <c r="AP124" s="10">
        <f>ROUND(_xlfn.WEIBULL.DIST(COUNTA($AD$119:$AD124),$B$24,$G$16,FALSE),3)</f>
        <v>0.154</v>
      </c>
      <c r="AQ124" s="10">
        <f>ROUND(_xlfn.WEIBULL.DIST(COUNTA($AD$120:$AD124),$B$24,$G$16,FALSE),3)</f>
        <v>0.105</v>
      </c>
      <c r="AR124" s="10">
        <f>ROUND(_xlfn.WEIBULL.DIST(COUNTA($AD$121:$AD124),$B$24,$G$16,FALSE),3)</f>
        <v>5.8999999999999997E-2</v>
      </c>
      <c r="AS124" s="10">
        <f>ROUND(_xlfn.WEIBULL.DIST(COUNTA($AD$122:$AD124),$B$24,$G$16,FALSE),3)</f>
        <v>2.5999999999999999E-2</v>
      </c>
      <c r="AT124" s="10">
        <f>ROUND(_xlfn.WEIBULL.DIST(COUNTA($AD$123:$AD124),$B$24,$G$16,FALSE),3)</f>
        <v>8.0000000000000002E-3</v>
      </c>
      <c r="AU124" s="10">
        <f>ROUND(_xlfn.WEIBULL.DIST(COUNTA($AD$124:$AD124),$B$24,$G$16,FALSE),3)</f>
        <v>1E-3</v>
      </c>
      <c r="AV124" s="201">
        <v>0</v>
      </c>
      <c r="AW124" s="201">
        <v>0</v>
      </c>
      <c r="AX124" s="201">
        <v>0</v>
      </c>
    </row>
    <row r="125" spans="4:50" x14ac:dyDescent="0.3">
      <c r="D125" s="6">
        <v>19</v>
      </c>
      <c r="E125" s="201">
        <f t="shared" si="7"/>
        <v>0</v>
      </c>
      <c r="F125" s="201">
        <f t="shared" si="7"/>
        <v>0</v>
      </c>
      <c r="G125" s="201">
        <f t="shared" si="7"/>
        <v>0</v>
      </c>
      <c r="H125" s="201">
        <f t="shared" si="7"/>
        <v>0</v>
      </c>
      <c r="I125" s="201">
        <f t="shared" si="7"/>
        <v>0</v>
      </c>
      <c r="J125" s="201">
        <f t="shared" si="7"/>
        <v>0</v>
      </c>
      <c r="K125" s="201">
        <f t="shared" si="7"/>
        <v>0</v>
      </c>
      <c r="L125" s="201">
        <f t="shared" si="7"/>
        <v>0</v>
      </c>
      <c r="M125" s="201">
        <f t="shared" si="7"/>
        <v>0</v>
      </c>
      <c r="N125" s="201">
        <f t="shared" si="7"/>
        <v>0</v>
      </c>
      <c r="O125" s="201">
        <f t="shared" si="7"/>
        <v>0</v>
      </c>
      <c r="P125" s="201">
        <f t="shared" si="9"/>
        <v>0</v>
      </c>
      <c r="Q125" s="201">
        <f t="shared" si="9"/>
        <v>0</v>
      </c>
      <c r="R125" s="201">
        <f t="shared" si="9"/>
        <v>0</v>
      </c>
      <c r="S125" s="201">
        <f t="shared" si="9"/>
        <v>0</v>
      </c>
      <c r="T125" s="201">
        <f t="shared" si="9"/>
        <v>0.26902704519308257</v>
      </c>
      <c r="U125" s="201">
        <f t="shared" si="9"/>
        <v>0.26902704519308257</v>
      </c>
      <c r="V125" s="201">
        <f t="shared" si="9"/>
        <v>0.26902704519308257</v>
      </c>
      <c r="W125" s="201">
        <f>IF($D125-W$106&lt;$G$17,IF($B$23=0,1/$G$17,($B$23*(1+$B$23)^$G$17)/((1+$B$23)^$G$17-1)),0)</f>
        <v>0.26902704519308257</v>
      </c>
      <c r="X125" s="201">
        <v>0</v>
      </c>
      <c r="Y125" s="201"/>
      <c r="Z125" s="201">
        <v>1.6733547880511466</v>
      </c>
      <c r="AA125" s="201">
        <f t="shared" si="8"/>
        <v>0.69531347735665083</v>
      </c>
      <c r="AD125" s="6">
        <v>18</v>
      </c>
      <c r="AE125" s="10">
        <f>ROUND(_xlfn.WEIBULL.DIST(COUNTA($AD$108:$AD125),$B$24,$G$16,FALSE),3)</f>
        <v>0</v>
      </c>
      <c r="AF125" s="10">
        <f>ROUND(_xlfn.WEIBULL.DIST(COUNTA($AD$109:$AD125),$B$24,$G$16,FALSE),3)</f>
        <v>0</v>
      </c>
      <c r="AG125" s="10">
        <f>ROUND(_xlfn.WEIBULL.DIST(COUNTA($AD$110:$AD125),$B$24,$G$16,FALSE),3)</f>
        <v>0</v>
      </c>
      <c r="AH125" s="10">
        <f>ROUND(_xlfn.WEIBULL.DIST(COUNTA($AD$111:$AD125),$B$24,$G$16,FALSE),3)</f>
        <v>0</v>
      </c>
      <c r="AI125" s="10">
        <f>ROUND(_xlfn.WEIBULL.DIST(COUNTA($AD$112:$AD125),$B$24,$G$16,FALSE),3)</f>
        <v>0</v>
      </c>
      <c r="AJ125" s="10">
        <f>ROUND(_xlfn.WEIBULL.DIST(COUNTA($AD$113:$AD125),$B$24,$G$16,FALSE),3)</f>
        <v>2E-3</v>
      </c>
      <c r="AK125" s="10">
        <f>ROUND(_xlfn.WEIBULL.DIST(COUNTA($AD$114:$AD125),$B$24,$G$16,FALSE),3)</f>
        <v>1.0999999999999999E-2</v>
      </c>
      <c r="AL125" s="10">
        <f>ROUND(_xlfn.WEIBULL.DIST(COUNTA($AD$115:$AD125),$B$24,$G$16,FALSE),3)</f>
        <v>3.5999999999999997E-2</v>
      </c>
      <c r="AM125" s="10">
        <f>ROUND(_xlfn.WEIBULL.DIST(COUNTA($AD$116:$AD125),$B$24,$G$16,FALSE),3)</f>
        <v>8.5000000000000006E-2</v>
      </c>
      <c r="AN125" s="10">
        <f>ROUND(_xlfn.WEIBULL.DIST(COUNTA($AD$117:$AD125),$B$24,$G$16,FALSE),3)</f>
        <v>0.14299999999999999</v>
      </c>
      <c r="AO125" s="10">
        <f>ROUND(_xlfn.WEIBULL.DIST(COUNTA($AD$118:$AD125),$B$24,$G$16,FALSE),3)</f>
        <v>0.184</v>
      </c>
      <c r="AP125" s="10">
        <f>ROUND(_xlfn.WEIBULL.DIST(COUNTA($AD$119:$AD125),$B$24,$G$16,FALSE),3)</f>
        <v>0.186</v>
      </c>
      <c r="AQ125" s="10">
        <f>ROUND(_xlfn.WEIBULL.DIST(COUNTA($AD$120:$AD125),$B$24,$G$16,FALSE),3)</f>
        <v>0.154</v>
      </c>
      <c r="AR125" s="10">
        <f>ROUND(_xlfn.WEIBULL.DIST(COUNTA($AD$121:$AD125),$B$24,$G$16,FALSE),3)</f>
        <v>0.105</v>
      </c>
      <c r="AS125" s="10">
        <f>ROUND(_xlfn.WEIBULL.DIST(COUNTA($AD$122:$AD125),$B$24,$G$16,FALSE),3)</f>
        <v>5.8999999999999997E-2</v>
      </c>
      <c r="AT125" s="10">
        <f>ROUND(_xlfn.WEIBULL.DIST(COUNTA($AD$123:$AD125),$B$24,$G$16,FALSE),3)</f>
        <v>2.5999999999999999E-2</v>
      </c>
      <c r="AU125" s="10">
        <f>ROUND(_xlfn.WEIBULL.DIST(COUNTA($AD$124:$AD125),$B$24,$G$16,FALSE),3)</f>
        <v>8.0000000000000002E-3</v>
      </c>
      <c r="AV125" s="10">
        <f>ROUND(_xlfn.WEIBULL.DIST(COUNTA($AD$125:$AD125),$B$24,$G$16,FALSE),3)</f>
        <v>1E-3</v>
      </c>
      <c r="AW125" s="201">
        <v>0</v>
      </c>
      <c r="AX125" s="201">
        <v>0</v>
      </c>
    </row>
    <row r="126" spans="4:50" x14ac:dyDescent="0.3">
      <c r="D126" s="6">
        <v>20</v>
      </c>
      <c r="E126" s="201">
        <f t="shared" si="7"/>
        <v>0</v>
      </c>
      <c r="F126" s="201">
        <f t="shared" si="7"/>
        <v>0</v>
      </c>
      <c r="G126" s="201">
        <f t="shared" si="7"/>
        <v>0</v>
      </c>
      <c r="H126" s="201">
        <f t="shared" si="7"/>
        <v>0</v>
      </c>
      <c r="I126" s="201">
        <f t="shared" si="7"/>
        <v>0</v>
      </c>
      <c r="J126" s="201">
        <f t="shared" si="7"/>
        <v>0</v>
      </c>
      <c r="K126" s="201">
        <f t="shared" si="7"/>
        <v>0</v>
      </c>
      <c r="L126" s="201">
        <f t="shared" si="7"/>
        <v>0</v>
      </c>
      <c r="M126" s="201">
        <f t="shared" si="7"/>
        <v>0</v>
      </c>
      <c r="N126" s="201">
        <f t="shared" si="7"/>
        <v>0</v>
      </c>
      <c r="O126" s="201">
        <f t="shared" si="7"/>
        <v>0</v>
      </c>
      <c r="P126" s="201">
        <f t="shared" si="9"/>
        <v>0</v>
      </c>
      <c r="Q126" s="201">
        <f t="shared" si="9"/>
        <v>0</v>
      </c>
      <c r="R126" s="201">
        <f t="shared" si="9"/>
        <v>0</v>
      </c>
      <c r="S126" s="201">
        <f t="shared" si="9"/>
        <v>0</v>
      </c>
      <c r="T126" s="201">
        <f t="shared" si="9"/>
        <v>0</v>
      </c>
      <c r="U126" s="201">
        <f t="shared" si="9"/>
        <v>0.26902704519308257</v>
      </c>
      <c r="V126" s="201">
        <f t="shared" si="9"/>
        <v>0.26902704519308257</v>
      </c>
      <c r="W126" s="201">
        <f t="shared" si="9"/>
        <v>0.26902704519308257</v>
      </c>
      <c r="X126" s="201">
        <f>IF($D126-X$106&lt;$G$17,IF($B$23=0,1/$G$17,($B$23*(1+$B$23)^$G$17)/((1+$B$23)^$G$17-1)),0)</f>
        <v>0.26902704519308257</v>
      </c>
      <c r="Y126" s="201"/>
      <c r="Z126" s="201">
        <v>1.8245464109511742</v>
      </c>
      <c r="AA126" s="201">
        <f t="shared" si="8"/>
        <v>0.72203497096623603</v>
      </c>
      <c r="AD126" s="6">
        <v>19</v>
      </c>
      <c r="AE126" s="10">
        <f>ROUND(_xlfn.WEIBULL.DIST(COUNTA($AD$108:$AD126),$B$24,$G$16,FALSE),3)</f>
        <v>0</v>
      </c>
      <c r="AF126" s="10">
        <f>ROUND(_xlfn.WEIBULL.DIST(COUNTA($AD$109:$AD126),$B$24,$G$16,FALSE),3)</f>
        <v>0</v>
      </c>
      <c r="AG126" s="10">
        <f>ROUND(_xlfn.WEIBULL.DIST(COUNTA($AD$110:$AD126),$B$24,$G$16,FALSE),3)</f>
        <v>0</v>
      </c>
      <c r="AH126" s="10">
        <f>ROUND(_xlfn.WEIBULL.DIST(COUNTA($AD$111:$AD126),$B$24,$G$16,FALSE),3)</f>
        <v>0</v>
      </c>
      <c r="AI126" s="10">
        <f>ROUND(_xlfn.WEIBULL.DIST(COUNTA($AD$112:$AD126),$B$24,$G$16,FALSE),3)</f>
        <v>0</v>
      </c>
      <c r="AJ126" s="10">
        <f>ROUND(_xlfn.WEIBULL.DIST(COUNTA($AD$113:$AD126),$B$24,$G$16,FALSE),3)</f>
        <v>0</v>
      </c>
      <c r="AK126" s="10">
        <f>ROUND(_xlfn.WEIBULL.DIST(COUNTA($AD$114:$AD126),$B$24,$G$16,FALSE),3)</f>
        <v>2E-3</v>
      </c>
      <c r="AL126" s="10">
        <f>ROUND(_xlfn.WEIBULL.DIST(COUNTA($AD$115:$AD126),$B$24,$G$16,FALSE),3)</f>
        <v>1.0999999999999999E-2</v>
      </c>
      <c r="AM126" s="10">
        <f>ROUND(_xlfn.WEIBULL.DIST(COUNTA($AD$116:$AD126),$B$24,$G$16,FALSE),3)</f>
        <v>3.5999999999999997E-2</v>
      </c>
      <c r="AN126" s="10">
        <f>ROUND(_xlfn.WEIBULL.DIST(COUNTA($AD$117:$AD126),$B$24,$G$16,FALSE),3)</f>
        <v>8.5000000000000006E-2</v>
      </c>
      <c r="AO126" s="10">
        <f>ROUND(_xlfn.WEIBULL.DIST(COUNTA($AD$118:$AD126),$B$24,$G$16,FALSE),3)</f>
        <v>0.14299999999999999</v>
      </c>
      <c r="AP126" s="10">
        <f>ROUND(_xlfn.WEIBULL.DIST(COUNTA($AD$119:$AD126),$B$24,$G$16,FALSE),3)</f>
        <v>0.184</v>
      </c>
      <c r="AQ126" s="10">
        <f>ROUND(_xlfn.WEIBULL.DIST(COUNTA($AD$120:$AD126),$B$24,$G$16,FALSE),3)</f>
        <v>0.186</v>
      </c>
      <c r="AR126" s="10">
        <f>ROUND(_xlfn.WEIBULL.DIST(COUNTA($AD$121:$AD126),$B$24,$G$16,FALSE),3)</f>
        <v>0.154</v>
      </c>
      <c r="AS126" s="10">
        <f>ROUND(_xlfn.WEIBULL.DIST(COUNTA($AD$122:$AD126),$B$24,$G$16,FALSE),3)</f>
        <v>0.105</v>
      </c>
      <c r="AT126" s="10">
        <f>ROUND(_xlfn.WEIBULL.DIST(COUNTA($AD$123:$AD126),$B$24,$G$16,FALSE),3)</f>
        <v>5.8999999999999997E-2</v>
      </c>
      <c r="AU126" s="10">
        <f>ROUND(_xlfn.WEIBULL.DIST(COUNTA($AD$124:$AD126),$B$24,$G$16,FALSE),3)</f>
        <v>2.5999999999999999E-2</v>
      </c>
      <c r="AV126" s="10">
        <f>ROUND(_xlfn.WEIBULL.DIST(COUNTA($AD$125:$AD126),$B$24,$G$16,FALSE),3)</f>
        <v>8.0000000000000002E-3</v>
      </c>
      <c r="AW126" s="10">
        <f>ROUND(_xlfn.WEIBULL.DIST(COUNTA($AD$126:$AD126),$B$24,$G$16,FALSE),3)</f>
        <v>1E-3</v>
      </c>
      <c r="AX126" s="201">
        <v>0</v>
      </c>
    </row>
    <row r="127" spans="4:50" x14ac:dyDescent="0.3">
      <c r="D127" s="6">
        <v>21</v>
      </c>
      <c r="E127" s="201">
        <f t="shared" si="7"/>
        <v>0</v>
      </c>
      <c r="F127" s="201">
        <f t="shared" si="7"/>
        <v>0</v>
      </c>
      <c r="G127" s="201">
        <f t="shared" si="7"/>
        <v>0</v>
      </c>
      <c r="H127" s="201">
        <f t="shared" si="7"/>
        <v>0</v>
      </c>
      <c r="I127" s="201">
        <f t="shared" si="7"/>
        <v>0</v>
      </c>
      <c r="J127" s="201">
        <f t="shared" si="7"/>
        <v>0</v>
      </c>
      <c r="K127" s="201">
        <f t="shared" si="7"/>
        <v>0</v>
      </c>
      <c r="L127" s="201">
        <f t="shared" si="7"/>
        <v>0</v>
      </c>
      <c r="M127" s="201">
        <f t="shared" si="7"/>
        <v>0</v>
      </c>
      <c r="N127" s="201">
        <f t="shared" si="7"/>
        <v>0</v>
      </c>
      <c r="O127" s="201">
        <f t="shared" si="7"/>
        <v>0</v>
      </c>
      <c r="P127" s="201">
        <f t="shared" si="9"/>
        <v>0</v>
      </c>
      <c r="Q127" s="201">
        <f t="shared" si="9"/>
        <v>0</v>
      </c>
      <c r="R127" s="201">
        <f t="shared" si="9"/>
        <v>0</v>
      </c>
      <c r="S127" s="201">
        <f t="shared" si="9"/>
        <v>0</v>
      </c>
      <c r="T127" s="201">
        <f t="shared" si="9"/>
        <v>0</v>
      </c>
      <c r="U127" s="201">
        <f t="shared" si="9"/>
        <v>0</v>
      </c>
      <c r="V127" s="201">
        <f t="shared" si="9"/>
        <v>0.26902704519308257</v>
      </c>
      <c r="W127" s="201">
        <f t="shared" si="9"/>
        <v>0.26902704519308257</v>
      </c>
      <c r="X127" s="201">
        <f t="shared" si="9"/>
        <v>0.26902704519308257</v>
      </c>
      <c r="Y127" s="201"/>
      <c r="Z127" s="201">
        <v>1.5769151821668985</v>
      </c>
      <c r="AA127" s="201">
        <f t="shared" si="8"/>
        <v>0.59432274754146597</v>
      </c>
      <c r="AD127" s="6">
        <v>20</v>
      </c>
      <c r="AE127" s="10">
        <f>ROUND(_xlfn.WEIBULL.DIST(COUNTA($AD$108:$AD127),$B$24,$G$16,FALSE),3)</f>
        <v>0</v>
      </c>
      <c r="AF127" s="10">
        <f>ROUND(_xlfn.WEIBULL.DIST(COUNTA($AD$109:$AD127),$B$24,$G$16,FALSE),3)</f>
        <v>0</v>
      </c>
      <c r="AG127" s="10">
        <f>ROUND(_xlfn.WEIBULL.DIST(COUNTA($AD$110:$AD127),$B$24,$G$16,FALSE),3)</f>
        <v>0</v>
      </c>
      <c r="AH127" s="10">
        <f>ROUND(_xlfn.WEIBULL.DIST(COUNTA($AD$111:$AD127),$B$24,$G$16,FALSE),3)</f>
        <v>0</v>
      </c>
      <c r="AI127" s="10">
        <f>ROUND(_xlfn.WEIBULL.DIST(COUNTA($AD$112:$AD127),$B$24,$G$16,FALSE),3)</f>
        <v>0</v>
      </c>
      <c r="AJ127" s="10">
        <f>ROUND(_xlfn.WEIBULL.DIST(COUNTA($AD$113:$AD127),$B$24,$G$16,FALSE),3)</f>
        <v>0</v>
      </c>
      <c r="AK127" s="10">
        <f>ROUND(_xlfn.WEIBULL.DIST(COUNTA($AD$114:$AD127),$B$24,$G$16,FALSE),3)</f>
        <v>0</v>
      </c>
      <c r="AL127" s="10">
        <f>ROUND(_xlfn.WEIBULL.DIST(COUNTA($AD$115:$AD127),$B$24,$G$16,FALSE),3)</f>
        <v>2E-3</v>
      </c>
      <c r="AM127" s="10">
        <f>ROUND(_xlfn.WEIBULL.DIST(COUNTA($AD$116:$AD127),$B$24,$G$16,FALSE),3)</f>
        <v>1.0999999999999999E-2</v>
      </c>
      <c r="AN127" s="10">
        <f>ROUND(_xlfn.WEIBULL.DIST(COUNTA($AD$117:$AD127),$B$24,$G$16,FALSE),3)</f>
        <v>3.5999999999999997E-2</v>
      </c>
      <c r="AO127" s="10">
        <f>ROUND(_xlfn.WEIBULL.DIST(COUNTA($AD$118:$AD127),$B$24,$G$16,FALSE),3)</f>
        <v>8.5000000000000006E-2</v>
      </c>
      <c r="AP127" s="10">
        <f>ROUND(_xlfn.WEIBULL.DIST(COUNTA($AD$119:$AD127),$B$24,$G$16,FALSE),3)</f>
        <v>0.14299999999999999</v>
      </c>
      <c r="AQ127" s="10">
        <f>ROUND(_xlfn.WEIBULL.DIST(COUNTA($AD$120:$AD127),$B$24,$G$16,FALSE),3)</f>
        <v>0.184</v>
      </c>
      <c r="AR127" s="10">
        <f>ROUND(_xlfn.WEIBULL.DIST(COUNTA($AD$121:$AD127),$B$24,$G$16,FALSE),3)</f>
        <v>0.186</v>
      </c>
      <c r="AS127" s="10">
        <f>ROUND(_xlfn.WEIBULL.DIST(COUNTA($AD$122:$AD127),$B$24,$G$16,FALSE),3)</f>
        <v>0.154</v>
      </c>
      <c r="AT127" s="10">
        <f>ROUND(_xlfn.WEIBULL.DIST(COUNTA($AD$123:$AD127),$B$24,$G$16,FALSE),3)</f>
        <v>0.105</v>
      </c>
      <c r="AU127" s="10">
        <f>ROUND(_xlfn.WEIBULL.DIST(COUNTA($AD$124:$AD127),$B$24,$G$16,FALSE),3)</f>
        <v>5.8999999999999997E-2</v>
      </c>
      <c r="AV127" s="10">
        <f>ROUND(_xlfn.WEIBULL.DIST(COUNTA($AD$125:$AD127),$B$24,$G$16,FALSE),3)</f>
        <v>2.5999999999999999E-2</v>
      </c>
      <c r="AW127" s="10">
        <f>ROUND(_xlfn.WEIBULL.DIST(COUNTA($AD$126:$AD127),$B$24,$G$16,FALSE),3)</f>
        <v>8.0000000000000002E-3</v>
      </c>
      <c r="AX127" s="10">
        <f>ROUND(_xlfn.WEIBULL.DIST(COUNTA($AD$127:$AD127),$B$24,$G$16,FALSE),3)</f>
        <v>1E-3</v>
      </c>
    </row>
    <row r="128" spans="4:50" x14ac:dyDescent="0.3">
      <c r="D128" s="6">
        <v>22</v>
      </c>
      <c r="E128" s="201">
        <f t="shared" si="7"/>
        <v>0</v>
      </c>
      <c r="F128" s="201">
        <f t="shared" si="7"/>
        <v>0</v>
      </c>
      <c r="G128" s="201">
        <f t="shared" si="7"/>
        <v>0</v>
      </c>
      <c r="H128" s="201">
        <f t="shared" si="7"/>
        <v>0</v>
      </c>
      <c r="I128" s="201">
        <f t="shared" si="7"/>
        <v>0</v>
      </c>
      <c r="J128" s="201">
        <f t="shared" si="7"/>
        <v>0</v>
      </c>
      <c r="K128" s="201">
        <f t="shared" si="7"/>
        <v>0</v>
      </c>
      <c r="L128" s="201">
        <f t="shared" si="7"/>
        <v>0</v>
      </c>
      <c r="M128" s="201">
        <f t="shared" si="7"/>
        <v>0</v>
      </c>
      <c r="N128" s="201">
        <f t="shared" si="7"/>
        <v>0</v>
      </c>
      <c r="O128" s="201">
        <f t="shared" si="7"/>
        <v>0</v>
      </c>
      <c r="P128" s="201">
        <f t="shared" si="9"/>
        <v>0</v>
      </c>
      <c r="Q128" s="201">
        <f t="shared" si="9"/>
        <v>0</v>
      </c>
      <c r="R128" s="201">
        <f t="shared" si="9"/>
        <v>0</v>
      </c>
      <c r="S128" s="201">
        <f t="shared" si="9"/>
        <v>0</v>
      </c>
      <c r="T128" s="201">
        <f t="shared" si="9"/>
        <v>0</v>
      </c>
      <c r="U128" s="201">
        <f t="shared" si="9"/>
        <v>0</v>
      </c>
      <c r="V128" s="201">
        <f t="shared" si="9"/>
        <v>0</v>
      </c>
      <c r="W128" s="201">
        <f t="shared" si="9"/>
        <v>0.26902704519308257</v>
      </c>
      <c r="X128" s="201">
        <f t="shared" si="9"/>
        <v>0.26902704519308257</v>
      </c>
      <c r="Y128" s="201"/>
      <c r="Z128" s="201">
        <v>0.3807276810132374</v>
      </c>
      <c r="AA128" s="201">
        <f t="shared" si="8"/>
        <v>0.13665929410715788</v>
      </c>
    </row>
    <row r="129" spans="4:27" x14ac:dyDescent="0.3">
      <c r="D129" s="6">
        <v>23</v>
      </c>
      <c r="E129" s="201">
        <f t="shared" si="7"/>
        <v>0</v>
      </c>
      <c r="F129" s="201">
        <f t="shared" si="7"/>
        <v>0</v>
      </c>
      <c r="G129" s="201">
        <f t="shared" si="7"/>
        <v>0</v>
      </c>
      <c r="H129" s="201">
        <f t="shared" si="7"/>
        <v>0</v>
      </c>
      <c r="I129" s="201">
        <f t="shared" si="7"/>
        <v>0</v>
      </c>
      <c r="J129" s="201">
        <f t="shared" si="7"/>
        <v>0</v>
      </c>
      <c r="K129" s="201">
        <f t="shared" si="7"/>
        <v>0</v>
      </c>
      <c r="L129" s="201">
        <f t="shared" si="7"/>
        <v>0</v>
      </c>
      <c r="M129" s="201">
        <f t="shared" si="7"/>
        <v>0</v>
      </c>
      <c r="N129" s="201">
        <f t="shared" si="7"/>
        <v>0</v>
      </c>
      <c r="O129" s="201">
        <f t="shared" si="7"/>
        <v>0</v>
      </c>
      <c r="P129" s="201">
        <f t="shared" si="9"/>
        <v>0</v>
      </c>
      <c r="Q129" s="201">
        <f t="shared" si="9"/>
        <v>0</v>
      </c>
      <c r="R129" s="201">
        <f t="shared" si="9"/>
        <v>0</v>
      </c>
      <c r="S129" s="201">
        <f t="shared" si="9"/>
        <v>0</v>
      </c>
      <c r="T129" s="201">
        <f t="shared" si="9"/>
        <v>0</v>
      </c>
      <c r="U129" s="201">
        <f t="shared" si="9"/>
        <v>0</v>
      </c>
      <c r="V129" s="201">
        <f t="shared" si="9"/>
        <v>0</v>
      </c>
      <c r="W129" s="201">
        <f t="shared" si="9"/>
        <v>0</v>
      </c>
      <c r="X129" s="201">
        <f t="shared" si="9"/>
        <v>0.26902704519308257</v>
      </c>
      <c r="Y129" s="201"/>
      <c r="Z129" s="201">
        <v>0.15119162290002758</v>
      </c>
      <c r="AA129" s="201">
        <f t="shared" si="8"/>
        <v>5.1684836797751578E-2</v>
      </c>
    </row>
    <row r="130" spans="4:27" x14ac:dyDescent="0.3">
      <c r="D130" s="6">
        <v>24</v>
      </c>
      <c r="E130" s="201">
        <f t="shared" si="7"/>
        <v>0</v>
      </c>
      <c r="F130" s="201">
        <f t="shared" si="7"/>
        <v>0</v>
      </c>
      <c r="G130" s="201">
        <f t="shared" si="7"/>
        <v>0</v>
      </c>
      <c r="H130" s="201">
        <f t="shared" si="7"/>
        <v>0</v>
      </c>
      <c r="I130" s="201">
        <f t="shared" si="7"/>
        <v>0</v>
      </c>
      <c r="J130" s="201">
        <f t="shared" si="7"/>
        <v>0</v>
      </c>
      <c r="K130" s="201">
        <f t="shared" si="7"/>
        <v>0</v>
      </c>
      <c r="L130" s="201">
        <f t="shared" si="7"/>
        <v>0</v>
      </c>
      <c r="M130" s="201">
        <f t="shared" si="7"/>
        <v>0</v>
      </c>
      <c r="N130" s="201">
        <f t="shared" si="7"/>
        <v>0</v>
      </c>
      <c r="O130" s="201">
        <f t="shared" si="7"/>
        <v>0</v>
      </c>
      <c r="P130" s="201">
        <f t="shared" si="9"/>
        <v>0</v>
      </c>
      <c r="Q130" s="201">
        <f t="shared" si="9"/>
        <v>0</v>
      </c>
      <c r="R130" s="201">
        <f t="shared" si="9"/>
        <v>0</v>
      </c>
      <c r="S130" s="201">
        <f t="shared" si="9"/>
        <v>0</v>
      </c>
      <c r="T130" s="201">
        <f t="shared" si="9"/>
        <v>0</v>
      </c>
      <c r="U130" s="201">
        <f t="shared" si="9"/>
        <v>0</v>
      </c>
      <c r="V130" s="201">
        <f t="shared" si="9"/>
        <v>0</v>
      </c>
      <c r="W130" s="201">
        <f t="shared" si="9"/>
        <v>0</v>
      </c>
      <c r="X130" s="201">
        <f t="shared" si="9"/>
        <v>0</v>
      </c>
      <c r="Y130" s="201"/>
      <c r="Z130" s="201">
        <v>0</v>
      </c>
      <c r="AA130" s="201">
        <f t="shared" si="8"/>
        <v>0</v>
      </c>
    </row>
    <row r="131" spans="4:27" x14ac:dyDescent="0.3">
      <c r="D131" s="6">
        <v>25</v>
      </c>
      <c r="E131" s="201">
        <f t="shared" si="7"/>
        <v>0</v>
      </c>
      <c r="F131" s="201">
        <f t="shared" si="7"/>
        <v>0</v>
      </c>
      <c r="G131" s="201">
        <f t="shared" si="7"/>
        <v>0</v>
      </c>
      <c r="H131" s="201">
        <f t="shared" si="7"/>
        <v>0</v>
      </c>
      <c r="I131" s="201">
        <f t="shared" si="7"/>
        <v>0</v>
      </c>
      <c r="J131" s="201">
        <f t="shared" si="7"/>
        <v>0</v>
      </c>
      <c r="K131" s="201">
        <f t="shared" si="7"/>
        <v>0</v>
      </c>
      <c r="L131" s="201">
        <f t="shared" si="7"/>
        <v>0</v>
      </c>
      <c r="M131" s="201">
        <f t="shared" si="7"/>
        <v>0</v>
      </c>
      <c r="N131" s="201">
        <f t="shared" si="7"/>
        <v>0</v>
      </c>
      <c r="O131" s="201">
        <f t="shared" si="7"/>
        <v>0</v>
      </c>
      <c r="P131" s="201">
        <f t="shared" si="9"/>
        <v>0</v>
      </c>
      <c r="Q131" s="201">
        <f t="shared" si="9"/>
        <v>0</v>
      </c>
      <c r="R131" s="201">
        <f t="shared" si="9"/>
        <v>0</v>
      </c>
      <c r="S131" s="201">
        <f t="shared" si="9"/>
        <v>0</v>
      </c>
      <c r="T131" s="201">
        <f t="shared" si="9"/>
        <v>0</v>
      </c>
      <c r="U131" s="201">
        <f t="shared" si="9"/>
        <v>0</v>
      </c>
      <c r="V131" s="201">
        <f t="shared" si="9"/>
        <v>0</v>
      </c>
      <c r="W131" s="201">
        <f t="shared" si="9"/>
        <v>0</v>
      </c>
      <c r="X131" s="201">
        <f t="shared" si="9"/>
        <v>0</v>
      </c>
      <c r="Y131" s="201"/>
      <c r="Z131" s="201">
        <v>0</v>
      </c>
      <c r="AA131" s="201">
        <f t="shared" si="8"/>
        <v>0</v>
      </c>
    </row>
    <row r="132" spans="4:27" x14ac:dyDescent="0.3">
      <c r="D132" s="6">
        <v>26</v>
      </c>
      <c r="E132" s="201">
        <f t="shared" si="7"/>
        <v>0</v>
      </c>
      <c r="F132" s="201">
        <f t="shared" si="7"/>
        <v>0</v>
      </c>
      <c r="G132" s="201">
        <f t="shared" si="7"/>
        <v>0</v>
      </c>
      <c r="H132" s="201">
        <f t="shared" si="7"/>
        <v>0</v>
      </c>
      <c r="I132" s="201">
        <f t="shared" si="7"/>
        <v>0</v>
      </c>
      <c r="J132" s="201">
        <f t="shared" si="7"/>
        <v>0</v>
      </c>
      <c r="K132" s="201">
        <f t="shared" si="7"/>
        <v>0</v>
      </c>
      <c r="L132" s="201">
        <f t="shared" si="7"/>
        <v>0</v>
      </c>
      <c r="M132" s="201">
        <f t="shared" si="7"/>
        <v>0</v>
      </c>
      <c r="N132" s="201">
        <f t="shared" si="7"/>
        <v>0</v>
      </c>
      <c r="O132" s="201">
        <f t="shared" si="7"/>
        <v>0</v>
      </c>
      <c r="P132" s="201">
        <f t="shared" si="9"/>
        <v>0</v>
      </c>
      <c r="Q132" s="201">
        <f t="shared" si="9"/>
        <v>0</v>
      </c>
      <c r="R132" s="201">
        <f t="shared" si="9"/>
        <v>0</v>
      </c>
      <c r="S132" s="201">
        <f t="shared" si="9"/>
        <v>0</v>
      </c>
      <c r="T132" s="201">
        <f t="shared" si="9"/>
        <v>0</v>
      </c>
      <c r="U132" s="201">
        <f t="shared" si="9"/>
        <v>0</v>
      </c>
      <c r="V132" s="201">
        <f t="shared" si="9"/>
        <v>0</v>
      </c>
      <c r="W132" s="201">
        <f t="shared" si="9"/>
        <v>0</v>
      </c>
      <c r="X132" s="201">
        <f t="shared" si="9"/>
        <v>0</v>
      </c>
      <c r="Y132" s="201"/>
      <c r="Z132" s="201">
        <v>0</v>
      </c>
      <c r="AA132" s="201">
        <f t="shared" si="8"/>
        <v>0</v>
      </c>
    </row>
    <row r="133" spans="4:27" x14ac:dyDescent="0.3">
      <c r="D133" s="6">
        <v>27</v>
      </c>
      <c r="E133" s="201">
        <f t="shared" si="7"/>
        <v>0</v>
      </c>
      <c r="F133" s="201">
        <f t="shared" si="7"/>
        <v>0</v>
      </c>
      <c r="G133" s="201">
        <f t="shared" si="7"/>
        <v>0</v>
      </c>
      <c r="H133" s="201">
        <f t="shared" si="7"/>
        <v>0</v>
      </c>
      <c r="I133" s="201">
        <f t="shared" si="7"/>
        <v>0</v>
      </c>
      <c r="J133" s="201">
        <f t="shared" si="7"/>
        <v>0</v>
      </c>
      <c r="K133" s="201">
        <f t="shared" si="7"/>
        <v>0</v>
      </c>
      <c r="L133" s="201">
        <f t="shared" si="7"/>
        <v>0</v>
      </c>
      <c r="M133" s="201">
        <f t="shared" si="7"/>
        <v>0</v>
      </c>
      <c r="N133" s="201">
        <f t="shared" si="7"/>
        <v>0</v>
      </c>
      <c r="O133" s="201">
        <f t="shared" si="7"/>
        <v>0</v>
      </c>
      <c r="P133" s="201">
        <f t="shared" si="9"/>
        <v>0</v>
      </c>
      <c r="Q133" s="201">
        <f t="shared" si="9"/>
        <v>0</v>
      </c>
      <c r="R133" s="201">
        <f t="shared" si="9"/>
        <v>0</v>
      </c>
      <c r="S133" s="201">
        <f t="shared" si="9"/>
        <v>0</v>
      </c>
      <c r="T133" s="201">
        <f t="shared" si="9"/>
        <v>0</v>
      </c>
      <c r="U133" s="201">
        <f t="shared" si="9"/>
        <v>0</v>
      </c>
      <c r="V133" s="201">
        <f t="shared" si="9"/>
        <v>0</v>
      </c>
      <c r="W133" s="201">
        <f t="shared" si="9"/>
        <v>0</v>
      </c>
      <c r="X133" s="201">
        <f t="shared" si="9"/>
        <v>0</v>
      </c>
      <c r="Y133" s="201"/>
      <c r="Z133" s="201">
        <v>0</v>
      </c>
      <c r="AA133" s="201">
        <f t="shared" si="8"/>
        <v>0</v>
      </c>
    </row>
    <row r="134" spans="4:27" x14ac:dyDescent="0.3">
      <c r="D134" s="6">
        <v>28</v>
      </c>
      <c r="E134" s="201">
        <f t="shared" si="7"/>
        <v>0</v>
      </c>
      <c r="F134" s="201">
        <f t="shared" si="7"/>
        <v>0</v>
      </c>
      <c r="G134" s="201">
        <f t="shared" si="7"/>
        <v>0</v>
      </c>
      <c r="H134" s="201">
        <f t="shared" si="7"/>
        <v>0</v>
      </c>
      <c r="I134" s="201">
        <f t="shared" ref="E134:O136" si="10">IF($D134-I$106&lt;$G$17,IF($B$23=0,1/$G$17,($B$23*(1+$B$23)^$G$17)/((1+$B$23)^$G$17-1)),0)</f>
        <v>0</v>
      </c>
      <c r="J134" s="201">
        <f t="shared" si="10"/>
        <v>0</v>
      </c>
      <c r="K134" s="201">
        <f t="shared" si="10"/>
        <v>0</v>
      </c>
      <c r="L134" s="201">
        <f t="shared" si="10"/>
        <v>0</v>
      </c>
      <c r="M134" s="201">
        <f t="shared" si="10"/>
        <v>0</v>
      </c>
      <c r="N134" s="201">
        <f t="shared" si="10"/>
        <v>0</v>
      </c>
      <c r="O134" s="201">
        <f t="shared" si="10"/>
        <v>0</v>
      </c>
      <c r="P134" s="201">
        <f t="shared" si="9"/>
        <v>0</v>
      </c>
      <c r="Q134" s="201">
        <f t="shared" si="9"/>
        <v>0</v>
      </c>
      <c r="R134" s="201">
        <f t="shared" si="9"/>
        <v>0</v>
      </c>
      <c r="S134" s="201">
        <f t="shared" si="9"/>
        <v>0</v>
      </c>
      <c r="T134" s="201">
        <f t="shared" si="9"/>
        <v>0</v>
      </c>
      <c r="U134" s="201">
        <f t="shared" si="9"/>
        <v>0</v>
      </c>
      <c r="V134" s="201">
        <f t="shared" si="9"/>
        <v>0</v>
      </c>
      <c r="W134" s="201">
        <f t="shared" si="9"/>
        <v>0</v>
      </c>
      <c r="X134" s="201">
        <f t="shared" si="9"/>
        <v>0</v>
      </c>
      <c r="Y134" s="201"/>
      <c r="Z134" s="201">
        <v>0</v>
      </c>
      <c r="AA134" s="201">
        <f t="shared" si="8"/>
        <v>0</v>
      </c>
    </row>
    <row r="135" spans="4:27" x14ac:dyDescent="0.3">
      <c r="D135" s="6">
        <v>29</v>
      </c>
      <c r="E135" s="201">
        <f t="shared" si="10"/>
        <v>0</v>
      </c>
      <c r="F135" s="201">
        <f t="shared" si="10"/>
        <v>0</v>
      </c>
      <c r="G135" s="201">
        <f t="shared" si="10"/>
        <v>0</v>
      </c>
      <c r="H135" s="201">
        <f t="shared" si="10"/>
        <v>0</v>
      </c>
      <c r="I135" s="201">
        <f t="shared" si="10"/>
        <v>0</v>
      </c>
      <c r="J135" s="201">
        <f t="shared" si="10"/>
        <v>0</v>
      </c>
      <c r="K135" s="201">
        <f t="shared" si="10"/>
        <v>0</v>
      </c>
      <c r="L135" s="201">
        <f t="shared" si="10"/>
        <v>0</v>
      </c>
      <c r="M135" s="201">
        <f t="shared" si="10"/>
        <v>0</v>
      </c>
      <c r="N135" s="201">
        <f t="shared" si="10"/>
        <v>0</v>
      </c>
      <c r="O135" s="201">
        <f t="shared" si="10"/>
        <v>0</v>
      </c>
      <c r="P135" s="201">
        <f t="shared" si="9"/>
        <v>0</v>
      </c>
      <c r="Q135" s="201">
        <f t="shared" si="9"/>
        <v>0</v>
      </c>
      <c r="R135" s="201">
        <f t="shared" si="9"/>
        <v>0</v>
      </c>
      <c r="S135" s="201">
        <f t="shared" si="9"/>
        <v>0</v>
      </c>
      <c r="T135" s="201">
        <f t="shared" si="9"/>
        <v>0</v>
      </c>
      <c r="U135" s="201">
        <f t="shared" si="9"/>
        <v>0</v>
      </c>
      <c r="V135" s="201">
        <f t="shared" si="9"/>
        <v>0</v>
      </c>
      <c r="W135" s="201">
        <f t="shared" si="9"/>
        <v>0</v>
      </c>
      <c r="X135" s="201">
        <f t="shared" si="9"/>
        <v>0</v>
      </c>
      <c r="Y135" s="201"/>
      <c r="Z135" s="201">
        <v>0</v>
      </c>
      <c r="AA135" s="201">
        <f t="shared" si="8"/>
        <v>0</v>
      </c>
    </row>
    <row r="136" spans="4:27" x14ac:dyDescent="0.3">
      <c r="D136" s="6">
        <v>30</v>
      </c>
      <c r="E136" s="201">
        <f t="shared" si="10"/>
        <v>0</v>
      </c>
      <c r="F136" s="201">
        <f t="shared" si="10"/>
        <v>0</v>
      </c>
      <c r="G136" s="201">
        <f t="shared" si="10"/>
        <v>0</v>
      </c>
      <c r="H136" s="201">
        <f t="shared" si="10"/>
        <v>0</v>
      </c>
      <c r="I136" s="201">
        <f t="shared" si="10"/>
        <v>0</v>
      </c>
      <c r="J136" s="201">
        <f t="shared" si="10"/>
        <v>0</v>
      </c>
      <c r="K136" s="201">
        <f t="shared" si="10"/>
        <v>0</v>
      </c>
      <c r="L136" s="201">
        <f t="shared" si="10"/>
        <v>0</v>
      </c>
      <c r="M136" s="201">
        <f t="shared" si="10"/>
        <v>0</v>
      </c>
      <c r="N136" s="201">
        <f t="shared" si="10"/>
        <v>0</v>
      </c>
      <c r="O136" s="201">
        <f t="shared" si="10"/>
        <v>0</v>
      </c>
      <c r="P136" s="201">
        <f t="shared" si="9"/>
        <v>0</v>
      </c>
      <c r="Q136" s="201">
        <f t="shared" si="9"/>
        <v>0</v>
      </c>
      <c r="R136" s="201">
        <f t="shared" si="9"/>
        <v>0</v>
      </c>
      <c r="S136" s="201">
        <f t="shared" si="9"/>
        <v>0</v>
      </c>
      <c r="T136" s="201">
        <f t="shared" si="9"/>
        <v>0</v>
      </c>
      <c r="U136" s="201">
        <f t="shared" si="9"/>
        <v>0</v>
      </c>
      <c r="V136" s="201">
        <f t="shared" si="9"/>
        <v>0</v>
      </c>
      <c r="W136" s="201">
        <f t="shared" si="9"/>
        <v>0</v>
      </c>
      <c r="X136" s="201">
        <f t="shared" si="9"/>
        <v>0</v>
      </c>
      <c r="Y136" s="201"/>
      <c r="Z136" s="201">
        <v>0</v>
      </c>
      <c r="AA136" s="201">
        <f t="shared" si="8"/>
        <v>0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B565-8EB4-4D02-8A93-C5E0F95BCFC8}">
  <sheetPr>
    <tabColor theme="0"/>
  </sheetPr>
  <dimension ref="A1:AK51"/>
  <sheetViews>
    <sheetView zoomScale="70" zoomScaleNormal="70" workbookViewId="0">
      <selection activeCell="AA19" sqref="AA19"/>
    </sheetView>
  </sheetViews>
  <sheetFormatPr defaultColWidth="8.77734375" defaultRowHeight="14.4" x14ac:dyDescent="0.3"/>
  <cols>
    <col min="1" max="1" width="19.21875" customWidth="1"/>
    <col min="2" max="2" width="6.44140625" customWidth="1"/>
    <col min="3" max="45" width="5.21875" customWidth="1"/>
  </cols>
  <sheetData>
    <row r="1" spans="1:25" x14ac:dyDescent="0.3">
      <c r="A1" s="1"/>
      <c r="B1" s="1"/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5" x14ac:dyDescent="0.3">
      <c r="A3" s="1"/>
      <c r="B3" s="1" t="s">
        <v>465</v>
      </c>
      <c r="C3" s="2" t="s">
        <v>466</v>
      </c>
      <c r="D3" s="2" t="s">
        <v>467</v>
      </c>
      <c r="E3" s="2" t="s">
        <v>468</v>
      </c>
      <c r="F3" s="2"/>
      <c r="G3" s="2" t="s">
        <v>469</v>
      </c>
      <c r="H3" s="2" t="s">
        <v>470</v>
      </c>
      <c r="I3" s="2" t="s">
        <v>471</v>
      </c>
      <c r="J3" s="2" t="s">
        <v>472</v>
      </c>
      <c r="K3" s="1"/>
      <c r="L3" s="2"/>
      <c r="M3" s="1"/>
      <c r="N3" s="2"/>
      <c r="Q3" s="1"/>
      <c r="R3" s="2" t="s">
        <v>466</v>
      </c>
      <c r="S3" s="2" t="s">
        <v>467</v>
      </c>
      <c r="T3" s="2" t="s">
        <v>468</v>
      </c>
      <c r="U3" s="2"/>
      <c r="V3" s="2" t="s">
        <v>469</v>
      </c>
      <c r="W3" s="2" t="s">
        <v>470</v>
      </c>
      <c r="X3" s="2" t="s">
        <v>471</v>
      </c>
      <c r="Y3" s="2" t="s">
        <v>472</v>
      </c>
    </row>
    <row r="4" spans="1:25" x14ac:dyDescent="0.3">
      <c r="A4" s="1"/>
      <c r="B4" s="1"/>
      <c r="C4" s="2"/>
      <c r="D4" s="2"/>
      <c r="E4" s="2"/>
      <c r="F4" s="2"/>
      <c r="G4" s="191" t="s">
        <v>473</v>
      </c>
      <c r="H4" s="2"/>
      <c r="I4" s="2"/>
      <c r="J4" s="2"/>
      <c r="K4" s="1"/>
      <c r="L4" s="191" t="s">
        <v>426</v>
      </c>
      <c r="M4" s="1"/>
      <c r="N4" s="191" t="s">
        <v>474</v>
      </c>
      <c r="Q4" s="1"/>
      <c r="R4" s="2"/>
      <c r="S4" s="2"/>
      <c r="T4" s="2"/>
      <c r="U4" s="2"/>
      <c r="V4" s="191" t="s">
        <v>475</v>
      </c>
      <c r="W4" s="2"/>
      <c r="X4" s="2"/>
      <c r="Y4" s="2"/>
    </row>
    <row r="5" spans="1:25" x14ac:dyDescent="0.3">
      <c r="A5" s="1" t="s">
        <v>109</v>
      </c>
      <c r="B5" s="1" t="s">
        <v>466</v>
      </c>
      <c r="C5" s="1"/>
      <c r="D5" s="1"/>
      <c r="E5" s="1"/>
      <c r="F5" s="1"/>
      <c r="G5" s="3">
        <v>0</v>
      </c>
      <c r="H5" s="3">
        <v>0</v>
      </c>
      <c r="I5" s="3">
        <f>E11/0.45</f>
        <v>111.11111111111111</v>
      </c>
      <c r="J5" s="3">
        <v>0</v>
      </c>
      <c r="K5" s="1"/>
      <c r="L5" s="3">
        <f>N5-SUM(G5:J5)</f>
        <v>38.888888888888886</v>
      </c>
      <c r="M5" s="1"/>
      <c r="N5" s="1">
        <f>C22</f>
        <v>150</v>
      </c>
      <c r="Q5" s="1" t="s">
        <v>466</v>
      </c>
      <c r="R5" s="27"/>
      <c r="S5" s="27"/>
      <c r="T5" s="27"/>
      <c r="U5" s="27"/>
      <c r="V5" s="8">
        <f t="array" ref="V5:Y7">MMULT(G5:J7,MINVERSE(N9:N12*_xlfn.MUNIT(4)))</f>
        <v>0</v>
      </c>
      <c r="W5" s="8">
        <v>0</v>
      </c>
      <c r="X5" s="8">
        <v>2.2222222222222223</v>
      </c>
      <c r="Y5" s="8">
        <v>0</v>
      </c>
    </row>
    <row r="6" spans="1:25" x14ac:dyDescent="0.3">
      <c r="A6" s="1" t="s">
        <v>476</v>
      </c>
      <c r="B6" s="1" t="s">
        <v>467</v>
      </c>
      <c r="C6" s="1"/>
      <c r="D6" s="1"/>
      <c r="E6" s="1"/>
      <c r="F6" s="1"/>
      <c r="G6" s="3">
        <v>0</v>
      </c>
      <c r="H6" s="3">
        <v>0</v>
      </c>
      <c r="I6" s="3">
        <v>0</v>
      </c>
      <c r="J6" s="3">
        <v>0</v>
      </c>
      <c r="K6" s="1"/>
      <c r="L6" s="3">
        <f>N6-SUM(G6:J6)</f>
        <v>60</v>
      </c>
      <c r="M6" s="1"/>
      <c r="N6" s="1">
        <f>D22</f>
        <v>60</v>
      </c>
      <c r="Q6" s="1" t="s">
        <v>467</v>
      </c>
      <c r="R6" s="27"/>
      <c r="S6" s="27"/>
      <c r="T6" s="27"/>
      <c r="U6" s="27"/>
      <c r="V6" s="8">
        <v>0</v>
      </c>
      <c r="W6" s="8">
        <v>0</v>
      </c>
      <c r="X6" s="8">
        <v>0</v>
      </c>
      <c r="Y6" s="8">
        <v>0</v>
      </c>
    </row>
    <row r="7" spans="1:25" x14ac:dyDescent="0.3">
      <c r="A7" s="1" t="s">
        <v>17</v>
      </c>
      <c r="B7" s="1" t="s">
        <v>468</v>
      </c>
      <c r="C7" s="1"/>
      <c r="D7" s="1"/>
      <c r="E7" s="1"/>
      <c r="F7" s="1"/>
      <c r="G7" s="3">
        <v>15</v>
      </c>
      <c r="H7" s="3">
        <v>6</v>
      </c>
      <c r="I7" s="3">
        <v>5</v>
      </c>
      <c r="J7" s="3">
        <v>3</v>
      </c>
      <c r="K7" s="1"/>
      <c r="L7" s="3">
        <f>N7-SUM(G7:J7)</f>
        <v>41</v>
      </c>
      <c r="M7" s="1"/>
      <c r="N7" s="1">
        <f>SUM(E22:E22)</f>
        <v>70</v>
      </c>
      <c r="Q7" s="1" t="s">
        <v>468</v>
      </c>
      <c r="R7" s="27"/>
      <c r="S7" s="27"/>
      <c r="T7" s="27"/>
      <c r="U7" s="27"/>
      <c r="V7" s="8">
        <v>0.1</v>
      </c>
      <c r="W7" s="8">
        <v>0.1</v>
      </c>
      <c r="X7" s="8">
        <v>0.1</v>
      </c>
      <c r="Y7" s="8">
        <v>0.15000000000000002</v>
      </c>
    </row>
    <row r="8" spans="1:25" x14ac:dyDescent="0.3">
      <c r="A8" s="1"/>
      <c r="B8" s="1"/>
      <c r="C8" s="191" t="s">
        <v>477</v>
      </c>
      <c r="D8" s="1"/>
      <c r="E8" s="1"/>
      <c r="F8" s="1"/>
      <c r="G8" s="1"/>
      <c r="H8" s="1"/>
      <c r="I8" s="1"/>
      <c r="J8" s="1"/>
      <c r="K8" s="1"/>
      <c r="L8" s="1"/>
      <c r="M8" s="1"/>
      <c r="N8" s="191" t="s">
        <v>26</v>
      </c>
      <c r="Q8" s="1"/>
      <c r="R8" s="191" t="s">
        <v>478</v>
      </c>
      <c r="S8" s="27"/>
      <c r="T8" s="27"/>
      <c r="U8" s="27"/>
      <c r="V8" s="27"/>
      <c r="W8" s="27"/>
      <c r="X8" s="27"/>
      <c r="Y8" s="27"/>
    </row>
    <row r="9" spans="1:25" x14ac:dyDescent="0.3">
      <c r="A9" s="1" t="s">
        <v>147</v>
      </c>
      <c r="B9" s="6" t="s">
        <v>469</v>
      </c>
      <c r="C9" s="108">
        <v>150</v>
      </c>
      <c r="D9" s="108">
        <v>0</v>
      </c>
      <c r="E9" s="108">
        <v>0</v>
      </c>
      <c r="F9" s="180"/>
      <c r="G9" s="1"/>
      <c r="H9" s="1"/>
      <c r="I9" s="1"/>
      <c r="J9" s="1"/>
      <c r="K9" s="1"/>
      <c r="L9" s="1"/>
      <c r="M9" s="1"/>
      <c r="N9" s="1">
        <f>SUM(C9:E9)</f>
        <v>150</v>
      </c>
      <c r="Q9" s="6" t="s">
        <v>469</v>
      </c>
      <c r="R9" s="57">
        <f t="array" ref="R9:T12">MMULT(C9:E12,MINVERSE(N5:N7*_xlfn.MUNIT(3)))</f>
        <v>1</v>
      </c>
      <c r="S9" s="57">
        <v>0</v>
      </c>
      <c r="T9" s="57">
        <v>0</v>
      </c>
      <c r="U9" s="58"/>
      <c r="V9" s="27"/>
      <c r="W9" s="27"/>
      <c r="X9" s="27"/>
      <c r="Y9" s="27"/>
    </row>
    <row r="10" spans="1:25" x14ac:dyDescent="0.3">
      <c r="A10" s="1" t="s">
        <v>479</v>
      </c>
      <c r="B10" s="6" t="s">
        <v>470</v>
      </c>
      <c r="C10" s="108">
        <v>0</v>
      </c>
      <c r="D10" s="108">
        <v>60</v>
      </c>
      <c r="E10" s="108">
        <v>0</v>
      </c>
      <c r="F10" s="180"/>
      <c r="G10" s="1"/>
      <c r="H10" s="1"/>
      <c r="I10" s="1"/>
      <c r="J10" s="1"/>
      <c r="K10" s="1"/>
      <c r="L10" s="1"/>
      <c r="M10" s="1"/>
      <c r="N10" s="1">
        <f t="shared" ref="N10:N12" si="0">SUM(C10:E10)</f>
        <v>60</v>
      </c>
      <c r="Q10" s="6" t="s">
        <v>470</v>
      </c>
      <c r="R10" s="57">
        <v>0</v>
      </c>
      <c r="S10" s="57">
        <v>1</v>
      </c>
      <c r="T10" s="57">
        <v>0</v>
      </c>
      <c r="U10" s="58"/>
      <c r="V10" s="27"/>
      <c r="W10" s="27"/>
      <c r="X10" s="27"/>
      <c r="Y10" s="27"/>
    </row>
    <row r="11" spans="1:25" x14ac:dyDescent="0.3">
      <c r="A11" s="1" t="s">
        <v>480</v>
      </c>
      <c r="B11" s="6" t="s">
        <v>471</v>
      </c>
      <c r="C11" s="108">
        <v>0</v>
      </c>
      <c r="D11" s="108">
        <v>0</v>
      </c>
      <c r="E11" s="108">
        <v>50</v>
      </c>
      <c r="F11" s="180"/>
      <c r="G11" s="1"/>
      <c r="H11" s="1"/>
      <c r="I11" s="1"/>
      <c r="J11" s="1"/>
      <c r="K11" s="1"/>
      <c r="L11" s="1"/>
      <c r="M11" s="1"/>
      <c r="N11" s="1">
        <f t="shared" si="0"/>
        <v>50</v>
      </c>
      <c r="Q11" s="6" t="s">
        <v>471</v>
      </c>
      <c r="R11" s="57">
        <v>0</v>
      </c>
      <c r="S11" s="57">
        <v>0</v>
      </c>
      <c r="T11" s="57">
        <v>0.7142857142857143</v>
      </c>
      <c r="U11" s="58"/>
      <c r="V11" s="27"/>
      <c r="W11" s="27"/>
      <c r="X11" s="27"/>
      <c r="Y11" s="27"/>
    </row>
    <row r="12" spans="1:25" x14ac:dyDescent="0.3">
      <c r="A12" s="1" t="s">
        <v>481</v>
      </c>
      <c r="B12" s="6" t="s">
        <v>472</v>
      </c>
      <c r="C12" s="108">
        <v>0</v>
      </c>
      <c r="D12" s="108">
        <v>0</v>
      </c>
      <c r="E12" s="108">
        <v>20</v>
      </c>
      <c r="F12" s="180"/>
      <c r="G12" s="1"/>
      <c r="H12" s="1"/>
      <c r="I12" s="1"/>
      <c r="J12" s="1"/>
      <c r="K12" s="1"/>
      <c r="L12" s="1"/>
      <c r="M12" s="1"/>
      <c r="N12" s="1">
        <f t="shared" si="0"/>
        <v>20</v>
      </c>
      <c r="Q12" s="6" t="s">
        <v>472</v>
      </c>
      <c r="R12" s="57">
        <v>0</v>
      </c>
      <c r="S12" s="57">
        <v>0</v>
      </c>
      <c r="T12" s="57">
        <v>0.2857142857142857</v>
      </c>
      <c r="U12" s="58"/>
      <c r="V12" s="27"/>
      <c r="W12" s="27"/>
      <c r="X12" s="27"/>
      <c r="Y12" s="27"/>
    </row>
    <row r="13" spans="1:25" x14ac:dyDescent="0.3">
      <c r="A13" s="1"/>
      <c r="B13" s="1"/>
      <c r="C13" s="1"/>
      <c r="D13" s="1"/>
      <c r="E13" s="1"/>
      <c r="F13" s="1"/>
      <c r="G13" s="192" t="s">
        <v>91</v>
      </c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91" t="s">
        <v>482</v>
      </c>
      <c r="W13" s="1"/>
      <c r="X13" s="1"/>
      <c r="Y13" s="1"/>
    </row>
    <row r="14" spans="1:25" x14ac:dyDescent="0.3">
      <c r="A14" s="1" t="s">
        <v>81</v>
      </c>
      <c r="B14" s="6" t="s">
        <v>483</v>
      </c>
      <c r="C14" s="1"/>
      <c r="D14" s="1"/>
      <c r="E14" s="1"/>
      <c r="F14" s="1"/>
      <c r="G14" s="3">
        <f>C9*1.1</f>
        <v>165</v>
      </c>
      <c r="H14" s="3">
        <v>0</v>
      </c>
      <c r="I14" s="3">
        <v>0</v>
      </c>
      <c r="J14" s="3">
        <v>0</v>
      </c>
      <c r="K14" s="1"/>
      <c r="L14" s="1"/>
      <c r="M14" s="1"/>
      <c r="N14" s="1"/>
      <c r="Q14" s="6" t="s">
        <v>483</v>
      </c>
      <c r="R14" s="27"/>
      <c r="S14" s="27"/>
      <c r="T14" s="27"/>
      <c r="U14" s="27"/>
      <c r="V14" s="8">
        <f t="array" ref="V14:Y16">MMULT(G14:J16,MINVERSE(N9:N12*_xlfn.MUNIT(4)))</f>
        <v>1.1000000000000001</v>
      </c>
      <c r="W14" s="8">
        <v>0</v>
      </c>
      <c r="X14" s="8">
        <v>0</v>
      </c>
      <c r="Y14" s="8">
        <v>0</v>
      </c>
    </row>
    <row r="15" spans="1:25" x14ac:dyDescent="0.3">
      <c r="A15" s="1" t="s">
        <v>484</v>
      </c>
      <c r="B15" s="6" t="s">
        <v>485</v>
      </c>
      <c r="C15" s="1"/>
      <c r="D15" s="1"/>
      <c r="E15" s="1"/>
      <c r="F15" s="1"/>
      <c r="G15" s="3">
        <v>0</v>
      </c>
      <c r="H15" s="3">
        <f>D10*1.1</f>
        <v>66</v>
      </c>
      <c r="I15" s="3">
        <v>0</v>
      </c>
      <c r="J15" s="3">
        <v>0</v>
      </c>
      <c r="K15" s="1"/>
      <c r="L15" s="1"/>
      <c r="M15" s="1"/>
      <c r="N15" s="1"/>
      <c r="Q15" s="6" t="s">
        <v>485</v>
      </c>
      <c r="R15" s="27"/>
      <c r="S15" s="27"/>
      <c r="T15" s="27"/>
      <c r="U15" s="27"/>
      <c r="V15" s="8">
        <v>0</v>
      </c>
      <c r="W15" s="8">
        <v>1.1000000000000001</v>
      </c>
      <c r="X15" s="8">
        <v>0</v>
      </c>
      <c r="Y15" s="8">
        <v>0</v>
      </c>
    </row>
    <row r="16" spans="1:25" x14ac:dyDescent="0.3">
      <c r="A16" s="1" t="s">
        <v>486</v>
      </c>
      <c r="B16" s="6" t="s">
        <v>487</v>
      </c>
      <c r="C16" s="1"/>
      <c r="D16" s="1"/>
      <c r="E16" s="1"/>
      <c r="F16" s="1"/>
      <c r="G16" s="3">
        <v>0</v>
      </c>
      <c r="H16" s="3">
        <v>0</v>
      </c>
      <c r="I16" s="3">
        <v>0</v>
      </c>
      <c r="J16" s="3">
        <f>E12</f>
        <v>20</v>
      </c>
      <c r="K16" s="1"/>
      <c r="L16" s="1"/>
      <c r="M16" s="1"/>
      <c r="N16" s="1"/>
      <c r="Q16" s="6" t="s">
        <v>487</v>
      </c>
      <c r="R16" s="27"/>
      <c r="S16" s="27"/>
      <c r="T16" s="27"/>
      <c r="U16" s="27"/>
      <c r="V16" s="8">
        <v>0</v>
      </c>
      <c r="W16" s="8">
        <v>0</v>
      </c>
      <c r="X16" s="8">
        <v>0</v>
      </c>
      <c r="Y16" s="8">
        <v>1</v>
      </c>
    </row>
    <row r="17" spans="1:3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Q17" s="1"/>
      <c r="R17" s="1"/>
      <c r="S17" s="1"/>
      <c r="T17" s="1"/>
      <c r="U17" s="1"/>
      <c r="V17" s="1"/>
      <c r="W17" s="1"/>
      <c r="X17" s="1"/>
      <c r="Y17" s="1"/>
    </row>
    <row r="18" spans="1:37" x14ac:dyDescent="0.3">
      <c r="A18" s="1"/>
      <c r="B18" s="1"/>
      <c r="C18" s="1"/>
      <c r="D18" s="1"/>
      <c r="E18" s="1"/>
      <c r="F18" s="1"/>
      <c r="G18" s="192" t="s">
        <v>488</v>
      </c>
      <c r="H18" s="1"/>
      <c r="I18" s="1"/>
      <c r="J18" s="1"/>
      <c r="Q18" s="1"/>
      <c r="R18" s="1"/>
      <c r="S18" s="1"/>
      <c r="T18" s="1"/>
      <c r="U18" s="1"/>
      <c r="V18" s="191" t="s">
        <v>489</v>
      </c>
      <c r="W18" s="1"/>
      <c r="X18" s="1"/>
      <c r="Y18" s="1"/>
    </row>
    <row r="19" spans="1:37" x14ac:dyDescent="0.3">
      <c r="A19" s="1" t="s">
        <v>490</v>
      </c>
      <c r="B19" s="1" t="s">
        <v>491</v>
      </c>
      <c r="C19" s="1"/>
      <c r="D19" s="1"/>
      <c r="E19" s="1"/>
      <c r="F19" s="1"/>
      <c r="G19" s="3">
        <f>SUM(G14:G16)+SUM(G5:G7)-N9</f>
        <v>30</v>
      </c>
      <c r="H19" s="3">
        <f>SUM(H14:H16)+SUM(H5:H7)-N10</f>
        <v>12</v>
      </c>
      <c r="I19" s="3">
        <f>SUM(I14:I16)+SUM(I5:I7)-N11</f>
        <v>66.111111111111114</v>
      </c>
      <c r="J19" s="3">
        <f>SUM(J14:J16)+SUM(J5:J7)-N12</f>
        <v>3</v>
      </c>
      <c r="Q19" s="1" t="s">
        <v>491</v>
      </c>
      <c r="R19" s="27"/>
      <c r="S19" s="27"/>
      <c r="T19" s="27"/>
      <c r="U19" s="27"/>
      <c r="V19" s="8">
        <f t="array" ref="V19:Y19">MMULT(G19:J19,MINVERSE(N9:N12*_xlfn.MUNIT(4)))</f>
        <v>0.2</v>
      </c>
      <c r="W19" s="8">
        <v>0.2</v>
      </c>
      <c r="X19" s="8">
        <v>1.3222222222222224</v>
      </c>
      <c r="Y19" s="8">
        <v>0.15000000000000002</v>
      </c>
    </row>
    <row r="20" spans="1:3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Q20" s="1"/>
      <c r="R20" s="27"/>
      <c r="S20" s="27"/>
      <c r="T20" s="27"/>
      <c r="U20" s="27"/>
      <c r="V20" s="27"/>
      <c r="W20" s="27"/>
      <c r="X20" s="27"/>
      <c r="Y20" s="27"/>
    </row>
    <row r="21" spans="1:37" x14ac:dyDescent="0.3">
      <c r="A21" s="1"/>
      <c r="B21" s="1"/>
      <c r="C21" s="191" t="s">
        <v>492</v>
      </c>
      <c r="D21" s="1"/>
      <c r="E21" s="1"/>
      <c r="F21" s="1"/>
      <c r="G21" s="191" t="s">
        <v>493</v>
      </c>
      <c r="H21" s="1"/>
      <c r="I21" s="1"/>
      <c r="J21" s="1"/>
    </row>
    <row r="22" spans="1:37" x14ac:dyDescent="0.3">
      <c r="A22" s="1" t="s">
        <v>353</v>
      </c>
      <c r="B22" s="1" t="s">
        <v>493</v>
      </c>
      <c r="C22" s="1">
        <f>SUM(C9:C12)</f>
        <v>150</v>
      </c>
      <c r="D22" s="1">
        <f t="shared" ref="D22:E22" si="1">SUM(D9:D12)</f>
        <v>60</v>
      </c>
      <c r="E22" s="1">
        <f t="shared" si="1"/>
        <v>70</v>
      </c>
      <c r="F22" s="1"/>
      <c r="G22" s="1">
        <f>N9</f>
        <v>150</v>
      </c>
      <c r="H22" s="1">
        <f>N10</f>
        <v>60</v>
      </c>
      <c r="I22" s="1">
        <f>N11</f>
        <v>50</v>
      </c>
      <c r="J22" s="1">
        <f>N12</f>
        <v>20</v>
      </c>
    </row>
    <row r="24" spans="1:37" x14ac:dyDescent="0.3">
      <c r="Q24" s="1"/>
      <c r="R24" s="2" t="s">
        <v>466</v>
      </c>
      <c r="S24" s="2" t="s">
        <v>467</v>
      </c>
      <c r="T24" s="2" t="s">
        <v>468</v>
      </c>
      <c r="U24" s="2"/>
      <c r="V24" s="2" t="s">
        <v>469</v>
      </c>
      <c r="W24" s="2" t="s">
        <v>470</v>
      </c>
      <c r="X24" s="2" t="s">
        <v>471</v>
      </c>
      <c r="Y24" s="2" t="s">
        <v>472</v>
      </c>
    </row>
    <row r="25" spans="1:37" x14ac:dyDescent="0.3">
      <c r="C25" t="s">
        <v>494</v>
      </c>
      <c r="E25" t="s">
        <v>495</v>
      </c>
      <c r="Q25" s="1"/>
      <c r="R25" s="2"/>
      <c r="S25" s="2"/>
      <c r="T25" s="2"/>
      <c r="U25" s="2"/>
      <c r="V25" s="191" t="s">
        <v>473</v>
      </c>
      <c r="W25" s="2"/>
      <c r="X25" s="2"/>
      <c r="Y25" s="2"/>
      <c r="AA25" s="191" t="s">
        <v>426</v>
      </c>
      <c r="AC25" s="191" t="s">
        <v>474</v>
      </c>
      <c r="AF25" s="193" t="s">
        <v>496</v>
      </c>
    </row>
    <row r="26" spans="1:37" x14ac:dyDescent="0.3">
      <c r="C26">
        <v>1</v>
      </c>
      <c r="E26">
        <v>1</v>
      </c>
      <c r="Q26" s="1" t="s">
        <v>466</v>
      </c>
      <c r="R26" s="1"/>
      <c r="S26" s="1"/>
      <c r="T26" s="1"/>
      <c r="U26" s="1"/>
      <c r="V26" s="3">
        <f t="array" ref="V26:Y28">MMULT(V5:Y7,AC30:AC33*_xlfn.MUNIT(4))</f>
        <v>0</v>
      </c>
      <c r="W26" s="3">
        <v>0</v>
      </c>
      <c r="X26" s="3">
        <v>111.11111111111111</v>
      </c>
      <c r="Y26" s="3">
        <v>0</v>
      </c>
      <c r="AA26" s="108">
        <f>L5</f>
        <v>38.888888888888886</v>
      </c>
      <c r="AC26" s="5">
        <v>150</v>
      </c>
      <c r="AF26">
        <f t="array" ref="AF26:AF28">MMULT(TRANSPOSE(MMULT(R9:T12,AC26:AC28*_xlfn.MUNIT(3))),C26:C29)</f>
        <v>150</v>
      </c>
      <c r="AG26">
        <f t="array" ref="AG26:AG28">MMULT(V5:Y7,AC30:AC33)</f>
        <v>111.11111111111111</v>
      </c>
      <c r="AI26">
        <f t="array" ref="AI26:AI28">AF26:AF28-AG26:AG28-AA26:AA28</f>
        <v>0</v>
      </c>
    </row>
    <row r="27" spans="1:37" x14ac:dyDescent="0.3">
      <c r="C27">
        <v>1</v>
      </c>
      <c r="E27">
        <v>1</v>
      </c>
      <c r="Q27" s="1" t="s">
        <v>467</v>
      </c>
      <c r="R27" s="1"/>
      <c r="S27" s="1"/>
      <c r="T27" s="1"/>
      <c r="U27" s="1"/>
      <c r="V27" s="3">
        <v>0</v>
      </c>
      <c r="W27" s="3">
        <v>0</v>
      </c>
      <c r="X27" s="3">
        <v>0</v>
      </c>
      <c r="Y27" s="3">
        <v>0</v>
      </c>
      <c r="AA27" s="108">
        <f t="shared" ref="AA27:AA28" si="2">L6</f>
        <v>60</v>
      </c>
      <c r="AC27" s="5">
        <v>60</v>
      </c>
      <c r="AF27">
        <v>60</v>
      </c>
      <c r="AG27">
        <v>0</v>
      </c>
      <c r="AI27">
        <v>0</v>
      </c>
    </row>
    <row r="28" spans="1:37" x14ac:dyDescent="0.3">
      <c r="C28">
        <v>1</v>
      </c>
      <c r="E28">
        <v>1</v>
      </c>
      <c r="Q28" s="1" t="s">
        <v>468</v>
      </c>
      <c r="R28" s="1"/>
      <c r="S28" s="1"/>
      <c r="T28" s="1"/>
      <c r="U28" s="1"/>
      <c r="V28" s="3">
        <v>15</v>
      </c>
      <c r="W28" s="3">
        <v>6</v>
      </c>
      <c r="X28" s="3">
        <v>5</v>
      </c>
      <c r="Y28" s="3">
        <v>3.0000000000000004</v>
      </c>
      <c r="AA28" s="108">
        <f t="shared" si="2"/>
        <v>41</v>
      </c>
      <c r="AC28" s="5">
        <v>70</v>
      </c>
      <c r="AF28">
        <v>70</v>
      </c>
      <c r="AG28">
        <v>29</v>
      </c>
      <c r="AI28">
        <v>0</v>
      </c>
    </row>
    <row r="29" spans="1:37" x14ac:dyDescent="0.3">
      <c r="C29">
        <v>1</v>
      </c>
      <c r="Q29" s="1"/>
      <c r="R29" s="191" t="s">
        <v>477</v>
      </c>
      <c r="S29" s="1"/>
      <c r="T29" s="1"/>
      <c r="U29" s="1"/>
      <c r="V29" s="1"/>
      <c r="W29" s="1"/>
      <c r="X29" s="1"/>
      <c r="Y29" s="1"/>
      <c r="AC29" s="191" t="s">
        <v>26</v>
      </c>
      <c r="AF29" s="193" t="s">
        <v>497</v>
      </c>
    </row>
    <row r="30" spans="1:37" x14ac:dyDescent="0.3">
      <c r="Q30" s="6" t="s">
        <v>469</v>
      </c>
      <c r="R30" s="108">
        <f t="array" ref="R30:T33">MMULT(R9:T12,AC26:AC28*_xlfn.MUNIT(3))</f>
        <v>150</v>
      </c>
      <c r="S30" s="108">
        <v>0</v>
      </c>
      <c r="T30" s="108">
        <v>0</v>
      </c>
      <c r="U30" s="180"/>
      <c r="V30" s="1"/>
      <c r="W30" s="1"/>
      <c r="X30" s="1"/>
      <c r="Y30" s="1"/>
      <c r="AC30" s="5">
        <v>150</v>
      </c>
      <c r="AF30" s="194">
        <f t="array" ref="AF30:AF33">MMULT(R9:T12,AC26:AC28)</f>
        <v>150</v>
      </c>
      <c r="AG30">
        <f t="array" ref="AG30:AG33">MMULT(TRANSPOSE(MMULT(V5:Y7,AC30:AC33*_xlfn.MUNIT(4))),E26:E28)</f>
        <v>15</v>
      </c>
      <c r="AH30">
        <f t="array" ref="AH30:AH33" xml:space="preserve"> MMULT(TRANSPOSE(MMULT(V14:Y16,AC30:AC33*_xlfn.MUNIT(4))),E26:E28)</f>
        <v>165</v>
      </c>
      <c r="AI30">
        <f t="array" ref="AI30:AI33">TRANSPOSE(MMULT(V19:Y19,AC30:AC33*_xlfn.MUNIT(4)))</f>
        <v>30</v>
      </c>
      <c r="AK30">
        <f t="array" ref="AK30:AK33">AF30:AF33-AG30:AG33-AH30:AH33-AI30:AI33</f>
        <v>-60</v>
      </c>
    </row>
    <row r="31" spans="1:37" x14ac:dyDescent="0.3">
      <c r="Q31" s="6" t="s">
        <v>470</v>
      </c>
      <c r="R31" s="108">
        <v>0</v>
      </c>
      <c r="S31" s="108">
        <v>60</v>
      </c>
      <c r="T31" s="108">
        <v>0</v>
      </c>
      <c r="U31" s="180"/>
      <c r="V31" s="1"/>
      <c r="W31" s="1"/>
      <c r="X31" s="1"/>
      <c r="Y31" s="1"/>
      <c r="AC31" s="5">
        <v>60</v>
      </c>
      <c r="AF31" s="194">
        <v>60</v>
      </c>
      <c r="AG31">
        <v>6</v>
      </c>
      <c r="AH31">
        <v>66</v>
      </c>
      <c r="AI31">
        <v>12</v>
      </c>
      <c r="AK31">
        <v>-24</v>
      </c>
    </row>
    <row r="32" spans="1:37" x14ac:dyDescent="0.3">
      <c r="Q32" s="6" t="s">
        <v>471</v>
      </c>
      <c r="R32" s="108">
        <v>0</v>
      </c>
      <c r="S32" s="108">
        <v>0</v>
      </c>
      <c r="T32" s="108">
        <v>50</v>
      </c>
      <c r="U32" s="180"/>
      <c r="V32" s="1"/>
      <c r="W32" s="1"/>
      <c r="X32" s="1"/>
      <c r="Y32" s="1"/>
      <c r="AC32" s="5">
        <v>50</v>
      </c>
      <c r="AF32" s="194">
        <v>50</v>
      </c>
      <c r="AG32">
        <v>116.11111111111111</v>
      </c>
      <c r="AH32">
        <v>0</v>
      </c>
      <c r="AI32">
        <v>66.111111111111114</v>
      </c>
      <c r="AK32">
        <v>-132.22222222222223</v>
      </c>
    </row>
    <row r="33" spans="17:37" x14ac:dyDescent="0.3">
      <c r="Q33" s="6" t="s">
        <v>472</v>
      </c>
      <c r="R33" s="108">
        <v>0</v>
      </c>
      <c r="S33" s="108">
        <v>0</v>
      </c>
      <c r="T33" s="108">
        <v>20</v>
      </c>
      <c r="U33" s="180"/>
      <c r="V33" s="1"/>
      <c r="W33" s="1"/>
      <c r="X33" s="1"/>
      <c r="Y33" s="1"/>
      <c r="AC33" s="5">
        <v>20</v>
      </c>
      <c r="AF33" s="194">
        <v>20</v>
      </c>
      <c r="AG33">
        <v>3.0000000000000004</v>
      </c>
      <c r="AH33">
        <v>20</v>
      </c>
      <c r="AI33">
        <v>3.0000000000000004</v>
      </c>
      <c r="AK33">
        <v>-6</v>
      </c>
    </row>
    <row r="34" spans="17:37" x14ac:dyDescent="0.3">
      <c r="Q34" s="1"/>
      <c r="R34" s="1"/>
      <c r="S34" s="1"/>
      <c r="T34" s="1"/>
      <c r="U34" s="1"/>
      <c r="V34" s="191" t="s">
        <v>91</v>
      </c>
      <c r="W34" s="1"/>
      <c r="X34" s="1"/>
      <c r="Y34" s="1"/>
    </row>
    <row r="35" spans="17:37" x14ac:dyDescent="0.3">
      <c r="Q35" s="6" t="s">
        <v>483</v>
      </c>
      <c r="R35" s="1"/>
      <c r="S35" s="1"/>
      <c r="T35" s="1"/>
      <c r="U35" s="1"/>
      <c r="V35" s="3">
        <f t="array" ref="V35:Y37">MMULT(V14:Y16,AC30:AC33*_xlfn.MUNIT(4))</f>
        <v>165</v>
      </c>
      <c r="W35" s="3">
        <v>0</v>
      </c>
      <c r="X35" s="3">
        <v>0</v>
      </c>
      <c r="Y35" s="3">
        <v>0</v>
      </c>
      <c r="AF35" s="193" t="s">
        <v>234</v>
      </c>
    </row>
    <row r="36" spans="17:37" x14ac:dyDescent="0.3">
      <c r="Q36" s="6" t="s">
        <v>485</v>
      </c>
      <c r="R36" s="1"/>
      <c r="S36" s="1"/>
      <c r="T36" s="1"/>
      <c r="U36" s="1"/>
      <c r="V36" s="3">
        <v>0</v>
      </c>
      <c r="W36" s="3">
        <v>66</v>
      </c>
      <c r="X36" s="3">
        <v>0</v>
      </c>
      <c r="Y36" s="3">
        <v>0</v>
      </c>
      <c r="AF36">
        <f t="array" ref="AF36:AF38">AC26:AC28</f>
        <v>150</v>
      </c>
      <c r="AG36">
        <f t="array" ref="AG36:AG38">MMULT(V5:Y7,AC30:AC33)</f>
        <v>111.11111111111111</v>
      </c>
      <c r="AI36">
        <f t="array" ref="AI36:AI38">AF36:AF38-AG36:AG38-AA26:AA28</f>
        <v>0</v>
      </c>
    </row>
    <row r="37" spans="17:37" x14ac:dyDescent="0.3">
      <c r="Q37" s="6" t="s">
        <v>487</v>
      </c>
      <c r="R37" s="1"/>
      <c r="S37" s="1"/>
      <c r="T37" s="1"/>
      <c r="U37" s="1"/>
      <c r="V37" s="3">
        <v>0</v>
      </c>
      <c r="W37" s="3">
        <v>0</v>
      </c>
      <c r="X37" s="3">
        <v>0</v>
      </c>
      <c r="Y37" s="3">
        <v>20</v>
      </c>
      <c r="AF37">
        <v>60</v>
      </c>
      <c r="AG37">
        <v>0</v>
      </c>
      <c r="AI37">
        <v>0</v>
      </c>
    </row>
    <row r="38" spans="17:37" x14ac:dyDescent="0.3">
      <c r="Q38" s="1"/>
      <c r="R38" s="1"/>
      <c r="S38" s="1"/>
      <c r="T38" s="1"/>
      <c r="U38" s="1"/>
      <c r="V38" s="1"/>
      <c r="W38" s="1"/>
      <c r="X38" s="1"/>
      <c r="Y38" s="1"/>
      <c r="AF38">
        <v>70</v>
      </c>
      <c r="AG38">
        <v>29</v>
      </c>
      <c r="AI38">
        <v>0</v>
      </c>
    </row>
    <row r="39" spans="17:37" x14ac:dyDescent="0.3">
      <c r="Q39" s="1"/>
      <c r="R39" s="1"/>
      <c r="S39" s="1"/>
      <c r="T39" s="1"/>
      <c r="U39" s="1"/>
      <c r="V39" s="191" t="s">
        <v>488</v>
      </c>
      <c r="W39" s="1"/>
      <c r="X39" s="1"/>
      <c r="Y39" s="1"/>
    </row>
    <row r="40" spans="17:37" x14ac:dyDescent="0.3">
      <c r="Q40" s="1" t="s">
        <v>491</v>
      </c>
      <c r="R40" s="1"/>
      <c r="S40" s="1"/>
      <c r="T40" s="1"/>
      <c r="U40" s="1"/>
      <c r="V40" s="3">
        <f t="array" ref="V40:Y40">MMULT(V19:Y19,AC30:AC33*_xlfn.MUNIT(4))</f>
        <v>30</v>
      </c>
      <c r="W40" s="3">
        <v>12</v>
      </c>
      <c r="X40" s="3">
        <v>66.111111111111114</v>
      </c>
      <c r="Y40" s="3">
        <v>3.0000000000000004</v>
      </c>
      <c r="AF40" s="193" t="s">
        <v>235</v>
      </c>
    </row>
    <row r="41" spans="17:37" x14ac:dyDescent="0.3">
      <c r="AF41">
        <f t="array" ref="AF41:AF44">MMULT(R9:T12,AC26:AC28)</f>
        <v>150</v>
      </c>
      <c r="AI41">
        <f t="array" ref="AI41:AI44">AF41:AF44-AC30:AC33</f>
        <v>0</v>
      </c>
    </row>
    <row r="42" spans="17:37" x14ac:dyDescent="0.3">
      <c r="R42" s="1">
        <f>SUM(R30:R33)</f>
        <v>150</v>
      </c>
      <c r="S42" s="1">
        <f t="shared" ref="S42:T42" si="3">SUM(S30:S33)</f>
        <v>60</v>
      </c>
      <c r="T42" s="1">
        <f t="shared" si="3"/>
        <v>70</v>
      </c>
      <c r="V42" s="196">
        <f>SUM(V35:V37,V26:V28)-V40</f>
        <v>150</v>
      </c>
      <c r="W42" s="196">
        <f t="shared" ref="W42:Y42" si="4">SUM(W35:W37,W26:W28)-W40</f>
        <v>60</v>
      </c>
      <c r="X42" s="196">
        <f t="shared" si="4"/>
        <v>50</v>
      </c>
      <c r="Y42" s="196">
        <f t="shared" si="4"/>
        <v>20</v>
      </c>
      <c r="AF42">
        <v>60</v>
      </c>
      <c r="AI42">
        <v>0</v>
      </c>
    </row>
    <row r="43" spans="17:37" x14ac:dyDescent="0.3">
      <c r="V43" s="195"/>
      <c r="AF43">
        <v>50</v>
      </c>
      <c r="AI43">
        <v>0</v>
      </c>
    </row>
    <row r="44" spans="17:37" x14ac:dyDescent="0.3">
      <c r="V44" s="195"/>
      <c r="AF44">
        <v>20</v>
      </c>
      <c r="AI44">
        <v>0</v>
      </c>
    </row>
    <row r="45" spans="17:37" x14ac:dyDescent="0.3">
      <c r="V45" s="195"/>
    </row>
    <row r="46" spans="17:37" x14ac:dyDescent="0.3">
      <c r="V46" s="195"/>
    </row>
    <row r="47" spans="17:37" x14ac:dyDescent="0.3">
      <c r="V47" s="195"/>
    </row>
    <row r="48" spans="17:37" x14ac:dyDescent="0.3">
      <c r="V48" s="195"/>
    </row>
    <row r="49" spans="22:22" x14ac:dyDescent="0.3">
      <c r="V49" s="195"/>
    </row>
    <row r="50" spans="22:22" x14ac:dyDescent="0.3">
      <c r="V50" s="195"/>
    </row>
    <row r="51" spans="22:22" x14ac:dyDescent="0.3">
      <c r="V51" s="195"/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D75-8FE2-4ED2-B299-22F194C9D6D7}">
  <sheetPr>
    <tabColor theme="0"/>
  </sheetPr>
  <dimension ref="A1:AK44"/>
  <sheetViews>
    <sheetView zoomScale="85" zoomScaleNormal="85" workbookViewId="0">
      <selection activeCell="AD36" sqref="AD36"/>
    </sheetView>
  </sheetViews>
  <sheetFormatPr defaultColWidth="8.77734375" defaultRowHeight="14.4" x14ac:dyDescent="0.3"/>
  <cols>
    <col min="1" max="1" width="19.21875" customWidth="1"/>
    <col min="2" max="2" width="6.44140625" customWidth="1"/>
    <col min="3" max="45" width="5.21875" customWidth="1"/>
  </cols>
  <sheetData>
    <row r="1" spans="1:25" x14ac:dyDescent="0.3">
      <c r="A1" s="1"/>
      <c r="B1" s="1"/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5" x14ac:dyDescent="0.3">
      <c r="A3" s="1"/>
      <c r="B3" s="1" t="s">
        <v>465</v>
      </c>
      <c r="C3" s="2" t="s">
        <v>466</v>
      </c>
      <c r="D3" s="2" t="s">
        <v>467</v>
      </c>
      <c r="E3" s="2" t="s">
        <v>468</v>
      </c>
      <c r="F3" s="2"/>
      <c r="G3" s="2" t="s">
        <v>469</v>
      </c>
      <c r="H3" s="2" t="s">
        <v>470</v>
      </c>
      <c r="I3" s="2" t="s">
        <v>471</v>
      </c>
      <c r="J3" s="2" t="s">
        <v>472</v>
      </c>
      <c r="K3" s="1"/>
      <c r="L3" s="2"/>
      <c r="M3" s="1"/>
      <c r="N3" s="2"/>
      <c r="Q3" s="1"/>
      <c r="R3" s="2" t="s">
        <v>466</v>
      </c>
      <c r="S3" s="2" t="s">
        <v>467</v>
      </c>
      <c r="T3" s="2" t="s">
        <v>468</v>
      </c>
      <c r="U3" s="2"/>
      <c r="V3" s="2" t="s">
        <v>469</v>
      </c>
      <c r="W3" s="2" t="s">
        <v>470</v>
      </c>
      <c r="X3" s="2" t="s">
        <v>471</v>
      </c>
      <c r="Y3" s="2" t="s">
        <v>472</v>
      </c>
    </row>
    <row r="4" spans="1:25" x14ac:dyDescent="0.3">
      <c r="A4" s="1"/>
      <c r="B4" s="1"/>
      <c r="C4" s="2"/>
      <c r="D4" s="2"/>
      <c r="E4" s="2"/>
      <c r="F4" s="2"/>
      <c r="G4" s="191" t="s">
        <v>473</v>
      </c>
      <c r="H4" s="2"/>
      <c r="I4" s="2"/>
      <c r="J4" s="2"/>
      <c r="K4" s="1"/>
      <c r="L4" s="191" t="s">
        <v>498</v>
      </c>
      <c r="M4" s="1"/>
      <c r="N4" s="191" t="s">
        <v>474</v>
      </c>
      <c r="Q4" s="1"/>
      <c r="R4" s="2"/>
      <c r="S4" s="2"/>
      <c r="T4" s="2"/>
      <c r="U4" s="2"/>
      <c r="V4" s="191" t="s">
        <v>475</v>
      </c>
      <c r="W4" s="2"/>
      <c r="X4" s="2"/>
      <c r="Y4" s="2"/>
    </row>
    <row r="5" spans="1:25" x14ac:dyDescent="0.3">
      <c r="A5" s="1" t="s">
        <v>109</v>
      </c>
      <c r="B5" s="1" t="s">
        <v>466</v>
      </c>
      <c r="C5" s="1"/>
      <c r="D5" s="1"/>
      <c r="E5" s="1"/>
      <c r="F5" s="1"/>
      <c r="G5" s="3">
        <v>0</v>
      </c>
      <c r="H5" s="3">
        <v>0</v>
      </c>
      <c r="I5" s="3">
        <f>E11/0.45</f>
        <v>111.11111111111111</v>
      </c>
      <c r="J5" s="3">
        <v>0</v>
      </c>
      <c r="K5" s="1"/>
      <c r="L5" s="3">
        <f>N5-SUM(G5:J5)</f>
        <v>38.888888888888886</v>
      </c>
      <c r="M5" s="1"/>
      <c r="N5" s="1">
        <f>C22</f>
        <v>150</v>
      </c>
      <c r="Q5" s="1" t="s">
        <v>466</v>
      </c>
      <c r="R5" s="27"/>
      <c r="S5" s="27"/>
      <c r="T5" s="27"/>
      <c r="U5" s="27"/>
      <c r="V5" s="8">
        <f t="array" ref="V5:Y7">MMULT(G5:J7,MINVERSE(N9:N12*_xlfn.MUNIT(4)))</f>
        <v>0</v>
      </c>
      <c r="W5" s="8">
        <v>0</v>
      </c>
      <c r="X5" s="8">
        <v>2.2222222222222223</v>
      </c>
      <c r="Y5" s="8">
        <v>0</v>
      </c>
    </row>
    <row r="6" spans="1:25" x14ac:dyDescent="0.3">
      <c r="A6" s="1" t="s">
        <v>476</v>
      </c>
      <c r="B6" s="1" t="s">
        <v>467</v>
      </c>
      <c r="C6" s="1"/>
      <c r="D6" s="1"/>
      <c r="E6" s="1"/>
      <c r="F6" s="1"/>
      <c r="G6" s="3">
        <v>0</v>
      </c>
      <c r="H6" s="3">
        <v>0</v>
      </c>
      <c r="I6" s="3">
        <v>0</v>
      </c>
      <c r="J6" s="3">
        <v>0</v>
      </c>
      <c r="K6" s="1"/>
      <c r="L6" s="3">
        <f>N6-SUM(G6:J6)</f>
        <v>60</v>
      </c>
      <c r="M6" s="1"/>
      <c r="N6" s="1">
        <f>D22</f>
        <v>60</v>
      </c>
      <c r="Q6" s="1" t="s">
        <v>467</v>
      </c>
      <c r="R6" s="27"/>
      <c r="S6" s="27"/>
      <c r="T6" s="27"/>
      <c r="U6" s="27"/>
      <c r="V6" s="8">
        <v>0</v>
      </c>
      <c r="W6" s="8">
        <v>0</v>
      </c>
      <c r="X6" s="8">
        <v>0</v>
      </c>
      <c r="Y6" s="8">
        <v>0</v>
      </c>
    </row>
    <row r="7" spans="1:25" x14ac:dyDescent="0.3">
      <c r="A7" s="1" t="s">
        <v>17</v>
      </c>
      <c r="B7" s="1" t="s">
        <v>468</v>
      </c>
      <c r="C7" s="1"/>
      <c r="D7" s="1"/>
      <c r="E7" s="1"/>
      <c r="F7" s="1"/>
      <c r="G7" s="3">
        <v>15</v>
      </c>
      <c r="H7" s="3">
        <v>6</v>
      </c>
      <c r="I7" s="3">
        <v>5</v>
      </c>
      <c r="J7" s="3">
        <v>3</v>
      </c>
      <c r="K7" s="1"/>
      <c r="L7" s="3">
        <f>N7-SUM(G7:J7)</f>
        <v>41</v>
      </c>
      <c r="M7" s="1"/>
      <c r="N7" s="1">
        <f>SUM(E22:E22)</f>
        <v>70</v>
      </c>
      <c r="Q7" s="1" t="s">
        <v>468</v>
      </c>
      <c r="R7" s="27"/>
      <c r="S7" s="27"/>
      <c r="T7" s="27"/>
      <c r="U7" s="27"/>
      <c r="V7" s="8">
        <v>0.1</v>
      </c>
      <c r="W7" s="8">
        <v>0.1</v>
      </c>
      <c r="X7" s="8">
        <v>0.1</v>
      </c>
      <c r="Y7" s="8">
        <v>0.15000000000000002</v>
      </c>
    </row>
    <row r="8" spans="1:25" x14ac:dyDescent="0.3">
      <c r="A8" s="1"/>
      <c r="B8" s="1"/>
      <c r="C8" s="191" t="s">
        <v>477</v>
      </c>
      <c r="D8" s="1"/>
      <c r="E8" s="1"/>
      <c r="F8" s="1"/>
      <c r="G8" s="1"/>
      <c r="H8" s="1"/>
      <c r="I8" s="1"/>
      <c r="J8" s="1"/>
      <c r="K8" s="1"/>
      <c r="L8" s="1"/>
      <c r="M8" s="1"/>
      <c r="N8" s="191" t="s">
        <v>26</v>
      </c>
      <c r="Q8" s="1"/>
      <c r="R8" s="191" t="s">
        <v>478</v>
      </c>
      <c r="S8" s="27"/>
      <c r="T8" s="27"/>
      <c r="U8" s="27"/>
      <c r="V8" s="27"/>
      <c r="W8" s="27"/>
      <c r="X8" s="27"/>
      <c r="Y8" s="27"/>
    </row>
    <row r="9" spans="1:25" x14ac:dyDescent="0.3">
      <c r="A9" s="1" t="s">
        <v>147</v>
      </c>
      <c r="B9" s="6" t="s">
        <v>469</v>
      </c>
      <c r="C9" s="108">
        <v>150</v>
      </c>
      <c r="D9" s="108">
        <v>0</v>
      </c>
      <c r="E9" s="108">
        <v>0</v>
      </c>
      <c r="F9" s="180"/>
      <c r="G9" s="1"/>
      <c r="H9" s="1"/>
      <c r="I9" s="1"/>
      <c r="J9" s="1"/>
      <c r="K9" s="1"/>
      <c r="L9" s="1"/>
      <c r="M9" s="1"/>
      <c r="N9" s="1">
        <f>SUM(C9:E9)</f>
        <v>150</v>
      </c>
      <c r="Q9" s="6" t="s">
        <v>469</v>
      </c>
      <c r="R9" s="57">
        <f t="array" ref="R9:T12">MMULT(C9:E12,MINVERSE(N5:N7*_xlfn.MUNIT(3)))</f>
        <v>1</v>
      </c>
      <c r="S9" s="57">
        <v>0</v>
      </c>
      <c r="T9" s="57">
        <v>0</v>
      </c>
      <c r="U9" s="58"/>
      <c r="V9" s="27"/>
      <c r="W9" s="27"/>
      <c r="X9" s="27"/>
      <c r="Y9" s="27"/>
    </row>
    <row r="10" spans="1:25" x14ac:dyDescent="0.3">
      <c r="A10" s="1" t="s">
        <v>479</v>
      </c>
      <c r="B10" s="6" t="s">
        <v>470</v>
      </c>
      <c r="C10" s="108">
        <v>0</v>
      </c>
      <c r="D10" s="108">
        <v>60</v>
      </c>
      <c r="E10" s="108">
        <v>0</v>
      </c>
      <c r="F10" s="180"/>
      <c r="G10" s="1"/>
      <c r="H10" s="1"/>
      <c r="I10" s="1"/>
      <c r="J10" s="1"/>
      <c r="K10" s="1"/>
      <c r="L10" s="1"/>
      <c r="M10" s="1"/>
      <c r="N10" s="1">
        <f t="shared" ref="N10:N12" si="0">SUM(C10:E10)</f>
        <v>60</v>
      </c>
      <c r="Q10" s="6" t="s">
        <v>470</v>
      </c>
      <c r="R10" s="57">
        <v>0</v>
      </c>
      <c r="S10" s="57">
        <v>1</v>
      </c>
      <c r="T10" s="57">
        <v>0</v>
      </c>
      <c r="U10" s="58"/>
      <c r="V10" s="27"/>
      <c r="W10" s="27"/>
      <c r="X10" s="27"/>
      <c r="Y10" s="27"/>
    </row>
    <row r="11" spans="1:25" x14ac:dyDescent="0.3">
      <c r="A11" s="1" t="s">
        <v>480</v>
      </c>
      <c r="B11" s="6" t="s">
        <v>471</v>
      </c>
      <c r="C11" s="108">
        <v>0</v>
      </c>
      <c r="D11" s="108">
        <v>0</v>
      </c>
      <c r="E11" s="108">
        <v>50</v>
      </c>
      <c r="F11" s="180"/>
      <c r="G11" s="1"/>
      <c r="H11" s="1"/>
      <c r="I11" s="1"/>
      <c r="J11" s="1"/>
      <c r="K11" s="1"/>
      <c r="L11" s="1"/>
      <c r="M11" s="1"/>
      <c r="N11" s="1">
        <f t="shared" si="0"/>
        <v>50</v>
      </c>
      <c r="Q11" s="6" t="s">
        <v>471</v>
      </c>
      <c r="R11" s="57">
        <v>0</v>
      </c>
      <c r="S11" s="57">
        <v>0</v>
      </c>
      <c r="T11" s="57">
        <v>0.7142857142857143</v>
      </c>
      <c r="U11" s="58"/>
      <c r="V11" s="27"/>
      <c r="W11" s="27"/>
      <c r="X11" s="27"/>
      <c r="Y11" s="27"/>
    </row>
    <row r="12" spans="1:25" x14ac:dyDescent="0.3">
      <c r="A12" s="1" t="s">
        <v>481</v>
      </c>
      <c r="B12" s="6" t="s">
        <v>472</v>
      </c>
      <c r="C12" s="108">
        <v>0</v>
      </c>
      <c r="D12" s="108">
        <v>0</v>
      </c>
      <c r="E12" s="108">
        <v>20</v>
      </c>
      <c r="F12" s="180"/>
      <c r="G12" s="1"/>
      <c r="H12" s="1"/>
      <c r="I12" s="1"/>
      <c r="J12" s="1"/>
      <c r="K12" s="1"/>
      <c r="L12" s="1"/>
      <c r="M12" s="1"/>
      <c r="N12" s="1">
        <f t="shared" si="0"/>
        <v>20</v>
      </c>
      <c r="Q12" s="6" t="s">
        <v>472</v>
      </c>
      <c r="R12" s="57">
        <v>0</v>
      </c>
      <c r="S12" s="57">
        <v>0</v>
      </c>
      <c r="T12" s="57">
        <v>0.2857142857142857</v>
      </c>
      <c r="U12" s="58"/>
      <c r="V12" s="27"/>
      <c r="W12" s="27"/>
      <c r="X12" s="27"/>
      <c r="Y12" s="27"/>
    </row>
    <row r="13" spans="1:25" x14ac:dyDescent="0.3">
      <c r="A13" s="1"/>
      <c r="B13" s="1"/>
      <c r="C13" s="1"/>
      <c r="D13" s="1"/>
      <c r="E13" s="1"/>
      <c r="F13" s="1"/>
      <c r="G13" s="192" t="s">
        <v>91</v>
      </c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91" t="s">
        <v>482</v>
      </c>
      <c r="W13" s="1"/>
      <c r="X13" s="1"/>
      <c r="Y13" s="1"/>
    </row>
    <row r="14" spans="1:25" x14ac:dyDescent="0.3">
      <c r="A14" s="1" t="s">
        <v>81</v>
      </c>
      <c r="B14" s="6" t="s">
        <v>483</v>
      </c>
      <c r="C14" s="1"/>
      <c r="D14" s="1"/>
      <c r="E14" s="1"/>
      <c r="F14" s="1"/>
      <c r="G14" s="3">
        <f>C9*1.1</f>
        <v>165</v>
      </c>
      <c r="H14" s="3">
        <v>0</v>
      </c>
      <c r="I14" s="3">
        <v>0</v>
      </c>
      <c r="J14" s="3">
        <v>0</v>
      </c>
      <c r="K14" s="1"/>
      <c r="L14" s="1"/>
      <c r="M14" s="1"/>
      <c r="N14" s="1"/>
      <c r="Q14" s="6" t="s">
        <v>483</v>
      </c>
      <c r="R14" s="27"/>
      <c r="S14" s="27"/>
      <c r="T14" s="27"/>
      <c r="U14" s="27"/>
      <c r="V14" s="8">
        <f t="array" ref="V14:Y16">MMULT(G14:J16,MINVERSE(N9:N12*_xlfn.MUNIT(4)))</f>
        <v>1.1000000000000001</v>
      </c>
      <c r="W14" s="8">
        <v>0</v>
      </c>
      <c r="X14" s="8">
        <v>0</v>
      </c>
      <c r="Y14" s="8">
        <v>0</v>
      </c>
    </row>
    <row r="15" spans="1:25" x14ac:dyDescent="0.3">
      <c r="A15" s="1" t="s">
        <v>484</v>
      </c>
      <c r="B15" s="6" t="s">
        <v>485</v>
      </c>
      <c r="C15" s="1"/>
      <c r="D15" s="1"/>
      <c r="E15" s="1"/>
      <c r="F15" s="1"/>
      <c r="G15" s="3">
        <v>0</v>
      </c>
      <c r="H15" s="3">
        <f>D10*1.1</f>
        <v>66</v>
      </c>
      <c r="I15" s="3">
        <v>0</v>
      </c>
      <c r="J15" s="3">
        <v>0</v>
      </c>
      <c r="K15" s="1"/>
      <c r="L15" s="1"/>
      <c r="M15" s="1"/>
      <c r="N15" s="1"/>
      <c r="Q15" s="6" t="s">
        <v>485</v>
      </c>
      <c r="R15" s="27"/>
      <c r="S15" s="27"/>
      <c r="T15" s="27"/>
      <c r="U15" s="27"/>
      <c r="V15" s="8">
        <v>0</v>
      </c>
      <c r="W15" s="8">
        <v>1.1000000000000001</v>
      </c>
      <c r="X15" s="8">
        <v>0</v>
      </c>
      <c r="Y15" s="8">
        <v>0</v>
      </c>
    </row>
    <row r="16" spans="1:25" x14ac:dyDescent="0.3">
      <c r="A16" s="1" t="s">
        <v>486</v>
      </c>
      <c r="B16" s="6" t="s">
        <v>487</v>
      </c>
      <c r="C16" s="1"/>
      <c r="D16" s="1"/>
      <c r="E16" s="1"/>
      <c r="F16" s="1"/>
      <c r="G16" s="3">
        <v>0</v>
      </c>
      <c r="H16" s="3">
        <v>0</v>
      </c>
      <c r="I16" s="3">
        <v>0</v>
      </c>
      <c r="J16" s="3">
        <f>E12</f>
        <v>20</v>
      </c>
      <c r="K16" s="1"/>
      <c r="L16" s="1"/>
      <c r="M16" s="1"/>
      <c r="N16" s="1"/>
      <c r="Q16" s="6" t="s">
        <v>487</v>
      </c>
      <c r="R16" s="27"/>
      <c r="S16" s="27"/>
      <c r="T16" s="27"/>
      <c r="U16" s="27"/>
      <c r="V16" s="8">
        <v>0</v>
      </c>
      <c r="W16" s="8">
        <v>0</v>
      </c>
      <c r="X16" s="8">
        <v>0</v>
      </c>
      <c r="Y16" s="8">
        <v>1</v>
      </c>
    </row>
    <row r="17" spans="1:3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Q17" s="1"/>
      <c r="R17" s="1"/>
      <c r="S17" s="1"/>
      <c r="T17" s="1"/>
      <c r="U17" s="1"/>
      <c r="V17" s="1"/>
      <c r="W17" s="1"/>
      <c r="X17" s="1"/>
      <c r="Y17" s="1"/>
    </row>
    <row r="18" spans="1:37" x14ac:dyDescent="0.3">
      <c r="A18" s="1"/>
      <c r="B18" s="1"/>
      <c r="C18" s="1"/>
      <c r="D18" s="1"/>
      <c r="E18" s="1"/>
      <c r="F18" s="1"/>
      <c r="G18" s="192" t="s">
        <v>488</v>
      </c>
      <c r="H18" s="1"/>
      <c r="I18" s="1"/>
      <c r="J18" s="1"/>
      <c r="Q18" s="1"/>
      <c r="R18" s="1"/>
      <c r="S18" s="1"/>
      <c r="T18" s="1"/>
      <c r="U18" s="1"/>
      <c r="V18" s="191" t="s">
        <v>489</v>
      </c>
      <c r="W18" s="1"/>
      <c r="X18" s="1"/>
      <c r="Y18" s="1"/>
    </row>
    <row r="19" spans="1:37" x14ac:dyDescent="0.3">
      <c r="A19" s="1" t="s">
        <v>490</v>
      </c>
      <c r="B19" s="1" t="s">
        <v>491</v>
      </c>
      <c r="C19" s="1"/>
      <c r="D19" s="1"/>
      <c r="E19" s="1"/>
      <c r="F19" s="1"/>
      <c r="G19" s="3">
        <f>SUM(G14:G16)+SUM(G5:G7)-N9</f>
        <v>30</v>
      </c>
      <c r="H19" s="3">
        <f>SUM(H14:H16)+SUM(H5:H7)-N10</f>
        <v>12</v>
      </c>
      <c r="I19" s="3">
        <f>SUM(I14:I16)+SUM(I5:I7)-N11</f>
        <v>66.111111111111114</v>
      </c>
      <c r="J19" s="3">
        <f>SUM(J14:J16)+SUM(J5:J7)-N12</f>
        <v>3</v>
      </c>
      <c r="Q19" s="1" t="s">
        <v>491</v>
      </c>
      <c r="R19" s="27"/>
      <c r="S19" s="27"/>
      <c r="T19" s="27"/>
      <c r="U19" s="27"/>
      <c r="V19" s="8">
        <f t="array" ref="V19:Y19">MMULT(G19:J19,MINVERSE(N9:N12*_xlfn.MUNIT(4)))</f>
        <v>0.2</v>
      </c>
      <c r="W19" s="8">
        <v>0.2</v>
      </c>
      <c r="X19" s="8">
        <v>1.3222222222222224</v>
      </c>
      <c r="Y19" s="8">
        <v>0.15000000000000002</v>
      </c>
    </row>
    <row r="20" spans="1:3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Q20" s="1"/>
      <c r="R20" s="27"/>
      <c r="S20" s="27"/>
      <c r="T20" s="27"/>
      <c r="U20" s="27"/>
      <c r="V20" s="27"/>
      <c r="W20" s="27"/>
      <c r="X20" s="27"/>
      <c r="Y20" s="27"/>
    </row>
    <row r="21" spans="1:37" x14ac:dyDescent="0.3">
      <c r="A21" s="1"/>
      <c r="B21" s="1"/>
      <c r="C21" s="191" t="s">
        <v>492</v>
      </c>
      <c r="D21" s="1"/>
      <c r="E21" s="1"/>
      <c r="F21" s="1"/>
      <c r="G21" s="191" t="s">
        <v>493</v>
      </c>
      <c r="H21" s="1"/>
      <c r="I21" s="1"/>
      <c r="J21" s="1"/>
    </row>
    <row r="22" spans="1:37" x14ac:dyDescent="0.3">
      <c r="A22" s="1" t="s">
        <v>353</v>
      </c>
      <c r="B22" s="1" t="s">
        <v>493</v>
      </c>
      <c r="C22" s="1">
        <f>SUM(C9:C12)</f>
        <v>150</v>
      </c>
      <c r="D22" s="1">
        <f t="shared" ref="D22:E22" si="1">SUM(D9:D12)</f>
        <v>60</v>
      </c>
      <c r="E22" s="1">
        <f t="shared" si="1"/>
        <v>70</v>
      </c>
      <c r="F22" s="1"/>
      <c r="G22" s="1">
        <f>N9</f>
        <v>150</v>
      </c>
      <c r="H22" s="1">
        <f>N10</f>
        <v>60</v>
      </c>
      <c r="I22" s="1">
        <f>N11</f>
        <v>50</v>
      </c>
      <c r="J22" s="1">
        <f>N12</f>
        <v>20</v>
      </c>
    </row>
    <row r="24" spans="1:37" x14ac:dyDescent="0.3">
      <c r="Q24" s="1"/>
      <c r="R24" s="2" t="s">
        <v>466</v>
      </c>
      <c r="S24" s="2" t="s">
        <v>467</v>
      </c>
      <c r="T24" s="2" t="s">
        <v>468</v>
      </c>
      <c r="U24" s="2"/>
      <c r="V24" s="2" t="s">
        <v>469</v>
      </c>
      <c r="W24" s="2" t="s">
        <v>470</v>
      </c>
      <c r="X24" s="2" t="s">
        <v>471</v>
      </c>
      <c r="Y24" s="2" t="s">
        <v>472</v>
      </c>
    </row>
    <row r="25" spans="1:37" x14ac:dyDescent="0.3">
      <c r="C25" t="s">
        <v>494</v>
      </c>
      <c r="E25" t="s">
        <v>495</v>
      </c>
      <c r="Q25" s="1"/>
      <c r="R25" s="2"/>
      <c r="S25" s="2"/>
      <c r="T25" s="2"/>
      <c r="U25" s="2"/>
      <c r="V25" s="191" t="s">
        <v>473</v>
      </c>
      <c r="W25" s="2"/>
      <c r="X25" s="2"/>
      <c r="Y25" s="2"/>
      <c r="AA25" s="191" t="s">
        <v>426</v>
      </c>
      <c r="AC25" s="191" t="s">
        <v>474</v>
      </c>
      <c r="AF25" s="193" t="s">
        <v>496</v>
      </c>
    </row>
    <row r="26" spans="1:37" x14ac:dyDescent="0.3">
      <c r="C26">
        <v>1</v>
      </c>
      <c r="E26">
        <v>1</v>
      </c>
      <c r="Q26" s="1" t="s">
        <v>466</v>
      </c>
      <c r="R26" s="1"/>
      <c r="S26" s="1"/>
      <c r="T26" s="1"/>
      <c r="U26" s="1"/>
      <c r="V26" s="3">
        <f t="array" ref="V26:Y28">MMULT(V5:Y7,AC30:AC33*_xlfn.MUNIT(4))</f>
        <v>0</v>
      </c>
      <c r="W26" s="3">
        <v>0</v>
      </c>
      <c r="X26" s="3">
        <v>6.5502184126984124</v>
      </c>
      <c r="Y26" s="3">
        <v>0</v>
      </c>
      <c r="AA26" s="108">
        <v>10</v>
      </c>
      <c r="AC26" s="5">
        <v>16.550218000000001</v>
      </c>
      <c r="AF26">
        <f t="array" ref="AF26:AF28">MMULT(TRANSPOSE(MMULT(R9:T12,AC26:AC28*_xlfn.MUNIT(3))),C26:C29)</f>
        <v>16.550218000000001</v>
      </c>
      <c r="AG26">
        <f t="array" ref="AG26:AG28">MMULT(V5:Y7,AC30:AC33)</f>
        <v>6.5502184126984124</v>
      </c>
      <c r="AI26">
        <f t="array" ref="AI26:AI28">AF26:AF28-AG26:AG28-AA26:AA28</f>
        <v>-4.1269841233315674E-7</v>
      </c>
    </row>
    <row r="27" spans="1:37" x14ac:dyDescent="0.3">
      <c r="C27">
        <v>1</v>
      </c>
      <c r="E27">
        <v>1</v>
      </c>
      <c r="Q27" s="1" t="s">
        <v>467</v>
      </c>
      <c r="R27" s="1"/>
      <c r="S27" s="1"/>
      <c r="T27" s="1"/>
      <c r="U27" s="1"/>
      <c r="V27" s="3">
        <v>0</v>
      </c>
      <c r="W27" s="3">
        <v>0</v>
      </c>
      <c r="X27" s="3">
        <v>0</v>
      </c>
      <c r="Y27" s="3">
        <v>0</v>
      </c>
      <c r="AA27" s="108">
        <v>20</v>
      </c>
      <c r="AC27" s="5">
        <v>20</v>
      </c>
      <c r="AF27">
        <v>20</v>
      </c>
      <c r="AG27">
        <v>0</v>
      </c>
      <c r="AI27">
        <v>0</v>
      </c>
    </row>
    <row r="28" spans="1:37" x14ac:dyDescent="0.3">
      <c r="C28">
        <v>1</v>
      </c>
      <c r="E28">
        <v>1</v>
      </c>
      <c r="Q28" s="1" t="s">
        <v>468</v>
      </c>
      <c r="R28" s="1"/>
      <c r="S28" s="1"/>
      <c r="T28" s="1"/>
      <c r="U28" s="1"/>
      <c r="V28" s="3">
        <v>1.6550218000000001</v>
      </c>
      <c r="W28" s="3">
        <v>2</v>
      </c>
      <c r="X28" s="3">
        <v>0.29475982857142852</v>
      </c>
      <c r="Y28" s="3">
        <v>0.17685589714285713</v>
      </c>
      <c r="AA28" s="108">
        <v>0</v>
      </c>
      <c r="AC28" s="5">
        <v>4.1266375999999996</v>
      </c>
      <c r="AF28">
        <v>4.1266375999999996</v>
      </c>
      <c r="AG28">
        <v>4.126637525714286</v>
      </c>
      <c r="AI28">
        <v>7.4285713580479751E-8</v>
      </c>
    </row>
    <row r="29" spans="1:37" x14ac:dyDescent="0.3">
      <c r="C29">
        <v>1</v>
      </c>
      <c r="Q29" s="1"/>
      <c r="R29" s="191" t="s">
        <v>477</v>
      </c>
      <c r="S29" s="1"/>
      <c r="T29" s="1"/>
      <c r="U29" s="1"/>
      <c r="V29" s="1"/>
      <c r="W29" s="1"/>
      <c r="X29" s="1"/>
      <c r="Y29" s="1"/>
      <c r="AC29" s="191" t="s">
        <v>26</v>
      </c>
      <c r="AF29" s="193" t="s">
        <v>497</v>
      </c>
    </row>
    <row r="30" spans="1:37" x14ac:dyDescent="0.3">
      <c r="Q30" s="6" t="s">
        <v>469</v>
      </c>
      <c r="R30" s="108">
        <f t="array" ref="R30:T33">MMULT(R9:T12,AC26:AC28*_xlfn.MUNIT(3))</f>
        <v>16.550218000000001</v>
      </c>
      <c r="S30" s="108">
        <v>0</v>
      </c>
      <c r="T30" s="108">
        <v>0</v>
      </c>
      <c r="U30" s="180"/>
      <c r="V30" s="1"/>
      <c r="W30" s="1"/>
      <c r="X30" s="1"/>
      <c r="Y30" s="1"/>
      <c r="AC30" s="180">
        <f t="array" ref="AC30:AC33">MMULT(R9:T12,AC26:AC28)</f>
        <v>16.550218000000001</v>
      </c>
      <c r="AF30" s="194">
        <f t="array" ref="AF30:AF33">MMULT(R9:T12,AC26:AC28)</f>
        <v>16.550218000000001</v>
      </c>
      <c r="AG30">
        <f t="array" ref="AG30:AG33">MMULT(TRANSPOSE(MMULT(V5:Y7,AC30:AC33*_xlfn.MUNIT(4))),E26:E28)</f>
        <v>1.6550218000000001</v>
      </c>
      <c r="AH30">
        <f t="array" ref="AH30:AH33" xml:space="preserve"> MMULT(TRANSPOSE(MMULT(V14:Y16,AC30:AC33*_xlfn.MUNIT(4))),E26:E28)</f>
        <v>18.205239800000001</v>
      </c>
      <c r="AI30">
        <f t="array" ref="AI30:AI33">TRANSPOSE(MMULT(V19:Y19,AC30:AC33*_xlfn.MUNIT(4)))</f>
        <v>3.3100436000000002</v>
      </c>
      <c r="AK30">
        <f t="array" ref="AK30:AK33">AF30:AF33-AG30:AG33-AH30:AH33-AI30:AI33</f>
        <v>-6.6200872000000004</v>
      </c>
    </row>
    <row r="31" spans="1:37" x14ac:dyDescent="0.3">
      <c r="Q31" s="6" t="s">
        <v>470</v>
      </c>
      <c r="R31" s="108">
        <v>0</v>
      </c>
      <c r="S31" s="108">
        <v>20</v>
      </c>
      <c r="T31" s="108">
        <v>0</v>
      </c>
      <c r="U31" s="180"/>
      <c r="V31" s="1"/>
      <c r="W31" s="1"/>
      <c r="X31" s="1"/>
      <c r="Y31" s="1"/>
      <c r="AC31" s="180">
        <v>20</v>
      </c>
      <c r="AF31" s="194">
        <v>20</v>
      </c>
      <c r="AG31">
        <v>2</v>
      </c>
      <c r="AH31">
        <v>22</v>
      </c>
      <c r="AI31">
        <v>4</v>
      </c>
      <c r="AK31">
        <v>-8</v>
      </c>
    </row>
    <row r="32" spans="1:37" x14ac:dyDescent="0.3">
      <c r="Q32" s="6" t="s">
        <v>471</v>
      </c>
      <c r="R32" s="108">
        <v>0</v>
      </c>
      <c r="S32" s="108">
        <v>0</v>
      </c>
      <c r="T32" s="108">
        <v>2.9475982857142853</v>
      </c>
      <c r="U32" s="180"/>
      <c r="V32" s="1"/>
      <c r="W32" s="1"/>
      <c r="X32" s="1"/>
      <c r="Y32" s="1"/>
      <c r="AC32" s="180">
        <v>2.9475982857142853</v>
      </c>
      <c r="AF32" s="194">
        <v>2.9475982857142853</v>
      </c>
      <c r="AG32">
        <v>6.8449782412698408</v>
      </c>
      <c r="AH32">
        <v>0</v>
      </c>
      <c r="AI32">
        <v>3.8973799555555555</v>
      </c>
      <c r="AK32">
        <v>-7.794759911111111</v>
      </c>
    </row>
    <row r="33" spans="17:37" x14ac:dyDescent="0.3">
      <c r="Q33" s="6" t="s">
        <v>472</v>
      </c>
      <c r="R33" s="108">
        <v>0</v>
      </c>
      <c r="S33" s="108">
        <v>0</v>
      </c>
      <c r="T33" s="108">
        <v>1.1790393142857141</v>
      </c>
      <c r="U33" s="180"/>
      <c r="V33" s="1"/>
      <c r="W33" s="1"/>
      <c r="X33" s="1"/>
      <c r="Y33" s="1"/>
      <c r="AC33" s="180">
        <v>1.1790393142857141</v>
      </c>
      <c r="AF33" s="194">
        <v>1.1790393142857141</v>
      </c>
      <c r="AG33">
        <v>0.17685589714285713</v>
      </c>
      <c r="AH33">
        <v>1.1790393142857141</v>
      </c>
      <c r="AI33">
        <v>0.17685589714285713</v>
      </c>
      <c r="AK33">
        <v>-0.3537117942857142</v>
      </c>
    </row>
    <row r="34" spans="17:37" x14ac:dyDescent="0.3">
      <c r="Q34" s="1"/>
      <c r="R34" s="1"/>
      <c r="S34" s="1"/>
      <c r="T34" s="1"/>
      <c r="U34" s="1"/>
      <c r="V34" s="191" t="s">
        <v>91</v>
      </c>
      <c r="W34" s="1"/>
      <c r="X34" s="1"/>
      <c r="Y34" s="1"/>
    </row>
    <row r="35" spans="17:37" x14ac:dyDescent="0.3">
      <c r="Q35" s="6" t="s">
        <v>483</v>
      </c>
      <c r="R35" s="1"/>
      <c r="S35" s="1"/>
      <c r="T35" s="1"/>
      <c r="U35" s="1"/>
      <c r="V35" s="3">
        <f t="array" ref="V35:Y37">MMULT(V14:Y16,AC30:AC33*_xlfn.MUNIT(4))</f>
        <v>18.205239800000001</v>
      </c>
      <c r="W35" s="3">
        <v>0</v>
      </c>
      <c r="X35" s="3">
        <v>0</v>
      </c>
      <c r="Y35" s="3">
        <v>0</v>
      </c>
      <c r="AF35" s="193" t="s">
        <v>234</v>
      </c>
    </row>
    <row r="36" spans="17:37" x14ac:dyDescent="0.3">
      <c r="Q36" s="6" t="s">
        <v>485</v>
      </c>
      <c r="R36" s="1"/>
      <c r="S36" s="1"/>
      <c r="T36" s="1"/>
      <c r="U36" s="1"/>
      <c r="V36" s="3">
        <v>0</v>
      </c>
      <c r="W36" s="3">
        <v>22</v>
      </c>
      <c r="X36" s="3">
        <v>0</v>
      </c>
      <c r="Y36" s="3">
        <v>0</v>
      </c>
      <c r="AF36">
        <f t="array" ref="AF36:AF38">AC26:AC28</f>
        <v>16.550218000000001</v>
      </c>
      <c r="AG36">
        <f t="array" ref="AG36:AG38">MMULT(V5:Y7,AC30:AC33)</f>
        <v>6.5502184126984124</v>
      </c>
      <c r="AI36">
        <f t="array" ref="AI36:AI38">AF36:AF38-AG36:AG38-AA26:AA28</f>
        <v>-4.1269841233315674E-7</v>
      </c>
    </row>
    <row r="37" spans="17:37" x14ac:dyDescent="0.3">
      <c r="Q37" s="6" t="s">
        <v>487</v>
      </c>
      <c r="R37" s="1"/>
      <c r="S37" s="1"/>
      <c r="T37" s="1"/>
      <c r="U37" s="1"/>
      <c r="V37" s="3">
        <v>0</v>
      </c>
      <c r="W37" s="3">
        <v>0</v>
      </c>
      <c r="X37" s="3">
        <v>0</v>
      </c>
      <c r="Y37" s="3">
        <v>1.1790393142857141</v>
      </c>
      <c r="AF37">
        <v>20</v>
      </c>
      <c r="AG37">
        <v>0</v>
      </c>
      <c r="AI37">
        <v>0</v>
      </c>
    </row>
    <row r="38" spans="17:37" x14ac:dyDescent="0.3">
      <c r="Q38" s="1"/>
      <c r="R38" s="1"/>
      <c r="S38" s="1"/>
      <c r="T38" s="1"/>
      <c r="U38" s="1"/>
      <c r="V38" s="1"/>
      <c r="W38" s="1"/>
      <c r="X38" s="1"/>
      <c r="Y38" s="1"/>
      <c r="AF38">
        <v>4.1266375999999996</v>
      </c>
      <c r="AG38">
        <v>4.126637525714286</v>
      </c>
      <c r="AI38">
        <v>7.4285713580479751E-8</v>
      </c>
    </row>
    <row r="39" spans="17:37" x14ac:dyDescent="0.3">
      <c r="Q39" s="1"/>
      <c r="R39" s="1"/>
      <c r="S39" s="1"/>
      <c r="T39" s="1"/>
      <c r="U39" s="1"/>
      <c r="V39" s="191" t="s">
        <v>488</v>
      </c>
      <c r="W39" s="1"/>
      <c r="X39" s="1"/>
      <c r="Y39" s="1"/>
    </row>
    <row r="40" spans="17:37" x14ac:dyDescent="0.3">
      <c r="Q40" s="1" t="s">
        <v>491</v>
      </c>
      <c r="R40" s="1"/>
      <c r="S40" s="1"/>
      <c r="T40" s="1"/>
      <c r="U40" s="1"/>
      <c r="V40" s="3">
        <f t="array" ref="V40:Y40">MMULT(V19:Y19,AC30:AC33*_xlfn.MUNIT(4))</f>
        <v>3.3100436000000002</v>
      </c>
      <c r="W40" s="3">
        <v>4</v>
      </c>
      <c r="X40" s="3">
        <v>3.8973799555555555</v>
      </c>
      <c r="Y40" s="3">
        <v>0.17685589714285713</v>
      </c>
      <c r="AF40" s="193" t="s">
        <v>235</v>
      </c>
    </row>
    <row r="41" spans="17:37" x14ac:dyDescent="0.3">
      <c r="AF41">
        <f t="array" ref="AF41:AF44">MMULT(R9:T12,AC26:AC28)</f>
        <v>16.550218000000001</v>
      </c>
      <c r="AI41">
        <f t="array" ref="AI41:AI44">AF41:AF44-AC30:AC33</f>
        <v>0</v>
      </c>
    </row>
    <row r="42" spans="17:37" x14ac:dyDescent="0.3">
      <c r="R42" s="1">
        <f>SUM(R30:R33)</f>
        <v>16.550218000000001</v>
      </c>
      <c r="S42" s="1">
        <f t="shared" ref="S42:T42" si="2">SUM(S30:S33)</f>
        <v>20</v>
      </c>
      <c r="T42" s="1">
        <f t="shared" si="2"/>
        <v>4.1266375999999996</v>
      </c>
      <c r="V42" s="1">
        <f>SUM(V35:V37,V26:V28)-V40</f>
        <v>16.550218000000001</v>
      </c>
      <c r="W42" s="1">
        <f t="shared" ref="W42:Y42" si="3">SUM(W35:W37,W26:W28)-W40</f>
        <v>20</v>
      </c>
      <c r="X42" s="1">
        <f t="shared" si="3"/>
        <v>2.9475982857142853</v>
      </c>
      <c r="Y42" s="1">
        <f t="shared" si="3"/>
        <v>1.1790393142857141</v>
      </c>
      <c r="AF42">
        <v>20</v>
      </c>
      <c r="AI42">
        <v>0</v>
      </c>
    </row>
    <row r="43" spans="17:37" x14ac:dyDescent="0.3">
      <c r="AF43">
        <v>2.9475982857142853</v>
      </c>
      <c r="AI43">
        <v>0</v>
      </c>
    </row>
    <row r="44" spans="17:37" x14ac:dyDescent="0.3">
      <c r="AF44">
        <v>1.1790393142857141</v>
      </c>
      <c r="AI44">
        <v>0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AA08-802E-4011-895D-0EFFEC7782B9}">
  <sheetPr>
    <tabColor theme="8" tint="0.59999389629810485"/>
  </sheetPr>
  <dimension ref="A1:AA34"/>
  <sheetViews>
    <sheetView showGridLines="0" zoomScaleNormal="100" workbookViewId="0">
      <selection activeCell="M18" sqref="M18:N18"/>
    </sheetView>
  </sheetViews>
  <sheetFormatPr defaultColWidth="9.21875" defaultRowHeight="14.4" x14ac:dyDescent="0.3"/>
  <cols>
    <col min="1" max="1" width="19.77734375" style="1" customWidth="1"/>
    <col min="2" max="2" width="10.77734375" style="1" customWidth="1"/>
    <col min="3" max="3" width="8.21875" style="1" customWidth="1"/>
    <col min="4" max="33" width="7.21875" style="1" customWidth="1"/>
    <col min="34" max="16384" width="9.21875" style="1"/>
  </cols>
  <sheetData>
    <row r="1" spans="1:27" x14ac:dyDescent="0.3">
      <c r="I1" s="2" t="s">
        <v>112</v>
      </c>
      <c r="J1" s="2" t="s">
        <v>113</v>
      </c>
      <c r="W1" s="2" t="s">
        <v>112</v>
      </c>
      <c r="X1" s="2" t="s">
        <v>113</v>
      </c>
    </row>
    <row r="2" spans="1:27" x14ac:dyDescent="0.3">
      <c r="C2" s="1" t="s">
        <v>2</v>
      </c>
      <c r="D2" s="2" t="s">
        <v>36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37</v>
      </c>
      <c r="J2" s="2" t="s">
        <v>38</v>
      </c>
      <c r="L2" s="2" t="s">
        <v>10</v>
      </c>
      <c r="N2" s="11" t="s">
        <v>11</v>
      </c>
      <c r="Q2" s="1" t="s">
        <v>12</v>
      </c>
      <c r="R2" s="2" t="s">
        <v>36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37</v>
      </c>
      <c r="X2" s="2" t="s">
        <v>38</v>
      </c>
    </row>
    <row r="3" spans="1:27" x14ac:dyDescent="0.3">
      <c r="A3" s="1" t="s">
        <v>81</v>
      </c>
      <c r="B3" s="1" t="s">
        <v>60</v>
      </c>
      <c r="C3" s="1" t="s">
        <v>36</v>
      </c>
      <c r="D3" s="10">
        <v>0</v>
      </c>
      <c r="E3" s="10">
        <v>0</v>
      </c>
      <c r="F3" s="10">
        <v>0</v>
      </c>
      <c r="G3" s="9">
        <v>0</v>
      </c>
      <c r="H3" s="9">
        <v>1.1000000000000001</v>
      </c>
      <c r="I3" s="9">
        <v>0</v>
      </c>
      <c r="J3" s="9">
        <v>0</v>
      </c>
      <c r="L3" s="4">
        <v>0</v>
      </c>
      <c r="N3" s="8">
        <f t="array" ref="N3:N8">MMULT($D$18:$J$23-$D$3:$J$8,TRANSPOSE($D$14:$J$14))</f>
        <v>-3.0000000350582923E-7</v>
      </c>
      <c r="Q3" s="1" t="s">
        <v>36</v>
      </c>
      <c r="R3" s="1">
        <f t="array" ref="R3:X8">MMULT(D3:J8,D14:J14*_xlfn.MUNIT(7))</f>
        <v>0</v>
      </c>
      <c r="S3" s="1">
        <v>0</v>
      </c>
      <c r="T3" s="1">
        <v>0</v>
      </c>
      <c r="U3" s="3">
        <v>0</v>
      </c>
      <c r="V3" s="3">
        <v>42.670906300000006</v>
      </c>
      <c r="W3" s="3">
        <v>0</v>
      </c>
      <c r="X3" s="3">
        <v>0</v>
      </c>
    </row>
    <row r="4" spans="1:27" x14ac:dyDescent="0.3">
      <c r="A4" s="1" t="s">
        <v>117</v>
      </c>
      <c r="B4" s="1" t="s">
        <v>60</v>
      </c>
      <c r="C4" s="1" t="s">
        <v>5</v>
      </c>
      <c r="D4" s="10">
        <v>0</v>
      </c>
      <c r="E4" s="10">
        <v>0</v>
      </c>
      <c r="F4" s="10">
        <v>0</v>
      </c>
      <c r="G4" s="9">
        <v>0</v>
      </c>
      <c r="H4" s="9">
        <v>0</v>
      </c>
      <c r="I4" s="9">
        <f>1/0.37</f>
        <v>2.7027027027027026</v>
      </c>
      <c r="J4" s="9">
        <f>1/0.32</f>
        <v>3.125</v>
      </c>
      <c r="L4" s="4">
        <v>10</v>
      </c>
      <c r="N4" s="8">
        <v>10.000000103040545</v>
      </c>
      <c r="Q4" s="1" t="s">
        <v>5</v>
      </c>
      <c r="R4" s="1">
        <v>0</v>
      </c>
      <c r="S4" s="1">
        <v>0</v>
      </c>
      <c r="T4" s="1">
        <v>0</v>
      </c>
      <c r="U4" s="3">
        <v>0</v>
      </c>
      <c r="V4" s="3">
        <v>0</v>
      </c>
      <c r="W4" s="3">
        <v>15.732909459459458</v>
      </c>
      <c r="X4" s="3">
        <v>13.058823437499999</v>
      </c>
    </row>
    <row r="5" spans="1:27" x14ac:dyDescent="0.3">
      <c r="A5" s="1" t="s">
        <v>17</v>
      </c>
      <c r="B5" s="1" t="s">
        <v>60</v>
      </c>
      <c r="C5" s="1" t="s">
        <v>6</v>
      </c>
      <c r="D5" s="10">
        <v>0</v>
      </c>
      <c r="E5" s="10">
        <v>0</v>
      </c>
      <c r="F5" s="10">
        <v>0</v>
      </c>
      <c r="G5" s="9">
        <v>0</v>
      </c>
      <c r="H5" s="9">
        <v>0</v>
      </c>
      <c r="I5" s="9">
        <v>0</v>
      </c>
      <c r="J5" s="9">
        <v>0</v>
      </c>
      <c r="L5" s="4">
        <v>10</v>
      </c>
      <c r="N5" s="8">
        <v>10</v>
      </c>
      <c r="Q5" s="1" t="s">
        <v>6</v>
      </c>
      <c r="R5" s="1">
        <v>0</v>
      </c>
      <c r="S5" s="1">
        <v>0</v>
      </c>
      <c r="T5" s="1">
        <v>0</v>
      </c>
      <c r="U5" s="3">
        <v>0</v>
      </c>
      <c r="V5" s="3">
        <v>0</v>
      </c>
      <c r="W5" s="3">
        <v>0</v>
      </c>
      <c r="X5" s="3">
        <v>0</v>
      </c>
    </row>
    <row r="6" spans="1:27" x14ac:dyDescent="0.3">
      <c r="A6" s="1" t="s">
        <v>118</v>
      </c>
      <c r="B6" s="1" t="s">
        <v>60</v>
      </c>
      <c r="C6" s="1" t="s">
        <v>7</v>
      </c>
      <c r="D6" s="9">
        <v>1</v>
      </c>
      <c r="E6" s="9">
        <v>0</v>
      </c>
      <c r="F6" s="9">
        <v>0</v>
      </c>
      <c r="G6" s="10">
        <v>0</v>
      </c>
      <c r="H6" s="10">
        <v>0</v>
      </c>
      <c r="I6" s="10">
        <v>0</v>
      </c>
      <c r="J6" s="10">
        <v>0</v>
      </c>
      <c r="L6" s="1">
        <v>0</v>
      </c>
      <c r="N6" s="27">
        <v>0</v>
      </c>
      <c r="Q6" s="1" t="s">
        <v>7</v>
      </c>
      <c r="R6" s="3">
        <v>42.670906000000002</v>
      </c>
      <c r="S6" s="3">
        <v>0</v>
      </c>
      <c r="T6" s="3">
        <v>0</v>
      </c>
      <c r="U6" s="1">
        <v>0</v>
      </c>
      <c r="V6" s="1">
        <v>0</v>
      </c>
      <c r="W6" s="1">
        <v>0</v>
      </c>
      <c r="X6" s="1">
        <v>0</v>
      </c>
    </row>
    <row r="7" spans="1:27" x14ac:dyDescent="0.3">
      <c r="A7" s="1" t="s">
        <v>119</v>
      </c>
      <c r="B7" s="1" t="s">
        <v>60</v>
      </c>
      <c r="C7" s="1" t="s">
        <v>8</v>
      </c>
      <c r="D7" s="9">
        <v>0</v>
      </c>
      <c r="E7" s="9">
        <v>1</v>
      </c>
      <c r="F7" s="9">
        <v>0</v>
      </c>
      <c r="G7" s="10">
        <v>0</v>
      </c>
      <c r="H7" s="10">
        <v>0</v>
      </c>
      <c r="I7" s="10">
        <v>0</v>
      </c>
      <c r="J7" s="10">
        <v>0</v>
      </c>
      <c r="L7" s="1">
        <v>0</v>
      </c>
      <c r="N7" s="27">
        <v>0</v>
      </c>
      <c r="Q7" s="1" t="s">
        <v>8</v>
      </c>
      <c r="R7" s="3">
        <v>0</v>
      </c>
      <c r="S7" s="3">
        <v>38.791733000000001</v>
      </c>
      <c r="T7" s="3">
        <v>0</v>
      </c>
      <c r="U7" s="1">
        <v>0</v>
      </c>
      <c r="V7" s="1">
        <v>0</v>
      </c>
      <c r="W7" s="1">
        <v>0</v>
      </c>
      <c r="X7" s="1">
        <v>0</v>
      </c>
    </row>
    <row r="8" spans="1:27" x14ac:dyDescent="0.3">
      <c r="A8" s="1" t="s">
        <v>120</v>
      </c>
      <c r="B8" s="1" t="s">
        <v>60</v>
      </c>
      <c r="C8" s="1" t="s">
        <v>9</v>
      </c>
      <c r="D8" s="9">
        <v>0</v>
      </c>
      <c r="E8" s="9">
        <v>0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L8" s="1">
        <v>0</v>
      </c>
      <c r="N8" s="27">
        <v>0</v>
      </c>
      <c r="Q8" s="1" t="s">
        <v>9</v>
      </c>
      <c r="R8" s="3">
        <v>0</v>
      </c>
      <c r="S8" s="3">
        <v>0</v>
      </c>
      <c r="T8" s="3">
        <v>10</v>
      </c>
      <c r="U8" s="1">
        <v>0</v>
      </c>
      <c r="V8" s="1">
        <v>0</v>
      </c>
      <c r="W8" s="1">
        <v>0</v>
      </c>
      <c r="X8" s="1">
        <v>0</v>
      </c>
    </row>
    <row r="9" spans="1:27" x14ac:dyDescent="0.3">
      <c r="D9" s="10"/>
      <c r="E9" s="10"/>
      <c r="F9" s="10"/>
      <c r="G9" s="10"/>
      <c r="H9" s="10"/>
      <c r="I9" s="10"/>
      <c r="J9" s="10"/>
    </row>
    <row r="10" spans="1:27" x14ac:dyDescent="0.3">
      <c r="D10" s="10"/>
      <c r="E10" s="10"/>
      <c r="F10" s="10"/>
      <c r="G10" s="10"/>
      <c r="H10" s="10"/>
      <c r="I10" s="10"/>
      <c r="J10" s="10"/>
      <c r="L10" s="2" t="s">
        <v>182</v>
      </c>
      <c r="N10" s="2" t="s">
        <v>183</v>
      </c>
      <c r="Z10" s="1" t="s">
        <v>184</v>
      </c>
    </row>
    <row r="11" spans="1:27" x14ac:dyDescent="0.3">
      <c r="A11" s="1" t="s">
        <v>24</v>
      </c>
      <c r="B11" s="1" t="s">
        <v>64</v>
      </c>
      <c r="C11" s="1" t="s">
        <v>45</v>
      </c>
      <c r="D11" s="27"/>
      <c r="E11" s="27"/>
      <c r="F11" s="27"/>
      <c r="G11" s="8">
        <v>10</v>
      </c>
      <c r="H11" s="8">
        <v>0</v>
      </c>
      <c r="I11" s="8">
        <v>0</v>
      </c>
      <c r="J11" s="8">
        <v>0</v>
      </c>
      <c r="K11" s="2" t="s">
        <v>121</v>
      </c>
      <c r="L11" s="3">
        <v>999999</v>
      </c>
      <c r="M11" s="2" t="s">
        <v>185</v>
      </c>
      <c r="N11" s="3">
        <v>1</v>
      </c>
      <c r="Q11" s="1" t="s">
        <v>45</v>
      </c>
      <c r="U11" s="3">
        <f t="array" ref="U11:X11">MMULT(G11:J11,G14:J14*_xlfn.MUNIT(4))</f>
        <v>426.70906000000002</v>
      </c>
      <c r="V11" s="3">
        <v>0</v>
      </c>
      <c r="W11" s="3">
        <v>0</v>
      </c>
      <c r="X11" s="3">
        <v>0</v>
      </c>
      <c r="Z11" s="1">
        <f>SUM(U11:X11)</f>
        <v>426.70906000000002</v>
      </c>
    </row>
    <row r="12" spans="1:27" x14ac:dyDescent="0.3">
      <c r="A12" s="1" t="s">
        <v>186</v>
      </c>
      <c r="B12" s="1" t="s">
        <v>187</v>
      </c>
      <c r="C12" s="1" t="s">
        <v>46</v>
      </c>
      <c r="D12" s="27"/>
      <c r="E12" s="27"/>
      <c r="F12" s="27"/>
      <c r="G12" s="8">
        <v>0</v>
      </c>
      <c r="H12" s="8">
        <v>1.6500000000000004</v>
      </c>
      <c r="I12" s="8">
        <v>40.54054054054054</v>
      </c>
      <c r="J12" s="8">
        <v>0</v>
      </c>
      <c r="K12" s="2" t="s">
        <v>188</v>
      </c>
      <c r="L12" s="3">
        <v>300</v>
      </c>
      <c r="M12" s="2" t="s">
        <v>171</v>
      </c>
      <c r="N12" s="213">
        <v>0</v>
      </c>
      <c r="U12" s="3">
        <f t="array" ref="U12:X12">MMULT(G12:J12,G14:J14*_xlfn.MUNIT(4))</f>
        <v>0</v>
      </c>
      <c r="V12" s="3">
        <v>64.006359450000019</v>
      </c>
      <c r="W12" s="3">
        <v>235.99364189189188</v>
      </c>
      <c r="X12" s="3">
        <v>0</v>
      </c>
      <c r="Z12" s="1">
        <f>SUM(U12:X12)</f>
        <v>300.0000013418919</v>
      </c>
    </row>
    <row r="13" spans="1:27" x14ac:dyDescent="0.3">
      <c r="AA13" s="6"/>
    </row>
    <row r="14" spans="1:27" x14ac:dyDescent="0.3">
      <c r="A14" s="1" t="s">
        <v>25</v>
      </c>
      <c r="B14" s="1" t="s">
        <v>60</v>
      </c>
      <c r="C14" s="6" t="s">
        <v>26</v>
      </c>
      <c r="D14" s="109">
        <v>42.670906000000002</v>
      </c>
      <c r="E14" s="109">
        <v>38.791733000000001</v>
      </c>
      <c r="F14" s="109">
        <v>10</v>
      </c>
      <c r="G14" s="109">
        <v>42.670906000000002</v>
      </c>
      <c r="H14" s="109">
        <v>38.791733000000001</v>
      </c>
      <c r="I14" s="109">
        <v>5.8211765</v>
      </c>
      <c r="J14" s="109">
        <v>4.1788235</v>
      </c>
    </row>
    <row r="15" spans="1:27" x14ac:dyDescent="0.3">
      <c r="D15" s="5"/>
      <c r="E15" s="5"/>
      <c r="F15" s="5"/>
      <c r="G15" s="5"/>
      <c r="H15" s="5"/>
      <c r="I15" s="5"/>
      <c r="J15" s="5"/>
      <c r="Q15" s="1" t="s">
        <v>189</v>
      </c>
    </row>
    <row r="17" spans="3:19" x14ac:dyDescent="0.3">
      <c r="C17" s="1" t="s">
        <v>49</v>
      </c>
      <c r="D17" s="2" t="s">
        <v>36</v>
      </c>
      <c r="E17" s="2" t="s">
        <v>5</v>
      </c>
      <c r="F17" s="2" t="s">
        <v>125</v>
      </c>
      <c r="G17" s="2" t="s">
        <v>126</v>
      </c>
      <c r="H17" s="2" t="s">
        <v>127</v>
      </c>
      <c r="I17" s="2" t="s">
        <v>128</v>
      </c>
      <c r="J17" s="2" t="s">
        <v>129</v>
      </c>
      <c r="Q17" s="1" t="s">
        <v>190</v>
      </c>
      <c r="R17" s="1" t="s">
        <v>121</v>
      </c>
      <c r="S17" s="7">
        <f t="array" ref="S17">SUM(U11:X11)+SUM(U12:X12*N12)</f>
        <v>426.70906000000002</v>
      </c>
    </row>
    <row r="18" spans="3:19" x14ac:dyDescent="0.3">
      <c r="C18" s="1" t="s">
        <v>36</v>
      </c>
      <c r="D18" s="1">
        <v>1</v>
      </c>
      <c r="E18" s="1">
        <v>0</v>
      </c>
      <c r="F18" s="1">
        <v>0</v>
      </c>
      <c r="G18" s="9">
        <v>0</v>
      </c>
      <c r="H18" s="9">
        <v>0</v>
      </c>
      <c r="I18" s="9">
        <v>0</v>
      </c>
      <c r="J18" s="9">
        <v>0</v>
      </c>
    </row>
    <row r="19" spans="3:19" x14ac:dyDescent="0.3">
      <c r="C19" s="1" t="s">
        <v>5</v>
      </c>
      <c r="D19" s="1">
        <v>0</v>
      </c>
      <c r="E19" s="1">
        <v>1</v>
      </c>
      <c r="F19" s="1">
        <v>0</v>
      </c>
      <c r="G19" s="9">
        <v>0</v>
      </c>
      <c r="H19" s="9">
        <v>0</v>
      </c>
      <c r="I19" s="9">
        <v>0</v>
      </c>
      <c r="J19" s="9">
        <v>0</v>
      </c>
    </row>
    <row r="20" spans="3:19" x14ac:dyDescent="0.3">
      <c r="C20" s="1" t="s">
        <v>6</v>
      </c>
      <c r="D20" s="1">
        <v>0</v>
      </c>
      <c r="E20" s="1">
        <v>0</v>
      </c>
      <c r="F20" s="1">
        <v>1</v>
      </c>
      <c r="G20" s="9">
        <v>0</v>
      </c>
      <c r="H20" s="9">
        <v>0</v>
      </c>
      <c r="I20" s="9">
        <v>0</v>
      </c>
      <c r="J20" s="9">
        <v>0</v>
      </c>
    </row>
    <row r="21" spans="3:19" x14ac:dyDescent="0.3">
      <c r="C21" s="1" t="s">
        <v>7</v>
      </c>
      <c r="D21" s="3">
        <v>0</v>
      </c>
      <c r="E21" s="3">
        <v>0</v>
      </c>
      <c r="F21" s="3">
        <v>0</v>
      </c>
      <c r="G21" s="1">
        <v>1</v>
      </c>
      <c r="H21" s="1">
        <v>0</v>
      </c>
      <c r="I21" s="1">
        <v>0</v>
      </c>
      <c r="J21" s="1">
        <v>0</v>
      </c>
    </row>
    <row r="22" spans="3:19" x14ac:dyDescent="0.3">
      <c r="C22" s="1" t="s">
        <v>8</v>
      </c>
      <c r="D22" s="3">
        <v>0</v>
      </c>
      <c r="E22" s="3">
        <v>0</v>
      </c>
      <c r="F22" s="3">
        <v>0</v>
      </c>
      <c r="G22" s="1">
        <v>0</v>
      </c>
      <c r="H22" s="1">
        <v>1</v>
      </c>
      <c r="I22" s="1">
        <v>0</v>
      </c>
      <c r="J22" s="1">
        <v>0</v>
      </c>
    </row>
    <row r="23" spans="3:19" x14ac:dyDescent="0.3">
      <c r="C23" s="1" t="s">
        <v>9</v>
      </c>
      <c r="D23" s="3">
        <v>0</v>
      </c>
      <c r="E23" s="3">
        <v>0</v>
      </c>
      <c r="F23" s="3">
        <v>0</v>
      </c>
      <c r="G23" s="1">
        <v>0</v>
      </c>
      <c r="H23" s="1">
        <v>0</v>
      </c>
      <c r="I23" s="1">
        <v>1</v>
      </c>
      <c r="J23" s="1">
        <v>1</v>
      </c>
    </row>
    <row r="34" spans="22:22" x14ac:dyDescent="0.3">
      <c r="V34" s="6"/>
    </row>
  </sheetData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A128-A2A8-4DC7-9008-A98DED802FB5}">
  <sheetPr>
    <tabColor theme="5" tint="-0.249977111117893"/>
  </sheetPr>
  <dimension ref="A1:BD70"/>
  <sheetViews>
    <sheetView topLeftCell="A5" workbookViewId="0"/>
  </sheetViews>
  <sheetFormatPr defaultColWidth="5" defaultRowHeight="13.8" x14ac:dyDescent="0.3"/>
  <cols>
    <col min="1" max="1" width="13.21875" style="120" customWidth="1"/>
    <col min="2" max="2" width="56.77734375" style="120" customWidth="1"/>
    <col min="3" max="3" width="15.44140625" style="120" bestFit="1" customWidth="1"/>
    <col min="4" max="4" width="5" style="120"/>
    <col min="5" max="5" width="9" style="120" customWidth="1"/>
    <col min="6" max="6" width="9.44140625" style="120" bestFit="1" customWidth="1"/>
    <col min="7" max="7" width="9" style="120" bestFit="1" customWidth="1"/>
    <col min="8" max="8" width="9.77734375" style="120" bestFit="1" customWidth="1"/>
    <col min="9" max="9" width="8.44140625" style="120" bestFit="1" customWidth="1"/>
    <col min="10" max="10" width="9.77734375" style="120" bestFit="1" customWidth="1"/>
    <col min="11" max="11" width="8.44140625" style="120" bestFit="1" customWidth="1"/>
    <col min="12" max="12" width="10" style="120" bestFit="1" customWidth="1"/>
    <col min="13" max="13" width="9" style="120" bestFit="1" customWidth="1"/>
    <col min="14" max="14" width="9.77734375" style="120" bestFit="1" customWidth="1"/>
    <col min="15" max="15" width="10.21875" style="120" bestFit="1" customWidth="1"/>
    <col min="16" max="16" width="9.77734375" style="120" bestFit="1" customWidth="1"/>
    <col min="17" max="17" width="8.44140625" style="120" bestFit="1" customWidth="1"/>
    <col min="18" max="18" width="9" style="120" bestFit="1" customWidth="1"/>
    <col min="19" max="19" width="8.44140625" style="120" bestFit="1" customWidth="1"/>
    <col min="20" max="20" width="10.21875" style="120" bestFit="1" customWidth="1"/>
    <col min="21" max="21" width="12.21875" style="120" bestFit="1" customWidth="1"/>
    <col min="22" max="22" width="10.77734375" style="120" bestFit="1" customWidth="1"/>
    <col min="23" max="23" width="12.21875" style="120" bestFit="1" customWidth="1"/>
    <col min="24" max="24" width="11.77734375" style="120" bestFit="1" customWidth="1"/>
    <col min="25" max="25" width="12.44140625" style="120" bestFit="1" customWidth="1"/>
    <col min="26" max="26" width="10.44140625" style="120" bestFit="1" customWidth="1"/>
    <col min="27" max="27" width="9.21875" style="120" bestFit="1" customWidth="1"/>
    <col min="28" max="28" width="10.77734375" style="120" bestFit="1" customWidth="1"/>
    <col min="29" max="29" width="10.21875" style="120" bestFit="1" customWidth="1"/>
    <col min="30" max="31" width="10.77734375" style="120" bestFit="1" customWidth="1"/>
    <col min="32" max="32" width="9.77734375" style="120" bestFit="1" customWidth="1"/>
    <col min="33" max="33" width="11.21875" style="120" bestFit="1" customWidth="1"/>
    <col min="34" max="34" width="10.77734375" style="120" bestFit="1" customWidth="1"/>
    <col min="35" max="35" width="11.21875" style="120" bestFit="1" customWidth="1"/>
    <col min="36" max="36" width="9.77734375" style="120" bestFit="1" customWidth="1"/>
    <col min="37" max="37" width="12.21875" style="120" bestFit="1" customWidth="1"/>
    <col min="38" max="38" width="11.21875" style="120" bestFit="1" customWidth="1"/>
    <col min="39" max="39" width="12.21875" style="120" bestFit="1" customWidth="1"/>
    <col min="40" max="40" width="11.77734375" style="120" bestFit="1" customWidth="1"/>
    <col min="41" max="41" width="12.21875" style="120" bestFit="1" customWidth="1"/>
    <col min="42" max="42" width="9.21875" style="120" bestFit="1" customWidth="1"/>
    <col min="43" max="44" width="8.77734375" style="120" bestFit="1" customWidth="1"/>
    <col min="45" max="45" width="9.44140625" style="120" bestFit="1" customWidth="1"/>
    <col min="46" max="46" width="10" style="120" bestFit="1" customWidth="1"/>
    <col min="47" max="47" width="10.44140625" style="120" bestFit="1" customWidth="1"/>
    <col min="48" max="48" width="10.77734375" style="120" bestFit="1" customWidth="1"/>
    <col min="49" max="49" width="9.77734375" style="120" bestFit="1" customWidth="1"/>
    <col min="50" max="52" width="5" style="120"/>
    <col min="53" max="53" width="25.44140625" style="120" bestFit="1" customWidth="1"/>
    <col min="54" max="54" width="7.77734375" style="120" bestFit="1" customWidth="1"/>
    <col min="55" max="16384" width="5" style="120"/>
  </cols>
  <sheetData>
    <row r="1" spans="1:56" hidden="1" x14ac:dyDescent="0.3"/>
    <row r="2" spans="1:56" hidden="1" x14ac:dyDescent="0.3">
      <c r="BA2" s="120" t="s">
        <v>298</v>
      </c>
    </row>
    <row r="3" spans="1:56" hidden="1" x14ac:dyDescent="0.3">
      <c r="BD3" s="120" t="s">
        <v>499</v>
      </c>
    </row>
    <row r="4" spans="1:56" hidden="1" x14ac:dyDescent="0.3">
      <c r="E4" s="120" t="s">
        <v>237</v>
      </c>
      <c r="U4" s="120" t="s">
        <v>237</v>
      </c>
    </row>
    <row r="5" spans="1:56" ht="31.2" x14ac:dyDescent="0.6">
      <c r="A5" s="155"/>
      <c r="B5" s="155"/>
      <c r="C5" s="155"/>
      <c r="E5" s="155" t="s">
        <v>500</v>
      </c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 t="s">
        <v>285</v>
      </c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 t="s">
        <v>14</v>
      </c>
      <c r="AZ5" s="155"/>
      <c r="BA5" s="155" t="s">
        <v>285</v>
      </c>
      <c r="BB5" s="155"/>
    </row>
    <row r="6" spans="1:56" ht="31.2" x14ac:dyDescent="0.6">
      <c r="A6" s="155"/>
      <c r="B6" s="155"/>
      <c r="C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 t="s">
        <v>501</v>
      </c>
      <c r="BB6" s="155" t="s">
        <v>502</v>
      </c>
    </row>
    <row r="7" spans="1:56" ht="31.2" x14ac:dyDescent="0.6">
      <c r="A7" s="155"/>
      <c r="B7" s="155"/>
      <c r="C7" s="155"/>
      <c r="E7" s="152" t="s">
        <v>503</v>
      </c>
      <c r="F7" s="152" t="s">
        <v>504</v>
      </c>
      <c r="G7" s="152" t="s">
        <v>505</v>
      </c>
      <c r="H7" s="152" t="s">
        <v>506</v>
      </c>
      <c r="I7" s="152" t="s">
        <v>507</v>
      </c>
      <c r="J7" s="152" t="s">
        <v>508</v>
      </c>
      <c r="K7" s="152" t="s">
        <v>509</v>
      </c>
      <c r="L7" s="152" t="s">
        <v>510</v>
      </c>
      <c r="M7" s="152" t="s">
        <v>511</v>
      </c>
      <c r="N7" s="152" t="s">
        <v>512</v>
      </c>
      <c r="O7" s="152" t="s">
        <v>513</v>
      </c>
      <c r="P7" s="152" t="s">
        <v>514</v>
      </c>
      <c r="Q7" s="152" t="s">
        <v>515</v>
      </c>
      <c r="R7" s="152" t="s">
        <v>516</v>
      </c>
      <c r="S7" s="152" t="s">
        <v>517</v>
      </c>
      <c r="T7" s="152" t="s">
        <v>518</v>
      </c>
      <c r="U7" s="152" t="s">
        <v>519</v>
      </c>
      <c r="V7" s="152" t="s">
        <v>520</v>
      </c>
      <c r="W7" s="152" t="s">
        <v>521</v>
      </c>
      <c r="X7" s="152" t="s">
        <v>522</v>
      </c>
      <c r="Y7" s="152" t="s">
        <v>523</v>
      </c>
      <c r="Z7" s="152" t="s">
        <v>524</v>
      </c>
      <c r="AA7" s="152" t="s">
        <v>525</v>
      </c>
      <c r="AB7" s="152" t="s">
        <v>526</v>
      </c>
      <c r="AC7" s="152" t="s">
        <v>527</v>
      </c>
      <c r="AD7" s="152" t="s">
        <v>528</v>
      </c>
      <c r="AE7" s="152" t="s">
        <v>529</v>
      </c>
      <c r="AF7" s="152" t="s">
        <v>530</v>
      </c>
      <c r="AG7" s="152" t="s">
        <v>531</v>
      </c>
      <c r="AH7" s="152" t="s">
        <v>532</v>
      </c>
      <c r="AI7" s="152" t="s">
        <v>533</v>
      </c>
      <c r="AJ7" s="152" t="s">
        <v>534</v>
      </c>
      <c r="AK7" s="152" t="s">
        <v>535</v>
      </c>
      <c r="AL7" s="152" t="s">
        <v>536</v>
      </c>
      <c r="AM7" s="152" t="s">
        <v>537</v>
      </c>
      <c r="AN7" s="152" t="s">
        <v>538</v>
      </c>
      <c r="AO7" s="152" t="s">
        <v>539</v>
      </c>
      <c r="AP7" s="152" t="s">
        <v>540</v>
      </c>
      <c r="AQ7" s="152" t="s">
        <v>541</v>
      </c>
      <c r="AR7" s="152" t="s">
        <v>542</v>
      </c>
      <c r="AS7" s="152" t="s">
        <v>543</v>
      </c>
      <c r="AT7" s="152" t="s">
        <v>544</v>
      </c>
      <c r="AU7" s="152" t="s">
        <v>545</v>
      </c>
      <c r="AV7" s="152" t="s">
        <v>546</v>
      </c>
      <c r="AW7" s="152" t="s">
        <v>547</v>
      </c>
      <c r="AX7" s="153"/>
      <c r="AY7" s="153"/>
      <c r="AZ7" s="153"/>
      <c r="BA7" s="153"/>
      <c r="BB7" s="153"/>
    </row>
    <row r="8" spans="1:56" ht="23.4" x14ac:dyDescent="0.45">
      <c r="A8" s="153"/>
      <c r="B8" s="153"/>
      <c r="C8" s="153"/>
    </row>
    <row r="9" spans="1:56" ht="31.2" x14ac:dyDescent="0.6">
      <c r="A9" s="153"/>
      <c r="B9" s="153"/>
      <c r="C9" s="153"/>
      <c r="E9" s="156" t="s">
        <v>548</v>
      </c>
      <c r="AY9" s="156" t="s">
        <v>549</v>
      </c>
      <c r="BA9" s="156" t="s">
        <v>550</v>
      </c>
    </row>
    <row r="10" spans="1:56" ht="31.2" x14ac:dyDescent="0.6">
      <c r="A10" s="155" t="s">
        <v>14</v>
      </c>
      <c r="B10" s="153" t="s">
        <v>39</v>
      </c>
      <c r="C10" s="153" t="s">
        <v>503</v>
      </c>
      <c r="E10" s="127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6"/>
      <c r="AY10" s="138"/>
      <c r="BA10" s="125"/>
      <c r="BB10" s="126"/>
    </row>
    <row r="11" spans="1:56" ht="23.4" x14ac:dyDescent="0.45">
      <c r="A11" s="153"/>
      <c r="B11" s="153" t="s">
        <v>81</v>
      </c>
      <c r="C11" s="153" t="s">
        <v>504</v>
      </c>
      <c r="E11" s="129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3"/>
      <c r="AY11" s="139"/>
      <c r="BA11" s="124"/>
      <c r="BB11" s="123"/>
    </row>
    <row r="12" spans="1:56" ht="23.4" x14ac:dyDescent="0.45">
      <c r="A12" s="153"/>
      <c r="B12" s="153" t="s">
        <v>551</v>
      </c>
      <c r="C12" s="153" t="s">
        <v>505</v>
      </c>
      <c r="E12" s="129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3"/>
      <c r="AY12" s="139"/>
      <c r="BA12" s="124"/>
      <c r="BB12" s="123"/>
    </row>
    <row r="13" spans="1:56" ht="23.4" x14ac:dyDescent="0.45">
      <c r="A13" s="153"/>
      <c r="B13" s="153" t="s">
        <v>552</v>
      </c>
      <c r="C13" s="153" t="s">
        <v>506</v>
      </c>
      <c r="E13" s="129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3"/>
      <c r="AY13" s="139"/>
      <c r="BA13" s="124"/>
      <c r="BB13" s="123"/>
    </row>
    <row r="14" spans="1:56" ht="23.4" x14ac:dyDescent="0.45">
      <c r="A14" s="153"/>
      <c r="B14" s="153" t="s">
        <v>553</v>
      </c>
      <c r="C14" s="153" t="s">
        <v>507</v>
      </c>
      <c r="E14" s="129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3"/>
      <c r="AY14" s="139"/>
      <c r="BA14" s="124"/>
      <c r="BB14" s="123"/>
    </row>
    <row r="15" spans="1:56" ht="23.4" x14ac:dyDescent="0.45">
      <c r="A15" s="153"/>
      <c r="B15" s="153" t="s">
        <v>554</v>
      </c>
      <c r="C15" s="153" t="s">
        <v>508</v>
      </c>
      <c r="E15" s="129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3"/>
      <c r="AY15" s="139"/>
      <c r="BA15" s="124"/>
      <c r="BB15" s="123"/>
    </row>
    <row r="16" spans="1:56" ht="23.4" x14ac:dyDescent="0.45">
      <c r="A16" s="153"/>
      <c r="B16" s="153" t="s">
        <v>82</v>
      </c>
      <c r="C16" s="153" t="s">
        <v>509</v>
      </c>
      <c r="E16" s="129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3"/>
      <c r="AY16" s="139"/>
      <c r="BA16" s="124"/>
      <c r="BB16" s="123"/>
    </row>
    <row r="17" spans="1:54" ht="23.4" x14ac:dyDescent="0.45">
      <c r="A17" s="153"/>
      <c r="B17" s="153" t="s">
        <v>555</v>
      </c>
      <c r="C17" s="153" t="s">
        <v>510</v>
      </c>
      <c r="E17" s="129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3"/>
      <c r="AY17" s="139"/>
      <c r="BA17" s="124"/>
      <c r="BB17" s="123"/>
    </row>
    <row r="18" spans="1:54" ht="23.4" x14ac:dyDescent="0.45">
      <c r="A18" s="153"/>
      <c r="B18" s="153" t="s">
        <v>556</v>
      </c>
      <c r="C18" s="153" t="s">
        <v>507</v>
      </c>
      <c r="E18" s="129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3"/>
      <c r="AY18" s="139"/>
      <c r="BA18" s="124"/>
      <c r="BB18" s="123"/>
    </row>
    <row r="19" spans="1:54" ht="23.4" x14ac:dyDescent="0.45">
      <c r="A19" s="153"/>
      <c r="B19" s="153" t="s">
        <v>557</v>
      </c>
      <c r="C19" s="153" t="s">
        <v>511</v>
      </c>
      <c r="E19" s="129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3"/>
      <c r="AY19" s="139"/>
      <c r="BA19" s="124"/>
      <c r="BB19" s="123"/>
    </row>
    <row r="20" spans="1:54" ht="23.4" x14ac:dyDescent="0.45">
      <c r="A20" s="153"/>
      <c r="B20" s="153" t="s">
        <v>558</v>
      </c>
      <c r="C20" s="153" t="s">
        <v>513</v>
      </c>
      <c r="E20" s="129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3"/>
      <c r="AY20" s="139"/>
      <c r="BA20" s="124"/>
      <c r="BB20" s="123"/>
    </row>
    <row r="21" spans="1:54" ht="23.4" x14ac:dyDescent="0.45">
      <c r="A21" s="153"/>
      <c r="B21" s="153" t="s">
        <v>559</v>
      </c>
      <c r="C21" s="153" t="s">
        <v>514</v>
      </c>
      <c r="E21" s="129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3"/>
      <c r="AY21" s="139"/>
      <c r="BA21" s="124"/>
      <c r="BB21" s="123"/>
    </row>
    <row r="22" spans="1:54" ht="23.4" x14ac:dyDescent="0.45">
      <c r="A22" s="153"/>
      <c r="B22" s="153" t="s">
        <v>560</v>
      </c>
      <c r="C22" s="153" t="s">
        <v>515</v>
      </c>
      <c r="E22" s="129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3"/>
      <c r="AY22" s="139"/>
      <c r="BA22" s="124"/>
      <c r="BB22" s="123"/>
    </row>
    <row r="23" spans="1:54" ht="23.4" x14ac:dyDescent="0.45">
      <c r="A23" s="153"/>
      <c r="B23" s="153" t="s">
        <v>561</v>
      </c>
      <c r="C23" s="153" t="s">
        <v>516</v>
      </c>
      <c r="E23" s="129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3"/>
      <c r="AY23" s="139"/>
      <c r="BA23" s="124"/>
      <c r="BB23" s="123"/>
    </row>
    <row r="24" spans="1:54" ht="23.4" x14ac:dyDescent="0.45">
      <c r="A24" s="153"/>
      <c r="B24" s="153" t="s">
        <v>40</v>
      </c>
      <c r="C24" s="153" t="s">
        <v>517</v>
      </c>
      <c r="E24" s="129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3"/>
      <c r="AY24" s="139"/>
      <c r="BA24" s="124"/>
      <c r="BB24" s="123"/>
    </row>
    <row r="25" spans="1:54" ht="23.4" x14ac:dyDescent="0.45">
      <c r="A25" s="153"/>
      <c r="B25" s="153" t="s">
        <v>562</v>
      </c>
      <c r="C25" s="153" t="s">
        <v>518</v>
      </c>
      <c r="E25" s="129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3"/>
      <c r="AY25" s="139"/>
      <c r="BA25" s="124"/>
      <c r="BB25" s="123"/>
    </row>
    <row r="26" spans="1:54" s="132" customFormat="1" ht="23.4" hidden="1" x14ac:dyDescent="0.45">
      <c r="A26" s="154" t="s">
        <v>500</v>
      </c>
      <c r="B26" s="154" t="s">
        <v>39</v>
      </c>
      <c r="C26" s="154" t="s">
        <v>503</v>
      </c>
      <c r="E26" s="133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AW26" s="135"/>
      <c r="AY26" s="140"/>
      <c r="BA26" s="136"/>
      <c r="BB26" s="135"/>
    </row>
    <row r="27" spans="1:54" ht="23.4" hidden="1" x14ac:dyDescent="0.45">
      <c r="A27" s="153"/>
      <c r="B27" s="153" t="s">
        <v>81</v>
      </c>
      <c r="C27" s="153" t="s">
        <v>563</v>
      </c>
      <c r="E27" s="129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AW27" s="123"/>
      <c r="AY27" s="139"/>
      <c r="BA27" s="124"/>
      <c r="BB27" s="123"/>
    </row>
    <row r="28" spans="1:54" ht="23.4" hidden="1" x14ac:dyDescent="0.45">
      <c r="A28" s="153"/>
      <c r="B28" s="153" t="s">
        <v>551</v>
      </c>
      <c r="C28" s="153" t="s">
        <v>505</v>
      </c>
      <c r="E28" s="129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AW28" s="123"/>
      <c r="AY28" s="139"/>
      <c r="BA28" s="124"/>
      <c r="BB28" s="123"/>
    </row>
    <row r="29" spans="1:54" ht="23.4" hidden="1" x14ac:dyDescent="0.45">
      <c r="A29" s="153"/>
      <c r="B29" s="153" t="s">
        <v>552</v>
      </c>
      <c r="C29" s="153" t="s">
        <v>506</v>
      </c>
      <c r="E29" s="129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AW29" s="123"/>
      <c r="AY29" s="139"/>
      <c r="BA29" s="124"/>
      <c r="BB29" s="123"/>
    </row>
    <row r="30" spans="1:54" ht="23.4" hidden="1" x14ac:dyDescent="0.45">
      <c r="A30" s="153"/>
      <c r="B30" s="153" t="s">
        <v>554</v>
      </c>
      <c r="C30" s="153" t="s">
        <v>508</v>
      </c>
      <c r="E30" s="129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AW30" s="123"/>
      <c r="AY30" s="139"/>
      <c r="BA30" s="124"/>
      <c r="BB30" s="123"/>
    </row>
    <row r="31" spans="1:54" ht="23.4" hidden="1" x14ac:dyDescent="0.45">
      <c r="A31" s="153"/>
      <c r="B31" s="153" t="s">
        <v>82</v>
      </c>
      <c r="C31" s="153" t="s">
        <v>509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AW31" s="123"/>
      <c r="AY31" s="139"/>
      <c r="BA31" s="124"/>
      <c r="BB31" s="123"/>
    </row>
    <row r="32" spans="1:54" ht="23.4" hidden="1" x14ac:dyDescent="0.45">
      <c r="A32" s="153"/>
      <c r="B32" s="153" t="s">
        <v>555</v>
      </c>
      <c r="C32" s="153" t="s">
        <v>510</v>
      </c>
      <c r="E32" s="129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AW32" s="123"/>
      <c r="AY32" s="139"/>
      <c r="BA32" s="124"/>
      <c r="BB32" s="123"/>
    </row>
    <row r="33" spans="1:54" ht="23.4" hidden="1" x14ac:dyDescent="0.45">
      <c r="A33" s="153"/>
      <c r="B33" s="153" t="s">
        <v>557</v>
      </c>
      <c r="C33" s="153" t="s">
        <v>511</v>
      </c>
      <c r="E33" s="129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AW33" s="123"/>
      <c r="AY33" s="139"/>
      <c r="BA33" s="124"/>
      <c r="BB33" s="123"/>
    </row>
    <row r="34" spans="1:54" ht="23.4" hidden="1" x14ac:dyDescent="0.45">
      <c r="A34" s="153"/>
      <c r="B34" s="153" t="s">
        <v>558</v>
      </c>
      <c r="C34" s="153" t="s">
        <v>513</v>
      </c>
      <c r="E34" s="129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AW34" s="123"/>
      <c r="AY34" s="139"/>
      <c r="BA34" s="124"/>
      <c r="BB34" s="123"/>
    </row>
    <row r="35" spans="1:54" ht="23.4" hidden="1" x14ac:dyDescent="0.45">
      <c r="A35" s="153"/>
      <c r="B35" s="153" t="s">
        <v>559</v>
      </c>
      <c r="C35" s="153" t="s">
        <v>514</v>
      </c>
      <c r="E35" s="129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AW35" s="123"/>
      <c r="AY35" s="139"/>
      <c r="BA35" s="124"/>
      <c r="BB35" s="123"/>
    </row>
    <row r="36" spans="1:54" ht="23.4" hidden="1" x14ac:dyDescent="0.45">
      <c r="A36" s="153"/>
      <c r="B36" s="153" t="s">
        <v>560</v>
      </c>
      <c r="C36" s="153" t="s">
        <v>515</v>
      </c>
      <c r="E36" s="129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AW36" s="123"/>
      <c r="AY36" s="139"/>
      <c r="BA36" s="124"/>
      <c r="BB36" s="123"/>
    </row>
    <row r="37" spans="1:54" ht="23.4" hidden="1" x14ac:dyDescent="0.45">
      <c r="A37" s="153"/>
      <c r="B37" s="153" t="s">
        <v>561</v>
      </c>
      <c r="C37" s="153" t="s">
        <v>516</v>
      </c>
      <c r="E37" s="129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AW37" s="123"/>
      <c r="AY37" s="139"/>
      <c r="BA37" s="124"/>
      <c r="BB37" s="123"/>
    </row>
    <row r="38" spans="1:54" ht="23.4" hidden="1" x14ac:dyDescent="0.45">
      <c r="A38" s="153"/>
      <c r="B38" s="153" t="s">
        <v>40</v>
      </c>
      <c r="C38" s="153" t="s">
        <v>517</v>
      </c>
      <c r="E38" s="129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AW38" s="123"/>
      <c r="AY38" s="139"/>
      <c r="BA38" s="124"/>
      <c r="BB38" s="123"/>
    </row>
    <row r="39" spans="1:54" ht="23.4" hidden="1" x14ac:dyDescent="0.45">
      <c r="A39" s="153"/>
      <c r="B39" s="153" t="s">
        <v>562</v>
      </c>
      <c r="C39" s="153" t="s">
        <v>518</v>
      </c>
      <c r="E39" s="129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AW39" s="123"/>
      <c r="AY39" s="139"/>
      <c r="BA39" s="124"/>
      <c r="BB39" s="123"/>
    </row>
    <row r="40" spans="1:54" ht="31.2" x14ac:dyDescent="0.6">
      <c r="A40" s="155" t="s">
        <v>285</v>
      </c>
      <c r="B40" s="153" t="s">
        <v>564</v>
      </c>
      <c r="C40" s="153" t="s">
        <v>519</v>
      </c>
      <c r="E40" s="124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1"/>
      <c r="AY40" s="137"/>
      <c r="BA40" s="129"/>
      <c r="BB40" s="131"/>
    </row>
    <row r="41" spans="1:54" ht="23.4" x14ac:dyDescent="0.45">
      <c r="A41" s="153"/>
      <c r="B41" s="153" t="s">
        <v>565</v>
      </c>
      <c r="C41" s="153" t="s">
        <v>520</v>
      </c>
      <c r="E41" s="124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1"/>
      <c r="AY41" s="137"/>
      <c r="BA41" s="129"/>
      <c r="BB41" s="131"/>
    </row>
    <row r="42" spans="1:54" ht="23.4" x14ac:dyDescent="0.45">
      <c r="A42" s="153"/>
      <c r="B42" s="153" t="s">
        <v>566</v>
      </c>
      <c r="C42" s="153" t="s">
        <v>521</v>
      </c>
      <c r="E42" s="124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1"/>
      <c r="AY42" s="137"/>
      <c r="BA42" s="129"/>
      <c r="BB42" s="131"/>
    </row>
    <row r="43" spans="1:54" ht="23.4" x14ac:dyDescent="0.45">
      <c r="A43" s="153"/>
      <c r="B43" s="153" t="s">
        <v>567</v>
      </c>
      <c r="C43" s="153" t="s">
        <v>522</v>
      </c>
      <c r="E43" s="124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1"/>
      <c r="AY43" s="137"/>
      <c r="BA43" s="129"/>
      <c r="BB43" s="131"/>
    </row>
    <row r="44" spans="1:54" ht="23.4" x14ac:dyDescent="0.45">
      <c r="A44" s="153"/>
      <c r="B44" s="153" t="s">
        <v>568</v>
      </c>
      <c r="C44" s="153" t="s">
        <v>523</v>
      </c>
      <c r="E44" s="124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1"/>
      <c r="AY44" s="137"/>
      <c r="BA44" s="129"/>
      <c r="BB44" s="131"/>
    </row>
    <row r="45" spans="1:54" ht="23.4" x14ac:dyDescent="0.45">
      <c r="A45" s="153"/>
      <c r="B45" s="153" t="s">
        <v>569</v>
      </c>
      <c r="C45" s="153" t="s">
        <v>524</v>
      </c>
      <c r="E45" s="124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1"/>
      <c r="AY45" s="137"/>
      <c r="BA45" s="129"/>
      <c r="BB45" s="131"/>
    </row>
    <row r="46" spans="1:54" ht="23.4" x14ac:dyDescent="0.45">
      <c r="A46" s="153"/>
      <c r="B46" s="153" t="s">
        <v>570</v>
      </c>
      <c r="C46" s="153" t="s">
        <v>525</v>
      </c>
      <c r="E46" s="124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1"/>
      <c r="AY46" s="137"/>
      <c r="BA46" s="129"/>
      <c r="BB46" s="131"/>
    </row>
    <row r="47" spans="1:54" ht="23.4" x14ac:dyDescent="0.45">
      <c r="A47" s="153"/>
      <c r="B47" s="153" t="s">
        <v>571</v>
      </c>
      <c r="C47" s="153" t="s">
        <v>526</v>
      </c>
      <c r="E47" s="124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1"/>
      <c r="AY47" s="137"/>
      <c r="BA47" s="129"/>
      <c r="BB47" s="131"/>
    </row>
    <row r="48" spans="1:54" ht="23.4" x14ac:dyDescent="0.45">
      <c r="A48" s="153"/>
      <c r="B48" s="153" t="s">
        <v>572</v>
      </c>
      <c r="C48" s="153" t="s">
        <v>527</v>
      </c>
      <c r="E48" s="124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1"/>
      <c r="AY48" s="137"/>
      <c r="BA48" s="129"/>
      <c r="BB48" s="131"/>
    </row>
    <row r="49" spans="1:54" ht="23.4" x14ac:dyDescent="0.45">
      <c r="A49" s="153"/>
      <c r="B49" s="153" t="s">
        <v>573</v>
      </c>
      <c r="C49" s="153" t="s">
        <v>528</v>
      </c>
      <c r="E49" s="124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1"/>
      <c r="AY49" s="137"/>
      <c r="BA49" s="129"/>
      <c r="BB49" s="131"/>
    </row>
    <row r="50" spans="1:54" ht="23.4" x14ac:dyDescent="0.45">
      <c r="A50" s="153"/>
      <c r="B50" s="153" t="s">
        <v>574</v>
      </c>
      <c r="C50" s="153" t="s">
        <v>529</v>
      </c>
      <c r="E50" s="124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1"/>
      <c r="AY50" s="137"/>
      <c r="BA50" s="129"/>
      <c r="BB50" s="131"/>
    </row>
    <row r="51" spans="1:54" ht="23.4" x14ac:dyDescent="0.45">
      <c r="A51" s="153"/>
      <c r="B51" s="153" t="s">
        <v>575</v>
      </c>
      <c r="C51" s="153" t="s">
        <v>530</v>
      </c>
      <c r="E51" s="124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1"/>
      <c r="AY51" s="137"/>
      <c r="BA51" s="129"/>
      <c r="BB51" s="131"/>
    </row>
    <row r="52" spans="1:54" ht="23.4" x14ac:dyDescent="0.45">
      <c r="A52" s="153"/>
      <c r="B52" s="153" t="s">
        <v>576</v>
      </c>
      <c r="C52" s="153" t="s">
        <v>531</v>
      </c>
      <c r="E52" s="124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1"/>
      <c r="AY52" s="137"/>
      <c r="BA52" s="129"/>
      <c r="BB52" s="131"/>
    </row>
    <row r="53" spans="1:54" ht="23.4" x14ac:dyDescent="0.45">
      <c r="A53" s="153"/>
      <c r="B53" s="153" t="s">
        <v>577</v>
      </c>
      <c r="C53" s="153" t="s">
        <v>532</v>
      </c>
      <c r="E53" s="124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1"/>
      <c r="AY53" s="137"/>
      <c r="BA53" s="129"/>
      <c r="BB53" s="131"/>
    </row>
    <row r="54" spans="1:54" ht="23.4" x14ac:dyDescent="0.45">
      <c r="A54" s="153"/>
      <c r="B54" s="153" t="s">
        <v>578</v>
      </c>
      <c r="C54" s="153" t="s">
        <v>533</v>
      </c>
      <c r="E54" s="124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1"/>
      <c r="AY54" s="137"/>
      <c r="BA54" s="129"/>
      <c r="BB54" s="131"/>
    </row>
    <row r="55" spans="1:54" ht="23.4" x14ac:dyDescent="0.45">
      <c r="A55" s="153"/>
      <c r="B55" s="153" t="s">
        <v>579</v>
      </c>
      <c r="C55" s="153" t="s">
        <v>534</v>
      </c>
      <c r="E55" s="124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1"/>
      <c r="AY55" s="137"/>
      <c r="BA55" s="129"/>
      <c r="BB55" s="131"/>
    </row>
    <row r="56" spans="1:54" ht="23.4" x14ac:dyDescent="0.45">
      <c r="A56" s="153"/>
      <c r="B56" s="153" t="s">
        <v>580</v>
      </c>
      <c r="C56" s="153" t="s">
        <v>535</v>
      </c>
      <c r="E56" s="124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1"/>
      <c r="AY56" s="137"/>
      <c r="BA56" s="129"/>
      <c r="BB56" s="131"/>
    </row>
    <row r="57" spans="1:54" ht="23.4" x14ac:dyDescent="0.45">
      <c r="A57" s="153"/>
      <c r="B57" s="153" t="s">
        <v>581</v>
      </c>
      <c r="C57" s="153" t="s">
        <v>536</v>
      </c>
      <c r="E57" s="124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1"/>
      <c r="AY57" s="137"/>
      <c r="BA57" s="129"/>
      <c r="BB57" s="131"/>
    </row>
    <row r="58" spans="1:54" ht="23.4" x14ac:dyDescent="0.45">
      <c r="A58" s="153"/>
      <c r="B58" s="153" t="s">
        <v>582</v>
      </c>
      <c r="C58" s="153" t="s">
        <v>537</v>
      </c>
      <c r="E58" s="124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1"/>
      <c r="AY58" s="137"/>
      <c r="BA58" s="129"/>
      <c r="BB58" s="131"/>
    </row>
    <row r="59" spans="1:54" ht="23.4" x14ac:dyDescent="0.45">
      <c r="A59" s="153"/>
      <c r="B59" s="153" t="s">
        <v>583</v>
      </c>
      <c r="C59" s="153" t="s">
        <v>538</v>
      </c>
      <c r="E59" s="124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1"/>
      <c r="AY59" s="137"/>
      <c r="BA59" s="129"/>
      <c r="BB59" s="131"/>
    </row>
    <row r="60" spans="1:54" ht="23.4" x14ac:dyDescent="0.45">
      <c r="A60" s="153"/>
      <c r="B60" s="153" t="s">
        <v>584</v>
      </c>
      <c r="C60" s="153" t="s">
        <v>539</v>
      </c>
      <c r="E60" s="124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1"/>
      <c r="AY60" s="137"/>
      <c r="BA60" s="129"/>
      <c r="BB60" s="131"/>
    </row>
    <row r="61" spans="1:54" ht="23.4" x14ac:dyDescent="0.45">
      <c r="A61" s="153"/>
      <c r="B61" s="153" t="s">
        <v>585</v>
      </c>
      <c r="C61" s="153" t="s">
        <v>540</v>
      </c>
      <c r="E61" s="124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1"/>
      <c r="AY61" s="137"/>
      <c r="BA61" s="129"/>
      <c r="BB61" s="131"/>
    </row>
    <row r="62" spans="1:54" ht="23.4" x14ac:dyDescent="0.45">
      <c r="A62" s="153"/>
      <c r="B62" s="153" t="s">
        <v>586</v>
      </c>
      <c r="C62" s="153" t="s">
        <v>541</v>
      </c>
      <c r="E62" s="124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1"/>
      <c r="AY62" s="137"/>
      <c r="BA62" s="129"/>
      <c r="BB62" s="131"/>
    </row>
    <row r="63" spans="1:54" ht="23.4" x14ac:dyDescent="0.45">
      <c r="A63" s="153"/>
      <c r="B63" s="153" t="s">
        <v>587</v>
      </c>
      <c r="C63" s="153" t="s">
        <v>542</v>
      </c>
      <c r="E63" s="124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1"/>
      <c r="AY63" s="137"/>
      <c r="BA63" s="129"/>
      <c r="BB63" s="131"/>
    </row>
    <row r="64" spans="1:54" ht="23.4" x14ac:dyDescent="0.45">
      <c r="A64" s="153"/>
      <c r="B64" s="153" t="s">
        <v>588</v>
      </c>
      <c r="C64" s="153" t="s">
        <v>543</v>
      </c>
      <c r="E64" s="124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1"/>
      <c r="AY64" s="137"/>
      <c r="BA64" s="129"/>
      <c r="BB64" s="131"/>
    </row>
    <row r="65" spans="1:54" ht="23.4" x14ac:dyDescent="0.45">
      <c r="A65" s="153"/>
      <c r="B65" s="153" t="s">
        <v>589</v>
      </c>
      <c r="C65" s="153" t="s">
        <v>544</v>
      </c>
      <c r="E65" s="124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1"/>
      <c r="AY65" s="137"/>
      <c r="BA65" s="129"/>
      <c r="BB65" s="131"/>
    </row>
    <row r="66" spans="1:54" ht="23.4" x14ac:dyDescent="0.45">
      <c r="A66" s="153"/>
      <c r="B66" s="153" t="s">
        <v>590</v>
      </c>
      <c r="C66" s="153" t="s">
        <v>545</v>
      </c>
      <c r="E66" s="124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1"/>
      <c r="AY66" s="137"/>
      <c r="BA66" s="129"/>
      <c r="BB66" s="131"/>
    </row>
    <row r="67" spans="1:54" ht="23.4" x14ac:dyDescent="0.45">
      <c r="A67" s="153"/>
      <c r="B67" s="153" t="s">
        <v>591</v>
      </c>
      <c r="C67" s="153" t="s">
        <v>546</v>
      </c>
      <c r="E67" s="124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1"/>
      <c r="AY67" s="137"/>
      <c r="BA67" s="129"/>
      <c r="BB67" s="131"/>
    </row>
    <row r="68" spans="1:54" ht="23.4" x14ac:dyDescent="0.45">
      <c r="A68" s="153"/>
      <c r="B68" s="153" t="s">
        <v>592</v>
      </c>
      <c r="C68" s="153" t="s">
        <v>547</v>
      </c>
      <c r="E68" s="124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1"/>
      <c r="AY68" s="137"/>
      <c r="BA68" s="141"/>
      <c r="BB68" s="131"/>
    </row>
    <row r="69" spans="1:54" x14ac:dyDescent="0.3"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Y69" s="128"/>
      <c r="BA69" s="128"/>
      <c r="BB69" s="151"/>
    </row>
    <row r="70" spans="1:54" ht="14.4" x14ac:dyDescent="0.3">
      <c r="BB70"/>
    </row>
  </sheetData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E7E2-A54A-4E04-81CE-1B727D73B74B}">
  <dimension ref="A1:AD62"/>
  <sheetViews>
    <sheetView workbookViewId="0"/>
  </sheetViews>
  <sheetFormatPr defaultColWidth="9.21875" defaultRowHeight="14.4" x14ac:dyDescent="0.3"/>
  <cols>
    <col min="1" max="1" width="14.44140625" style="27" customWidth="1"/>
    <col min="2" max="2" width="18.44140625" style="27" customWidth="1"/>
    <col min="3" max="3" width="5" style="27" customWidth="1"/>
    <col min="4" max="7" width="9.77734375" style="27" bestFit="1" customWidth="1"/>
    <col min="8" max="8" width="9.21875" style="27" bestFit="1" customWidth="1"/>
    <col min="9" max="10" width="9.21875" style="27"/>
    <col min="11" max="11" width="9.21875" style="27" bestFit="1" customWidth="1"/>
    <col min="12" max="12" width="9.21875" style="27"/>
    <col min="13" max="13" width="9.21875" style="27" bestFit="1" customWidth="1"/>
    <col min="14" max="14" width="9.21875" style="27"/>
    <col min="15" max="15" width="14.44140625" style="27" customWidth="1"/>
    <col min="16" max="16" width="20.44140625" style="27" customWidth="1"/>
    <col min="17" max="17" width="5" style="27" customWidth="1"/>
    <col min="18" max="18" width="10.77734375" style="27" customWidth="1"/>
    <col min="19" max="23" width="9.21875" style="27" bestFit="1" customWidth="1"/>
    <col min="24" max="25" width="9.21875" style="27"/>
    <col min="26" max="26" width="9.77734375" style="27" bestFit="1" customWidth="1"/>
    <col min="27" max="27" width="9.21875" style="27"/>
    <col min="28" max="28" width="9.21875" style="27" bestFit="1" customWidth="1"/>
    <col min="29" max="16384" width="9.21875" style="27"/>
  </cols>
  <sheetData>
    <row r="1" spans="1:30" x14ac:dyDescent="0.3">
      <c r="A1" s="86" t="s">
        <v>593</v>
      </c>
    </row>
    <row r="3" spans="1:30" x14ac:dyDescent="0.3">
      <c r="A3" s="87" t="s">
        <v>594</v>
      </c>
      <c r="D3" s="27" t="s">
        <v>595</v>
      </c>
      <c r="E3" s="88"/>
      <c r="I3" s="27" t="s">
        <v>596</v>
      </c>
      <c r="L3" s="27" t="s">
        <v>25</v>
      </c>
      <c r="O3" s="87" t="s">
        <v>597</v>
      </c>
      <c r="R3" s="89" t="s">
        <v>595</v>
      </c>
      <c r="W3" s="27" t="s">
        <v>596</v>
      </c>
      <c r="AA3" s="27" t="s">
        <v>25</v>
      </c>
      <c r="AD3" s="27" t="s">
        <v>598</v>
      </c>
    </row>
    <row r="4" spans="1:30" x14ac:dyDescent="0.3">
      <c r="D4" s="90" t="s">
        <v>599</v>
      </c>
      <c r="E4" s="91" t="s">
        <v>600</v>
      </c>
      <c r="F4" s="90" t="s">
        <v>601</v>
      </c>
      <c r="G4" s="90" t="s">
        <v>602</v>
      </c>
      <c r="I4" s="27" t="s">
        <v>10</v>
      </c>
      <c r="L4" s="90"/>
      <c r="R4" s="89" t="s">
        <v>599</v>
      </c>
      <c r="S4" s="90" t="s">
        <v>600</v>
      </c>
      <c r="T4" s="90" t="s">
        <v>601</v>
      </c>
      <c r="U4" s="90" t="s">
        <v>602</v>
      </c>
      <c r="V4" s="90"/>
      <c r="W4" s="92" t="s">
        <v>10</v>
      </c>
      <c r="Z4" s="90"/>
      <c r="AB4" s="90"/>
      <c r="AD4" s="27" t="s">
        <v>603</v>
      </c>
    </row>
    <row r="5" spans="1:30" x14ac:dyDescent="0.3">
      <c r="D5" s="90" t="s">
        <v>604</v>
      </c>
      <c r="E5" s="91" t="s">
        <v>605</v>
      </c>
      <c r="F5" s="90" t="s">
        <v>606</v>
      </c>
      <c r="G5" s="90" t="s">
        <v>607</v>
      </c>
      <c r="I5" s="90" t="s">
        <v>608</v>
      </c>
      <c r="J5" s="90" t="s">
        <v>609</v>
      </c>
      <c r="L5" s="90" t="s">
        <v>26</v>
      </c>
      <c r="R5" s="89" t="s">
        <v>604</v>
      </c>
      <c r="S5" s="90" t="s">
        <v>605</v>
      </c>
      <c r="T5" s="90" t="s">
        <v>606</v>
      </c>
      <c r="U5" s="90" t="s">
        <v>607</v>
      </c>
      <c r="V5" s="90"/>
      <c r="W5" s="90" t="s">
        <v>604</v>
      </c>
      <c r="X5" s="90" t="s">
        <v>608</v>
      </c>
      <c r="Y5" s="90" t="s">
        <v>609</v>
      </c>
      <c r="Z5" s="90"/>
      <c r="AB5" s="90"/>
    </row>
    <row r="6" spans="1:30" x14ac:dyDescent="0.3">
      <c r="B6" s="27" t="s">
        <v>610</v>
      </c>
      <c r="D6" s="90"/>
      <c r="E6" s="91"/>
      <c r="F6" s="90"/>
      <c r="G6" s="90"/>
      <c r="I6" s="90"/>
      <c r="J6" s="90"/>
      <c r="L6" s="90"/>
      <c r="P6" s="27" t="s">
        <v>610</v>
      </c>
      <c r="R6" s="89"/>
      <c r="S6" s="90"/>
      <c r="T6" s="90"/>
      <c r="U6" s="90"/>
      <c r="V6" s="90"/>
      <c r="W6" s="90"/>
      <c r="Z6" s="90"/>
      <c r="AB6" s="90"/>
    </row>
    <row r="7" spans="1:30" x14ac:dyDescent="0.3">
      <c r="A7" s="27" t="s">
        <v>611</v>
      </c>
      <c r="B7" s="27" t="s">
        <v>612</v>
      </c>
      <c r="C7" s="27" t="s">
        <v>613</v>
      </c>
      <c r="D7" s="3">
        <v>20</v>
      </c>
      <c r="E7" s="93">
        <v>10</v>
      </c>
      <c r="F7" s="3">
        <v>5</v>
      </c>
      <c r="G7" s="3">
        <v>12</v>
      </c>
      <c r="I7" s="3">
        <v>140</v>
      </c>
      <c r="J7" s="3">
        <v>60</v>
      </c>
      <c r="L7" s="1">
        <f>SUM(D7:G7,I7:J7)</f>
        <v>247</v>
      </c>
      <c r="O7" s="27" t="s">
        <v>611</v>
      </c>
      <c r="P7" s="27" t="s">
        <v>612</v>
      </c>
      <c r="Q7" s="27" t="s">
        <v>613</v>
      </c>
      <c r="R7" s="94"/>
      <c r="S7" s="95"/>
      <c r="T7" s="95"/>
      <c r="U7" s="95"/>
      <c r="W7" s="95"/>
      <c r="X7" s="95"/>
      <c r="Y7" s="95"/>
      <c r="Z7" s="1"/>
      <c r="AA7" s="27">
        <v>0</v>
      </c>
      <c r="AD7" s="27">
        <v>0</v>
      </c>
    </row>
    <row r="8" spans="1:30" x14ac:dyDescent="0.3">
      <c r="A8" s="96" t="s">
        <v>614</v>
      </c>
      <c r="B8" s="96" t="s">
        <v>82</v>
      </c>
      <c r="C8" s="96" t="s">
        <v>615</v>
      </c>
      <c r="D8" s="97">
        <v>52</v>
      </c>
      <c r="E8" s="98">
        <v>0</v>
      </c>
      <c r="F8" s="97">
        <v>30</v>
      </c>
      <c r="G8" s="97">
        <v>0</v>
      </c>
      <c r="H8" s="96"/>
      <c r="I8" s="97">
        <v>30</v>
      </c>
      <c r="J8" s="97">
        <v>5</v>
      </c>
      <c r="K8" s="96"/>
      <c r="L8" s="99">
        <f t="shared" ref="L8:L9" si="0">SUM(D8:G8,I8:J8)</f>
        <v>117</v>
      </c>
      <c r="M8" s="96"/>
      <c r="N8" s="96"/>
      <c r="O8" s="96" t="s">
        <v>614</v>
      </c>
      <c r="P8" s="96" t="s">
        <v>82</v>
      </c>
      <c r="Q8" s="96" t="s">
        <v>615</v>
      </c>
      <c r="R8" s="100"/>
      <c r="S8" s="101">
        <f t="shared" ref="S8:U9" si="1">E8/$AD$8</f>
        <v>0</v>
      </c>
      <c r="T8" s="101">
        <f t="shared" si="1"/>
        <v>6</v>
      </c>
      <c r="U8" s="101">
        <f t="shared" si="1"/>
        <v>0</v>
      </c>
      <c r="V8" s="96"/>
      <c r="W8" s="101">
        <f>D8/$AD$8</f>
        <v>10.4</v>
      </c>
      <c r="X8" s="101">
        <f>I8/$AD$8</f>
        <v>6</v>
      </c>
      <c r="Y8" s="101">
        <f>J8/$AD$8</f>
        <v>1</v>
      </c>
      <c r="Z8" s="99"/>
      <c r="AA8" s="99">
        <f>SUM(S8:U8,W8:Y8)</f>
        <v>23.4</v>
      </c>
      <c r="AB8" s="96"/>
      <c r="AC8" s="96"/>
      <c r="AD8" s="102">
        <v>5</v>
      </c>
    </row>
    <row r="9" spans="1:30" x14ac:dyDescent="0.3">
      <c r="B9" s="27" t="s">
        <v>17</v>
      </c>
      <c r="C9" s="27" t="s">
        <v>616</v>
      </c>
      <c r="D9" s="3">
        <v>25</v>
      </c>
      <c r="E9" s="93">
        <v>4</v>
      </c>
      <c r="F9" s="3">
        <v>0</v>
      </c>
      <c r="G9" s="3">
        <v>0</v>
      </c>
      <c r="I9" s="3">
        <v>60</v>
      </c>
      <c r="J9" s="3">
        <v>7</v>
      </c>
      <c r="K9" s="1"/>
      <c r="L9" s="1">
        <f t="shared" si="0"/>
        <v>96</v>
      </c>
      <c r="P9" s="27" t="s">
        <v>17</v>
      </c>
      <c r="Q9" s="27" t="s">
        <v>616</v>
      </c>
      <c r="R9" s="94"/>
      <c r="S9" s="103">
        <f t="shared" si="1"/>
        <v>0.8</v>
      </c>
      <c r="T9" s="103">
        <f t="shared" si="1"/>
        <v>0</v>
      </c>
      <c r="U9" s="103">
        <f t="shared" si="1"/>
        <v>0</v>
      </c>
      <c r="W9" s="103">
        <f>D9/$AD$9</f>
        <v>2.0833333333333335</v>
      </c>
      <c r="X9" s="103">
        <f>I9/$AD$9</f>
        <v>5</v>
      </c>
      <c r="Y9" s="103">
        <f>J9/$AD$9</f>
        <v>0.58333333333333337</v>
      </c>
      <c r="Z9" s="1"/>
      <c r="AA9" s="1">
        <f>SUM(S9:U9,W9:Y9)</f>
        <v>8.4666666666666668</v>
      </c>
      <c r="AD9" s="104">
        <v>12</v>
      </c>
    </row>
    <row r="10" spans="1:30" x14ac:dyDescent="0.3">
      <c r="E10" s="88"/>
      <c r="R10" s="89"/>
      <c r="S10" s="2"/>
      <c r="T10" s="2"/>
      <c r="U10" s="2"/>
      <c r="V10" s="90"/>
      <c r="W10" s="90"/>
      <c r="Z10" s="90"/>
      <c r="AB10" s="90"/>
    </row>
    <row r="11" spans="1:30" x14ac:dyDescent="0.3">
      <c r="B11" s="27" t="s">
        <v>617</v>
      </c>
      <c r="C11" s="27" t="s">
        <v>45</v>
      </c>
      <c r="D11" s="105">
        <f>D14-SUM(D7:D9,D12)</f>
        <v>130</v>
      </c>
      <c r="E11" s="106">
        <f t="shared" ref="E11:G11" si="2">E14-SUM(E7:E9,E12)</f>
        <v>93</v>
      </c>
      <c r="F11" s="105">
        <f t="shared" si="2"/>
        <v>27.199999999999989</v>
      </c>
      <c r="G11" s="105">
        <f t="shared" si="2"/>
        <v>14.799999999999997</v>
      </c>
      <c r="H11" s="90"/>
      <c r="I11" s="105">
        <v>0</v>
      </c>
      <c r="J11" s="105">
        <v>0</v>
      </c>
      <c r="K11" s="90"/>
      <c r="L11" s="2">
        <f>SUM(D11:G11,I11:J11)</f>
        <v>265</v>
      </c>
      <c r="M11" s="90"/>
      <c r="P11" s="27" t="s">
        <v>81</v>
      </c>
      <c r="Q11" s="27" t="s">
        <v>45</v>
      </c>
      <c r="R11" s="94"/>
      <c r="S11" s="103">
        <f>S14</f>
        <v>23.4</v>
      </c>
      <c r="T11" s="103">
        <v>0</v>
      </c>
      <c r="U11" s="103">
        <v>0</v>
      </c>
      <c r="V11" s="90"/>
      <c r="W11" s="90"/>
      <c r="Z11" s="90"/>
      <c r="AB11" s="90"/>
    </row>
    <row r="12" spans="1:30" x14ac:dyDescent="0.3">
      <c r="B12" s="27" t="s">
        <v>618</v>
      </c>
      <c r="C12" s="27" t="s">
        <v>46</v>
      </c>
      <c r="D12" s="105">
        <v>20</v>
      </c>
      <c r="E12" s="106">
        <v>10</v>
      </c>
      <c r="F12" s="105">
        <v>5</v>
      </c>
      <c r="G12" s="105">
        <v>2</v>
      </c>
      <c r="H12" s="90"/>
      <c r="I12" s="105">
        <f>I14-SUM(I7:I9,I11)</f>
        <v>35</v>
      </c>
      <c r="J12" s="105">
        <v>0</v>
      </c>
      <c r="K12" s="90"/>
      <c r="L12" s="2">
        <f>SUM(D12:G12,I12:J12)</f>
        <v>72</v>
      </c>
      <c r="M12" s="90"/>
      <c r="P12" s="27" t="s">
        <v>186</v>
      </c>
      <c r="Q12" s="27" t="s">
        <v>46</v>
      </c>
      <c r="R12" s="94"/>
      <c r="S12" s="103">
        <v>0</v>
      </c>
      <c r="T12" s="103">
        <v>0</v>
      </c>
      <c r="U12" s="103">
        <v>0</v>
      </c>
      <c r="W12" s="90"/>
      <c r="Z12" s="90"/>
      <c r="AB12" s="90"/>
    </row>
    <row r="13" spans="1:30" x14ac:dyDescent="0.3">
      <c r="E13" s="88"/>
      <c r="R13" s="89"/>
    </row>
    <row r="14" spans="1:30" x14ac:dyDescent="0.3">
      <c r="B14" s="27" t="s">
        <v>619</v>
      </c>
      <c r="C14" s="27" t="s">
        <v>493</v>
      </c>
      <c r="D14" s="1">
        <f>L7</f>
        <v>247</v>
      </c>
      <c r="E14" s="107">
        <f>L8</f>
        <v>117</v>
      </c>
      <c r="F14" s="1">
        <f>L9*F15</f>
        <v>67.199999999999989</v>
      </c>
      <c r="G14" s="1">
        <f>L9*G15</f>
        <v>28.799999999999997</v>
      </c>
      <c r="I14" s="1">
        <f>L11</f>
        <v>265</v>
      </c>
      <c r="J14" s="108">
        <f>SUM(J7:J9,J11:J12)</f>
        <v>72</v>
      </c>
      <c r="P14" s="27" t="s">
        <v>25</v>
      </c>
      <c r="R14" s="89"/>
      <c r="S14" s="1">
        <f>AA8</f>
        <v>23.4</v>
      </c>
      <c r="T14" s="1">
        <f>AA9*T15</f>
        <v>5.9266666666666667</v>
      </c>
      <c r="U14" s="1">
        <f>AA9*U15</f>
        <v>2.54</v>
      </c>
    </row>
    <row r="15" spans="1:30" x14ac:dyDescent="0.3">
      <c r="B15" s="27" t="s">
        <v>620</v>
      </c>
      <c r="D15" s="1"/>
      <c r="E15" s="107"/>
      <c r="F15" s="27">
        <f>T15</f>
        <v>0.7</v>
      </c>
      <c r="G15" s="27">
        <f>U15</f>
        <v>0.3</v>
      </c>
      <c r="P15" s="27" t="s">
        <v>620</v>
      </c>
      <c r="R15" s="89"/>
      <c r="T15" s="109">
        <v>0.7</v>
      </c>
      <c r="U15" s="109">
        <v>0.3</v>
      </c>
    </row>
    <row r="16" spans="1:30" x14ac:dyDescent="0.3">
      <c r="B16" s="27" t="s">
        <v>621</v>
      </c>
      <c r="D16" s="1"/>
      <c r="E16" s="107"/>
      <c r="I16" s="15">
        <f>I12/SUM(D11:G11)</f>
        <v>0.13207547169811321</v>
      </c>
      <c r="P16" s="27" t="s">
        <v>622</v>
      </c>
      <c r="R16" s="89"/>
      <c r="W16" s="1">
        <f>SUM(W8:W9)</f>
        <v>12.483333333333334</v>
      </c>
      <c r="X16" s="1">
        <f>SUM(X8:X9)</f>
        <v>11</v>
      </c>
      <c r="Y16" s="1">
        <f>SUM(Y8:Y9)</f>
        <v>1.5833333333333335</v>
      </c>
    </row>
    <row r="17" spans="1:17" x14ac:dyDescent="0.3">
      <c r="B17" s="27" t="s">
        <v>623</v>
      </c>
      <c r="C17" s="27" t="s">
        <v>624</v>
      </c>
      <c r="D17" s="1"/>
      <c r="E17" s="107"/>
      <c r="I17" s="15">
        <v>0.8</v>
      </c>
      <c r="P17" s="110"/>
    </row>
    <row r="18" spans="1:17" x14ac:dyDescent="0.3">
      <c r="C18" s="27" t="s">
        <v>625</v>
      </c>
      <c r="D18" s="1"/>
      <c r="E18" s="107"/>
      <c r="I18" s="15">
        <v>0.2</v>
      </c>
      <c r="P18" s="110"/>
    </row>
    <row r="19" spans="1:17" x14ac:dyDescent="0.3">
      <c r="D19" s="1"/>
      <c r="E19" s="107"/>
      <c r="P19" s="110"/>
      <c r="Q19" s="111"/>
    </row>
    <row r="20" spans="1:17" x14ac:dyDescent="0.3">
      <c r="A20" s="27" t="s">
        <v>626</v>
      </c>
      <c r="B20" s="27" t="s">
        <v>627</v>
      </c>
      <c r="D20" s="3">
        <v>0</v>
      </c>
      <c r="E20" s="93">
        <v>0</v>
      </c>
      <c r="F20" s="8">
        <v>0</v>
      </c>
      <c r="G20" s="8">
        <v>0</v>
      </c>
      <c r="I20" s="57">
        <v>50</v>
      </c>
      <c r="J20" s="57">
        <f>-I20</f>
        <v>-50</v>
      </c>
      <c r="L20" s="27">
        <f>SUM(D20:G20,I20:J20)</f>
        <v>0</v>
      </c>
      <c r="P20" s="110"/>
    </row>
    <row r="21" spans="1:17" x14ac:dyDescent="0.3">
      <c r="P21" s="110"/>
    </row>
    <row r="35" spans="1:27" x14ac:dyDescent="0.3">
      <c r="A35" s="86" t="s">
        <v>628</v>
      </c>
    </row>
    <row r="36" spans="1:27" x14ac:dyDescent="0.3">
      <c r="D36" s="27" t="s">
        <v>595</v>
      </c>
      <c r="E36" s="88"/>
      <c r="I36" s="27" t="s">
        <v>596</v>
      </c>
      <c r="R36" s="89" t="s">
        <v>595</v>
      </c>
      <c r="W36" s="27" t="s">
        <v>596</v>
      </c>
      <c r="AA36" s="27" t="s">
        <v>629</v>
      </c>
    </row>
    <row r="37" spans="1:27" x14ac:dyDescent="0.3">
      <c r="D37" s="90" t="s">
        <v>599</v>
      </c>
      <c r="E37" s="91" t="s">
        <v>600</v>
      </c>
      <c r="F37" s="90" t="s">
        <v>601</v>
      </c>
      <c r="G37" s="90" t="s">
        <v>602</v>
      </c>
      <c r="I37" s="27" t="s">
        <v>630</v>
      </c>
      <c r="R37" s="89" t="s">
        <v>599</v>
      </c>
      <c r="S37" s="90" t="s">
        <v>600</v>
      </c>
      <c r="T37" s="90" t="s">
        <v>601</v>
      </c>
      <c r="U37" s="90" t="s">
        <v>602</v>
      </c>
      <c r="V37" s="90"/>
      <c r="W37" s="92" t="s">
        <v>10</v>
      </c>
      <c r="AA37" s="27" t="s">
        <v>498</v>
      </c>
    </row>
    <row r="38" spans="1:27" x14ac:dyDescent="0.3">
      <c r="D38" s="90" t="s">
        <v>604</v>
      </c>
      <c r="E38" s="91" t="s">
        <v>605</v>
      </c>
      <c r="F38" s="90" t="s">
        <v>606</v>
      </c>
      <c r="G38" s="90" t="s">
        <v>607</v>
      </c>
      <c r="I38" s="90" t="s">
        <v>608</v>
      </c>
      <c r="J38" s="90" t="s">
        <v>609</v>
      </c>
      <c r="R38" s="89" t="s">
        <v>604</v>
      </c>
      <c r="S38" s="90" t="s">
        <v>605</v>
      </c>
      <c r="T38" s="90" t="s">
        <v>606</v>
      </c>
      <c r="U38" s="90" t="s">
        <v>607</v>
      </c>
      <c r="V38" s="90"/>
      <c r="W38" s="90" t="s">
        <v>604</v>
      </c>
      <c r="X38" s="90" t="s">
        <v>608</v>
      </c>
      <c r="Y38" s="90" t="s">
        <v>609</v>
      </c>
      <c r="AA38" s="27" t="s">
        <v>631</v>
      </c>
    </row>
    <row r="39" spans="1:27" x14ac:dyDescent="0.3">
      <c r="B39" s="27" t="s">
        <v>610</v>
      </c>
      <c r="D39" s="90"/>
      <c r="E39" s="91"/>
      <c r="F39" s="90"/>
      <c r="G39" s="90"/>
      <c r="I39" s="90"/>
      <c r="J39" s="90"/>
      <c r="P39" s="27" t="s">
        <v>610</v>
      </c>
      <c r="R39" s="89"/>
      <c r="S39" s="90"/>
      <c r="T39" s="90"/>
      <c r="U39" s="90"/>
      <c r="V39" s="90"/>
      <c r="W39" s="90"/>
    </row>
    <row r="40" spans="1:27" x14ac:dyDescent="0.3">
      <c r="A40" s="27" t="s">
        <v>611</v>
      </c>
      <c r="B40" s="27" t="s">
        <v>612</v>
      </c>
      <c r="C40" s="27" t="s">
        <v>613</v>
      </c>
      <c r="D40" s="9">
        <f t="array" ref="D40:G42">MMULT(D7:G9,MINVERSE(D14:G14*_xlfn.MUNIT(4)))</f>
        <v>8.0971659919028341E-2</v>
      </c>
      <c r="E40" s="112">
        <v>8.5470085470085472E-2</v>
      </c>
      <c r="F40" s="9">
        <v>7.4404761904761918E-2</v>
      </c>
      <c r="G40" s="9">
        <v>0.41666666666666669</v>
      </c>
      <c r="I40" s="9">
        <f t="array" ref="I40:I42">I7:I9/SUM(I7:I9)</f>
        <v>0.60869565217391308</v>
      </c>
      <c r="J40" s="9">
        <f t="array" ref="J40:J42">J7:J9/SUM(J7:J9)</f>
        <v>0.83333333333333337</v>
      </c>
      <c r="O40" s="27" t="s">
        <v>611</v>
      </c>
      <c r="P40" s="27" t="s">
        <v>612</v>
      </c>
      <c r="Q40" s="27" t="s">
        <v>613</v>
      </c>
      <c r="R40" s="94"/>
      <c r="S40" s="95"/>
      <c r="T40" s="95"/>
      <c r="U40" s="95"/>
      <c r="W40" s="95"/>
      <c r="X40" s="95"/>
      <c r="Y40" s="95"/>
      <c r="AA40" s="95"/>
    </row>
    <row r="41" spans="1:27" x14ac:dyDescent="0.3">
      <c r="A41" s="96" t="s">
        <v>614</v>
      </c>
      <c r="B41" s="96" t="s">
        <v>82</v>
      </c>
      <c r="C41" s="96" t="s">
        <v>615</v>
      </c>
      <c r="D41" s="113">
        <v>0.21052631578947367</v>
      </c>
      <c r="E41" s="114">
        <v>0</v>
      </c>
      <c r="F41" s="113">
        <v>0.44642857142857151</v>
      </c>
      <c r="G41" s="113">
        <v>0</v>
      </c>
      <c r="H41" s="96"/>
      <c r="I41" s="113">
        <v>0.13043478260869565</v>
      </c>
      <c r="J41" s="113">
        <v>6.9444444444444448E-2</v>
      </c>
      <c r="K41" s="96"/>
      <c r="L41" s="96"/>
      <c r="M41" s="96"/>
      <c r="N41" s="96"/>
      <c r="O41" s="96" t="s">
        <v>614</v>
      </c>
      <c r="P41" s="96" t="s">
        <v>82</v>
      </c>
      <c r="Q41" s="96" t="s">
        <v>615</v>
      </c>
      <c r="R41" s="100"/>
      <c r="S41" s="115">
        <f t="array" ref="S41:U42">MMULT(S8:U9,MINVERSE(S14:U14*_xlfn.MUNIT(3)))</f>
        <v>0</v>
      </c>
      <c r="T41" s="115">
        <v>1.0123734533183351</v>
      </c>
      <c r="U41" s="115">
        <v>0</v>
      </c>
      <c r="V41" s="96"/>
      <c r="W41" s="115">
        <f t="array" ref="W41:W42">W8:W9/W16</f>
        <v>0.83311081441922563</v>
      </c>
      <c r="X41" s="115">
        <f t="array" ref="X41:X42">X8:X9/X16</f>
        <v>0.54545454545454541</v>
      </c>
      <c r="Y41" s="115">
        <f t="array" ref="Y41:Y42">Y8:Y9/Y16</f>
        <v>0.63157894736842102</v>
      </c>
      <c r="Z41" s="99"/>
      <c r="AA41" s="115">
        <v>5</v>
      </c>
    </row>
    <row r="42" spans="1:27" x14ac:dyDescent="0.3">
      <c r="B42" s="27" t="s">
        <v>17</v>
      </c>
      <c r="C42" s="27" t="s">
        <v>616</v>
      </c>
      <c r="D42" s="9">
        <v>0.10121457489878542</v>
      </c>
      <c r="E42" s="112">
        <v>3.4188034188034191E-2</v>
      </c>
      <c r="F42" s="9">
        <v>0</v>
      </c>
      <c r="G42" s="9">
        <v>0</v>
      </c>
      <c r="I42" s="9">
        <v>0.2608695652173913</v>
      </c>
      <c r="J42" s="9">
        <v>9.7222222222222224E-2</v>
      </c>
      <c r="P42" s="27" t="s">
        <v>17</v>
      </c>
      <c r="Q42" s="27" t="s">
        <v>616</v>
      </c>
      <c r="R42" s="94"/>
      <c r="S42" s="116">
        <v>3.4188034188034191E-2</v>
      </c>
      <c r="T42" s="116">
        <v>0</v>
      </c>
      <c r="U42" s="116">
        <v>0</v>
      </c>
      <c r="W42" s="116">
        <v>0.16688918558077437</v>
      </c>
      <c r="X42" s="116">
        <v>0.45454545454545453</v>
      </c>
      <c r="Y42" s="116">
        <v>0.36842105263157893</v>
      </c>
      <c r="AA42" s="116">
        <v>0</v>
      </c>
    </row>
    <row r="43" spans="1:27" x14ac:dyDescent="0.3">
      <c r="E43" s="88"/>
      <c r="R43" s="89"/>
      <c r="S43" s="2"/>
      <c r="T43" s="2"/>
      <c r="U43" s="2"/>
      <c r="V43" s="90"/>
      <c r="W43" s="90"/>
    </row>
    <row r="44" spans="1:27" x14ac:dyDescent="0.3">
      <c r="B44" s="27" t="s">
        <v>617</v>
      </c>
      <c r="C44" s="27" t="s">
        <v>45</v>
      </c>
      <c r="D44" s="117">
        <f t="array" ref="D44:G45">MMULT(D11:G12,MINVERSE(D14:G14*_xlfn.MUNIT(4)))</f>
        <v>0.52631578947368418</v>
      </c>
      <c r="E44" s="118">
        <v>0.79487179487179493</v>
      </c>
      <c r="F44" s="117">
        <v>0.40476190476190466</v>
      </c>
      <c r="G44" s="117">
        <v>0.51388888888888884</v>
      </c>
      <c r="H44" s="90"/>
      <c r="I44" s="105"/>
      <c r="J44" s="105"/>
      <c r="K44" s="90"/>
      <c r="M44" s="90"/>
      <c r="P44" s="27" t="s">
        <v>82</v>
      </c>
      <c r="Q44" s="27" t="s">
        <v>615</v>
      </c>
      <c r="R44" s="89"/>
      <c r="S44" s="2">
        <v>1</v>
      </c>
      <c r="T44" s="2">
        <v>0</v>
      </c>
      <c r="U44" s="2">
        <v>0</v>
      </c>
      <c r="V44" s="90"/>
      <c r="W44" s="90"/>
    </row>
    <row r="45" spans="1:27" x14ac:dyDescent="0.3">
      <c r="B45" s="27" t="s">
        <v>618</v>
      </c>
      <c r="C45" s="27" t="s">
        <v>46</v>
      </c>
      <c r="D45" s="117">
        <v>8.0971659919028341E-2</v>
      </c>
      <c r="E45" s="118">
        <v>8.5470085470085472E-2</v>
      </c>
      <c r="F45" s="117">
        <v>7.4404761904761918E-2</v>
      </c>
      <c r="G45" s="117">
        <v>6.9444444444444448E-2</v>
      </c>
      <c r="H45" s="90"/>
      <c r="I45" s="105"/>
      <c r="J45" s="105"/>
      <c r="P45" s="27" t="s">
        <v>17</v>
      </c>
      <c r="Q45" s="27" t="s">
        <v>616</v>
      </c>
      <c r="R45" s="89"/>
      <c r="S45" s="1">
        <v>0</v>
      </c>
      <c r="T45" s="1">
        <v>1</v>
      </c>
      <c r="U45" s="1">
        <v>1</v>
      </c>
    </row>
    <row r="46" spans="1:27" x14ac:dyDescent="0.3">
      <c r="E46" s="88"/>
      <c r="R46" s="89"/>
      <c r="W46" s="1"/>
      <c r="X46" s="1"/>
      <c r="Y46" s="1"/>
    </row>
    <row r="47" spans="1:27" x14ac:dyDescent="0.3">
      <c r="E47" s="88"/>
      <c r="P47" s="27" t="s">
        <v>632</v>
      </c>
      <c r="Q47" s="27" t="s">
        <v>45</v>
      </c>
      <c r="R47" s="89"/>
      <c r="S47" s="116">
        <f t="array" ref="S47:U47">MMULT(S11:U11,MINVERSE(S14:U14*_xlfn.MUNIT(3)))</f>
        <v>1</v>
      </c>
      <c r="T47" s="116">
        <v>0</v>
      </c>
      <c r="U47" s="116">
        <v>0</v>
      </c>
      <c r="W47" s="116"/>
      <c r="X47" s="116"/>
      <c r="Y47" s="116"/>
    </row>
    <row r="48" spans="1:27" x14ac:dyDescent="0.3">
      <c r="A48" s="27" t="s">
        <v>633</v>
      </c>
      <c r="D48" s="27" t="s">
        <v>595</v>
      </c>
      <c r="E48" s="88"/>
      <c r="I48" s="27" t="s">
        <v>596</v>
      </c>
      <c r="R48" s="89"/>
      <c r="W48" s="1"/>
      <c r="X48" s="1"/>
      <c r="Y48" s="1"/>
    </row>
    <row r="49" spans="1:27" x14ac:dyDescent="0.3">
      <c r="D49" s="90" t="s">
        <v>599</v>
      </c>
      <c r="E49" s="91" t="s">
        <v>600</v>
      </c>
      <c r="F49" s="90" t="s">
        <v>601</v>
      </c>
      <c r="G49" s="90" t="s">
        <v>602</v>
      </c>
      <c r="I49" s="27" t="s">
        <v>630</v>
      </c>
      <c r="P49" s="27" t="s">
        <v>221</v>
      </c>
      <c r="Q49" s="27" t="s">
        <v>289</v>
      </c>
      <c r="R49" s="89"/>
      <c r="W49" s="1"/>
      <c r="X49" s="1"/>
      <c r="Y49" s="1"/>
    </row>
    <row r="50" spans="1:27" x14ac:dyDescent="0.3">
      <c r="D50" s="90" t="s">
        <v>604</v>
      </c>
      <c r="E50" s="91" t="s">
        <v>605</v>
      </c>
      <c r="F50" s="90" t="s">
        <v>606</v>
      </c>
      <c r="G50" s="90" t="s">
        <v>607</v>
      </c>
      <c r="I50" s="90" t="s">
        <v>608</v>
      </c>
      <c r="J50" s="90" t="s">
        <v>609</v>
      </c>
      <c r="P50" s="110" t="s">
        <v>634</v>
      </c>
      <c r="Q50" s="27" t="s">
        <v>70</v>
      </c>
      <c r="R50" s="89"/>
      <c r="S50" s="119">
        <v>0</v>
      </c>
      <c r="T50" s="119">
        <v>0.9</v>
      </c>
      <c r="U50" s="119">
        <v>0.3</v>
      </c>
    </row>
    <row r="51" spans="1:27" x14ac:dyDescent="0.3">
      <c r="B51" s="27" t="s">
        <v>610</v>
      </c>
      <c r="D51" s="90"/>
      <c r="E51" s="91"/>
      <c r="F51" s="90"/>
      <c r="G51" s="90"/>
      <c r="I51" s="90" t="s">
        <v>635</v>
      </c>
      <c r="J51" s="90" t="s">
        <v>636</v>
      </c>
      <c r="P51" s="110" t="s">
        <v>637</v>
      </c>
      <c r="Q51" s="27" t="s">
        <v>70</v>
      </c>
      <c r="R51" s="89"/>
      <c r="S51" s="119">
        <v>0</v>
      </c>
      <c r="T51" s="119">
        <v>0.2</v>
      </c>
      <c r="U51" s="119">
        <v>0.3</v>
      </c>
    </row>
    <row r="52" spans="1:27" x14ac:dyDescent="0.3">
      <c r="A52" s="27" t="s">
        <v>611</v>
      </c>
      <c r="B52" s="27" t="s">
        <v>612</v>
      </c>
      <c r="C52" s="27" t="s">
        <v>613</v>
      </c>
      <c r="D52" s="9">
        <f>D40</f>
        <v>8.0971659919028341E-2</v>
      </c>
      <c r="E52" s="112">
        <f t="shared" ref="E52:G52" si="3">E40</f>
        <v>8.5470085470085472E-2</v>
      </c>
      <c r="F52" s="9">
        <f t="shared" si="3"/>
        <v>7.4404761904761918E-2</v>
      </c>
      <c r="G52" s="9">
        <f t="shared" si="3"/>
        <v>0.41666666666666669</v>
      </c>
      <c r="I52" s="9">
        <f>I40</f>
        <v>0.60869565217391308</v>
      </c>
      <c r="J52" s="9">
        <f>J40</f>
        <v>0.83333333333333337</v>
      </c>
      <c r="K52" s="1"/>
      <c r="P52" s="110" t="s">
        <v>288</v>
      </c>
      <c r="Q52" s="27" t="s">
        <v>258</v>
      </c>
      <c r="R52" s="89"/>
      <c r="S52" s="119">
        <v>0</v>
      </c>
      <c r="T52" s="103">
        <v>20</v>
      </c>
      <c r="U52" s="103">
        <v>900</v>
      </c>
    </row>
    <row r="53" spans="1:27" x14ac:dyDescent="0.3">
      <c r="A53" s="96" t="s">
        <v>614</v>
      </c>
      <c r="B53" s="96" t="s">
        <v>82</v>
      </c>
      <c r="C53" s="96" t="s">
        <v>615</v>
      </c>
      <c r="D53" s="113">
        <f t="shared" ref="D53:G53" si="4">D41</f>
        <v>0.21052631578947367</v>
      </c>
      <c r="E53" s="114">
        <f t="shared" si="4"/>
        <v>0</v>
      </c>
      <c r="F53" s="113">
        <f t="shared" si="4"/>
        <v>0.44642857142857151</v>
      </c>
      <c r="G53" s="113">
        <f t="shared" si="4"/>
        <v>0</v>
      </c>
      <c r="H53" s="96"/>
      <c r="I53" s="113">
        <f>I41</f>
        <v>0.13043478260869565</v>
      </c>
      <c r="J53" s="113">
        <f>J41</f>
        <v>6.9444444444444448E-2</v>
      </c>
      <c r="K53" s="99"/>
      <c r="P53" s="110" t="s">
        <v>638</v>
      </c>
      <c r="Q53" s="27" t="s">
        <v>603</v>
      </c>
      <c r="R53" s="89"/>
      <c r="S53" s="103">
        <v>5</v>
      </c>
      <c r="T53" s="103">
        <v>30</v>
      </c>
      <c r="U53" s="119">
        <v>0</v>
      </c>
    </row>
    <row r="54" spans="1:27" x14ac:dyDescent="0.3">
      <c r="B54" s="27" t="s">
        <v>639</v>
      </c>
      <c r="C54" s="27" t="s">
        <v>640</v>
      </c>
      <c r="D54" s="9">
        <f t="array" ref="D54:G55">MMULT(TRANSPOSE(F15:G15),D42:G42)</f>
        <v>7.0850202429149786E-2</v>
      </c>
      <c r="E54" s="112">
        <v>2.3931623931623933E-2</v>
      </c>
      <c r="F54" s="9">
        <v>0</v>
      </c>
      <c r="G54" s="9">
        <v>0</v>
      </c>
      <c r="I54" s="9">
        <f t="array" ref="I54:J55">MMULT(TRANSPOSE(F15:G15),I42:J42)</f>
        <v>0.18260869565217389</v>
      </c>
      <c r="J54" s="9">
        <v>6.805555555555555E-2</v>
      </c>
      <c r="K54" s="1"/>
    </row>
    <row r="55" spans="1:27" x14ac:dyDescent="0.3">
      <c r="B55" s="27" t="s">
        <v>641</v>
      </c>
      <c r="C55" s="27" t="s">
        <v>642</v>
      </c>
      <c r="D55" s="9">
        <v>3.0364372469635626E-2</v>
      </c>
      <c r="E55" s="112">
        <v>1.0256410256410256E-2</v>
      </c>
      <c r="F55" s="9">
        <v>0</v>
      </c>
      <c r="G55" s="9">
        <v>0</v>
      </c>
      <c r="I55" s="9">
        <v>7.8260869565217384E-2</v>
      </c>
      <c r="J55" s="9">
        <v>2.9166666666666667E-2</v>
      </c>
      <c r="P55" s="110" t="s">
        <v>422</v>
      </c>
      <c r="Q55" s="27" t="s">
        <v>643</v>
      </c>
      <c r="R55" s="89"/>
      <c r="S55" s="119">
        <v>0</v>
      </c>
      <c r="T55" s="119">
        <f>T14/T50/8760*1000</f>
        <v>0.75173346862844581</v>
      </c>
      <c r="U55" s="119">
        <f>U14/U50/8760*1000</f>
        <v>0.9665144596651446</v>
      </c>
    </row>
    <row r="56" spans="1:27" x14ac:dyDescent="0.3">
      <c r="E56" s="88"/>
      <c r="R56" s="89"/>
    </row>
    <row r="57" spans="1:27" x14ac:dyDescent="0.3">
      <c r="B57" s="27" t="s">
        <v>617</v>
      </c>
      <c r="C57" s="27" t="s">
        <v>45</v>
      </c>
      <c r="D57" s="117">
        <f>D44</f>
        <v>0.52631578947368418</v>
      </c>
      <c r="E57" s="118">
        <f t="shared" ref="E57:G58" si="5">E44</f>
        <v>0.79487179487179493</v>
      </c>
      <c r="F57" s="117">
        <f t="shared" si="5"/>
        <v>0.40476190476190466</v>
      </c>
      <c r="G57" s="117">
        <f t="shared" si="5"/>
        <v>0.51388888888888884</v>
      </c>
      <c r="P57" s="27" t="s">
        <v>644</v>
      </c>
      <c r="Q57" s="27" t="s">
        <v>645</v>
      </c>
      <c r="R57" s="89"/>
      <c r="S57" s="27" t="s">
        <v>646</v>
      </c>
      <c r="W57" s="27" t="s">
        <v>647</v>
      </c>
      <c r="AA57" s="27" t="s">
        <v>648</v>
      </c>
    </row>
    <row r="58" spans="1:27" x14ac:dyDescent="0.3">
      <c r="B58" s="27" t="s">
        <v>618</v>
      </c>
      <c r="C58" s="27" t="s">
        <v>46</v>
      </c>
      <c r="D58" s="117">
        <f>D45</f>
        <v>8.0971659919028341E-2</v>
      </c>
      <c r="E58" s="118">
        <f t="shared" si="5"/>
        <v>8.5470085470085472E-2</v>
      </c>
      <c r="F58" s="117">
        <f t="shared" si="5"/>
        <v>7.4404761904761918E-2</v>
      </c>
      <c r="G58" s="117">
        <f t="shared" si="5"/>
        <v>6.9444444444444448E-2</v>
      </c>
      <c r="P58" s="110" t="s">
        <v>139</v>
      </c>
      <c r="R58" s="89"/>
      <c r="S58" s="116">
        <f>1/5</f>
        <v>0.2</v>
      </c>
      <c r="T58" s="116">
        <f t="shared" ref="T58:U58" si="6">1/5</f>
        <v>0.2</v>
      </c>
      <c r="U58" s="116">
        <f t="shared" si="6"/>
        <v>0.2</v>
      </c>
      <c r="W58" s="116">
        <v>0.1</v>
      </c>
      <c r="X58" s="116">
        <v>0.05</v>
      </c>
      <c r="Y58" s="116">
        <f>1/5</f>
        <v>0.2</v>
      </c>
      <c r="AA58" s="116">
        <v>0</v>
      </c>
    </row>
    <row r="59" spans="1:27" x14ac:dyDescent="0.3">
      <c r="P59" s="110" t="s">
        <v>140</v>
      </c>
      <c r="R59" s="89"/>
      <c r="S59" s="116">
        <f t="shared" ref="S59:U62" si="7">1/5</f>
        <v>0.2</v>
      </c>
      <c r="T59" s="116">
        <f t="shared" si="7"/>
        <v>0.2</v>
      </c>
      <c r="U59" s="116">
        <f t="shared" si="7"/>
        <v>0.2</v>
      </c>
      <c r="W59" s="116">
        <v>0.3</v>
      </c>
      <c r="X59" s="116">
        <v>0.3</v>
      </c>
      <c r="Y59" s="116">
        <f t="shared" ref="Y59:Y62" si="8">1/5</f>
        <v>0.2</v>
      </c>
      <c r="AA59" s="116">
        <v>0.7</v>
      </c>
    </row>
    <row r="60" spans="1:27" x14ac:dyDescent="0.3">
      <c r="P60" s="110" t="s">
        <v>141</v>
      </c>
      <c r="R60" s="89"/>
      <c r="S60" s="116">
        <f t="shared" si="7"/>
        <v>0.2</v>
      </c>
      <c r="T60" s="116">
        <f t="shared" si="7"/>
        <v>0.2</v>
      </c>
      <c r="U60" s="116">
        <f t="shared" si="7"/>
        <v>0.2</v>
      </c>
      <c r="W60" s="116">
        <v>0.2</v>
      </c>
      <c r="X60" s="116">
        <v>0.1</v>
      </c>
      <c r="Y60" s="116">
        <f t="shared" si="8"/>
        <v>0.2</v>
      </c>
      <c r="AA60" s="116">
        <v>1</v>
      </c>
    </row>
    <row r="61" spans="1:27" x14ac:dyDescent="0.3">
      <c r="P61" s="110" t="s">
        <v>142</v>
      </c>
      <c r="R61" s="89"/>
      <c r="S61" s="116">
        <f t="shared" si="7"/>
        <v>0.2</v>
      </c>
      <c r="T61" s="116">
        <f t="shared" si="7"/>
        <v>0.2</v>
      </c>
      <c r="U61" s="116">
        <f t="shared" si="7"/>
        <v>0.2</v>
      </c>
      <c r="W61" s="116">
        <v>0.3</v>
      </c>
      <c r="X61" s="116">
        <v>0.4</v>
      </c>
      <c r="Y61" s="116">
        <f t="shared" si="8"/>
        <v>0.2</v>
      </c>
      <c r="AA61" s="116">
        <v>0.9</v>
      </c>
    </row>
    <row r="62" spans="1:27" x14ac:dyDescent="0.3">
      <c r="P62" s="110" t="s">
        <v>143</v>
      </c>
      <c r="R62" s="89"/>
      <c r="S62" s="116">
        <f t="shared" si="7"/>
        <v>0.2</v>
      </c>
      <c r="T62" s="116">
        <f t="shared" si="7"/>
        <v>0.2</v>
      </c>
      <c r="U62" s="116">
        <f t="shared" si="7"/>
        <v>0.2</v>
      </c>
      <c r="W62" s="116">
        <v>0.1</v>
      </c>
      <c r="X62" s="116">
        <v>0.15</v>
      </c>
      <c r="Y62" s="116">
        <f t="shared" si="8"/>
        <v>0.2</v>
      </c>
      <c r="AA62" s="11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B25CD-1C18-4AA8-9628-2BD75D534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9F4B6-44E3-4AB4-B0A3-73859A6926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C29C2-8EA8-4309-A2E0-321FFBCD5D04}">
  <ds:schemaRefs>
    <ds:schemaRef ds:uri="http://schemas.microsoft.com/office/2006/documentManagement/types"/>
    <ds:schemaRef ds:uri="http://purl.org/dc/terms/"/>
    <ds:schemaRef ds:uri="http://purl.org/dc/elements/1.1/"/>
    <ds:schemaRef ds:uri="e67e9a88-35e1-4b39-8da9-a609eb30828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5d44ae6a-e145-4c9d-94e7-ddf9cc5806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by-products</vt:lpstr>
      <vt:lpstr>by-products_a-c</vt:lpstr>
      <vt:lpstr>blending</vt:lpstr>
      <vt:lpstr>distribution</vt:lpstr>
      <vt:lpstr>trades_1r-3p</vt:lpstr>
      <vt:lpstr>trades_3r-1p</vt:lpstr>
      <vt:lpstr>trades_mr(sim)_IOT DEPRECATED</vt:lpstr>
      <vt:lpstr>trades_mr(sim)_IOT_2 DEPRECATED</vt:lpstr>
      <vt:lpstr>trades_2r-2p</vt:lpstr>
      <vt:lpstr>emissions_DEPRECATED</vt:lpstr>
      <vt:lpstr>time_h_1r-3p_DEPRECATED</vt:lpstr>
      <vt:lpstr>trades_2r-2p_2problems</vt:lpstr>
      <vt:lpstr>emissions_1r-3p</vt:lpstr>
      <vt:lpstr>emissions_1r-3p_blending</vt:lpstr>
      <vt:lpstr>emissions_1r-3p_tax</vt:lpstr>
      <vt:lpstr>emissions_1r-3p_bioV1</vt:lpstr>
      <vt:lpstr>emissions_1r-3p_bioV2</vt:lpstr>
      <vt:lpstr>emissions_1r-3p_dual</vt:lpstr>
      <vt:lpstr>emissions_2r-3p</vt:lpstr>
      <vt:lpstr>time_h_general_supCurves</vt:lpstr>
      <vt:lpstr>time_h_general</vt:lpstr>
      <vt:lpstr>time_h_1r-3p</vt:lpstr>
      <vt:lpstr>time_h_2r-2p</vt:lpstr>
      <vt:lpstr>time_y_1r</vt:lpstr>
      <vt:lpstr>time_hy_1r-1p</vt:lpstr>
      <vt:lpstr>time_h_1r-3p_storage_c-d_DEP</vt:lpstr>
      <vt:lpstr>storage1_1r-1p</vt:lpstr>
      <vt:lpstr>storage2_1r-1p-st2_DEPRECATED</vt:lpstr>
      <vt:lpstr>storage2_1r-2p</vt:lpstr>
      <vt:lpstr>storage2_1r-2p_TEST</vt:lpstr>
      <vt:lpstr>storage3_1r-4p</vt:lpstr>
      <vt:lpstr>economics_base</vt:lpstr>
      <vt:lpstr>economics_base (2)</vt:lpstr>
      <vt:lpstr>economics_y20_capNew</vt:lpstr>
      <vt:lpstr>economics_y15_DEPR</vt:lpstr>
      <vt:lpstr>economics_y20_delay T</vt:lpstr>
      <vt:lpstr>economics_y20_delay T (2)</vt:lpstr>
      <vt:lpstr>economics_y20 (2)</vt:lpstr>
      <vt:lpstr>balances_alleq</vt:lpstr>
      <vt:lpstr>balances_sim_q</vt:lpstr>
      <vt:lpstr>emissions_1r-3p_primal</vt:lpstr>
      <vt:lpstr>DB_tot-coeff _SRIO_FULL_DPC</vt:lpstr>
      <vt:lpstr>iot_first-attempt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cp:keywords/>
  <dc:description/>
  <cp:lastModifiedBy>Tommaso Carmagnani</cp:lastModifiedBy>
  <cp:revision/>
  <dcterms:created xsi:type="dcterms:W3CDTF">2021-03-22T10:15:07Z</dcterms:created>
  <dcterms:modified xsi:type="dcterms:W3CDTF">2023-09-26T19:21:40Z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