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.sharepoint.com/sites/DENG-SESAM/Documenti condivisi/PUBLICATIONS/2023_Shendrikova_Merlino/_model/"/>
    </mc:Choice>
  </mc:AlternateContent>
  <xr:revisionPtr revIDLastSave="3150" documentId="8_{FFB0E952-C77F-4394-93F3-031AF5A1C298}" xr6:coauthVersionLast="47" xr6:coauthVersionMax="47" xr10:uidLastSave="{92C41DA1-4653-4220-997E-FE0CA80B6049}"/>
  <bookViews>
    <workbookView xWindow="-108" yWindow="-108" windowWidth="23256" windowHeight="12456" firstSheet="1" activeTab="4" xr2:uid="{5705407B-A730-4946-8FDC-691384954BF7}"/>
  </bookViews>
  <sheets>
    <sheet name="LikeMindedness" sheetId="11" state="hidden" r:id="rId1"/>
    <sheet name="GDI" sheetId="1" r:id="rId2"/>
    <sheet name="CPI" sheetId="3" r:id="rId3"/>
    <sheet name="HFI" sheetId="20" r:id="rId4"/>
    <sheet name="WPFI" sheetId="6" r:id="rId5"/>
    <sheet name="EPI" sheetId="7" r:id="rId6"/>
    <sheet name="Gas data" sheetId="9" r:id="rId7"/>
    <sheet name="O&amp;G companies" sheetId="16" state="hidden" r:id="rId8"/>
  </sheets>
  <externalReferences>
    <externalReference r:id="rId9"/>
  </externalReferences>
  <definedNames>
    <definedName name="_xlnm._FilterDatabase" localSheetId="2" hidden="1">CPI!$A$1:$B$1</definedName>
    <definedName name="_xlnm._FilterDatabase" localSheetId="5" hidden="1">EPI!$A$1:$B$1</definedName>
    <definedName name="_xlnm._FilterDatabase" localSheetId="6" hidden="1">'Gas data'!$A$1:$S$52</definedName>
    <definedName name="_xlnm._FilterDatabase" localSheetId="1" hidden="1">GDI!$A$1:$B$168</definedName>
    <definedName name="_xlnm._FilterDatabase" localSheetId="3" hidden="1">HFI!$A$1:$B$1</definedName>
    <definedName name="_xlnm._FilterDatabase" localSheetId="0" hidden="1">LikeMindedness!$A$1:$L$24</definedName>
    <definedName name="_xlnm._FilterDatabase" localSheetId="4" hidden="1">WPFI!$A$1:$B$1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J2" i="9" s="1"/>
  <c r="F2" i="9"/>
  <c r="I2" i="9"/>
  <c r="L2" i="9"/>
  <c r="M2" i="9" s="1"/>
  <c r="Q39" i="9"/>
  <c r="O28" i="9"/>
  <c r="P28" i="9" s="1"/>
  <c r="N3" i="9"/>
  <c r="I28" i="9"/>
  <c r="D3" i="9"/>
  <c r="C3" i="9"/>
  <c r="K3" i="9" s="1"/>
  <c r="E28" i="9"/>
  <c r="F28" i="9" s="1"/>
  <c r="C28" i="9"/>
  <c r="K28" i="9" s="1"/>
  <c r="K2" i="9" l="1"/>
  <c r="J3" i="9"/>
  <c r="J28" i="9"/>
  <c r="F3" i="9"/>
  <c r="G3" i="9"/>
  <c r="B96" i="7"/>
  <c r="I3" i="9" l="1"/>
  <c r="O3" i="9"/>
  <c r="P3" i="9" s="1"/>
  <c r="H21" i="11"/>
  <c r="G21" i="11"/>
  <c r="E21" i="11"/>
  <c r="C21" i="11"/>
  <c r="H28" i="11"/>
  <c r="G28" i="11"/>
  <c r="C28" i="11"/>
  <c r="C3" i="11"/>
  <c r="E3" i="11"/>
  <c r="G3" i="11"/>
  <c r="H3" i="11"/>
  <c r="C4" i="11"/>
  <c r="G4" i="11"/>
  <c r="H4" i="11"/>
  <c r="C5" i="11"/>
  <c r="E5" i="11"/>
  <c r="G5" i="11"/>
  <c r="H5" i="11"/>
  <c r="C6" i="11"/>
  <c r="G6" i="11"/>
  <c r="H6" i="11"/>
  <c r="C7" i="11"/>
  <c r="G7" i="11"/>
  <c r="H7" i="11"/>
  <c r="C8" i="11"/>
  <c r="E8" i="11"/>
  <c r="G8" i="11"/>
  <c r="H8" i="11"/>
  <c r="C9" i="11"/>
  <c r="D9" i="11"/>
  <c r="G9" i="11"/>
  <c r="H9" i="11"/>
  <c r="C10" i="11"/>
  <c r="E10" i="11"/>
  <c r="G10" i="11"/>
  <c r="H10" i="11"/>
  <c r="C11" i="11"/>
  <c r="G11" i="11"/>
  <c r="H11" i="11"/>
  <c r="C12" i="11"/>
  <c r="E12" i="11"/>
  <c r="G12" i="11"/>
  <c r="H12" i="11"/>
  <c r="C13" i="11"/>
  <c r="E13" i="11"/>
  <c r="G13" i="11"/>
  <c r="H13" i="11"/>
  <c r="C14" i="11"/>
  <c r="G14" i="11"/>
  <c r="H14" i="11"/>
  <c r="C15" i="11"/>
  <c r="E15" i="11"/>
  <c r="G15" i="11"/>
  <c r="H15" i="11"/>
  <c r="C16" i="11"/>
  <c r="E16" i="11"/>
  <c r="G16" i="11"/>
  <c r="H16" i="11"/>
  <c r="C17" i="11"/>
  <c r="E17" i="11"/>
  <c r="G17" i="11"/>
  <c r="H17" i="11"/>
  <c r="C18" i="11"/>
  <c r="G18" i="11"/>
  <c r="H18" i="11"/>
  <c r="C19" i="11"/>
  <c r="E19" i="11"/>
  <c r="G19" i="11"/>
  <c r="H19" i="11"/>
  <c r="C20" i="11"/>
  <c r="E20" i="11"/>
  <c r="G20" i="11"/>
  <c r="H20" i="11"/>
  <c r="C22" i="11"/>
  <c r="G22" i="11"/>
  <c r="H22" i="11"/>
  <c r="C23" i="11"/>
  <c r="G23" i="11"/>
  <c r="H23" i="11"/>
  <c r="C24" i="11"/>
  <c r="E24" i="11"/>
  <c r="G24" i="11"/>
  <c r="H24" i="11"/>
  <c r="C25" i="11"/>
  <c r="E25" i="11"/>
  <c r="G25" i="11"/>
  <c r="H25" i="11"/>
  <c r="C27" i="11"/>
  <c r="G27" i="11"/>
  <c r="H27" i="11"/>
  <c r="H2" i="11"/>
  <c r="G2" i="11"/>
  <c r="C2" i="11"/>
  <c r="E7" i="11"/>
  <c r="E27" i="11"/>
  <c r="E18" i="11"/>
  <c r="E4" i="11"/>
  <c r="E22" i="11"/>
  <c r="E14" i="11"/>
  <c r="E23" i="11"/>
  <c r="E11" i="11"/>
  <c r="E2" i="11"/>
  <c r="E6" i="11"/>
  <c r="E9" i="11"/>
  <c r="D2" i="11"/>
  <c r="D4" i="11"/>
  <c r="D3" i="11"/>
  <c r="D27" i="11"/>
  <c r="D5" i="11"/>
  <c r="D6" i="11"/>
  <c r="D7" i="11"/>
  <c r="D8" i="11"/>
  <c r="D10" i="11"/>
  <c r="D11" i="11"/>
  <c r="D14" i="11"/>
  <c r="D21" i="11"/>
  <c r="D17" i="11"/>
  <c r="D12" i="11"/>
  <c r="D13" i="11"/>
  <c r="D19" i="11"/>
  <c r="D16" i="11"/>
  <c r="D18" i="11"/>
  <c r="D15" i="11"/>
  <c r="D23" i="11"/>
  <c r="D24" i="11"/>
  <c r="D20" i="11"/>
  <c r="D22" i="11"/>
  <c r="D25" i="11"/>
  <c r="E28" i="11" l="1"/>
  <c r="D28" i="11"/>
  <c r="F21" i="11"/>
  <c r="F12" i="11"/>
  <c r="F4" i="11"/>
  <c r="F25" i="11"/>
  <c r="F16" i="11"/>
  <c r="F7" i="11"/>
  <c r="F27" i="11"/>
  <c r="F13" i="11"/>
  <c r="F9" i="11"/>
  <c r="F18" i="11"/>
  <c r="F24" i="11"/>
  <c r="F15" i="11"/>
  <c r="F11" i="11"/>
  <c r="F14" i="11"/>
  <c r="F10" i="11"/>
  <c r="F6" i="11"/>
  <c r="F19" i="11"/>
  <c r="F5" i="11"/>
  <c r="F20" i="11"/>
  <c r="F22" i="11"/>
  <c r="F3" i="11"/>
  <c r="F17" i="11"/>
  <c r="F8" i="11"/>
  <c r="F23" i="11"/>
  <c r="F28" i="11" l="1"/>
  <c r="B115" i="1"/>
  <c r="B88" i="1"/>
  <c r="B135" i="1"/>
  <c r="B101" i="1"/>
  <c r="B133" i="1"/>
  <c r="B65" i="1"/>
  <c r="B102" i="1"/>
  <c r="B44" i="1"/>
  <c r="B3" i="1"/>
  <c r="B60" i="1"/>
  <c r="B128" i="1"/>
  <c r="B103" i="1"/>
  <c r="B141" i="1"/>
  <c r="B37" i="1"/>
  <c r="B107" i="1"/>
  <c r="B21" i="1"/>
  <c r="B69" i="1"/>
  <c r="B150" i="1"/>
  <c r="B72" i="1"/>
  <c r="B32" i="1"/>
  <c r="B124" i="1"/>
  <c r="B20" i="1"/>
  <c r="B6" i="1"/>
  <c r="B120" i="1"/>
  <c r="B143" i="1"/>
  <c r="B125" i="1"/>
  <c r="B71" i="1"/>
  <c r="B138" i="1"/>
  <c r="B151" i="1"/>
  <c r="B136" i="1"/>
  <c r="B78" i="1"/>
  <c r="B153" i="1"/>
  <c r="B95" i="1"/>
  <c r="B91" i="1"/>
  <c r="B86" i="1"/>
  <c r="B39" i="1"/>
  <c r="B14" i="1"/>
  <c r="B24" i="1"/>
  <c r="B77" i="1"/>
  <c r="B97" i="1"/>
  <c r="B19" i="1"/>
  <c r="B137" i="1"/>
  <c r="B161" i="1"/>
  <c r="B76" i="1"/>
  <c r="B126" i="1"/>
  <c r="B50" i="1"/>
  <c r="B61" i="1"/>
  <c r="B40" i="1"/>
  <c r="B139" i="1"/>
  <c r="B140" i="1"/>
  <c r="B55" i="1"/>
  <c r="B99" i="1"/>
  <c r="B9" i="1"/>
  <c r="B30" i="1"/>
  <c r="B160" i="1"/>
  <c r="B35" i="1"/>
  <c r="B79" i="1"/>
  <c r="B8" i="1"/>
  <c r="B59" i="1"/>
  <c r="B92" i="1"/>
  <c r="B27" i="1"/>
  <c r="B162" i="1"/>
  <c r="B147" i="1"/>
  <c r="B109" i="1"/>
  <c r="B75" i="1"/>
  <c r="B145" i="1"/>
  <c r="B42" i="1"/>
  <c r="B54" i="1"/>
  <c r="B144" i="1"/>
  <c r="B70" i="1"/>
  <c r="B110" i="1"/>
  <c r="B116" i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2" i="9"/>
  <c r="M44" i="9"/>
  <c r="M20" i="9"/>
  <c r="M37" i="9"/>
  <c r="M48" i="9"/>
  <c r="M13" i="9"/>
  <c r="M50" i="9"/>
  <c r="M40" i="9"/>
  <c r="M46" i="9"/>
  <c r="M31" i="9"/>
  <c r="M21" i="9"/>
  <c r="M6" i="9"/>
  <c r="M5" i="9"/>
  <c r="M23" i="9"/>
  <c r="M12" i="9"/>
  <c r="M16" i="9"/>
  <c r="M24" i="9"/>
  <c r="M25" i="9"/>
  <c r="M18" i="9"/>
  <c r="M19" i="9"/>
  <c r="M45" i="9"/>
  <c r="M26" i="9"/>
  <c r="M49" i="9"/>
  <c r="M51" i="9"/>
  <c r="M33" i="9"/>
  <c r="M29" i="9"/>
  <c r="M34" i="9"/>
  <c r="M4" i="9"/>
  <c r="M10" i="9"/>
  <c r="M41" i="9"/>
  <c r="M52" i="9"/>
  <c r="M43" i="9"/>
  <c r="M35" i="9"/>
  <c r="M11" i="9"/>
  <c r="M9" i="9"/>
  <c r="M47" i="9"/>
  <c r="M27" i="9"/>
  <c r="M30" i="9"/>
  <c r="M42" i="9"/>
  <c r="M8" i="9"/>
  <c r="M14" i="9"/>
  <c r="M38" i="9"/>
  <c r="M36" i="9"/>
  <c r="M7" i="9"/>
  <c r="M22" i="9"/>
  <c r="M15" i="9"/>
  <c r="M17" i="9"/>
  <c r="M32" i="9"/>
  <c r="L39" i="9"/>
  <c r="M39" i="9" s="1"/>
  <c r="B13" i="11" l="1"/>
  <c r="I13" i="11" s="1"/>
  <c r="B22" i="11"/>
  <c r="I22" i="11" s="1"/>
  <c r="B7" i="11"/>
  <c r="I7" i="11" s="1"/>
  <c r="B10" i="11"/>
  <c r="I10" i="11" s="1"/>
  <c r="B18" i="11"/>
  <c r="I18" i="11" s="1"/>
  <c r="B4" i="11"/>
  <c r="I4" i="11" s="1"/>
  <c r="B15" i="11"/>
  <c r="I15" i="11" s="1"/>
  <c r="B24" i="11"/>
  <c r="I24" i="11" s="1"/>
  <c r="B28" i="11"/>
  <c r="I28" i="11" s="1"/>
  <c r="B9" i="11"/>
  <c r="I9" i="11" s="1"/>
  <c r="B12" i="11"/>
  <c r="I12" i="11" s="1"/>
  <c r="B20" i="11"/>
  <c r="I20" i="11" s="1"/>
  <c r="B27" i="11"/>
  <c r="I27" i="11" s="1"/>
  <c r="B6" i="11"/>
  <c r="I6" i="11" s="1"/>
  <c r="B17" i="11"/>
  <c r="I17" i="11" s="1"/>
  <c r="B2" i="11"/>
  <c r="B21" i="11"/>
  <c r="I21" i="11" s="1"/>
  <c r="B11" i="11"/>
  <c r="I11" i="11" s="1"/>
  <c r="B5" i="11"/>
  <c r="I5" i="11" s="1"/>
  <c r="B25" i="11"/>
  <c r="I25" i="11" s="1"/>
  <c r="B3" i="11"/>
  <c r="I3" i="11" s="1"/>
  <c r="B14" i="11"/>
  <c r="I14" i="11" s="1"/>
  <c r="B23" i="11"/>
  <c r="I23" i="11" s="1"/>
  <c r="B8" i="11"/>
  <c r="I8" i="11" s="1"/>
  <c r="B19" i="11"/>
  <c r="I19" i="11" s="1"/>
  <c r="B16" i="11"/>
  <c r="I16" i="11" s="1"/>
  <c r="P2" i="9"/>
  <c r="P39" i="9"/>
  <c r="P19" i="9"/>
  <c r="P26" i="9"/>
  <c r="P49" i="9"/>
  <c r="P41" i="9"/>
  <c r="P40" i="9"/>
  <c r="P15" i="9"/>
  <c r="P46" i="9"/>
  <c r="P31" i="9"/>
  <c r="P22" i="9"/>
  <c r="P6" i="9"/>
  <c r="P38" i="9"/>
  <c r="P30" i="9"/>
  <c r="P45" i="9"/>
  <c r="P37" i="9"/>
  <c r="P29" i="9"/>
  <c r="P12" i="9"/>
  <c r="P5" i="9"/>
  <c r="P52" i="9"/>
  <c r="P44" i="9"/>
  <c r="P36" i="9"/>
  <c r="P27" i="9"/>
  <c r="P11" i="9"/>
  <c r="P51" i="9"/>
  <c r="P43" i="9"/>
  <c r="P35" i="9"/>
  <c r="P18" i="9"/>
  <c r="P10" i="9"/>
  <c r="P21" i="9"/>
  <c r="P20" i="9"/>
  <c r="P47" i="9"/>
  <c r="P4" i="9"/>
  <c r="P13" i="9"/>
  <c r="P50" i="9"/>
  <c r="P42" i="9"/>
  <c r="P34" i="9"/>
  <c r="P25" i="9"/>
  <c r="P17" i="9"/>
  <c r="P9" i="9"/>
  <c r="P14" i="9"/>
  <c r="P33" i="9"/>
  <c r="P24" i="9"/>
  <c r="P16" i="9"/>
  <c r="P8" i="9"/>
  <c r="P48" i="9"/>
  <c r="P32" i="9"/>
  <c r="P23" i="9"/>
  <c r="P7" i="9"/>
  <c r="B4" i="9"/>
  <c r="B5" i="9"/>
  <c r="B6" i="9"/>
  <c r="B7" i="9"/>
  <c r="B8" i="9"/>
  <c r="J8" i="9" s="1"/>
  <c r="B9" i="9"/>
  <c r="B10" i="9"/>
  <c r="B11" i="9"/>
  <c r="J11" i="9" s="1"/>
  <c r="B12" i="9"/>
  <c r="B13" i="9"/>
  <c r="J13" i="9" s="1"/>
  <c r="B14" i="9"/>
  <c r="B15" i="9"/>
  <c r="J15" i="9" s="1"/>
  <c r="B16" i="9"/>
  <c r="B17" i="9"/>
  <c r="J17" i="9" s="1"/>
  <c r="B18" i="9"/>
  <c r="B19" i="9"/>
  <c r="J19" i="9" s="1"/>
  <c r="B20" i="9"/>
  <c r="B21" i="9"/>
  <c r="B22" i="9"/>
  <c r="J22" i="9" s="1"/>
  <c r="B23" i="9"/>
  <c r="J23" i="9" s="1"/>
  <c r="B24" i="9"/>
  <c r="B25" i="9"/>
  <c r="B26" i="9"/>
  <c r="J26" i="9" s="1"/>
  <c r="B27" i="9"/>
  <c r="B29" i="9"/>
  <c r="B30" i="9"/>
  <c r="J30" i="9" s="1"/>
  <c r="B31" i="9"/>
  <c r="B32" i="9"/>
  <c r="B33" i="9"/>
  <c r="B34" i="9"/>
  <c r="B35" i="9"/>
  <c r="B36" i="9"/>
  <c r="J36" i="9" s="1"/>
  <c r="B37" i="9"/>
  <c r="B38" i="9"/>
  <c r="J38" i="9" s="1"/>
  <c r="B39" i="9"/>
  <c r="B40" i="9"/>
  <c r="B41" i="9"/>
  <c r="J41" i="9" s="1"/>
  <c r="B42" i="9"/>
  <c r="J42" i="9" s="1"/>
  <c r="B43" i="9"/>
  <c r="B44" i="9"/>
  <c r="J44" i="9" s="1"/>
  <c r="B45" i="9"/>
  <c r="B46" i="9"/>
  <c r="B47" i="9"/>
  <c r="B48" i="9"/>
  <c r="B49" i="9"/>
  <c r="J49" i="9" s="1"/>
  <c r="B50" i="9"/>
  <c r="B51" i="9"/>
  <c r="J51" i="9" s="1"/>
  <c r="B52" i="9"/>
  <c r="J52" i="9" s="1"/>
  <c r="I36" i="9"/>
  <c r="I33" i="9"/>
  <c r="I13" i="9"/>
  <c r="J21" i="11" l="1"/>
  <c r="J19" i="11"/>
  <c r="J28" i="11"/>
  <c r="J12" i="11"/>
  <c r="J23" i="11"/>
  <c r="J27" i="11"/>
  <c r="J2" i="11"/>
  <c r="J20" i="11"/>
  <c r="J7" i="11"/>
  <c r="J6" i="11"/>
  <c r="J14" i="11"/>
  <c r="J3" i="11"/>
  <c r="J24" i="11"/>
  <c r="J15" i="11"/>
  <c r="J18" i="11"/>
  <c r="J16" i="11"/>
  <c r="J11" i="11"/>
  <c r="J25" i="11"/>
  <c r="J4" i="11"/>
  <c r="J10" i="11"/>
  <c r="J5" i="11"/>
  <c r="J8" i="11"/>
  <c r="J13" i="11"/>
  <c r="J22" i="11"/>
  <c r="J9" i="11"/>
  <c r="J17" i="11"/>
  <c r="K21" i="11"/>
  <c r="K15" i="11"/>
  <c r="K4" i="11"/>
  <c r="K19" i="11"/>
  <c r="K3" i="11"/>
  <c r="K20" i="11"/>
  <c r="K27" i="11"/>
  <c r="K25" i="11"/>
  <c r="K18" i="11"/>
  <c r="K14" i="11"/>
  <c r="K2" i="11"/>
  <c r="K6" i="11"/>
  <c r="K17" i="11"/>
  <c r="K16" i="11"/>
  <c r="K28" i="11"/>
  <c r="K24" i="11"/>
  <c r="K23" i="11"/>
  <c r="K7" i="11"/>
  <c r="K22" i="11"/>
  <c r="K5" i="11"/>
  <c r="K12" i="11"/>
  <c r="K10" i="11"/>
  <c r="K11" i="11"/>
  <c r="K9" i="11"/>
  <c r="K8" i="11"/>
  <c r="K13" i="11"/>
  <c r="J9" i="9"/>
  <c r="J50" i="9"/>
  <c r="J35" i="9"/>
  <c r="J29" i="9"/>
  <c r="J18" i="9"/>
  <c r="J34" i="9"/>
  <c r="J5" i="9"/>
  <c r="J33" i="9"/>
  <c r="J24" i="9"/>
  <c r="J16" i="9"/>
  <c r="J43" i="9"/>
  <c r="J25" i="9"/>
  <c r="J48" i="9"/>
  <c r="J40" i="9"/>
  <c r="J32" i="9"/>
  <c r="J7" i="9"/>
  <c r="J31" i="9"/>
  <c r="J46" i="9"/>
  <c r="J21" i="9"/>
  <c r="J10" i="9"/>
  <c r="J39" i="9"/>
  <c r="J14" i="9"/>
  <c r="J45" i="9"/>
  <c r="J37" i="9"/>
  <c r="J20" i="9"/>
  <c r="J12" i="9"/>
  <c r="J4" i="9"/>
  <c r="J47" i="9"/>
  <c r="J6" i="9"/>
  <c r="J27" i="9"/>
  <c r="F2" i="11"/>
  <c r="I2" i="11" s="1"/>
  <c r="F52" i="9"/>
  <c r="F44" i="9"/>
  <c r="F36" i="9"/>
  <c r="F27" i="9"/>
  <c r="F19" i="9"/>
  <c r="F11" i="9"/>
  <c r="I25" i="9"/>
  <c r="I9" i="9"/>
  <c r="I17" i="9"/>
  <c r="I42" i="9"/>
  <c r="I34" i="9"/>
  <c r="I47" i="9"/>
  <c r="I6" i="9"/>
  <c r="F49" i="9"/>
  <c r="F41" i="9"/>
  <c r="F33" i="9"/>
  <c r="F24" i="9"/>
  <c r="F16" i="9"/>
  <c r="F8" i="9"/>
  <c r="I29" i="9"/>
  <c r="I37" i="9"/>
  <c r="K14" i="9"/>
  <c r="I4" i="9"/>
  <c r="K4" i="9"/>
  <c r="K22" i="9"/>
  <c r="I12" i="9"/>
  <c r="I20" i="9"/>
  <c r="I45" i="9"/>
  <c r="F47" i="9"/>
  <c r="F39" i="9"/>
  <c r="F31" i="9"/>
  <c r="F22" i="9"/>
  <c r="F14" i="9"/>
  <c r="F6" i="9"/>
  <c r="K15" i="9"/>
  <c r="K9" i="9"/>
  <c r="K11" i="9"/>
  <c r="I39" i="9"/>
  <c r="Q8" i="9" s="1"/>
  <c r="K39" i="9"/>
  <c r="I14" i="9"/>
  <c r="I31" i="9"/>
  <c r="I22" i="9"/>
  <c r="K17" i="9"/>
  <c r="K25" i="9"/>
  <c r="K42" i="9"/>
  <c r="K43" i="9"/>
  <c r="K10" i="9"/>
  <c r="K45" i="9"/>
  <c r="K31" i="9"/>
  <c r="I50" i="9"/>
  <c r="K8" i="9"/>
  <c r="K34" i="9"/>
  <c r="K33" i="9"/>
  <c r="K35" i="9"/>
  <c r="K23" i="9"/>
  <c r="K20" i="9"/>
  <c r="K47" i="9"/>
  <c r="K26" i="9"/>
  <c r="K5" i="9"/>
  <c r="K29" i="9"/>
  <c r="K6" i="9"/>
  <c r="K37" i="9"/>
  <c r="K27" i="9"/>
  <c r="K32" i="9"/>
  <c r="K49" i="9"/>
  <c r="K16" i="9"/>
  <c r="K51" i="9"/>
  <c r="K44" i="9"/>
  <c r="K36" i="9"/>
  <c r="K13" i="9"/>
  <c r="K41" i="9"/>
  <c r="K50" i="9"/>
  <c r="K30" i="9"/>
  <c r="K48" i="9"/>
  <c r="K18" i="9"/>
  <c r="K24" i="9"/>
  <c r="K21" i="9"/>
  <c r="K7" i="9"/>
  <c r="K38" i="9"/>
  <c r="K12" i="9"/>
  <c r="K19" i="9"/>
  <c r="K40" i="9"/>
  <c r="K46" i="9"/>
  <c r="K52" i="9"/>
  <c r="I44" i="9"/>
  <c r="I19" i="9"/>
  <c r="I52" i="9"/>
  <c r="I27" i="9"/>
  <c r="I11" i="9"/>
  <c r="F46" i="9"/>
  <c r="F38" i="9"/>
  <c r="F30" i="9"/>
  <c r="F21" i="9"/>
  <c r="F13" i="9"/>
  <c r="F5" i="9"/>
  <c r="I16" i="9"/>
  <c r="I24" i="9"/>
  <c r="I8" i="9"/>
  <c r="I41" i="9"/>
  <c r="F51" i="9"/>
  <c r="F43" i="9"/>
  <c r="F35" i="9"/>
  <c r="F26" i="9"/>
  <c r="F18" i="9"/>
  <c r="F10" i="9"/>
  <c r="I10" i="9"/>
  <c r="I26" i="9"/>
  <c r="I18" i="9"/>
  <c r="I51" i="9"/>
  <c r="I43" i="9"/>
  <c r="I35" i="9"/>
  <c r="F45" i="9"/>
  <c r="F37" i="9"/>
  <c r="F29" i="9"/>
  <c r="F20" i="9"/>
  <c r="F12" i="9"/>
  <c r="F4" i="9"/>
  <c r="I21" i="9"/>
  <c r="I15" i="9"/>
  <c r="I48" i="9"/>
  <c r="F48" i="9"/>
  <c r="F40" i="9"/>
  <c r="F32" i="9"/>
  <c r="F23" i="9"/>
  <c r="F15" i="9"/>
  <c r="F7" i="9"/>
  <c r="I46" i="9"/>
  <c r="I7" i="9"/>
  <c r="I38" i="9"/>
  <c r="I49" i="9"/>
  <c r="I40" i="9"/>
  <c r="I32" i="9"/>
  <c r="I5" i="9"/>
  <c r="I30" i="9"/>
  <c r="I23" i="9"/>
  <c r="F50" i="9"/>
  <c r="F42" i="9"/>
  <c r="F34" i="9"/>
  <c r="F25" i="9"/>
  <c r="F17" i="9"/>
  <c r="F9" i="9"/>
  <c r="Q27" i="9" l="1"/>
  <c r="Q2" i="9"/>
  <c r="Q5" i="9"/>
  <c r="Q50" i="9"/>
  <c r="Q21" i="9"/>
  <c r="Q12" i="9"/>
  <c r="Q40" i="9"/>
  <c r="Q13" i="9"/>
  <c r="Q32" i="9"/>
  <c r="Q51" i="9"/>
  <c r="Q36" i="9"/>
  <c r="Q49" i="9"/>
  <c r="Q15" i="9"/>
  <c r="Q44" i="9"/>
  <c r="Q14" i="9"/>
  <c r="Q23" i="9"/>
  <c r="Q29" i="9"/>
  <c r="Q9" i="9"/>
  <c r="Q17" i="9"/>
  <c r="Q26" i="9"/>
  <c r="Q6" i="9"/>
  <c r="Q34" i="9"/>
  <c r="Q18" i="9"/>
  <c r="Q52" i="9"/>
  <c r="Q28" i="9"/>
  <c r="Q3" i="9"/>
  <c r="Q46" i="9"/>
  <c r="Q33" i="9"/>
  <c r="Q11" i="9"/>
  <c r="Q24" i="9"/>
  <c r="Q45" i="9"/>
  <c r="Q10" i="9"/>
  <c r="Q4" i="9"/>
  <c r="Q42" i="9"/>
  <c r="Q19" i="9"/>
  <c r="Q16" i="9"/>
  <c r="Q25" i="9"/>
  <c r="Q20" i="9"/>
  <c r="Q31" i="9"/>
  <c r="Q41" i="9"/>
  <c r="Q22" i="9"/>
  <c r="Q30" i="9"/>
  <c r="Q47" i="9"/>
  <c r="Q37" i="9"/>
  <c r="Q43" i="9"/>
  <c r="Q35" i="9"/>
  <c r="Q48" i="9"/>
  <c r="Q38" i="9"/>
  <c r="Q7" i="9"/>
  <c r="L4" i="11"/>
  <c r="L11" i="11"/>
  <c r="L6" i="11"/>
  <c r="L20" i="11"/>
  <c r="L3" i="11"/>
  <c r="L18" i="11"/>
  <c r="L16" i="11"/>
  <c r="L8" i="11"/>
  <c r="L14" i="11"/>
  <c r="L9" i="11"/>
  <c r="L7" i="11"/>
  <c r="L24" i="11"/>
  <c r="L10" i="11"/>
  <c r="L25" i="11"/>
  <c r="L15" i="11" l="1"/>
  <c r="L5" i="11"/>
  <c r="L17" i="11"/>
  <c r="L23" i="11"/>
  <c r="L12" i="11"/>
  <c r="L22" i="11"/>
  <c r="L19" i="11"/>
  <c r="L13" i="11"/>
  <c r="L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tc={A0FB7DB9-0D17-4947-87D8-214556A7B8A9}</author>
  </authors>
  <commentList>
    <comment ref="B96" authorId="0" shapeId="0" xr:uid="{A0FB7DB9-0D17-4947-87D8-214556A7B8A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((max22-min22)*(value18-min18))/(max18-min18)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tc={E73A9060-D298-4F09-96B2-1D32B896D3FE}</author>
    <author>tc={E9DA2845-7E8D-41B9-B19D-121ED491339E}</author>
    <author>tc={2A9B7749-3538-4DD5-BD4F-EFB97198B938}</author>
    <author>tc={F9F07A0E-7089-4974-9B51-CD8C2B01D4C6}</author>
    <author>tc={B6C86993-8B4C-4609-AE9C-DB87ADF8BCA3}</author>
  </authors>
  <commentList>
    <comment ref="L2" authorId="0" shapeId="0" xr:uid="{E73A9060-D298-4F09-96B2-1D32B896D3F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Transmed, Medgaz</t>
      </text>
    </comment>
    <comment ref="L6" authorId="1" shapeId="0" xr:uid="{E9DA2845-7E8D-41B9-B19D-121ED491339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TAP</t>
      </text>
    </comment>
    <comment ref="L25" authorId="2" shapeId="0" xr:uid="{2A9B7749-3538-4DD5-BD4F-EFB97198B938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Greenstream</t>
      </text>
    </comment>
    <comment ref="L32" authorId="3" shapeId="0" xr:uid="{F9F07A0E-7089-4974-9B51-CD8C2B01D4C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Europipe I, Europipe "", Norpipe, Zeepipe
Rispondi:
95 is the value from Bruegel (Norway max)</t>
      </text>
    </comment>
    <comment ref="L39" authorId="4" shapeId="0" xr:uid="{B6C86993-8B4C-4609-AE9C-DB87ADF8BCA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Nordstream, Nordstream 2, Yamal, Brotherhood, Soyuz, Turkstream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2F32C3-A950-4D0D-A8BD-99B4F8355719}" keepAlive="1" name="Query - Table006 (Page 9)" description="Connessione alla query 'Table006 (Page 9)' nella cartella di lavoro." type="5" refreshedVersion="0" background="1" saveData="1">
    <dbPr connection="Provider=Microsoft.Mashup.OleDb.1;Data Source=$Workbook$;Location=&quot;Table006 (Page 9)&quot;;Extended Properties=&quot;&quot;" command="SELECT * FROM [Table006 (Page 9)]"/>
  </connection>
  <connection id="2" xr16:uid="{D4977ACC-5C9B-48D8-9078-FB9C2D6AC71D}" keepAlive="1" name="Query - Table007 (Page 10-13)" description="Connessione alla query 'Table007 (Page 10-13)' nella cartella di lavoro." type="5" refreshedVersion="0" background="1" saveData="1">
    <dbPr connection="Provider=Microsoft.Mashup.OleDb.1;Data Source=$Workbook$;Location=&quot;Table007 (Page 10-13)&quot;;Extended Properties=&quot;&quot;" command="SELECT * FROM [Table007 (Page 10-13)]"/>
  </connection>
</connections>
</file>

<file path=xl/sharedStrings.xml><?xml version="1.0" encoding="utf-8"?>
<sst xmlns="http://schemas.openxmlformats.org/spreadsheetml/2006/main" count="1080" uniqueCount="273">
  <si>
    <t>Norway</t>
  </si>
  <si>
    <t>New Zealand</t>
  </si>
  <si>
    <t>Iceland</t>
  </si>
  <si>
    <t>Sweden</t>
  </si>
  <si>
    <t>Finland</t>
  </si>
  <si>
    <t>Denmark</t>
  </si>
  <si>
    <t>Switzerland</t>
  </si>
  <si>
    <t>Ireland</t>
  </si>
  <si>
    <t>Netherlands</t>
  </si>
  <si>
    <t>Taiwan</t>
  </si>
  <si>
    <t>Uruguay</t>
  </si>
  <si>
    <t>Canada</t>
  </si>
  <si>
    <t>Luxembourg</t>
  </si>
  <si>
    <t>Germany</t>
  </si>
  <si>
    <t>Australia</t>
  </si>
  <si>
    <t>Japan</t>
  </si>
  <si>
    <t>Costa Rica</t>
  </si>
  <si>
    <t>United Kingdom</t>
  </si>
  <si>
    <t>Chile</t>
  </si>
  <si>
    <t>Austria</t>
  </si>
  <si>
    <t>Mauritius</t>
  </si>
  <si>
    <t>France</t>
  </si>
  <si>
    <t>Spain</t>
  </si>
  <si>
    <t>South Korea</t>
  </si>
  <si>
    <t>Czech Republic</t>
  </si>
  <si>
    <t>Greece</t>
  </si>
  <si>
    <t>Estonia</t>
  </si>
  <si>
    <t>Portugal</t>
  </si>
  <si>
    <t>Israel</t>
  </si>
  <si>
    <t>United States of America</t>
  </si>
  <si>
    <t>Slovenia</t>
  </si>
  <si>
    <t>Botswana</t>
  </si>
  <si>
    <t>Malta</t>
  </si>
  <si>
    <t>Italy</t>
  </si>
  <si>
    <t>Cabo Verde</t>
  </si>
  <si>
    <t>Belgium</t>
  </si>
  <si>
    <t>Cyprus</t>
  </si>
  <si>
    <t>Latvia</t>
  </si>
  <si>
    <t>Lithuania</t>
  </si>
  <si>
    <t>Malaysia</t>
  </si>
  <si>
    <t>Trinidad and Tobago</t>
  </si>
  <si>
    <t>Jamaica</t>
  </si>
  <si>
    <t>Slovakia</t>
  </si>
  <si>
    <t>Timor-Leste</t>
  </si>
  <si>
    <t>South Africa</t>
  </si>
  <si>
    <t>India</t>
  </si>
  <si>
    <t>Poland</t>
  </si>
  <si>
    <t>Suriname</t>
  </si>
  <si>
    <t>Panama</t>
  </si>
  <si>
    <t>Argentina</t>
  </si>
  <si>
    <t>Brazil</t>
  </si>
  <si>
    <t>Philippines</t>
  </si>
  <si>
    <t>Colombia</t>
  </si>
  <si>
    <t>Indonesia</t>
  </si>
  <si>
    <t>Thailand</t>
  </si>
  <si>
    <t>Hungary</t>
  </si>
  <si>
    <t>Bulgaria</t>
  </si>
  <si>
    <t>Namibia</t>
  </si>
  <si>
    <t>Croatia</t>
  </si>
  <si>
    <t>Sri Lanka</t>
  </si>
  <si>
    <t>Montenegro</t>
  </si>
  <si>
    <t>Romania</t>
  </si>
  <si>
    <t>Ghana</t>
  </si>
  <si>
    <t>Albania</t>
  </si>
  <si>
    <t>Dominican Republic</t>
  </si>
  <si>
    <t>Mongolia</t>
  </si>
  <si>
    <t>Guyana</t>
  </si>
  <si>
    <t>Serbia</t>
  </si>
  <si>
    <t>Moldova</t>
  </si>
  <si>
    <t>Singapore</t>
  </si>
  <si>
    <t>Lesotho</t>
  </si>
  <si>
    <t>North Macedonia</t>
  </si>
  <si>
    <t>Bangladesh</t>
  </si>
  <si>
    <t>Papua New Guinea</t>
  </si>
  <si>
    <t>Peru</t>
  </si>
  <si>
    <t>Malawi</t>
  </si>
  <si>
    <t>Paraguay</t>
  </si>
  <si>
    <t>Zambia</t>
  </si>
  <si>
    <t>Senegal</t>
  </si>
  <si>
    <t>Madagascar</t>
  </si>
  <si>
    <t>Ecuador</t>
  </si>
  <si>
    <t>Armenia</t>
  </si>
  <si>
    <t>Fiji</t>
  </si>
  <si>
    <t>Bhutan</t>
  </si>
  <si>
    <t>Tunisia</t>
  </si>
  <si>
    <t>Liberia</t>
  </si>
  <si>
    <t>Ukraine</t>
  </si>
  <si>
    <t>Hong Kong</t>
  </si>
  <si>
    <t>Mexico</t>
  </si>
  <si>
    <t>Georgia</t>
  </si>
  <si>
    <t>Honduras</t>
  </si>
  <si>
    <t>Tanzania</t>
  </si>
  <si>
    <t>El Salvador</t>
  </si>
  <si>
    <t>Kenya</t>
  </si>
  <si>
    <t>Morocco</t>
  </si>
  <si>
    <t>Sierra Leone</t>
  </si>
  <si>
    <t>Bosnia and Hercegovina</t>
  </si>
  <si>
    <t>Guatemala</t>
  </si>
  <si>
    <t>Uganda</t>
  </si>
  <si>
    <t>Bolivia</t>
  </si>
  <si>
    <t>Nepal</t>
  </si>
  <si>
    <t>Gambia</t>
  </si>
  <si>
    <t>Turkey</t>
  </si>
  <si>
    <t>Benin</t>
  </si>
  <si>
    <t>Nigeria</t>
  </si>
  <si>
    <t>Côte d’Ivoire</t>
  </si>
  <si>
    <t>Pakistan</t>
  </si>
  <si>
    <t>Mauritania</t>
  </si>
  <si>
    <t>Angola</t>
  </si>
  <si>
    <t>Palestine</t>
  </si>
  <si>
    <t>Kuwait</t>
  </si>
  <si>
    <t>Niger</t>
  </si>
  <si>
    <t>Algeria</t>
  </si>
  <si>
    <t>Qatar</t>
  </si>
  <si>
    <t>Lebanon</t>
  </si>
  <si>
    <t>Kyrgyz Republic</t>
  </si>
  <si>
    <t>Mozambique</t>
  </si>
  <si>
    <t>Gabon</t>
  </si>
  <si>
    <t>Mali</t>
  </si>
  <si>
    <t>Comoros</t>
  </si>
  <si>
    <t>Cambodia</t>
  </si>
  <si>
    <t>Ethiopia</t>
  </si>
  <si>
    <t>Jordan</t>
  </si>
  <si>
    <t>Iraq</t>
  </si>
  <si>
    <t>Oman</t>
  </si>
  <si>
    <t>Rwanda</t>
  </si>
  <si>
    <t>Burkina Faso</t>
  </si>
  <si>
    <t>Kazakhstan</t>
  </si>
  <si>
    <t>Eswatini</t>
  </si>
  <si>
    <t>Togo</t>
  </si>
  <si>
    <t>Egypt</t>
  </si>
  <si>
    <t>Zimbabwe</t>
  </si>
  <si>
    <t>United Arab Emirates</t>
  </si>
  <si>
    <t>Azerbaijan</t>
  </si>
  <si>
    <t>Haiti</t>
  </si>
  <si>
    <t>Congo (Brazzaville)</t>
  </si>
  <si>
    <t>Djibouti</t>
  </si>
  <si>
    <t>Vietnam</t>
  </si>
  <si>
    <t>Cuba</t>
  </si>
  <si>
    <t>Cameroon</t>
  </si>
  <si>
    <t>Guinea-Bissau</t>
  </si>
  <si>
    <t>Bahrain</t>
  </si>
  <si>
    <t>Nicaragua</t>
  </si>
  <si>
    <t>Sudan</t>
  </si>
  <si>
    <t>Guinea</t>
  </si>
  <si>
    <t>Russia</t>
  </si>
  <si>
    <t>Venezuela</t>
  </si>
  <si>
    <t>Burundi</t>
  </si>
  <si>
    <t>Uzbekistan</t>
  </si>
  <si>
    <t>Saudi Arabia</t>
  </si>
  <si>
    <t>Libya</t>
  </si>
  <si>
    <t>Eritrea</t>
  </si>
  <si>
    <t>Belarus</t>
  </si>
  <si>
    <t>Iran</t>
  </si>
  <si>
    <t>Yemen</t>
  </si>
  <si>
    <t>China</t>
  </si>
  <si>
    <t>Tajikistan</t>
  </si>
  <si>
    <t>Equatorial Guinea</t>
  </si>
  <si>
    <t>Laos</t>
  </si>
  <si>
    <t>Chad</t>
  </si>
  <si>
    <t>Turkmenistan</t>
  </si>
  <si>
    <t>Democratic Republic of Congo</t>
  </si>
  <si>
    <t>Syria</t>
  </si>
  <si>
    <t>Central African Republic</t>
  </si>
  <si>
    <t>North Korea</t>
  </si>
  <si>
    <t>Myanmar</t>
  </si>
  <si>
    <t>Afghanistan</t>
  </si>
  <si>
    <t>Overall score</t>
  </si>
  <si>
    <t>Country</t>
  </si>
  <si>
    <t>Bahamas</t>
  </si>
  <si>
    <t>Barbados</t>
  </si>
  <si>
    <t>Bosnia and Herzegovina</t>
  </si>
  <si>
    <t>Congo</t>
  </si>
  <si>
    <t>Cote d'Ivoire</t>
  </si>
  <si>
    <t>Czechia</t>
  </si>
  <si>
    <t>Democratic Republic of the Congo</t>
  </si>
  <si>
    <t>Dominica</t>
  </si>
  <si>
    <t>Grenada</t>
  </si>
  <si>
    <t>Guinea Bissau</t>
  </si>
  <si>
    <t>Korea, North</t>
  </si>
  <si>
    <t>Korea, South</t>
  </si>
  <si>
    <t>Kosovo</t>
  </si>
  <si>
    <t>Kyrgyzstan</t>
  </si>
  <si>
    <t>Maldives</t>
  </si>
  <si>
    <t>Saint Lucia</t>
  </si>
  <si>
    <t>Saint Vincent and the Grenadines</t>
  </si>
  <si>
    <t>Sao Tome and Principe</t>
  </si>
  <si>
    <t>Seychelles</t>
  </si>
  <si>
    <t>Solomon Islands</t>
  </si>
  <si>
    <t>Somalia</t>
  </si>
  <si>
    <t>South Sudan</t>
  </si>
  <si>
    <t>Vanuatu</t>
  </si>
  <si>
    <t>Bahamas, The</t>
  </si>
  <si>
    <t>Belize</t>
  </si>
  <si>
    <t>Brunei Darussalam</t>
  </si>
  <si>
    <t>Congo, Dem. Rep.</t>
  </si>
  <si>
    <t>Congo, Rep.</t>
  </si>
  <si>
    <t>Egypt, Arab Rep.</t>
  </si>
  <si>
    <t>Gambia, The</t>
  </si>
  <si>
    <t>Hong Kong SAR, China</t>
  </si>
  <si>
    <t>Iran, Islamic Rep.</t>
  </si>
  <si>
    <t>Korea, Rep.</t>
  </si>
  <si>
    <t>Lao PDR</t>
  </si>
  <si>
    <t>Russian Federation</t>
  </si>
  <si>
    <t>Slovak Republic</t>
  </si>
  <si>
    <t>Syrian Arab Republic</t>
  </si>
  <si>
    <t>United States</t>
  </si>
  <si>
    <t>Venezuela, RB</t>
  </si>
  <si>
    <t>Yemen, Rep.</t>
  </si>
  <si>
    <t>East Timor</t>
  </si>
  <si>
    <t>Liechtenstein</t>
  </si>
  <si>
    <t>Samoa</t>
  </si>
  <si>
    <t>Andorra</t>
  </si>
  <si>
    <t>Tonga</t>
  </si>
  <si>
    <t>Côte d'Ivoire</t>
  </si>
  <si>
    <t>Bosnia-Herzegovina</t>
  </si>
  <si>
    <t>Congo-Brazzaville</t>
  </si>
  <si>
    <t>DR Congo</t>
  </si>
  <si>
    <t>Brunei</t>
  </si>
  <si>
    <t>Türkiye</t>
  </si>
  <si>
    <t>Antigua and Barbuda</t>
  </si>
  <si>
    <t>Kiribati</t>
  </si>
  <si>
    <t>Republic of Congo</t>
  </si>
  <si>
    <t>Micronesia</t>
  </si>
  <si>
    <t>Dem. Rep. Congo</t>
  </si>
  <si>
    <t>Marshall Islands</t>
  </si>
  <si>
    <t>Viet Nam</t>
  </si>
  <si>
    <t>US</t>
  </si>
  <si>
    <t>Trinidad &amp; Tobago</t>
  </si>
  <si>
    <t>Total capacity via pipeline [bcm]</t>
  </si>
  <si>
    <t>Extra capacity via pipeline [bcm]</t>
  </si>
  <si>
    <t/>
  </si>
  <si>
    <t>Total capacity via LNG [bcm]</t>
  </si>
  <si>
    <t>Extra capacity via LNG [bcm]</t>
  </si>
  <si>
    <t>Extra capacity total [bcm]</t>
  </si>
  <si>
    <t>Share of current russian import coverable by extra capacity</t>
  </si>
  <si>
    <t>USA</t>
  </si>
  <si>
    <t>UAE</t>
  </si>
  <si>
    <t>UK</t>
  </si>
  <si>
    <t>GDI 2022</t>
  </si>
  <si>
    <t>CPI 2022</t>
  </si>
  <si>
    <t>HFI 2020</t>
  </si>
  <si>
    <t>PFI 2020</t>
  </si>
  <si>
    <t>WPFI 2020</t>
  </si>
  <si>
    <t>EPI 2022</t>
  </si>
  <si>
    <t>Like-Mindedness</t>
  </si>
  <si>
    <t>EU27</t>
  </si>
  <si>
    <t>World</t>
  </si>
  <si>
    <t>-</t>
  </si>
  <si>
    <t>European Union</t>
  </si>
  <si>
    <t>% of Russian gas replaceable</t>
  </si>
  <si>
    <t>Shell</t>
  </si>
  <si>
    <t>Eni</t>
  </si>
  <si>
    <t>Total</t>
  </si>
  <si>
    <t>Equinor</t>
  </si>
  <si>
    <t>Repsol</t>
  </si>
  <si>
    <t>Companies in operation</t>
  </si>
  <si>
    <t>Shell, Eni, Total</t>
  </si>
  <si>
    <t>Shell, Eni, Total, Equinor</t>
  </si>
  <si>
    <t>Shell, Total</t>
  </si>
  <si>
    <t>Shell, BP, Total, Equinor</t>
  </si>
  <si>
    <t>Total production, 2021 [bcm]</t>
  </si>
  <si>
    <t>LNG export total, 2021 [bcm]</t>
  </si>
  <si>
    <t>Proved reserves, 2020 [bcm]</t>
  </si>
  <si>
    <t>Pipeline export total, 2021 [bcm]</t>
  </si>
  <si>
    <t>Total export, 2021 [bcm]</t>
  </si>
  <si>
    <t>LNG export to EU, 2021 [bcm]</t>
  </si>
  <si>
    <t>Pipeline export to EU, 2021 [bcm]</t>
  </si>
  <si>
    <t>Total export to EU, 2021 [bcm]</t>
  </si>
  <si>
    <t>R/P ratio , 2021</t>
  </si>
  <si>
    <t>Reserves - Production, 2021 [bcm]</t>
  </si>
  <si>
    <t>Sea shipping distance [n miles]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</si>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</sst>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Fill="0" applyBorder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9" fontId="0" fillId="0" borderId="0" xfId="1" applyFont="1"/>
    <xf numFmtId="1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0" fontId="2" fillId="0" borderId="0" xfId="0" applyFont="1"/>
    <xf numFmtId="2" fontId="2" fillId="0" borderId="0" xfId="0" applyNumberFormat="1" applyFont="1"/>
    <xf numFmtId="165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3">
    <cellStyle name="Normal 2 2" xfId="2" xr:uid="{1BA3B23C-96B3-4607-9E6A-9E17724E9258}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6A4C93"/>
      <color rgb="FF1982C4"/>
      <color rgb="FF8AC926"/>
      <color rgb="FFFFCA3A"/>
      <color rgb="FFFF595E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r>
              <a:rPr lang="it-IT" sz="1600" b="0"/>
              <a:t>Geopolitical like-mindedness</a:t>
            </a:r>
            <a:r>
              <a:rPr lang="it-IT" sz="1600" b="0" baseline="0"/>
              <a:t> (left) and % of Russian gas replaceable by marginal export capacity (right) for selected potential EU gas suppliers</a:t>
            </a:r>
            <a:endParaRPr lang="it-IT" sz="16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HelveticaNeue Light" panose="00000400000000000000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LikeMindedness!$B$1</c:f>
              <c:strCache>
                <c:ptCount val="1"/>
                <c:pt idx="0">
                  <c:v>GDI 2022</c:v>
                </c:pt>
              </c:strCache>
            </c:strRef>
          </c:tx>
          <c:spPr>
            <a:solidFill>
              <a:srgbClr val="FF595E"/>
            </a:solidFill>
            <a:ln w="25400">
              <a:noFill/>
            </a:ln>
            <a:effectLst/>
          </c:spPr>
          <c:invertIfNegative val="0"/>
          <c:cat>
            <c:strLit>
              <c:ptCount val="24"/>
              <c:pt idx="0">
                <c:v>Norway</c:v>
              </c:pt>
              <c:pt idx="1">
                <c:v>UK</c:v>
              </c:pt>
              <c:pt idx="2">
                <c:v>Canada</c:v>
              </c:pt>
              <c:pt idx="3">
                <c:v>USA</c:v>
              </c:pt>
              <c:pt idx="4">
                <c:v>Trinidad &amp; Tobago</c:v>
              </c:pt>
              <c:pt idx="5">
                <c:v>Argentina</c:v>
              </c:pt>
              <c:pt idx="6">
                <c:v>Brazil</c:v>
              </c:pt>
              <c:pt idx="7">
                <c:v>Ukraine</c:v>
              </c:pt>
              <c:pt idx="8">
                <c:v>Colombia</c:v>
              </c:pt>
              <c:pt idx="9">
                <c:v>Mexico</c:v>
              </c:pt>
              <c:pt idx="10">
                <c:v>UAE</c:v>
              </c:pt>
              <c:pt idx="11">
                <c:v>Qatar</c:v>
              </c:pt>
              <c:pt idx="12">
                <c:v>Kuwait</c:v>
              </c:pt>
              <c:pt idx="13">
                <c:v>Algeria</c:v>
              </c:pt>
              <c:pt idx="14">
                <c:v>Oman</c:v>
              </c:pt>
              <c:pt idx="15">
                <c:v>Nigeria</c:v>
              </c:pt>
              <c:pt idx="16">
                <c:v>Bahrain</c:v>
              </c:pt>
              <c:pt idx="17">
                <c:v>Azerbaijan</c:v>
              </c:pt>
              <c:pt idx="18">
                <c:v>Saudi Arabia</c:v>
              </c:pt>
              <c:pt idx="19">
                <c:v>Russia</c:v>
              </c:pt>
              <c:pt idx="20">
                <c:v>Egypt</c:v>
              </c:pt>
              <c:pt idx="21">
                <c:v>Libya</c:v>
              </c:pt>
              <c:pt idx="22">
                <c:v>Iraq</c:v>
              </c:pt>
              <c:pt idx="23">
                <c:v>Iran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LikeMindedness!$B$2:$B$25</c15:sqref>
                  </c15:fullRef>
                </c:ext>
              </c:extLst>
              <c:f>LikeMindedness!$B$2:$B$25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B-44F8-8C26-C7E422A2AA60}"/>
            </c:ext>
          </c:extLst>
        </c:ser>
        <c:ser>
          <c:idx val="3"/>
          <c:order val="2"/>
          <c:tx>
            <c:strRef>
              <c:f>LikeMindedness!$C$1</c:f>
              <c:strCache>
                <c:ptCount val="1"/>
                <c:pt idx="0">
                  <c:v>CPI 2022</c:v>
                </c:pt>
              </c:strCache>
            </c:strRef>
          </c:tx>
          <c:spPr>
            <a:solidFill>
              <a:srgbClr val="FFCA3A"/>
            </a:solidFill>
            <a:ln w="25400">
              <a:noFill/>
            </a:ln>
            <a:effectLst/>
          </c:spPr>
          <c:invertIfNegative val="0"/>
          <c:cat>
            <c:strLit>
              <c:ptCount val="24"/>
              <c:pt idx="0">
                <c:v>Norway</c:v>
              </c:pt>
              <c:pt idx="1">
                <c:v>UK</c:v>
              </c:pt>
              <c:pt idx="2">
                <c:v>Canada</c:v>
              </c:pt>
              <c:pt idx="3">
                <c:v>USA</c:v>
              </c:pt>
              <c:pt idx="4">
                <c:v>Trinidad &amp; Tobago</c:v>
              </c:pt>
              <c:pt idx="5">
                <c:v>Argentina</c:v>
              </c:pt>
              <c:pt idx="6">
                <c:v>Brazil</c:v>
              </c:pt>
              <c:pt idx="7">
                <c:v>Ukraine</c:v>
              </c:pt>
              <c:pt idx="8">
                <c:v>Colombia</c:v>
              </c:pt>
              <c:pt idx="9">
                <c:v>Mexico</c:v>
              </c:pt>
              <c:pt idx="10">
                <c:v>UAE</c:v>
              </c:pt>
              <c:pt idx="11">
                <c:v>Qatar</c:v>
              </c:pt>
              <c:pt idx="12">
                <c:v>Kuwait</c:v>
              </c:pt>
              <c:pt idx="13">
                <c:v>Algeria</c:v>
              </c:pt>
              <c:pt idx="14">
                <c:v>Oman</c:v>
              </c:pt>
              <c:pt idx="15">
                <c:v>Nigeria</c:v>
              </c:pt>
              <c:pt idx="16">
                <c:v>Bahrain</c:v>
              </c:pt>
              <c:pt idx="17">
                <c:v>Azerbaijan</c:v>
              </c:pt>
              <c:pt idx="18">
                <c:v>Saudi Arabia</c:v>
              </c:pt>
              <c:pt idx="19">
                <c:v>Russia</c:v>
              </c:pt>
              <c:pt idx="20">
                <c:v>Egypt</c:v>
              </c:pt>
              <c:pt idx="21">
                <c:v>Libya</c:v>
              </c:pt>
              <c:pt idx="22">
                <c:v>Iraq</c:v>
              </c:pt>
              <c:pt idx="23">
                <c:v>Iran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LikeMindedness!$C$2:$C$25</c15:sqref>
                  </c15:fullRef>
                </c:ext>
              </c:extLst>
              <c:f>LikeMindedness!$C$2:$C$25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B-44F8-8C26-C7E422A2AA60}"/>
            </c:ext>
          </c:extLst>
        </c:ser>
        <c:ser>
          <c:idx val="4"/>
          <c:order val="3"/>
          <c:tx>
            <c:strRef>
              <c:f>LikeMindedness!$F$1</c:f>
              <c:strCache>
                <c:ptCount val="1"/>
                <c:pt idx="0">
                  <c:v>HFI 2020</c:v>
                </c:pt>
              </c:strCache>
            </c:strRef>
          </c:tx>
          <c:spPr>
            <a:solidFill>
              <a:srgbClr val="8AC926"/>
            </a:solidFill>
            <a:ln w="25400">
              <a:noFill/>
            </a:ln>
            <a:effectLst/>
          </c:spPr>
          <c:invertIfNegative val="0"/>
          <c:cat>
            <c:strLit>
              <c:ptCount val="24"/>
              <c:pt idx="0">
                <c:v>Norway</c:v>
              </c:pt>
              <c:pt idx="1">
                <c:v>UK</c:v>
              </c:pt>
              <c:pt idx="2">
                <c:v>Canada</c:v>
              </c:pt>
              <c:pt idx="3">
                <c:v>USA</c:v>
              </c:pt>
              <c:pt idx="4">
                <c:v>Trinidad &amp; Tobago</c:v>
              </c:pt>
              <c:pt idx="5">
                <c:v>Argentina</c:v>
              </c:pt>
              <c:pt idx="6">
                <c:v>Brazil</c:v>
              </c:pt>
              <c:pt idx="7">
                <c:v>Ukraine</c:v>
              </c:pt>
              <c:pt idx="8">
                <c:v>Colombia</c:v>
              </c:pt>
              <c:pt idx="9">
                <c:v>Mexico</c:v>
              </c:pt>
              <c:pt idx="10">
                <c:v>UAE</c:v>
              </c:pt>
              <c:pt idx="11">
                <c:v>Qatar</c:v>
              </c:pt>
              <c:pt idx="12">
                <c:v>Kuwait</c:v>
              </c:pt>
              <c:pt idx="13">
                <c:v>Algeria</c:v>
              </c:pt>
              <c:pt idx="14">
                <c:v>Oman</c:v>
              </c:pt>
              <c:pt idx="15">
                <c:v>Nigeria</c:v>
              </c:pt>
              <c:pt idx="16">
                <c:v>Bahrain</c:v>
              </c:pt>
              <c:pt idx="17">
                <c:v>Azerbaijan</c:v>
              </c:pt>
              <c:pt idx="18">
                <c:v>Saudi Arabia</c:v>
              </c:pt>
              <c:pt idx="19">
                <c:v>Russia</c:v>
              </c:pt>
              <c:pt idx="20">
                <c:v>Egypt</c:v>
              </c:pt>
              <c:pt idx="21">
                <c:v>Libya</c:v>
              </c:pt>
              <c:pt idx="22">
                <c:v>Iraq</c:v>
              </c:pt>
              <c:pt idx="23">
                <c:v>Iran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LikeMindedness!$F$2:$F$25</c15:sqref>
                  </c15:fullRef>
                </c:ext>
              </c:extLst>
              <c:f>LikeMindedness!$F$2:$F$25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EB-44F8-8C26-C7E422A2AA60}"/>
            </c:ext>
          </c:extLst>
        </c:ser>
        <c:ser>
          <c:idx val="5"/>
          <c:order val="4"/>
          <c:tx>
            <c:strRef>
              <c:f>LikeMindedness!$G$1</c:f>
              <c:strCache>
                <c:ptCount val="1"/>
                <c:pt idx="0">
                  <c:v>WPFI 2020</c:v>
                </c:pt>
              </c:strCache>
            </c:strRef>
          </c:tx>
          <c:spPr>
            <a:solidFill>
              <a:srgbClr val="1982C4"/>
            </a:solidFill>
            <a:ln w="25400">
              <a:noFill/>
            </a:ln>
            <a:effectLst/>
          </c:spPr>
          <c:invertIfNegative val="0"/>
          <c:cat>
            <c:strLit>
              <c:ptCount val="24"/>
              <c:pt idx="0">
                <c:v>Norway</c:v>
              </c:pt>
              <c:pt idx="1">
                <c:v>UK</c:v>
              </c:pt>
              <c:pt idx="2">
                <c:v>Canada</c:v>
              </c:pt>
              <c:pt idx="3">
                <c:v>USA</c:v>
              </c:pt>
              <c:pt idx="4">
                <c:v>Trinidad &amp; Tobago</c:v>
              </c:pt>
              <c:pt idx="5">
                <c:v>Argentina</c:v>
              </c:pt>
              <c:pt idx="6">
                <c:v>Brazil</c:v>
              </c:pt>
              <c:pt idx="7">
                <c:v>Ukraine</c:v>
              </c:pt>
              <c:pt idx="8">
                <c:v>Colombia</c:v>
              </c:pt>
              <c:pt idx="9">
                <c:v>Mexico</c:v>
              </c:pt>
              <c:pt idx="10">
                <c:v>UAE</c:v>
              </c:pt>
              <c:pt idx="11">
                <c:v>Qatar</c:v>
              </c:pt>
              <c:pt idx="12">
                <c:v>Kuwait</c:v>
              </c:pt>
              <c:pt idx="13">
                <c:v>Algeria</c:v>
              </c:pt>
              <c:pt idx="14">
                <c:v>Oman</c:v>
              </c:pt>
              <c:pt idx="15">
                <c:v>Nigeria</c:v>
              </c:pt>
              <c:pt idx="16">
                <c:v>Bahrain</c:v>
              </c:pt>
              <c:pt idx="17">
                <c:v>Azerbaijan</c:v>
              </c:pt>
              <c:pt idx="18">
                <c:v>Saudi Arabia</c:v>
              </c:pt>
              <c:pt idx="19">
                <c:v>Russia</c:v>
              </c:pt>
              <c:pt idx="20">
                <c:v>Egypt</c:v>
              </c:pt>
              <c:pt idx="21">
                <c:v>Libya</c:v>
              </c:pt>
              <c:pt idx="22">
                <c:v>Iraq</c:v>
              </c:pt>
              <c:pt idx="23">
                <c:v>Iran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LikeMindedness!$G$2:$G$25</c15:sqref>
                  </c15:fullRef>
                </c:ext>
              </c:extLst>
              <c:f>LikeMindedness!$G$2:$G$25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EB-44F8-8C26-C7E422A2AA60}"/>
            </c:ext>
          </c:extLst>
        </c:ser>
        <c:ser>
          <c:idx val="6"/>
          <c:order val="5"/>
          <c:tx>
            <c:strRef>
              <c:f>LikeMindedness!$H$1</c:f>
              <c:strCache>
                <c:ptCount val="1"/>
                <c:pt idx="0">
                  <c:v>EPI 2022</c:v>
                </c:pt>
              </c:strCache>
            </c:strRef>
          </c:tx>
          <c:spPr>
            <a:solidFill>
              <a:srgbClr val="6A4C93"/>
            </a:solidFill>
            <a:ln w="25400">
              <a:noFill/>
            </a:ln>
            <a:effectLst/>
          </c:spPr>
          <c:invertIfNegative val="0"/>
          <c:cat>
            <c:strLit>
              <c:ptCount val="24"/>
              <c:pt idx="0">
                <c:v>Norway</c:v>
              </c:pt>
              <c:pt idx="1">
                <c:v>UK</c:v>
              </c:pt>
              <c:pt idx="2">
                <c:v>Canada</c:v>
              </c:pt>
              <c:pt idx="3">
                <c:v>USA</c:v>
              </c:pt>
              <c:pt idx="4">
                <c:v>Trinidad &amp; Tobago</c:v>
              </c:pt>
              <c:pt idx="5">
                <c:v>Argentina</c:v>
              </c:pt>
              <c:pt idx="6">
                <c:v>Brazil</c:v>
              </c:pt>
              <c:pt idx="7">
                <c:v>Ukraine</c:v>
              </c:pt>
              <c:pt idx="8">
                <c:v>Colombia</c:v>
              </c:pt>
              <c:pt idx="9">
                <c:v>Mexico</c:v>
              </c:pt>
              <c:pt idx="10">
                <c:v>UAE</c:v>
              </c:pt>
              <c:pt idx="11">
                <c:v>Qatar</c:v>
              </c:pt>
              <c:pt idx="12">
                <c:v>Kuwait</c:v>
              </c:pt>
              <c:pt idx="13">
                <c:v>Algeria</c:v>
              </c:pt>
              <c:pt idx="14">
                <c:v>Oman</c:v>
              </c:pt>
              <c:pt idx="15">
                <c:v>Nigeria</c:v>
              </c:pt>
              <c:pt idx="16">
                <c:v>Bahrain</c:v>
              </c:pt>
              <c:pt idx="17">
                <c:v>Azerbaijan</c:v>
              </c:pt>
              <c:pt idx="18">
                <c:v>Saudi Arabia</c:v>
              </c:pt>
              <c:pt idx="19">
                <c:v>Russia</c:v>
              </c:pt>
              <c:pt idx="20">
                <c:v>Egypt</c:v>
              </c:pt>
              <c:pt idx="21">
                <c:v>Libya</c:v>
              </c:pt>
              <c:pt idx="22">
                <c:v>Iraq</c:v>
              </c:pt>
              <c:pt idx="23">
                <c:v>Iran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LikeMindedness!$H$2:$H$25</c15:sqref>
                  </c15:fullRef>
                </c:ext>
              </c:extLst>
              <c:f>LikeMindedness!$H$2:$H$25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EB-44F8-8C26-C7E422A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372047"/>
        <c:axId val="2034370127"/>
      </c:barChart>
      <c:lineChart>
        <c:grouping val="standard"/>
        <c:varyColors val="0"/>
        <c:ser>
          <c:idx val="7"/>
          <c:order val="6"/>
          <c:tx>
            <c:strRef>
              <c:f>LikeMindedness!$J$1</c:f>
              <c:strCache>
                <c:ptCount val="1"/>
                <c:pt idx="0">
                  <c:v>European Union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EB-44F8-8C26-C7E422A2AA6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EB-44F8-8C26-C7E422A2AA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EB-44F8-8C26-C7E422A2AA6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FEB-44F8-8C26-C7E422A2AA6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EB-44F8-8C26-C7E422A2AA6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FEB-44F8-8C26-C7E422A2AA6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FEB-44F8-8C26-C7E422A2AA6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EB-44F8-8C26-C7E422A2AA6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FEB-44F8-8C26-C7E422A2A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FEB-44F8-8C26-C7E422A2AA6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FEB-44F8-8C26-C7E422A2AA6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FEB-44F8-8C26-C7E422A2AA6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FEB-44F8-8C26-C7E422A2AA6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FEB-44F8-8C26-C7E422A2AA6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FEB-44F8-8C26-C7E422A2AA6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FEB-44F8-8C26-C7E422A2AA6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FEB-44F8-8C26-C7E422A2AA6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FEB-44F8-8C26-C7E422A2AA6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FEB-44F8-8C26-C7E422A2AA6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FEB-44F8-8C26-C7E422A2AA6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FEB-44F8-8C26-C7E422A2AA6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FEB-44F8-8C26-C7E422A2AA6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FEB-44F8-8C26-C7E422A2A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Neue Light" panose="00000400000000000000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LikeMindedness!$A$2:$A$25</c15:sqref>
                  </c15:fullRef>
                </c:ext>
              </c:extLst>
              <c:f>LikeMindedness!$A$2:$A$25</c:f>
              <c:strCache>
                <c:ptCount val="24"/>
                <c:pt idx="0">
                  <c:v>Norway</c:v>
                </c:pt>
                <c:pt idx="1">
                  <c:v>UK</c:v>
                </c:pt>
                <c:pt idx="2">
                  <c:v>Canada</c:v>
                </c:pt>
                <c:pt idx="3">
                  <c:v>USA</c:v>
                </c:pt>
                <c:pt idx="4">
                  <c:v>Trinidad &amp; Tobago</c:v>
                </c:pt>
                <c:pt idx="5">
                  <c:v>Argentina</c:v>
                </c:pt>
                <c:pt idx="6">
                  <c:v>Brazil</c:v>
                </c:pt>
                <c:pt idx="7">
                  <c:v>Ukraine</c:v>
                </c:pt>
                <c:pt idx="8">
                  <c:v>Colombia</c:v>
                </c:pt>
                <c:pt idx="9">
                  <c:v>Mexico</c:v>
                </c:pt>
                <c:pt idx="10">
                  <c:v>UAE</c:v>
                </c:pt>
                <c:pt idx="11">
                  <c:v>Qatar</c:v>
                </c:pt>
                <c:pt idx="12">
                  <c:v>Kuwait</c:v>
                </c:pt>
                <c:pt idx="13">
                  <c:v>Algeria</c:v>
                </c:pt>
                <c:pt idx="14">
                  <c:v>Oman</c:v>
                </c:pt>
                <c:pt idx="15">
                  <c:v>Nigeria</c:v>
                </c:pt>
                <c:pt idx="16">
                  <c:v>Bahrain</c:v>
                </c:pt>
                <c:pt idx="17">
                  <c:v>Azerbaijan</c:v>
                </c:pt>
                <c:pt idx="18">
                  <c:v>Saudi Arabia</c:v>
                </c:pt>
                <c:pt idx="19">
                  <c:v>Russia</c:v>
                </c:pt>
                <c:pt idx="20">
                  <c:v>Egypt</c:v>
                </c:pt>
                <c:pt idx="21">
                  <c:v>Libya</c:v>
                </c:pt>
                <c:pt idx="22">
                  <c:v>Iraq</c:v>
                </c:pt>
                <c:pt idx="23">
                  <c:v>Iran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LikeMindedness!$J$2:$J$28</c15:sqref>
                  </c15:fullRef>
                </c:ext>
              </c:extLst>
              <c:f>LikeMindedness!$J$2:$J$25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LikeMindedness!$J$27</c15:sqref>
                  <c15:dLbl>
                    <c:idx val="2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B926-4A9F-8EF0-641804855E0F}"/>
                      </c:ext>
                    </c:extLst>
                  </c15:dLbl>
                </c15:categoryFilterException>
                <c15:categoryFilterException>
                  <c15:sqref>LikeMindedness!$J$28</c15:sqref>
                  <c15:dLbl>
                    <c:idx val="2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B926-4A9F-8EF0-641804855E0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7FEB-44F8-8C26-C7E422A2AA60}"/>
            </c:ext>
          </c:extLst>
        </c:ser>
        <c:ser>
          <c:idx val="8"/>
          <c:order val="7"/>
          <c:tx>
            <c:strRef>
              <c:f>LikeMindedness!$K$1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FEB-44F8-8C26-C7E422A2AA6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FEB-44F8-8C26-C7E422A2AA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FEB-44F8-8C26-C7E422A2AA6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FEB-44F8-8C26-C7E422A2AA6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FEB-44F8-8C26-C7E422A2AA6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FEB-44F8-8C26-C7E422A2AA6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FEB-44F8-8C26-C7E422A2AA6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FEB-44F8-8C26-C7E422A2AA6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FEB-44F8-8C26-C7E422A2A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FEB-44F8-8C26-C7E422A2AA6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FEB-44F8-8C26-C7E422A2AA6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FEB-44F8-8C26-C7E422A2AA6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FEB-44F8-8C26-C7E422A2AA6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FEB-44F8-8C26-C7E422A2AA6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FEB-44F8-8C26-C7E422A2AA6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FEB-44F8-8C26-C7E422A2AA6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FEB-44F8-8C26-C7E422A2AA6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FEB-44F8-8C26-C7E422A2AA6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FEB-44F8-8C26-C7E422A2AA6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FEB-44F8-8C26-C7E422A2AA6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FEB-44F8-8C26-C7E422A2AA6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FEB-44F8-8C26-C7E422A2AA6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FEB-44F8-8C26-C7E422A2AA60}"/>
                </c:ext>
              </c:extLst>
            </c:dLbl>
            <c:dLbl>
              <c:idx val="23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FEB-44F8-8C26-C7E422A2A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Neue Light" panose="00000400000000000000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eparator>: 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LikeMindedness!$A$2:$A$25</c15:sqref>
                  </c15:fullRef>
                </c:ext>
              </c:extLst>
              <c:f>LikeMindedness!$A$2:$A$25</c:f>
              <c:strCache>
                <c:ptCount val="24"/>
                <c:pt idx="0">
                  <c:v>Norway</c:v>
                </c:pt>
                <c:pt idx="1">
                  <c:v>UK</c:v>
                </c:pt>
                <c:pt idx="2">
                  <c:v>Canada</c:v>
                </c:pt>
                <c:pt idx="3">
                  <c:v>USA</c:v>
                </c:pt>
                <c:pt idx="4">
                  <c:v>Trinidad &amp; Tobago</c:v>
                </c:pt>
                <c:pt idx="5">
                  <c:v>Argentina</c:v>
                </c:pt>
                <c:pt idx="6">
                  <c:v>Brazil</c:v>
                </c:pt>
                <c:pt idx="7">
                  <c:v>Ukraine</c:v>
                </c:pt>
                <c:pt idx="8">
                  <c:v>Colombia</c:v>
                </c:pt>
                <c:pt idx="9">
                  <c:v>Mexico</c:v>
                </c:pt>
                <c:pt idx="10">
                  <c:v>UAE</c:v>
                </c:pt>
                <c:pt idx="11">
                  <c:v>Qatar</c:v>
                </c:pt>
                <c:pt idx="12">
                  <c:v>Kuwait</c:v>
                </c:pt>
                <c:pt idx="13">
                  <c:v>Algeria</c:v>
                </c:pt>
                <c:pt idx="14">
                  <c:v>Oman</c:v>
                </c:pt>
                <c:pt idx="15">
                  <c:v>Nigeria</c:v>
                </c:pt>
                <c:pt idx="16">
                  <c:v>Bahrain</c:v>
                </c:pt>
                <c:pt idx="17">
                  <c:v>Azerbaijan</c:v>
                </c:pt>
                <c:pt idx="18">
                  <c:v>Saudi Arabia</c:v>
                </c:pt>
                <c:pt idx="19">
                  <c:v>Russia</c:v>
                </c:pt>
                <c:pt idx="20">
                  <c:v>Egypt</c:v>
                </c:pt>
                <c:pt idx="21">
                  <c:v>Libya</c:v>
                </c:pt>
                <c:pt idx="22">
                  <c:v>Iraq</c:v>
                </c:pt>
                <c:pt idx="23">
                  <c:v>Iran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LikeMindedness!$K$2:$K$28</c15:sqref>
                  </c15:fullRef>
                </c:ext>
              </c:extLst>
              <c:f>LikeMindedness!$K$2:$K$25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EB-44F8-8C26-C7E422A2AA60}"/>
            </c:ext>
          </c:extLst>
        </c:ser>
        <c:ser>
          <c:idx val="0"/>
          <c:order val="8"/>
          <c:tx>
            <c:strRef>
              <c:f>LikeMindedness!$I$1</c:f>
              <c:strCache>
                <c:ptCount val="1"/>
                <c:pt idx="0">
                  <c:v>Like-Mindedness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LikeMindedness!$A$2:$A$25</c15:sqref>
                  </c15:fullRef>
                </c:ext>
              </c:extLst>
              <c:f>LikeMindedness!$A$2:$A$25</c:f>
              <c:strCache>
                <c:ptCount val="24"/>
                <c:pt idx="0">
                  <c:v>Norway</c:v>
                </c:pt>
                <c:pt idx="1">
                  <c:v>UK</c:v>
                </c:pt>
                <c:pt idx="2">
                  <c:v>Canada</c:v>
                </c:pt>
                <c:pt idx="3">
                  <c:v>USA</c:v>
                </c:pt>
                <c:pt idx="4">
                  <c:v>Trinidad &amp; Tobago</c:v>
                </c:pt>
                <c:pt idx="5">
                  <c:v>Argentina</c:v>
                </c:pt>
                <c:pt idx="6">
                  <c:v>Brazil</c:v>
                </c:pt>
                <c:pt idx="7">
                  <c:v>Ukraine</c:v>
                </c:pt>
                <c:pt idx="8">
                  <c:v>Colombia</c:v>
                </c:pt>
                <c:pt idx="9">
                  <c:v>Mexico</c:v>
                </c:pt>
                <c:pt idx="10">
                  <c:v>UAE</c:v>
                </c:pt>
                <c:pt idx="11">
                  <c:v>Qatar</c:v>
                </c:pt>
                <c:pt idx="12">
                  <c:v>Kuwait</c:v>
                </c:pt>
                <c:pt idx="13">
                  <c:v>Algeria</c:v>
                </c:pt>
                <c:pt idx="14">
                  <c:v>Oman</c:v>
                </c:pt>
                <c:pt idx="15">
                  <c:v>Nigeria</c:v>
                </c:pt>
                <c:pt idx="16">
                  <c:v>Bahrain</c:v>
                </c:pt>
                <c:pt idx="17">
                  <c:v>Azerbaijan</c:v>
                </c:pt>
                <c:pt idx="18">
                  <c:v>Saudi Arabia</c:v>
                </c:pt>
                <c:pt idx="19">
                  <c:v>Russia</c:v>
                </c:pt>
                <c:pt idx="20">
                  <c:v>Egypt</c:v>
                </c:pt>
                <c:pt idx="21">
                  <c:v>Libya</c:v>
                </c:pt>
                <c:pt idx="22">
                  <c:v>Iraq</c:v>
                </c:pt>
                <c:pt idx="23">
                  <c:v>Iran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LikeMindedness!$I$2:$I$25</c15:sqref>
                  </c15:fullRef>
                </c:ext>
              </c:extLst>
              <c:f>LikeMindedness!$I$2:$I$25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2-454B-B0A3-01F620A6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72047"/>
        <c:axId val="2034370127"/>
      </c:lineChart>
      <c:lineChart>
        <c:grouping val="standard"/>
        <c:varyColors val="0"/>
        <c:ser>
          <c:idx val="1"/>
          <c:order val="0"/>
          <c:tx>
            <c:strRef>
              <c:f>LikeMindedness!$L$1</c:f>
              <c:strCache>
                <c:ptCount val="1"/>
                <c:pt idx="0">
                  <c:v>% of Russian gas replaceable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9"/>
            <c:marker>
              <c:symbol val="x"/>
              <c:size val="11"/>
              <c:spPr>
                <a:solidFill>
                  <a:schemeClr val="bg1">
                    <a:alpha val="0"/>
                  </a:schemeClr>
                </a:solidFill>
                <a:ln w="222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7FEB-44F8-8C26-C7E422A2AA6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FEB-44F8-8C26-C7E422A2AA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5A-46BD-9B9D-7C7E3736BF52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FEB-44F8-8C26-C7E422A2AA6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FEB-44F8-8C26-C7E422A2AA6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FEB-44F8-8C26-C7E422A2AA6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FEB-44F8-8C26-C7E422A2AA6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FEB-44F8-8C26-C7E422A2AA6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FEB-44F8-8C26-C7E422A2A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FEB-44F8-8C26-C7E422A2AA6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5A-46BD-9B9D-7C7E3736BF5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5A-46BD-9B9D-7C7E3736BF5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5A-46BD-9B9D-7C7E3736BF5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5A-46BD-9B9D-7C7E3736BF5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FEB-44F8-8C26-C7E422A2AA6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FEB-44F8-8C26-C7E422A2AA6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FEB-44F8-8C26-C7E422A2AA60}"/>
                </c:ext>
              </c:extLst>
            </c:dLbl>
            <c:spPr>
              <a:solidFill>
                <a:srgbClr val="000000">
                  <a:alpha val="2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HelveticaNeue Light" panose="00000400000000000000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LikeMindedness!$A$2:$A$25</c15:sqref>
                  </c15:fullRef>
                </c:ext>
              </c:extLst>
              <c:f>LikeMindedness!$A$2:$A$25</c:f>
              <c:strCache>
                <c:ptCount val="24"/>
                <c:pt idx="0">
                  <c:v>Norway</c:v>
                </c:pt>
                <c:pt idx="1">
                  <c:v>UK</c:v>
                </c:pt>
                <c:pt idx="2">
                  <c:v>Canada</c:v>
                </c:pt>
                <c:pt idx="3">
                  <c:v>USA</c:v>
                </c:pt>
                <c:pt idx="4">
                  <c:v>Trinidad &amp; Tobago</c:v>
                </c:pt>
                <c:pt idx="5">
                  <c:v>Argentina</c:v>
                </c:pt>
                <c:pt idx="6">
                  <c:v>Brazil</c:v>
                </c:pt>
                <c:pt idx="7">
                  <c:v>Ukraine</c:v>
                </c:pt>
                <c:pt idx="8">
                  <c:v>Colombia</c:v>
                </c:pt>
                <c:pt idx="9">
                  <c:v>Mexico</c:v>
                </c:pt>
                <c:pt idx="10">
                  <c:v>UAE</c:v>
                </c:pt>
                <c:pt idx="11">
                  <c:v>Qatar</c:v>
                </c:pt>
                <c:pt idx="12">
                  <c:v>Kuwait</c:v>
                </c:pt>
                <c:pt idx="13">
                  <c:v>Algeria</c:v>
                </c:pt>
                <c:pt idx="14">
                  <c:v>Oman</c:v>
                </c:pt>
                <c:pt idx="15">
                  <c:v>Nigeria</c:v>
                </c:pt>
                <c:pt idx="16">
                  <c:v>Bahrain</c:v>
                </c:pt>
                <c:pt idx="17">
                  <c:v>Azerbaijan</c:v>
                </c:pt>
                <c:pt idx="18">
                  <c:v>Saudi Arabia</c:v>
                </c:pt>
                <c:pt idx="19">
                  <c:v>Russia</c:v>
                </c:pt>
                <c:pt idx="20">
                  <c:v>Egypt</c:v>
                </c:pt>
                <c:pt idx="21">
                  <c:v>Libya</c:v>
                </c:pt>
                <c:pt idx="22">
                  <c:v>Iraq</c:v>
                </c:pt>
                <c:pt idx="23">
                  <c:v>Iran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LikeMindedness!$L$2:$L$25</c15:sqref>
                  </c15:fullRef>
                </c:ext>
              </c:extLst>
              <c:f>LikeMindedness!$L$2:$L$25</c:f>
              <c:numCache>
                <c:formatCode>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2-454B-B0A3-01F620A6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5407"/>
        <c:axId val="45266367"/>
      </c:lineChart>
      <c:catAx>
        <c:axId val="20343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2034370127"/>
        <c:crosses val="autoZero"/>
        <c:auto val="1"/>
        <c:lblAlgn val="ctr"/>
        <c:lblOffset val="100"/>
        <c:noMultiLvlLbl val="0"/>
      </c:catAx>
      <c:valAx>
        <c:axId val="20343701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LikeMindedness!$I$1</c:f>
              <c:strCache>
                <c:ptCount val="1"/>
                <c:pt idx="0">
                  <c:v>Like-Mindedness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HelveticaNeue Light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2034372047"/>
        <c:crosses val="autoZero"/>
        <c:crossBetween val="between"/>
      </c:valAx>
      <c:valAx>
        <c:axId val="45266367"/>
        <c:scaling>
          <c:orientation val="minMax"/>
          <c:max val="1"/>
          <c:min val="0"/>
        </c:scaling>
        <c:delete val="0"/>
        <c:axPos val="r"/>
        <c:title>
          <c:tx>
            <c:strRef>
              <c:f>LikeMindedness!$L$1</c:f>
              <c:strCache>
                <c:ptCount val="1"/>
                <c:pt idx="0">
                  <c:v>% of Russian gas replaceable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HelveticaNeue Light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45265407"/>
        <c:crosses val="max"/>
        <c:crossBetween val="between"/>
      </c:valAx>
      <c:catAx>
        <c:axId val="45265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HelveticaNeue Light" panose="00000400000000000000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HelveticaNeue Light" panose="00000400000000000000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4761</xdr:rowOff>
    </xdr:from>
    <xdr:to>
      <xdr:col>32</xdr:col>
      <xdr:colOff>94911</xdr:colOff>
      <xdr:row>39</xdr:row>
      <xdr:rowOff>100852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958CC1-A6FA-1885-3219-AA8B7D6F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limi365.sharepoint.com/sites/DENG-SESAM/Documenti%20condivisi/PUBLICATIONS/2023_Shendrikova_Merlino/model/data/Geopolitical%20indicators/bp-stats-review-2022-all-data.xlsx" TargetMode="External"/><Relationship Id="rId1" Type="http://schemas.openxmlformats.org/officeDocument/2006/relationships/externalLinkPath" Target="data/Geopolitical%20indicators/bp-stats-review-2022-a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"/>
      <sheetName val="Primary Energy - Cons by fuel"/>
      <sheetName val="Primary Energy - Cons capita"/>
      <sheetName val="CO2 Emissions from Energy"/>
      <sheetName val="CO2 from Flaring"/>
      <sheetName val="Natural Gas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"/>
      <sheetName val="Oil - Trade 2020- 2021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Generation - TWh"/>
      <sheetName val="Solar Consumption - EJ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Wind Capacity"/>
      <sheetName val="Solar Capacity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A7" t="str">
            <v>Canada</v>
          </cell>
          <cell r="B7">
            <v>1.640925</v>
          </cell>
          <cell r="C7">
            <v>1.8830710025093751</v>
          </cell>
          <cell r="D7">
            <v>1.9940677701749998</v>
          </cell>
          <cell r="E7">
            <v>2.35395769365</v>
          </cell>
        </row>
        <row r="8">
          <cell r="A8" t="str">
            <v>Mexico</v>
          </cell>
          <cell r="B8">
            <v>0.8141250000000001</v>
          </cell>
          <cell r="C8">
            <v>0.35025842339730001</v>
          </cell>
          <cell r="D8">
            <v>0.17806994488800001</v>
          </cell>
          <cell r="E8">
            <v>0.17806994488800001</v>
          </cell>
        </row>
        <row r="9">
          <cell r="A9" t="str">
            <v>US</v>
          </cell>
          <cell r="B9">
            <v>4.810646360789625</v>
          </cell>
          <cell r="C9">
            <v>8.259414562921874</v>
          </cell>
          <cell r="D9">
            <v>12.618704422344374</v>
          </cell>
          <cell r="E9">
            <v>12.618704422344374</v>
          </cell>
        </row>
        <row r="10">
          <cell r="A10" t="str">
            <v>Total North America</v>
          </cell>
          <cell r="B10">
            <v>7.265696360789625</v>
          </cell>
          <cell r="C10">
            <v>10.492743988828549</v>
          </cell>
          <cell r="D10">
            <v>14.790842137407374</v>
          </cell>
          <cell r="E10">
            <v>15.150732060882374</v>
          </cell>
        </row>
        <row r="11">
          <cell r="B11"/>
          <cell r="C11"/>
          <cell r="D11"/>
          <cell r="E11"/>
        </row>
        <row r="12">
          <cell r="A12" t="str">
            <v>Argentina</v>
          </cell>
          <cell r="B12">
            <v>0.75854999999999995</v>
          </cell>
          <cell r="C12">
            <v>0.34884732766997872</v>
          </cell>
          <cell r="D12">
            <v>0.38556774602500005</v>
          </cell>
          <cell r="E12">
            <v>0.38556774602500005</v>
          </cell>
        </row>
        <row r="13">
          <cell r="A13" t="str">
            <v>Bolivia</v>
          </cell>
          <cell r="B13">
            <v>0.18835362830245919</v>
          </cell>
          <cell r="C13">
            <v>0.27164827200000002</v>
          </cell>
          <cell r="D13">
            <v>0.21286767234749998</v>
          </cell>
          <cell r="E13">
            <v>0.21286767234749998</v>
          </cell>
        </row>
        <row r="14">
          <cell r="A14" t="str">
            <v>Brazil</v>
          </cell>
          <cell r="B14">
            <v>0.215475</v>
          </cell>
          <cell r="C14">
            <v>0.43611588149849995</v>
          </cell>
          <cell r="D14">
            <v>0.37527866300249996</v>
          </cell>
          <cell r="E14">
            <v>0.34852831763392195</v>
          </cell>
        </row>
        <row r="15">
          <cell r="A15" t="str">
            <v>Colombia</v>
          </cell>
          <cell r="B15">
            <v>0.125775</v>
          </cell>
          <cell r="C15">
            <v>0.14731310271562501</v>
          </cell>
          <cell r="D15">
            <v>8.6207464179374985E-2</v>
          </cell>
          <cell r="E15">
            <v>8.6207464179374985E-2</v>
          </cell>
        </row>
        <row r="16">
          <cell r="A16" t="str">
            <v>Peru</v>
          </cell>
          <cell r="B16">
            <v>0.24082500000000004</v>
          </cell>
          <cell r="C16">
            <v>0.33965141277374999</v>
          </cell>
          <cell r="D16">
            <v>0.27559718805536199</v>
          </cell>
          <cell r="E16">
            <v>0.26144213080364553</v>
          </cell>
        </row>
        <row r="17">
          <cell r="A17" t="str">
            <v>Trinidad &amp; Tobago</v>
          </cell>
          <cell r="B17">
            <v>0.54307500000000009</v>
          </cell>
          <cell r="C17">
            <v>0.37066331897250004</v>
          </cell>
          <cell r="D17">
            <v>0.28956350661187502</v>
          </cell>
          <cell r="E17">
            <v>0.28986642611475005</v>
          </cell>
        </row>
        <row r="18">
          <cell r="A18" t="str">
            <v>Venezuela</v>
          </cell>
          <cell r="B18">
            <v>4.609183980000001</v>
          </cell>
          <cell r="C18">
            <v>6.1321996260360008</v>
          </cell>
          <cell r="D18">
            <v>6.2601734064165262</v>
          </cell>
          <cell r="E18">
            <v>6.2601734064165262</v>
          </cell>
        </row>
        <row r="19">
          <cell r="A19" t="str">
            <v>Other S. &amp; Cent. America</v>
          </cell>
          <cell r="B19">
            <v>0.11835000000000001</v>
          </cell>
          <cell r="C19">
            <v>6.0732940200000002E-2</v>
          </cell>
          <cell r="D19">
            <v>5.3304823966686503E-2</v>
          </cell>
          <cell r="E19">
            <v>5.2823573966686507E-2</v>
          </cell>
        </row>
        <row r="20">
          <cell r="A20" t="str">
            <v>Total S. &amp; Cent. America</v>
          </cell>
          <cell r="B20">
            <v>6.7995876083024598</v>
          </cell>
          <cell r="C20">
            <v>8.1071718818663552</v>
          </cell>
          <cell r="D20">
            <v>7.9385604706048243</v>
          </cell>
          <cell r="E20">
            <v>7.8974767374874055</v>
          </cell>
        </row>
        <row r="21">
          <cell r="B21"/>
          <cell r="C21"/>
          <cell r="D21"/>
          <cell r="E21"/>
        </row>
        <row r="22">
          <cell r="A22" t="str">
            <v>Denmark</v>
          </cell>
          <cell r="B22">
            <v>0.1404</v>
          </cell>
          <cell r="C22">
            <v>5.4031451109999996E-2</v>
          </cell>
          <cell r="D22">
            <v>2.9640900853888895E-2</v>
          </cell>
          <cell r="E22">
            <v>2.8027956853326593E-2</v>
          </cell>
        </row>
        <row r="23">
          <cell r="A23" t="str">
            <v>Germany</v>
          </cell>
          <cell r="B23">
            <v>0.23205288758399997</v>
          </cell>
          <cell r="C23">
            <v>7.6668681599999997E-2</v>
          </cell>
          <cell r="D23">
            <v>2.18048544E-2</v>
          </cell>
          <cell r="E23">
            <v>1.9659538079999997E-2</v>
          </cell>
        </row>
        <row r="24">
          <cell r="A24" t="str">
            <v>Italy</v>
          </cell>
          <cell r="B24">
            <v>0.194025</v>
          </cell>
          <cell r="C24">
            <v>6.2881192500000002E-2</v>
          </cell>
          <cell r="D24">
            <v>4.3600687499999999E-2</v>
          </cell>
          <cell r="E24">
            <v>4.239768E-2</v>
          </cell>
        </row>
        <row r="25">
          <cell r="A25" t="str">
            <v>Netherlands</v>
          </cell>
          <cell r="B25">
            <v>1.57065476</v>
          </cell>
          <cell r="C25">
            <v>1.15257952</v>
          </cell>
          <cell r="D25">
            <v>0.12993035999999999</v>
          </cell>
          <cell r="E25">
            <v>0.12993035999999999</v>
          </cell>
        </row>
        <row r="26">
          <cell r="A26" t="str">
            <v>Norway</v>
          </cell>
          <cell r="B26">
            <v>1.2495575000000001</v>
          </cell>
          <cell r="C26">
            <v>2.0266850000000001</v>
          </cell>
          <cell r="D26">
            <v>1.5326780499999997</v>
          </cell>
          <cell r="E26">
            <v>1.4291801499999999</v>
          </cell>
        </row>
        <row r="27">
          <cell r="A27" t="str">
            <v>Poland</v>
          </cell>
          <cell r="B27">
            <v>8.7762500000000007E-2</v>
          </cell>
          <cell r="C27">
            <v>8.0503630554298627E-2</v>
          </cell>
          <cell r="D27">
            <v>7.2260085814479638E-2</v>
          </cell>
          <cell r="E27">
            <v>7.2260085814479638E-2</v>
          </cell>
        </row>
        <row r="28">
          <cell r="A28" t="str">
            <v>Romania</v>
          </cell>
          <cell r="B28">
            <v>0.19694999999999999</v>
          </cell>
          <cell r="C28">
            <v>0.10725</v>
          </cell>
          <cell r="D28">
            <v>7.8867749999999986E-2</v>
          </cell>
          <cell r="E28">
            <v>7.8867749999999986E-2</v>
          </cell>
        </row>
        <row r="29">
          <cell r="A29" t="str">
            <v>Ukraine</v>
          </cell>
          <cell r="B29">
            <v>0.78503030474228197</v>
          </cell>
          <cell r="C29">
            <v>0.7301978804080631</v>
          </cell>
          <cell r="D29">
            <v>1.0912109671474803</v>
          </cell>
          <cell r="E29">
            <v>1.0912109671474803</v>
          </cell>
        </row>
        <row r="30">
          <cell r="A30" t="str">
            <v>United Kingdom</v>
          </cell>
          <cell r="B30">
            <v>0.73132499999999989</v>
          </cell>
          <cell r="C30">
            <v>0.25132704999999994</v>
          </cell>
          <cell r="D30">
            <v>0.18697934276987774</v>
          </cell>
          <cell r="E30">
            <v>0.18697934276987774</v>
          </cell>
        </row>
        <row r="31">
          <cell r="A31" t="str">
            <v>Other Europe</v>
          </cell>
          <cell r="B31">
            <v>0.18259025632933251</v>
          </cell>
          <cell r="C31">
            <v>0.12675255332264754</v>
          </cell>
          <cell r="D31">
            <v>8.9987327803305567E-2</v>
          </cell>
          <cell r="E31">
            <v>9.0268283490100562E-2</v>
          </cell>
        </row>
        <row r="32">
          <cell r="A32" t="str">
            <v>Total Europe</v>
          </cell>
          <cell r="B32">
            <v>5.3703482086556154</v>
          </cell>
          <cell r="C32">
            <v>4.6688769594950097</v>
          </cell>
          <cell r="D32">
            <v>3.2769603262890317</v>
          </cell>
          <cell r="E32">
            <v>3.1687821141552646</v>
          </cell>
        </row>
        <row r="33">
          <cell r="B33"/>
          <cell r="C33"/>
          <cell r="D33"/>
          <cell r="E33"/>
        </row>
        <row r="34">
          <cell r="A34" t="str">
            <v>Azerbaijan</v>
          </cell>
          <cell r="B34">
            <v>0.99019970902395682</v>
          </cell>
          <cell r="C34">
            <v>1.0209230501032451</v>
          </cell>
          <cell r="D34">
            <v>2.5036527991692847</v>
          </cell>
          <cell r="E34">
            <v>2.5036527991692847</v>
          </cell>
        </row>
        <row r="35">
          <cell r="A35" t="str">
            <v>Kazakhstan</v>
          </cell>
          <cell r="B35">
            <v>1.7132322067407268</v>
          </cell>
          <cell r="C35">
            <v>1.7132322067407268</v>
          </cell>
          <cell r="D35">
            <v>2.2571154469758783</v>
          </cell>
          <cell r="E35">
            <v>2.2571154469758783</v>
          </cell>
        </row>
        <row r="36">
          <cell r="A36" t="str">
            <v>Russian Federation</v>
          </cell>
          <cell r="B36">
            <v>33.155713207404119</v>
          </cell>
          <cell r="C36">
            <v>34.116418192654862</v>
          </cell>
          <cell r="D36">
            <v>37.556741012640117</v>
          </cell>
          <cell r="E36">
            <v>37.391524354530056</v>
          </cell>
        </row>
        <row r="37">
          <cell r="A37" t="str">
            <v>Turkmenistan</v>
          </cell>
          <cell r="B37">
            <v>1.81545</v>
          </cell>
          <cell r="C37">
            <v>13.60125</v>
          </cell>
          <cell r="D37">
            <v>13.60125</v>
          </cell>
          <cell r="E37">
            <v>13.60125</v>
          </cell>
        </row>
        <row r="38">
          <cell r="A38" t="str">
            <v>Uzbekistan</v>
          </cell>
          <cell r="B38">
            <v>0.91357500000000003</v>
          </cell>
          <cell r="C38">
            <v>0.87359999999999982</v>
          </cell>
          <cell r="D38">
            <v>0.84532499999999999</v>
          </cell>
          <cell r="E38">
            <v>0.84532499999999999</v>
          </cell>
        </row>
        <row r="39">
          <cell r="A39" t="str">
            <v>Other CIS</v>
          </cell>
          <cell r="B39">
            <v>9.032653910090685E-3</v>
          </cell>
          <cell r="C39">
            <v>5.1145462884587024E-3</v>
          </cell>
          <cell r="D39">
            <v>2.9824806396924258E-3</v>
          </cell>
          <cell r="E39">
            <v>2.8606568678094372E-3</v>
          </cell>
        </row>
        <row r="40">
          <cell r="A40" t="str">
            <v>Total CIS</v>
          </cell>
          <cell r="B40">
            <v>38.597202777078891</v>
          </cell>
          <cell r="C40">
            <v>51.330537995787289</v>
          </cell>
          <cell r="D40">
            <v>56.767066739424976</v>
          </cell>
          <cell r="E40">
            <v>56.601728257543037</v>
          </cell>
        </row>
        <row r="41">
          <cell r="B41"/>
          <cell r="C41"/>
          <cell r="D41"/>
          <cell r="E41"/>
        </row>
        <row r="42">
          <cell r="A42" t="str">
            <v>Bahrain</v>
          </cell>
          <cell r="B42">
            <v>0.26895029498333334</v>
          </cell>
          <cell r="C42">
            <v>0.20799858998999998</v>
          </cell>
          <cell r="D42">
            <v>7.7313495555E-2</v>
          </cell>
          <cell r="E42">
            <v>6.4831428075000003E-2</v>
          </cell>
        </row>
        <row r="43">
          <cell r="A43" t="str">
            <v>Iran</v>
          </cell>
          <cell r="B43">
            <v>25.35</v>
          </cell>
          <cell r="C43">
            <v>32.262749999999997</v>
          </cell>
          <cell r="D43">
            <v>32.10137858865</v>
          </cell>
          <cell r="E43">
            <v>32.10137858865</v>
          </cell>
        </row>
        <row r="44">
          <cell r="A44" t="str">
            <v>Iraq</v>
          </cell>
          <cell r="B44">
            <v>2.9535500000000003</v>
          </cell>
          <cell r="C44">
            <v>3.0000999999999998</v>
          </cell>
          <cell r="D44">
            <v>3.5285259099999995</v>
          </cell>
          <cell r="E44">
            <v>3.5285259099999995</v>
          </cell>
        </row>
        <row r="45">
          <cell r="A45" t="str">
            <v>Israel</v>
          </cell>
          <cell r="B45">
            <v>4.3874999999999997E-2</v>
          </cell>
          <cell r="C45">
            <v>0.19694999999999999</v>
          </cell>
          <cell r="D45">
            <v>0.56670502196365713</v>
          </cell>
          <cell r="E45">
            <v>0.58855774267410421</v>
          </cell>
        </row>
        <row r="46">
          <cell r="A46" t="str">
            <v>Kuwait</v>
          </cell>
          <cell r="B46">
            <v>1.4791500000000002</v>
          </cell>
          <cell r="C46">
            <v>1.6947999999999999</v>
          </cell>
          <cell r="D46">
            <v>1.6947999999999999</v>
          </cell>
          <cell r="E46">
            <v>1.6947999999999999</v>
          </cell>
        </row>
        <row r="47">
          <cell r="A47" t="str">
            <v>Oman</v>
          </cell>
          <cell r="B47">
            <v>0.80960750000000004</v>
          </cell>
          <cell r="C47">
            <v>0.4902658800000001</v>
          </cell>
          <cell r="D47">
            <v>0.66634750000000009</v>
          </cell>
          <cell r="E47">
            <v>0.66634750000000009</v>
          </cell>
        </row>
        <row r="48">
          <cell r="A48" t="str">
            <v>Qatar</v>
          </cell>
          <cell r="B48">
            <v>14.948505000000001</v>
          </cell>
          <cell r="C48">
            <v>25.923722639127753</v>
          </cell>
          <cell r="D48">
            <v>24.665471469000003</v>
          </cell>
          <cell r="E48">
            <v>24.665471469000003</v>
          </cell>
        </row>
        <row r="49">
          <cell r="A49" t="str">
            <v>Saudi Arabia</v>
          </cell>
          <cell r="B49">
            <v>5.9859499999999999</v>
          </cell>
          <cell r="C49">
            <v>7.5053810924999995</v>
          </cell>
          <cell r="D49">
            <v>5.9845458350853198</v>
          </cell>
          <cell r="E49">
            <v>6.0191200153744173</v>
          </cell>
        </row>
        <row r="50">
          <cell r="A50" t="str">
            <v>Syria</v>
          </cell>
          <cell r="B50">
            <v>0.23497499999999999</v>
          </cell>
          <cell r="C50">
            <v>0.26861250000000003</v>
          </cell>
          <cell r="D50">
            <v>0.26861250000000003</v>
          </cell>
          <cell r="E50">
            <v>0.26861250000000003</v>
          </cell>
        </row>
        <row r="51">
          <cell r="A51" t="str">
            <v>United Arab Emirates</v>
          </cell>
          <cell r="B51">
            <v>5.84415</v>
          </cell>
          <cell r="C51">
            <v>5.9387250000000007</v>
          </cell>
          <cell r="D51">
            <v>5.9387250000000007</v>
          </cell>
          <cell r="E51">
            <v>5.9387250000000007</v>
          </cell>
        </row>
        <row r="52">
          <cell r="A52" t="str">
            <v>Yemen</v>
          </cell>
          <cell r="B52">
            <v>0.32468367952572669</v>
          </cell>
          <cell r="C52">
            <v>0.31589237963334849</v>
          </cell>
          <cell r="D52">
            <v>0.26593279213334842</v>
          </cell>
          <cell r="E52">
            <v>0.26583103001075847</v>
          </cell>
        </row>
        <row r="53">
          <cell r="A53" t="str">
            <v>Other Middle East</v>
          </cell>
          <cell r="B53">
            <v>6.8250000000000003E-3</v>
          </cell>
          <cell r="C53">
            <v>4.6950000000000004E-3</v>
          </cell>
          <cell r="D53">
            <v>4.7196401816250004E-3</v>
          </cell>
          <cell r="E53">
            <v>4.7196401816250004E-3</v>
          </cell>
        </row>
        <row r="54">
          <cell r="A54" t="str">
            <v>Total Middle East</v>
          </cell>
          <cell r="B54">
            <v>58.250221474509068</v>
          </cell>
          <cell r="C54">
            <v>77.809893081251104</v>
          </cell>
          <cell r="D54">
            <v>75.763077752568961</v>
          </cell>
          <cell r="E54">
            <v>75.806920823965925</v>
          </cell>
        </row>
        <row r="55">
          <cell r="B55"/>
          <cell r="C55"/>
          <cell r="D55"/>
          <cell r="E55"/>
        </row>
        <row r="56">
          <cell r="A56" t="str">
            <v>Algeria</v>
          </cell>
          <cell r="B56">
            <v>4.3533875000000002</v>
          </cell>
          <cell r="C56">
            <v>4.3351000000000006</v>
          </cell>
          <cell r="D56">
            <v>4.3351000000000006</v>
          </cell>
          <cell r="E56">
            <v>2.2791999999999999</v>
          </cell>
        </row>
        <row r="57">
          <cell r="A57" t="str">
            <v>Egypt</v>
          </cell>
          <cell r="B57">
            <v>1.3792625000000001</v>
          </cell>
          <cell r="C57">
            <v>2.1271249999999999</v>
          </cell>
          <cell r="D57">
            <v>2.1377125000000001</v>
          </cell>
          <cell r="E57">
            <v>2.1377125000000001</v>
          </cell>
        </row>
        <row r="58">
          <cell r="A58" t="str">
            <v>Libya</v>
          </cell>
          <cell r="B58">
            <v>1.2483</v>
          </cell>
          <cell r="C58">
            <v>1.42025</v>
          </cell>
          <cell r="D58">
            <v>1.4296544888133671</v>
          </cell>
          <cell r="E58">
            <v>1.4296544888133671</v>
          </cell>
        </row>
        <row r="59">
          <cell r="A59" t="str">
            <v>Nigeria</v>
          </cell>
          <cell r="B59">
            <v>3.9006999999999996</v>
          </cell>
          <cell r="C59">
            <v>4.9186915887850464</v>
          </cell>
          <cell r="D59">
            <v>5.4729794499999995</v>
          </cell>
          <cell r="E59">
            <v>5.4729794499999995</v>
          </cell>
        </row>
        <row r="60">
          <cell r="A60" t="str">
            <v>Other Africa</v>
          </cell>
          <cell r="B60">
            <v>1.0434360305000001</v>
          </cell>
          <cell r="C60">
            <v>1.2086778747857205</v>
          </cell>
          <cell r="D60">
            <v>1.571055810629836</v>
          </cell>
          <cell r="E60">
            <v>1.5690112490795358</v>
          </cell>
        </row>
        <row r="61">
          <cell r="A61" t="str">
            <v>Total Africa</v>
          </cell>
          <cell r="B61">
            <v>11.925086030500001</v>
          </cell>
          <cell r="C61">
            <v>14.009844463570767</v>
          </cell>
          <cell r="D61">
            <v>14.946502249443201</v>
          </cell>
          <cell r="E61">
            <v>12.888557687892899</v>
          </cell>
        </row>
        <row r="62">
          <cell r="B62"/>
          <cell r="C62"/>
          <cell r="D62"/>
          <cell r="E62"/>
        </row>
        <row r="63">
          <cell r="A63" t="str">
            <v>Australia</v>
          </cell>
          <cell r="B63">
            <v>1.7183399999999998</v>
          </cell>
          <cell r="C63">
            <v>2.8596648599999996</v>
          </cell>
          <cell r="D63">
            <v>2.3895955044697197</v>
          </cell>
          <cell r="E63">
            <v>2.3895955044697197</v>
          </cell>
        </row>
        <row r="64">
          <cell r="A64" t="str">
            <v>Bangladesh</v>
          </cell>
          <cell r="B64">
            <v>0.29835</v>
          </cell>
          <cell r="C64">
            <v>0.34514999999999996</v>
          </cell>
          <cell r="D64">
            <v>0.11022726758793749</v>
          </cell>
          <cell r="E64">
            <v>0.11022726758793749</v>
          </cell>
        </row>
        <row r="65">
          <cell r="A65" t="str">
            <v>Brunei</v>
          </cell>
          <cell r="B65">
            <v>0.35685</v>
          </cell>
          <cell r="C65">
            <v>0.29370661125000003</v>
          </cell>
          <cell r="D65">
            <v>0.2223</v>
          </cell>
          <cell r="E65">
            <v>0.2223</v>
          </cell>
        </row>
        <row r="66">
          <cell r="A66" t="str">
            <v>China</v>
          </cell>
          <cell r="B66">
            <v>1.3776524090462146</v>
          </cell>
          <cell r="C66">
            <v>2.7470937315634218</v>
          </cell>
          <cell r="D66">
            <v>8.398549655850541</v>
          </cell>
          <cell r="E66">
            <v>8.398549655850541</v>
          </cell>
        </row>
        <row r="67">
          <cell r="A67" t="str">
            <v>India</v>
          </cell>
          <cell r="B67">
            <v>0.7313171249999999</v>
          </cell>
          <cell r="C67">
            <v>1.1054986249999998</v>
          </cell>
          <cell r="D67">
            <v>1.3288660897833995</v>
          </cell>
          <cell r="E67">
            <v>1.3204431160449042</v>
          </cell>
        </row>
        <row r="68">
          <cell r="A68" t="str">
            <v>Indonesia</v>
          </cell>
          <cell r="B68">
            <v>2.7222300000000001</v>
          </cell>
          <cell r="C68">
            <v>3.0095332239524994</v>
          </cell>
          <cell r="D68">
            <v>1.4295484004993626</v>
          </cell>
          <cell r="E68">
            <v>1.2522716318174998</v>
          </cell>
        </row>
        <row r="69">
          <cell r="A69" t="str">
            <v>Malaysia</v>
          </cell>
          <cell r="B69">
            <v>1.0635569936578126</v>
          </cell>
          <cell r="C69">
            <v>1.0272670498726655</v>
          </cell>
          <cell r="D69">
            <v>0.90823063050878827</v>
          </cell>
          <cell r="E69">
            <v>0.90823063050878827</v>
          </cell>
        </row>
        <row r="70">
          <cell r="A70" t="str">
            <v>Myanmar</v>
          </cell>
          <cell r="B70">
            <v>0.27982499999999999</v>
          </cell>
          <cell r="C70">
            <v>0.21723189422347913</v>
          </cell>
          <cell r="D70">
            <v>0.44693441588332539</v>
          </cell>
          <cell r="E70">
            <v>0.43221186916584658</v>
          </cell>
        </row>
        <row r="71">
          <cell r="A71" t="str">
            <v>Pakistan</v>
          </cell>
          <cell r="B71">
            <v>0.50078379027706943</v>
          </cell>
          <cell r="C71">
            <v>0.55108455397739142</v>
          </cell>
          <cell r="D71">
            <v>0.39464306139179206</v>
          </cell>
          <cell r="E71">
            <v>0.38478632986503009</v>
          </cell>
        </row>
        <row r="72">
          <cell r="A72" t="str">
            <v>Papua New Guinea</v>
          </cell>
          <cell r="B72">
            <v>2.9154279841143785E-3</v>
          </cell>
          <cell r="C72">
            <v>0.14944030598645691</v>
          </cell>
          <cell r="D72">
            <v>0.17601944488460564</v>
          </cell>
          <cell r="E72">
            <v>0.16314447989030173</v>
          </cell>
        </row>
        <row r="73">
          <cell r="A73" t="str">
            <v>Thailand</v>
          </cell>
          <cell r="B73">
            <v>0.35099999999999998</v>
          </cell>
          <cell r="C73">
            <v>0.31006919225778268</v>
          </cell>
          <cell r="D73">
            <v>0.14308403709987846</v>
          </cell>
          <cell r="E73">
            <v>0.14308403709987846</v>
          </cell>
        </row>
        <row r="74">
          <cell r="A74" t="str">
            <v>Vietnam</v>
          </cell>
          <cell r="B74">
            <v>0.16575000000000001</v>
          </cell>
          <cell r="C74">
            <v>0.64592863865957773</v>
          </cell>
          <cell r="D74">
            <v>0.64592863865957773</v>
          </cell>
          <cell r="E74">
            <v>0.64592863865957773</v>
          </cell>
        </row>
        <row r="75">
          <cell r="A75" t="str">
            <v>Other Asia Pacific</v>
          </cell>
          <cell r="B75">
            <v>0.24648000000000003</v>
          </cell>
          <cell r="C75">
            <v>0.26009202716697793</v>
          </cell>
          <cell r="D75">
            <v>0.19093977904799736</v>
          </cell>
          <cell r="E75">
            <v>0.1892552445678139</v>
          </cell>
        </row>
        <row r="76">
          <cell r="A76" t="str">
            <v>Total Asia Pacific</v>
          </cell>
          <cell r="B76">
            <v>9.8150507459652108</v>
          </cell>
          <cell r="C76">
            <v>13.521760713910256</v>
          </cell>
          <cell r="D76">
            <v>16.784866925666925</v>
          </cell>
          <cell r="E76">
            <v>16.560028405527838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31B1E71D-0F2A-4F39-B7C9-A3298FC31045}" userId="S::10421550@polimi.it::77d5bfdd-3e88-4678-a8ff-024fe85681f6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6" dT="2023-06-13T14:27:32.42" personId="{31B1E71D-0F2A-4F39-B7C9-A3298FC31045}" id="{A0FB7DB9-0D17-4947-87D8-214556A7B8A9}">
    <text>((max22-min22)*(value18-min18))/(max18-min18)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2" dT="2023-06-12T15:36:33.70" personId="{31B1E71D-0F2A-4F39-B7C9-A3298FC31045}" id="{E73A9060-D298-4F09-96B2-1D32B896D3FE}">
    <text>Transmed, Medgaz</text>
  </threadedComment>
  <threadedComment ref="L6" dT="2023-06-12T15:38:41.72" personId="{31B1E71D-0F2A-4F39-B7C9-A3298FC31045}" id="{E9DA2845-7E8D-41B9-B19D-121ED491339E}">
    <text>TAP</text>
  </threadedComment>
  <threadedComment ref="L25" dT="2023-06-12T15:36:50.12" personId="{31B1E71D-0F2A-4F39-B7C9-A3298FC31045}" id="{2A9B7749-3538-4DD5-BD4F-EFB97198B938}">
    <text>Greenstream</text>
  </threadedComment>
  <threadedComment ref="L32" dT="2023-06-12T15:41:16.46" personId="{31B1E71D-0F2A-4F39-B7C9-A3298FC31045}" id="{F9F07A0E-7089-4974-9B51-CD8C2B01D4C6}">
    <text>Europipe I, Europipe "", Norpipe, Zeepipe</text>
  </threadedComment>
  <threadedComment ref="L32" dT="2023-06-13T12:19:51.32" personId="{31B1E71D-0F2A-4F39-B7C9-A3298FC31045}" id="{318757A6-E5CB-4226-A079-B838534C86F9}" parentId="{F9F07A0E-7089-4974-9B51-CD8C2B01D4C6}">
    <text>95 is the value from Bruegel (Norway max)</text>
  </threadedComment>
  <threadedComment ref="L39" dT="2023-06-12T15:39:50.80" personId="{31B1E71D-0F2A-4F39-B7C9-A3298FC31045}" id="{B6C86993-8B4C-4609-AE9C-DB87ADF8BCA3}">
    <text>Nordstream, Nordstream 2, Yamal, Brotherhood, Soyuz, Turkstream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8A97-6BCA-402D-8BBB-D1E8009B7C40}">
  <dimension ref="A1:L28"/>
  <sheetViews>
    <sheetView workbookViewId="0"/>
  </sheetViews>
  <sheetFormatPr defaultRowHeight="14.4" x14ac:dyDescent="0.3"/>
  <cols>
    <col min="1" max="1" width="16.6640625" bestFit="1" customWidth="1"/>
    <col min="2" max="2" width="11" bestFit="1" customWidth="1"/>
    <col min="3" max="3" width="10.88671875" bestFit="1" customWidth="1"/>
    <col min="4" max="4" width="11.33203125" bestFit="1" customWidth="1"/>
    <col min="5" max="5" width="10.88671875" bestFit="1" customWidth="1"/>
    <col min="6" max="6" width="11.33203125" bestFit="1" customWidth="1"/>
    <col min="7" max="7" width="12.6640625" bestFit="1" customWidth="1"/>
    <col min="8" max="8" width="8" bestFit="1" customWidth="1"/>
    <col min="9" max="9" width="18.6640625" bestFit="1" customWidth="1"/>
    <col min="10" max="10" width="10.5546875" bestFit="1" customWidth="1"/>
    <col min="11" max="11" width="10.5546875" customWidth="1"/>
    <col min="12" max="12" width="29" customWidth="1"/>
  </cols>
  <sheetData>
    <row r="1" spans="1:12" x14ac:dyDescent="0.3">
      <c r="A1" s="11" t="s">
        <v>168</v>
      </c>
      <c r="B1" s="11" t="s">
        <v>239</v>
      </c>
      <c r="C1" s="11" t="s">
        <v>240</v>
      </c>
      <c r="D1" s="11" t="s">
        <v>241</v>
      </c>
      <c r="E1" s="11" t="s">
        <v>242</v>
      </c>
      <c r="F1" s="11" t="s">
        <v>241</v>
      </c>
      <c r="G1" s="11" t="s">
        <v>243</v>
      </c>
      <c r="H1" s="11" t="s">
        <v>244</v>
      </c>
      <c r="I1" s="11" t="s">
        <v>245</v>
      </c>
      <c r="J1" s="11" t="s">
        <v>249</v>
      </c>
      <c r="K1" s="11" t="s">
        <v>247</v>
      </c>
      <c r="L1" s="11" t="s">
        <v>250</v>
      </c>
    </row>
    <row r="2" spans="1:12" x14ac:dyDescent="0.3">
      <c r="A2" t="s">
        <v>0</v>
      </c>
      <c r="B2" s="3" t="e">
        <f>VLOOKUP($A2,GDI!$B$2:$B$197,2,FALSE)/100</f>
        <v>#N/A</v>
      </c>
      <c r="C2" s="3" t="e">
        <f>VLOOKUP($A2,CPI!$B$2:$B$201,2,FALSE)/100</f>
        <v>#N/A</v>
      </c>
      <c r="D2" s="3" t="e">
        <f>VLOOKUP($A2,#REF!,3,FALSE)/100</f>
        <v>#REF!</v>
      </c>
      <c r="E2" s="3" t="e">
        <f>VLOOKUP($A2,#REF!,3,FALSE)/100</f>
        <v>#REF!</v>
      </c>
      <c r="F2" s="3" t="e">
        <f t="shared" ref="F2:F25" si="0">AVERAGE(D2:E2)</f>
        <v>#REF!</v>
      </c>
      <c r="G2" s="3" t="e">
        <f>VLOOKUP($A2,WPFI!$B$2:$B$199,2,FALSE)/100</f>
        <v>#N/A</v>
      </c>
      <c r="H2" s="3" t="e">
        <f>VLOOKUP($A2,EPI!$B$2:$B$201,2,FALSE)/100</f>
        <v>#N/A</v>
      </c>
      <c r="I2" s="12" t="e">
        <f t="shared" ref="I2:I25" si="1">GEOMEAN(B2:C2,F2,G2,H2)</f>
        <v>#N/A</v>
      </c>
      <c r="J2" s="3" t="e">
        <f>INDEX($I$2:$I$28,MATCH("EU27",$A$2:$A$28,0),1)</f>
        <v>#N/A</v>
      </c>
      <c r="K2" s="3" t="e">
        <f t="shared" ref="K2:K25" si="2">INDEX($I$2:$I$28,MATCH("World",$A$2:$A$28,0),1)</f>
        <v>#REF!</v>
      </c>
      <c r="L2" s="7" t="e">
        <f>VLOOKUP($A2,'Gas data'!$B$2:$Q$49,18,FALSE)</f>
        <v>#N/A</v>
      </c>
    </row>
    <row r="3" spans="1:12" x14ac:dyDescent="0.3">
      <c r="A3" t="s">
        <v>238</v>
      </c>
      <c r="B3" s="3" t="e">
        <f>VLOOKUP($A3,GDI!$B$2:$B$197,2,FALSE)/100</f>
        <v>#N/A</v>
      </c>
      <c r="C3" s="3" t="e">
        <f>VLOOKUP($A3,CPI!$B$2:$B$201,2,FALSE)/100</f>
        <v>#N/A</v>
      </c>
      <c r="D3" s="3" t="e">
        <f>VLOOKUP($A3,#REF!,3,FALSE)/100</f>
        <v>#REF!</v>
      </c>
      <c r="E3" s="3" t="e">
        <f>VLOOKUP($A3,#REF!,3,FALSE)/100</f>
        <v>#REF!</v>
      </c>
      <c r="F3" s="3" t="e">
        <f t="shared" si="0"/>
        <v>#REF!</v>
      </c>
      <c r="G3" s="3" t="e">
        <f>VLOOKUP($A3,WPFI!$B$2:$B$199,2,FALSE)/100</f>
        <v>#N/A</v>
      </c>
      <c r="H3" s="3" t="e">
        <f>VLOOKUP($A3,EPI!$B$2:$B$201,2,FALSE)/100</f>
        <v>#N/A</v>
      </c>
      <c r="I3" s="12" t="e">
        <f t="shared" si="1"/>
        <v>#N/A</v>
      </c>
      <c r="J3" s="3" t="e">
        <f t="shared" ref="J3:J25" si="3">INDEX($I$2:$I$27,MATCH("EU27",$A$2:$A$27,0),1)</f>
        <v>#N/A</v>
      </c>
      <c r="K3" s="3" t="e">
        <f t="shared" si="2"/>
        <v>#REF!</v>
      </c>
      <c r="L3" s="7" t="e">
        <f>VLOOKUP($A3,'Gas data'!$B$2:$Q$49,18,FALSE)</f>
        <v>#N/A</v>
      </c>
    </row>
    <row r="4" spans="1:12" x14ac:dyDescent="0.3">
      <c r="A4" t="s">
        <v>11</v>
      </c>
      <c r="B4" s="3" t="e">
        <f>VLOOKUP($A4,GDI!$B$2:$B$197,2,FALSE)/100</f>
        <v>#N/A</v>
      </c>
      <c r="C4" s="3" t="e">
        <f>VLOOKUP($A4,CPI!$B$2:$B$201,2,FALSE)/100</f>
        <v>#N/A</v>
      </c>
      <c r="D4" s="3" t="e">
        <f>VLOOKUP($A4,#REF!,3,FALSE)/100</f>
        <v>#REF!</v>
      </c>
      <c r="E4" s="3" t="e">
        <f>VLOOKUP($A4,#REF!,3,FALSE)/100</f>
        <v>#REF!</v>
      </c>
      <c r="F4" s="3" t="e">
        <f t="shared" si="0"/>
        <v>#REF!</v>
      </c>
      <c r="G4" s="3" t="e">
        <f>VLOOKUP($A4,WPFI!$B$2:$B$199,2,FALSE)/100</f>
        <v>#N/A</v>
      </c>
      <c r="H4" s="3" t="e">
        <f>VLOOKUP($A4,EPI!$B$2:$B$201,2,FALSE)/100</f>
        <v>#N/A</v>
      </c>
      <c r="I4" s="12" t="e">
        <f t="shared" si="1"/>
        <v>#N/A</v>
      </c>
      <c r="J4" s="3" t="e">
        <f t="shared" si="3"/>
        <v>#N/A</v>
      </c>
      <c r="K4" s="3" t="e">
        <f t="shared" si="2"/>
        <v>#REF!</v>
      </c>
      <c r="L4" s="7" t="e">
        <f>VLOOKUP($A4,'Gas data'!$B$2:$Q$49,18,FALSE)</f>
        <v>#N/A</v>
      </c>
    </row>
    <row r="5" spans="1:12" x14ac:dyDescent="0.3">
      <c r="A5" t="s">
        <v>236</v>
      </c>
      <c r="B5" s="3" t="e">
        <f>VLOOKUP($A5,GDI!$B$2:$B$197,2,FALSE)/100</f>
        <v>#N/A</v>
      </c>
      <c r="C5" s="3" t="e">
        <f>VLOOKUP($A5,CPI!$B$2:$B$201,2,FALSE)/100</f>
        <v>#N/A</v>
      </c>
      <c r="D5" s="3" t="e">
        <f>VLOOKUP($A5,#REF!,3,FALSE)/100</f>
        <v>#REF!</v>
      </c>
      <c r="E5" s="3" t="e">
        <f>VLOOKUP($A5,#REF!,3,FALSE)/100</f>
        <v>#REF!</v>
      </c>
      <c r="F5" s="3" t="e">
        <f t="shared" si="0"/>
        <v>#REF!</v>
      </c>
      <c r="G5" s="3" t="e">
        <f>VLOOKUP($A5,WPFI!$B$2:$B$199,2,FALSE)/100</f>
        <v>#N/A</v>
      </c>
      <c r="H5" s="3" t="e">
        <f>VLOOKUP($A5,EPI!$B$2:$B$201,2,FALSE)/100</f>
        <v>#N/A</v>
      </c>
      <c r="I5" s="12" t="e">
        <f t="shared" si="1"/>
        <v>#N/A</v>
      </c>
      <c r="J5" s="3" t="e">
        <f t="shared" si="3"/>
        <v>#N/A</v>
      </c>
      <c r="K5" s="3" t="e">
        <f t="shared" si="2"/>
        <v>#REF!</v>
      </c>
      <c r="L5" s="7" t="e">
        <f>VLOOKUP($A5,'Gas data'!$B$2:$Q$49,18,FALSE)</f>
        <v>#N/A</v>
      </c>
    </row>
    <row r="6" spans="1:12" x14ac:dyDescent="0.3">
      <c r="A6" t="s">
        <v>228</v>
      </c>
      <c r="B6" s="3" t="e">
        <f>VLOOKUP($A6,GDI!$B$2:$B$197,2,FALSE)/100</f>
        <v>#N/A</v>
      </c>
      <c r="C6" s="3" t="e">
        <f>VLOOKUP($A6,CPI!$B$2:$B$201,2,FALSE)/100</f>
        <v>#N/A</v>
      </c>
      <c r="D6" s="3" t="e">
        <f>VLOOKUP($A6,#REF!,3,FALSE)/100</f>
        <v>#REF!</v>
      </c>
      <c r="E6" s="3" t="e">
        <f>VLOOKUP($A6,#REF!,3,FALSE)/100</f>
        <v>#REF!</v>
      </c>
      <c r="F6" s="3" t="e">
        <f t="shared" si="0"/>
        <v>#REF!</v>
      </c>
      <c r="G6" s="3" t="e">
        <f>VLOOKUP($A6,WPFI!$B$2:$B$199,2,FALSE)/100</f>
        <v>#N/A</v>
      </c>
      <c r="H6" s="3" t="e">
        <f>VLOOKUP($A6,EPI!$B$2:$B$201,2,FALSE)/100</f>
        <v>#N/A</v>
      </c>
      <c r="I6" s="12" t="e">
        <f t="shared" si="1"/>
        <v>#N/A</v>
      </c>
      <c r="J6" s="3" t="e">
        <f t="shared" si="3"/>
        <v>#N/A</v>
      </c>
      <c r="K6" s="3" t="e">
        <f t="shared" si="2"/>
        <v>#REF!</v>
      </c>
      <c r="L6" s="7" t="e">
        <f>VLOOKUP($A6,'Gas data'!$B$2:$Q$49,18,FALSE)</f>
        <v>#N/A</v>
      </c>
    </row>
    <row r="7" spans="1:12" x14ac:dyDescent="0.3">
      <c r="A7" t="s">
        <v>49</v>
      </c>
      <c r="B7" s="3" t="e">
        <f>VLOOKUP($A7,GDI!$B$2:$B$197,2,FALSE)/100</f>
        <v>#N/A</v>
      </c>
      <c r="C7" s="3" t="e">
        <f>VLOOKUP($A7,CPI!$B$2:$B$201,2,FALSE)/100</f>
        <v>#N/A</v>
      </c>
      <c r="D7" s="3" t="e">
        <f>VLOOKUP($A7,#REF!,3,FALSE)/100</f>
        <v>#REF!</v>
      </c>
      <c r="E7" s="3" t="e">
        <f>VLOOKUP($A7,#REF!,3,FALSE)/100</f>
        <v>#REF!</v>
      </c>
      <c r="F7" s="3" t="e">
        <f t="shared" si="0"/>
        <v>#REF!</v>
      </c>
      <c r="G7" s="3" t="e">
        <f>VLOOKUP($A7,WPFI!$B$2:$B$199,2,FALSE)/100</f>
        <v>#N/A</v>
      </c>
      <c r="H7" s="3" t="e">
        <f>VLOOKUP($A7,EPI!$B$2:$B$201,2,FALSE)/100</f>
        <v>#N/A</v>
      </c>
      <c r="I7" s="12" t="e">
        <f t="shared" si="1"/>
        <v>#N/A</v>
      </c>
      <c r="J7" s="3" t="e">
        <f t="shared" si="3"/>
        <v>#N/A</v>
      </c>
      <c r="K7" s="3" t="e">
        <f t="shared" si="2"/>
        <v>#REF!</v>
      </c>
      <c r="L7" s="7" t="e">
        <f>VLOOKUP($A7,'Gas data'!$B$2:$Q$49,18,FALSE)</f>
        <v>#N/A</v>
      </c>
    </row>
    <row r="8" spans="1:12" x14ac:dyDescent="0.3">
      <c r="A8" t="s">
        <v>50</v>
      </c>
      <c r="B8" s="3" t="e">
        <f>VLOOKUP($A8,GDI!$B$2:$B$197,2,FALSE)/100</f>
        <v>#N/A</v>
      </c>
      <c r="C8" s="3" t="e">
        <f>VLOOKUP($A8,CPI!$B$2:$B$201,2,FALSE)/100</f>
        <v>#N/A</v>
      </c>
      <c r="D8" s="3" t="e">
        <f>VLOOKUP($A8,#REF!,3,FALSE)/100</f>
        <v>#REF!</v>
      </c>
      <c r="E8" s="3" t="e">
        <f>VLOOKUP($A8,#REF!,3,FALSE)/100</f>
        <v>#REF!</v>
      </c>
      <c r="F8" s="3" t="e">
        <f t="shared" si="0"/>
        <v>#REF!</v>
      </c>
      <c r="G8" s="3" t="e">
        <f>VLOOKUP($A8,WPFI!$B$2:$B$199,2,FALSE)/100</f>
        <v>#N/A</v>
      </c>
      <c r="H8" s="3" t="e">
        <f>VLOOKUP($A8,EPI!$B$2:$B$201,2,FALSE)/100</f>
        <v>#N/A</v>
      </c>
      <c r="I8" s="12" t="e">
        <f t="shared" si="1"/>
        <v>#N/A</v>
      </c>
      <c r="J8" s="3" t="e">
        <f t="shared" si="3"/>
        <v>#N/A</v>
      </c>
      <c r="K8" s="3" t="e">
        <f t="shared" si="2"/>
        <v>#REF!</v>
      </c>
      <c r="L8" s="7" t="e">
        <f>VLOOKUP($A8,'Gas data'!$B$2:$Q$49,18,FALSE)</f>
        <v>#N/A</v>
      </c>
    </row>
    <row r="9" spans="1:12" x14ac:dyDescent="0.3">
      <c r="A9" t="s">
        <v>86</v>
      </c>
      <c r="B9" s="3" t="e">
        <f>VLOOKUP($A9,GDI!$B$2:$B$197,2,FALSE)/100</f>
        <v>#N/A</v>
      </c>
      <c r="C9" s="3" t="e">
        <f>VLOOKUP($A9,CPI!$B$2:$B$201,2,FALSE)/100</f>
        <v>#N/A</v>
      </c>
      <c r="D9" s="3" t="e">
        <f>VLOOKUP($A9,#REF!,3,FALSE)/100</f>
        <v>#REF!</v>
      </c>
      <c r="E9" s="3" t="e">
        <f>VLOOKUP($A9,#REF!,3,FALSE)/100</f>
        <v>#REF!</v>
      </c>
      <c r="F9" s="3" t="e">
        <f t="shared" si="0"/>
        <v>#REF!</v>
      </c>
      <c r="G9" s="3" t="e">
        <f>VLOOKUP($A9,WPFI!$B$2:$B$199,2,FALSE)/100</f>
        <v>#N/A</v>
      </c>
      <c r="H9" s="3" t="e">
        <f>VLOOKUP($A9,EPI!$B$2:$B$201,2,FALSE)/100</f>
        <v>#N/A</v>
      </c>
      <c r="I9" s="12" t="e">
        <f t="shared" si="1"/>
        <v>#N/A</v>
      </c>
      <c r="J9" s="3" t="e">
        <f t="shared" si="3"/>
        <v>#N/A</v>
      </c>
      <c r="K9" s="3" t="e">
        <f t="shared" si="2"/>
        <v>#REF!</v>
      </c>
      <c r="L9" s="7" t="e">
        <f>VLOOKUP($A9,'Gas data'!$B$2:$Q$49,18,FALSE)</f>
        <v>#N/A</v>
      </c>
    </row>
    <row r="10" spans="1:12" x14ac:dyDescent="0.3">
      <c r="A10" t="s">
        <v>52</v>
      </c>
      <c r="B10" s="3" t="e">
        <f>VLOOKUP($A10,GDI!$B$2:$B$197,2,FALSE)/100</f>
        <v>#N/A</v>
      </c>
      <c r="C10" s="3" t="e">
        <f>VLOOKUP($A10,CPI!$B$2:$B$201,2,FALSE)/100</f>
        <v>#N/A</v>
      </c>
      <c r="D10" s="3" t="e">
        <f>VLOOKUP($A10,#REF!,3,FALSE)/100</f>
        <v>#REF!</v>
      </c>
      <c r="E10" s="3" t="e">
        <f>VLOOKUP($A10,#REF!,3,FALSE)/100</f>
        <v>#REF!</v>
      </c>
      <c r="F10" s="3" t="e">
        <f t="shared" si="0"/>
        <v>#REF!</v>
      </c>
      <c r="G10" s="3" t="e">
        <f>VLOOKUP($A10,WPFI!$B$2:$B$199,2,FALSE)/100</f>
        <v>#N/A</v>
      </c>
      <c r="H10" s="3" t="e">
        <f>VLOOKUP($A10,EPI!$B$2:$B$201,2,FALSE)/100</f>
        <v>#N/A</v>
      </c>
      <c r="I10" s="12" t="e">
        <f t="shared" si="1"/>
        <v>#N/A</v>
      </c>
      <c r="J10" s="3" t="e">
        <f t="shared" si="3"/>
        <v>#N/A</v>
      </c>
      <c r="K10" s="3" t="e">
        <f t="shared" si="2"/>
        <v>#REF!</v>
      </c>
      <c r="L10" s="7" t="e">
        <f>VLOOKUP($A10,'Gas data'!$B$2:$Q$49,18,FALSE)</f>
        <v>#N/A</v>
      </c>
    </row>
    <row r="11" spans="1:12" x14ac:dyDescent="0.3">
      <c r="A11" t="s">
        <v>88</v>
      </c>
      <c r="B11" s="3" t="e">
        <f>VLOOKUP($A11,GDI!$B$2:$B$197,2,FALSE)/100</f>
        <v>#N/A</v>
      </c>
      <c r="C11" s="3" t="e">
        <f>VLOOKUP($A11,CPI!$B$2:$B$201,2,FALSE)/100</f>
        <v>#N/A</v>
      </c>
      <c r="D11" s="3" t="e">
        <f>VLOOKUP($A11,#REF!,3,FALSE)/100</f>
        <v>#REF!</v>
      </c>
      <c r="E11" s="3" t="e">
        <f>VLOOKUP($A11,#REF!,3,FALSE)/100</f>
        <v>#REF!</v>
      </c>
      <c r="F11" s="3" t="e">
        <f t="shared" si="0"/>
        <v>#REF!</v>
      </c>
      <c r="G11" s="3" t="e">
        <f>VLOOKUP($A11,WPFI!$B$2:$B$199,2,FALSE)/100</f>
        <v>#N/A</v>
      </c>
      <c r="H11" s="3" t="e">
        <f>VLOOKUP($A11,EPI!$B$2:$B$201,2,FALSE)/100</f>
        <v>#N/A</v>
      </c>
      <c r="I11" s="12" t="e">
        <f t="shared" si="1"/>
        <v>#N/A</v>
      </c>
      <c r="J11" s="3" t="e">
        <f t="shared" si="3"/>
        <v>#N/A</v>
      </c>
      <c r="K11" s="3" t="e">
        <f t="shared" si="2"/>
        <v>#REF!</v>
      </c>
      <c r="L11" s="7" t="e">
        <f>VLOOKUP($A11,'Gas data'!$B$2:$Q$49,18,FALSE)</f>
        <v>#N/A</v>
      </c>
    </row>
    <row r="12" spans="1:12" x14ac:dyDescent="0.3">
      <c r="A12" t="s">
        <v>237</v>
      </c>
      <c r="B12" s="3" t="e">
        <f>VLOOKUP($A12,GDI!$B$2:$B$197,2,FALSE)/100</f>
        <v>#N/A</v>
      </c>
      <c r="C12" s="3" t="e">
        <f>VLOOKUP($A12,CPI!$B$2:$B$201,2,FALSE)/100</f>
        <v>#N/A</v>
      </c>
      <c r="D12" s="3" t="e">
        <f>VLOOKUP($A12,#REF!,3,FALSE)/100</f>
        <v>#REF!</v>
      </c>
      <c r="E12" s="3" t="e">
        <f>VLOOKUP($A12,#REF!,3,FALSE)/100</f>
        <v>#REF!</v>
      </c>
      <c r="F12" s="3" t="e">
        <f t="shared" si="0"/>
        <v>#REF!</v>
      </c>
      <c r="G12" s="3" t="e">
        <f>VLOOKUP($A12,WPFI!$B$2:$B$199,2,FALSE)/100</f>
        <v>#N/A</v>
      </c>
      <c r="H12" s="3" t="e">
        <f>VLOOKUP($A12,EPI!$B$2:$B$201,2,FALSE)/100</f>
        <v>#N/A</v>
      </c>
      <c r="I12" s="12" t="e">
        <f t="shared" si="1"/>
        <v>#N/A</v>
      </c>
      <c r="J12" s="3" t="e">
        <f t="shared" si="3"/>
        <v>#N/A</v>
      </c>
      <c r="K12" s="3" t="e">
        <f t="shared" si="2"/>
        <v>#REF!</v>
      </c>
      <c r="L12" s="7" t="e">
        <f>VLOOKUP($A12,'Gas data'!$B$2:$Q$49,18,FALSE)</f>
        <v>#N/A</v>
      </c>
    </row>
    <row r="13" spans="1:12" x14ac:dyDescent="0.3">
      <c r="A13" t="s">
        <v>113</v>
      </c>
      <c r="B13" s="3" t="e">
        <f>VLOOKUP($A13,GDI!$B$2:$B$197,2,FALSE)/100</f>
        <v>#N/A</v>
      </c>
      <c r="C13" s="3" t="e">
        <f>VLOOKUP($A13,CPI!$B$2:$B$201,2,FALSE)/100</f>
        <v>#N/A</v>
      </c>
      <c r="D13" s="3" t="e">
        <f>VLOOKUP($A13,#REF!,3,FALSE)/100</f>
        <v>#REF!</v>
      </c>
      <c r="E13" s="3" t="e">
        <f>VLOOKUP($A13,#REF!,3,FALSE)/100</f>
        <v>#REF!</v>
      </c>
      <c r="F13" s="3" t="e">
        <f t="shared" si="0"/>
        <v>#REF!</v>
      </c>
      <c r="G13" s="3" t="e">
        <f>VLOOKUP($A13,WPFI!$B$2:$B$199,2,FALSE)/100</f>
        <v>#N/A</v>
      </c>
      <c r="H13" s="3" t="e">
        <f>VLOOKUP($A13,EPI!$B$2:$B$201,2,FALSE)/100</f>
        <v>#N/A</v>
      </c>
      <c r="I13" s="12" t="e">
        <f t="shared" si="1"/>
        <v>#N/A</v>
      </c>
      <c r="J13" s="3" t="e">
        <f t="shared" si="3"/>
        <v>#N/A</v>
      </c>
      <c r="K13" s="3" t="e">
        <f t="shared" si="2"/>
        <v>#REF!</v>
      </c>
      <c r="L13" s="7" t="e">
        <f>VLOOKUP($A13,'Gas data'!$B$2:$Q$49,18,FALSE)</f>
        <v>#N/A</v>
      </c>
    </row>
    <row r="14" spans="1:12" x14ac:dyDescent="0.3">
      <c r="A14" t="s">
        <v>110</v>
      </c>
      <c r="B14" s="3" t="e">
        <f>VLOOKUP($A14,GDI!$B$2:$B$197,2,FALSE)/100</f>
        <v>#N/A</v>
      </c>
      <c r="C14" s="3" t="e">
        <f>VLOOKUP($A14,CPI!$B$2:$B$201,2,FALSE)/100</f>
        <v>#N/A</v>
      </c>
      <c r="D14" s="3" t="e">
        <f>VLOOKUP($A14,#REF!,3,FALSE)/100</f>
        <v>#REF!</v>
      </c>
      <c r="E14" s="3" t="e">
        <f>VLOOKUP($A14,#REF!,3,FALSE)/100</f>
        <v>#REF!</v>
      </c>
      <c r="F14" s="3" t="e">
        <f t="shared" si="0"/>
        <v>#REF!</v>
      </c>
      <c r="G14" s="3" t="e">
        <f>VLOOKUP($A14,WPFI!$B$2:$B$199,2,FALSE)/100</f>
        <v>#N/A</v>
      </c>
      <c r="H14" s="3" t="e">
        <f>VLOOKUP($A14,EPI!$B$2:$B$201,2,FALSE)/100</f>
        <v>#N/A</v>
      </c>
      <c r="I14" s="12" t="e">
        <f t="shared" si="1"/>
        <v>#N/A</v>
      </c>
      <c r="J14" s="3" t="e">
        <f t="shared" si="3"/>
        <v>#N/A</v>
      </c>
      <c r="K14" s="3" t="e">
        <f t="shared" si="2"/>
        <v>#REF!</v>
      </c>
      <c r="L14" s="7" t="e">
        <f>VLOOKUP($A14,'Gas data'!$B$2:$Q$49,18,FALSE)</f>
        <v>#N/A</v>
      </c>
    </row>
    <row r="15" spans="1:12" x14ac:dyDescent="0.3">
      <c r="A15" t="s">
        <v>112</v>
      </c>
      <c r="B15" s="3" t="e">
        <f>VLOOKUP($A15,GDI!$B$2:$B$197,2,FALSE)/100</f>
        <v>#N/A</v>
      </c>
      <c r="C15" s="3" t="e">
        <f>VLOOKUP($A15,CPI!$B$2:$B$201,2,FALSE)/100</f>
        <v>#N/A</v>
      </c>
      <c r="D15" s="3" t="e">
        <f>VLOOKUP($A15,#REF!,3,FALSE)/100</f>
        <v>#REF!</v>
      </c>
      <c r="E15" s="3" t="e">
        <f>VLOOKUP($A15,#REF!,3,FALSE)/100</f>
        <v>#REF!</v>
      </c>
      <c r="F15" s="3" t="e">
        <f t="shared" si="0"/>
        <v>#REF!</v>
      </c>
      <c r="G15" s="3" t="e">
        <f>VLOOKUP($A15,WPFI!$B$2:$B$199,2,FALSE)/100</f>
        <v>#N/A</v>
      </c>
      <c r="H15" s="3" t="e">
        <f>VLOOKUP($A15,EPI!$B$2:$B$201,2,FALSE)/100</f>
        <v>#N/A</v>
      </c>
      <c r="I15" s="12" t="e">
        <f t="shared" si="1"/>
        <v>#N/A</v>
      </c>
      <c r="J15" s="3" t="e">
        <f t="shared" si="3"/>
        <v>#N/A</v>
      </c>
      <c r="K15" s="3" t="e">
        <f t="shared" si="2"/>
        <v>#REF!</v>
      </c>
      <c r="L15" s="7" t="e">
        <f>VLOOKUP($A15,'Gas data'!$B$2:$Q$49,18,FALSE)</f>
        <v>#N/A</v>
      </c>
    </row>
    <row r="16" spans="1:12" x14ac:dyDescent="0.3">
      <c r="A16" t="s">
        <v>124</v>
      </c>
      <c r="B16" s="3" t="e">
        <f>VLOOKUP($A16,GDI!$B$2:$B$197,2,FALSE)/100</f>
        <v>#N/A</v>
      </c>
      <c r="C16" s="3" t="e">
        <f>VLOOKUP($A16,CPI!$B$2:$B$201,2,FALSE)/100</f>
        <v>#N/A</v>
      </c>
      <c r="D16" s="3" t="e">
        <f>VLOOKUP($A16,#REF!,3,FALSE)/100</f>
        <v>#REF!</v>
      </c>
      <c r="E16" s="3" t="e">
        <f>VLOOKUP($A16,#REF!,3,FALSE)/100</f>
        <v>#REF!</v>
      </c>
      <c r="F16" s="3" t="e">
        <f t="shared" si="0"/>
        <v>#REF!</v>
      </c>
      <c r="G16" s="3" t="e">
        <f>VLOOKUP($A16,WPFI!$B$2:$B$199,2,FALSE)/100</f>
        <v>#N/A</v>
      </c>
      <c r="H16" s="3" t="e">
        <f>VLOOKUP($A16,EPI!$B$2:$B$201,2,FALSE)/100</f>
        <v>#N/A</v>
      </c>
      <c r="I16" s="12" t="e">
        <f t="shared" si="1"/>
        <v>#N/A</v>
      </c>
      <c r="J16" s="3" t="e">
        <f t="shared" si="3"/>
        <v>#N/A</v>
      </c>
      <c r="K16" s="3" t="e">
        <f t="shared" si="2"/>
        <v>#REF!</v>
      </c>
      <c r="L16" s="7" t="e">
        <f>VLOOKUP($A16,'Gas data'!$B$2:$Q$49,18,FALSE)</f>
        <v>#N/A</v>
      </c>
    </row>
    <row r="17" spans="1:12" x14ac:dyDescent="0.3">
      <c r="A17" t="s">
        <v>104</v>
      </c>
      <c r="B17" s="3" t="e">
        <f>VLOOKUP($A17,GDI!$B$2:$B$197,2,FALSE)/100</f>
        <v>#N/A</v>
      </c>
      <c r="C17" s="3" t="e">
        <f>VLOOKUP($A17,CPI!$B$2:$B$201,2,FALSE)/100</f>
        <v>#N/A</v>
      </c>
      <c r="D17" s="3" t="e">
        <f>VLOOKUP($A17,#REF!,3,FALSE)/100</f>
        <v>#REF!</v>
      </c>
      <c r="E17" s="3" t="e">
        <f>VLOOKUP($A17,#REF!,3,FALSE)/100</f>
        <v>#REF!</v>
      </c>
      <c r="F17" s="3" t="e">
        <f t="shared" si="0"/>
        <v>#REF!</v>
      </c>
      <c r="G17" s="3" t="e">
        <f>VLOOKUP($A17,WPFI!$B$2:$B$199,2,FALSE)/100</f>
        <v>#N/A</v>
      </c>
      <c r="H17" s="3" t="e">
        <f>VLOOKUP($A17,EPI!$B$2:$B$201,2,FALSE)/100</f>
        <v>#N/A</v>
      </c>
      <c r="I17" s="12" t="e">
        <f t="shared" si="1"/>
        <v>#N/A</v>
      </c>
      <c r="J17" s="3" t="e">
        <f t="shared" si="3"/>
        <v>#N/A</v>
      </c>
      <c r="K17" s="3" t="e">
        <f t="shared" si="2"/>
        <v>#REF!</v>
      </c>
      <c r="L17" s="7" t="e">
        <f>VLOOKUP($A17,'Gas data'!$B$2:$Q$49,18,FALSE)</f>
        <v>#N/A</v>
      </c>
    </row>
    <row r="18" spans="1:12" x14ac:dyDescent="0.3">
      <c r="A18" t="s">
        <v>141</v>
      </c>
      <c r="B18" s="3" t="e">
        <f>VLOOKUP($A18,GDI!$B$2:$B$197,2,FALSE)/100</f>
        <v>#N/A</v>
      </c>
      <c r="C18" s="3" t="e">
        <f>VLOOKUP($A18,CPI!$B$2:$B$201,2,FALSE)/100</f>
        <v>#N/A</v>
      </c>
      <c r="D18" s="3" t="e">
        <f>VLOOKUP($A18,#REF!,3,FALSE)/100</f>
        <v>#REF!</v>
      </c>
      <c r="E18" s="3" t="e">
        <f>VLOOKUP($A18,#REF!,3,FALSE)/100</f>
        <v>#REF!</v>
      </c>
      <c r="F18" s="3" t="e">
        <f t="shared" si="0"/>
        <v>#REF!</v>
      </c>
      <c r="G18" s="3" t="e">
        <f>VLOOKUP($A18,WPFI!$B$2:$B$199,2,FALSE)/100</f>
        <v>#N/A</v>
      </c>
      <c r="H18" s="3" t="e">
        <f>VLOOKUP($A18,EPI!$B$2:$B$201,2,FALSE)/100</f>
        <v>#N/A</v>
      </c>
      <c r="I18" s="12" t="e">
        <f t="shared" si="1"/>
        <v>#N/A</v>
      </c>
      <c r="J18" s="3" t="e">
        <f t="shared" si="3"/>
        <v>#N/A</v>
      </c>
      <c r="K18" s="3" t="e">
        <f t="shared" si="2"/>
        <v>#REF!</v>
      </c>
      <c r="L18" s="7" t="e">
        <f>VLOOKUP($A18,'Gas data'!$B$2:$Q$49,18,FALSE)</f>
        <v>#N/A</v>
      </c>
    </row>
    <row r="19" spans="1:12" x14ac:dyDescent="0.3">
      <c r="A19" t="s">
        <v>133</v>
      </c>
      <c r="B19" s="3" t="e">
        <f>VLOOKUP($A19,GDI!$B$2:$B$197,2,FALSE)/100</f>
        <v>#N/A</v>
      </c>
      <c r="C19" s="3" t="e">
        <f>VLOOKUP($A19,CPI!$B$2:$B$201,2,FALSE)/100</f>
        <v>#N/A</v>
      </c>
      <c r="D19" s="3" t="e">
        <f>VLOOKUP($A19,#REF!,3,FALSE)/100</f>
        <v>#REF!</v>
      </c>
      <c r="E19" s="3" t="e">
        <f>VLOOKUP($A19,#REF!,3,FALSE)/100</f>
        <v>#REF!</v>
      </c>
      <c r="F19" s="3" t="e">
        <f t="shared" si="0"/>
        <v>#REF!</v>
      </c>
      <c r="G19" s="3" t="e">
        <f>VLOOKUP($A19,WPFI!$B$2:$B$199,2,FALSE)/100</f>
        <v>#N/A</v>
      </c>
      <c r="H19" s="3" t="e">
        <f>VLOOKUP($A19,EPI!$B$2:$B$201,2,FALSE)/100</f>
        <v>#N/A</v>
      </c>
      <c r="I19" s="12" t="e">
        <f t="shared" si="1"/>
        <v>#N/A</v>
      </c>
      <c r="J19" s="3" t="e">
        <f t="shared" si="3"/>
        <v>#N/A</v>
      </c>
      <c r="K19" s="3" t="e">
        <f t="shared" si="2"/>
        <v>#REF!</v>
      </c>
      <c r="L19" s="7" t="e">
        <f>VLOOKUP($A19,'Gas data'!$B$2:$Q$49,18,FALSE)</f>
        <v>#N/A</v>
      </c>
    </row>
    <row r="20" spans="1:12" x14ac:dyDescent="0.3">
      <c r="A20" t="s">
        <v>149</v>
      </c>
      <c r="B20" s="3" t="e">
        <f>VLOOKUP($A20,GDI!$B$2:$B$197,2,FALSE)/100</f>
        <v>#N/A</v>
      </c>
      <c r="C20" s="3" t="e">
        <f>VLOOKUP($A20,CPI!$B$2:$B$201,2,FALSE)/100</f>
        <v>#N/A</v>
      </c>
      <c r="D20" s="3" t="e">
        <f>VLOOKUP($A20,#REF!,3,FALSE)/100</f>
        <v>#REF!</v>
      </c>
      <c r="E20" s="3" t="e">
        <f>VLOOKUP($A20,#REF!,3,FALSE)/100</f>
        <v>#REF!</v>
      </c>
      <c r="F20" s="3" t="e">
        <f t="shared" si="0"/>
        <v>#REF!</v>
      </c>
      <c r="G20" s="3" t="e">
        <f>VLOOKUP($A20,WPFI!$B$2:$B$199,2,FALSE)/100</f>
        <v>#N/A</v>
      </c>
      <c r="H20" s="3" t="e">
        <f>VLOOKUP($A20,EPI!$B$2:$B$201,2,FALSE)/100</f>
        <v>#N/A</v>
      </c>
      <c r="I20" s="12" t="e">
        <f t="shared" si="1"/>
        <v>#N/A</v>
      </c>
      <c r="J20" s="3" t="e">
        <f t="shared" si="3"/>
        <v>#N/A</v>
      </c>
      <c r="K20" s="3" t="e">
        <f t="shared" si="2"/>
        <v>#REF!</v>
      </c>
      <c r="L20" s="7" t="e">
        <f>VLOOKUP($A20,'Gas data'!$B$2:$Q$49,18,FALSE)</f>
        <v>#N/A</v>
      </c>
    </row>
    <row r="21" spans="1:12" x14ac:dyDescent="0.3">
      <c r="A21" t="s">
        <v>145</v>
      </c>
      <c r="B21" s="3" t="e">
        <f>VLOOKUP($A21,GDI!$B$2:$B$197,2,FALSE)/100</f>
        <v>#N/A</v>
      </c>
      <c r="C21" s="3" t="e">
        <f>VLOOKUP($A21,CPI!$B$2:$B$201,2,FALSE)/100</f>
        <v>#N/A</v>
      </c>
      <c r="D21" s="3" t="e">
        <f>VLOOKUP($A21,#REF!,3,FALSE)/100</f>
        <v>#REF!</v>
      </c>
      <c r="E21" s="3" t="e">
        <f>VLOOKUP($A21,#REF!,3,FALSE)/100</f>
        <v>#REF!</v>
      </c>
      <c r="F21" s="3" t="e">
        <f t="shared" si="0"/>
        <v>#REF!</v>
      </c>
      <c r="G21" s="3" t="e">
        <f>VLOOKUP($A21,WPFI!$B$2:$B$199,2,FALSE)/100</f>
        <v>#N/A</v>
      </c>
      <c r="H21" s="3" t="e">
        <f>VLOOKUP($A21,EPI!$B$2:$B$201,2,FALSE)/100</f>
        <v>#N/A</v>
      </c>
      <c r="I21" s="12" t="e">
        <f t="shared" si="1"/>
        <v>#N/A</v>
      </c>
      <c r="J21" s="3" t="e">
        <f t="shared" si="3"/>
        <v>#N/A</v>
      </c>
      <c r="K21" s="3" t="e">
        <f t="shared" si="2"/>
        <v>#REF!</v>
      </c>
      <c r="L21" s="7">
        <v>0</v>
      </c>
    </row>
    <row r="22" spans="1:12" x14ac:dyDescent="0.3">
      <c r="A22" t="s">
        <v>130</v>
      </c>
      <c r="B22" s="3" t="e">
        <f>VLOOKUP($A22,GDI!$B$2:$B$197,2,FALSE)/100</f>
        <v>#N/A</v>
      </c>
      <c r="C22" s="3" t="e">
        <f>VLOOKUP($A22,CPI!$B$2:$B$201,2,FALSE)/100</f>
        <v>#N/A</v>
      </c>
      <c r="D22" s="3" t="e">
        <f>VLOOKUP($A22,#REF!,3,FALSE)/100</f>
        <v>#REF!</v>
      </c>
      <c r="E22" s="3" t="e">
        <f>VLOOKUP($A22,#REF!,3,FALSE)/100</f>
        <v>#REF!</v>
      </c>
      <c r="F22" s="3" t="e">
        <f t="shared" si="0"/>
        <v>#REF!</v>
      </c>
      <c r="G22" s="3" t="e">
        <f>VLOOKUP($A22,WPFI!$B$2:$B$199,2,FALSE)/100</f>
        <v>#N/A</v>
      </c>
      <c r="H22" s="3" t="e">
        <f>VLOOKUP($A22,EPI!$B$2:$B$201,2,FALSE)/100</f>
        <v>#N/A</v>
      </c>
      <c r="I22" s="12" t="e">
        <f t="shared" si="1"/>
        <v>#N/A</v>
      </c>
      <c r="J22" s="3" t="e">
        <f t="shared" si="3"/>
        <v>#N/A</v>
      </c>
      <c r="K22" s="3" t="e">
        <f t="shared" si="2"/>
        <v>#REF!</v>
      </c>
      <c r="L22" s="7" t="e">
        <f>VLOOKUP($A22,'Gas data'!$B$2:$Q$49,18,FALSE)</f>
        <v>#N/A</v>
      </c>
    </row>
    <row r="23" spans="1:12" x14ac:dyDescent="0.3">
      <c r="A23" t="s">
        <v>150</v>
      </c>
      <c r="B23" s="3" t="e">
        <f>VLOOKUP($A23,GDI!$B$2:$B$197,2,FALSE)/100</f>
        <v>#N/A</v>
      </c>
      <c r="C23" s="3" t="e">
        <f>VLOOKUP($A23,CPI!$B$2:$B$201,2,FALSE)/100</f>
        <v>#N/A</v>
      </c>
      <c r="D23" s="3" t="e">
        <f>VLOOKUP($A23,#REF!,3,FALSE)/100</f>
        <v>#REF!</v>
      </c>
      <c r="E23" s="3" t="e">
        <f>VLOOKUP($A23,#REF!,3,FALSE)/100</f>
        <v>#REF!</v>
      </c>
      <c r="F23" s="3" t="e">
        <f t="shared" si="0"/>
        <v>#REF!</v>
      </c>
      <c r="G23" s="3" t="e">
        <f>VLOOKUP($A23,WPFI!$B$2:$B$199,2,FALSE)/100</f>
        <v>#N/A</v>
      </c>
      <c r="H23" s="3" t="e">
        <f>VLOOKUP($A23,EPI!$B$2:$B$201,2,FALSE)/100</f>
        <v>#N/A</v>
      </c>
      <c r="I23" s="12" t="e">
        <f t="shared" si="1"/>
        <v>#N/A</v>
      </c>
      <c r="J23" s="3" t="e">
        <f t="shared" si="3"/>
        <v>#N/A</v>
      </c>
      <c r="K23" s="3" t="e">
        <f t="shared" si="2"/>
        <v>#REF!</v>
      </c>
      <c r="L23" s="7" t="e">
        <f>VLOOKUP($A23,'Gas data'!$B$2:$Q$49,18,FALSE)</f>
        <v>#N/A</v>
      </c>
    </row>
    <row r="24" spans="1:12" x14ac:dyDescent="0.3">
      <c r="A24" t="s">
        <v>123</v>
      </c>
      <c r="B24" s="3" t="e">
        <f>VLOOKUP($A24,GDI!$B$2:$B$197,2,FALSE)/100</f>
        <v>#N/A</v>
      </c>
      <c r="C24" s="3" t="e">
        <f>VLOOKUP($A24,CPI!$B$2:$B$201,2,FALSE)/100</f>
        <v>#N/A</v>
      </c>
      <c r="D24" s="3" t="e">
        <f>VLOOKUP($A24,#REF!,3,FALSE)/100</f>
        <v>#REF!</v>
      </c>
      <c r="E24" s="3" t="e">
        <f>VLOOKUP($A24,#REF!,3,FALSE)/100</f>
        <v>#REF!</v>
      </c>
      <c r="F24" s="3" t="e">
        <f t="shared" si="0"/>
        <v>#REF!</v>
      </c>
      <c r="G24" s="3" t="e">
        <f>VLOOKUP($A24,WPFI!$B$2:$B$199,2,FALSE)/100</f>
        <v>#N/A</v>
      </c>
      <c r="H24" s="3" t="e">
        <f>VLOOKUP($A24,EPI!$B$2:$B$201,2,FALSE)/100</f>
        <v>#N/A</v>
      </c>
      <c r="I24" s="12" t="e">
        <f t="shared" si="1"/>
        <v>#N/A</v>
      </c>
      <c r="J24" s="3" t="e">
        <f t="shared" si="3"/>
        <v>#N/A</v>
      </c>
      <c r="K24" s="3" t="e">
        <f t="shared" si="2"/>
        <v>#REF!</v>
      </c>
      <c r="L24" s="7" t="e">
        <f>VLOOKUP($A24,'Gas data'!$B$2:$Q$49,18,FALSE)</f>
        <v>#N/A</v>
      </c>
    </row>
    <row r="25" spans="1:12" x14ac:dyDescent="0.3">
      <c r="A25" t="s">
        <v>153</v>
      </c>
      <c r="B25" s="3" t="e">
        <f>VLOOKUP($A25,GDI!$B$2:$B$197,2,FALSE)/100</f>
        <v>#N/A</v>
      </c>
      <c r="C25" s="3" t="e">
        <f>VLOOKUP($A25,CPI!$B$2:$B$201,2,FALSE)/100</f>
        <v>#N/A</v>
      </c>
      <c r="D25" s="3" t="e">
        <f>VLOOKUP($A25,#REF!,3,FALSE)/100</f>
        <v>#REF!</v>
      </c>
      <c r="E25" s="3" t="e">
        <f>VLOOKUP($A25,#REF!,3,FALSE)/100</f>
        <v>#REF!</v>
      </c>
      <c r="F25" s="3" t="e">
        <f t="shared" si="0"/>
        <v>#REF!</v>
      </c>
      <c r="G25" s="3" t="e">
        <f>VLOOKUP($A25,WPFI!$B$2:$B$199,2,FALSE)/100</f>
        <v>#N/A</v>
      </c>
      <c r="H25" s="3" t="e">
        <f>VLOOKUP($A25,EPI!$B$2:$B$201,2,FALSE)/100</f>
        <v>#N/A</v>
      </c>
      <c r="I25" s="12" t="e">
        <f t="shared" si="1"/>
        <v>#N/A</v>
      </c>
      <c r="J25" s="3" t="e">
        <f t="shared" si="3"/>
        <v>#N/A</v>
      </c>
      <c r="K25" s="3" t="e">
        <f t="shared" si="2"/>
        <v>#REF!</v>
      </c>
      <c r="L25" s="7" t="e">
        <f>VLOOKUP($A25,'Gas data'!$B$2:$Q$49,18,FALSE)</f>
        <v>#N/A</v>
      </c>
    </row>
    <row r="26" spans="1:12" x14ac:dyDescent="0.3">
      <c r="B26" s="3"/>
      <c r="C26" s="3"/>
      <c r="D26" s="3"/>
      <c r="E26" s="3"/>
      <c r="F26" s="3"/>
      <c r="G26" s="3"/>
      <c r="H26" s="3"/>
      <c r="I26" s="12"/>
      <c r="J26" s="3"/>
      <c r="K26" s="3"/>
      <c r="L26" s="7"/>
    </row>
    <row r="27" spans="1:12" x14ac:dyDescent="0.3">
      <c r="A27" t="s">
        <v>246</v>
      </c>
      <c r="B27" s="3" t="e">
        <f>VLOOKUP($A27,GDI!$B$2:$B$197,2,FALSE)/100</f>
        <v>#N/A</v>
      </c>
      <c r="C27" s="3" t="e">
        <f>VLOOKUP($A27,CPI!$B$2:$B$201,2,FALSE)/100</f>
        <v>#N/A</v>
      </c>
      <c r="D27" s="3" t="e">
        <f>VLOOKUP($A27,#REF!,3,FALSE)/100</f>
        <v>#REF!</v>
      </c>
      <c r="E27" s="3" t="e">
        <f>VLOOKUP($A27,#REF!,3,FALSE)/100</f>
        <v>#REF!</v>
      </c>
      <c r="F27" s="3" t="e">
        <f>AVERAGE(D27:E27)</f>
        <v>#REF!</v>
      </c>
      <c r="G27" s="3" t="e">
        <f>VLOOKUP($A27,WPFI!$B$2:$B$199,2,FALSE)/100</f>
        <v>#N/A</v>
      </c>
      <c r="H27" s="3" t="e">
        <f>VLOOKUP($A27,EPI!$B$2:$B$201,2,FALSE)/100</f>
        <v>#N/A</v>
      </c>
      <c r="I27" s="12" t="e">
        <f>GEOMEAN(B27:C27,F27,G27,H27)</f>
        <v>#N/A</v>
      </c>
      <c r="J27" s="3" t="e">
        <f>INDEX($I$2:$I$27,MATCH("EU27",$A$2:$A$27,0),1)</f>
        <v>#N/A</v>
      </c>
      <c r="K27" s="3" t="e">
        <f>INDEX($I$2:$I$28,MATCH("World",$A$2:$A$28,0),1)</f>
        <v>#REF!</v>
      </c>
      <c r="L27" s="15" t="s">
        <v>248</v>
      </c>
    </row>
    <row r="28" spans="1:12" x14ac:dyDescent="0.3">
      <c r="A28" t="s">
        <v>247</v>
      </c>
      <c r="B28" s="3">
        <f>AVERAGE(GDI!$B$2:$B$181)/100</f>
        <v>0.52931736526946116</v>
      </c>
      <c r="C28" s="3">
        <f>AVERAGE(CPI!$B$2:$B$181)/100</f>
        <v>0.42977777777777776</v>
      </c>
      <c r="D28" s="3" t="e">
        <f>AVERAGE(#REF!)/100</f>
        <v>#REF!</v>
      </c>
      <c r="E28" s="3" t="e">
        <f>AVERAGE(#REF!)/100</f>
        <v>#REF!</v>
      </c>
      <c r="F28" s="3" t="e">
        <f>AVERAGE(D28:E28)</f>
        <v>#REF!</v>
      </c>
      <c r="G28" s="3">
        <f>AVERAGE(WPFI!$B$2:$B$179)/100</f>
        <v>0.58401235955056174</v>
      </c>
      <c r="H28" s="3">
        <f>AVERAGE(EPI!$B$2:$B$182)/100</f>
        <v>0.43133944948467451</v>
      </c>
      <c r="I28" s="12" t="e">
        <f>GEOMEAN(B28:C28,F28,G28,H28)</f>
        <v>#REF!</v>
      </c>
      <c r="J28" s="3" t="e">
        <f>INDEX($I$2:$I$27,MATCH("EU27",$A$2:$A$27,0),1)</f>
        <v>#N/A</v>
      </c>
      <c r="K28" s="3" t="e">
        <f>INDEX($I$2:$I$28,MATCH("World",$A$2:$A$28,0),1)</f>
        <v>#REF!</v>
      </c>
      <c r="L28" s="15" t="s">
        <v>248</v>
      </c>
    </row>
  </sheetData>
  <autoFilter ref="A1:L24" xr:uid="{D8A88A97-6BCA-402D-8BBB-D1E8009B7C40}">
    <sortState xmlns:xlrd2="http://schemas.microsoft.com/office/spreadsheetml/2017/richdata2" ref="A2:L25">
      <sortCondition descending="1" ref="I1:I2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03F-4C67-4247-BFC0-B48510EAE2E5}">
  <sheetPr>
    <tabColor rgb="FFFF595E"/>
  </sheetPr>
  <dimension ref="A1:B168"/>
  <sheetViews>
    <sheetView workbookViewId="0">
      <selection activeCell="B2" sqref="B2"/>
    </sheetView>
  </sheetViews>
  <sheetFormatPr defaultRowHeight="14.4" x14ac:dyDescent="0.3"/>
  <cols>
    <col min="1" max="1" width="28" bestFit="1" customWidth="1"/>
    <col min="2" max="2" width="17.88671875" bestFit="1" customWidth="1"/>
  </cols>
  <sheetData>
    <row r="1" spans="1:2" x14ac:dyDescent="0.3">
      <c r="A1" s="6" t="s">
        <v>168</v>
      </c>
      <c r="B1" s="17" t="s">
        <v>167</v>
      </c>
    </row>
    <row r="2" spans="1:2" x14ac:dyDescent="0.3">
      <c r="A2" t="s">
        <v>166</v>
      </c>
      <c r="B2">
        <v>3.2</v>
      </c>
    </row>
    <row r="3" spans="1:2" x14ac:dyDescent="0.3">
      <c r="A3" s="1" t="s">
        <v>63</v>
      </c>
      <c r="B3">
        <f>641/(10)</f>
        <v>64.099999999999994</v>
      </c>
    </row>
    <row r="4" spans="1:2" x14ac:dyDescent="0.3">
      <c r="A4" s="1" t="s">
        <v>112</v>
      </c>
      <c r="B4">
        <v>36.6</v>
      </c>
    </row>
    <row r="5" spans="1:2" x14ac:dyDescent="0.3">
      <c r="A5" s="1" t="s">
        <v>108</v>
      </c>
      <c r="B5">
        <v>39.6</v>
      </c>
    </row>
    <row r="6" spans="1:2" x14ac:dyDescent="0.3">
      <c r="A6" s="1" t="s">
        <v>49</v>
      </c>
      <c r="B6">
        <f>685/(10)</f>
        <v>68.5</v>
      </c>
    </row>
    <row r="7" spans="1:2" x14ac:dyDescent="0.3">
      <c r="A7" s="1" t="s">
        <v>81</v>
      </c>
      <c r="B7">
        <v>56.3</v>
      </c>
    </row>
    <row r="8" spans="1:2" x14ac:dyDescent="0.3">
      <c r="A8" s="1" t="s">
        <v>14</v>
      </c>
      <c r="B8">
        <f>871/(10)</f>
        <v>87.1</v>
      </c>
    </row>
    <row r="9" spans="1:2" x14ac:dyDescent="0.3">
      <c r="A9" s="1" t="s">
        <v>19</v>
      </c>
      <c r="B9">
        <f>820/(10)</f>
        <v>82</v>
      </c>
    </row>
    <row r="10" spans="1:2" x14ac:dyDescent="0.3">
      <c r="A10" s="1" t="s">
        <v>133</v>
      </c>
      <c r="B10">
        <v>28.7</v>
      </c>
    </row>
    <row r="11" spans="1:2" x14ac:dyDescent="0.3">
      <c r="A11" s="1" t="s">
        <v>141</v>
      </c>
      <c r="B11">
        <v>25.2</v>
      </c>
    </row>
    <row r="12" spans="1:2" x14ac:dyDescent="0.3">
      <c r="A12" s="1" t="s">
        <v>72</v>
      </c>
      <c r="B12">
        <v>59.9</v>
      </c>
    </row>
    <row r="13" spans="1:2" x14ac:dyDescent="0.3">
      <c r="A13" s="1" t="s">
        <v>152</v>
      </c>
      <c r="B13">
        <v>19.899999999999999</v>
      </c>
    </row>
    <row r="14" spans="1:2" x14ac:dyDescent="0.3">
      <c r="A14" s="1" t="s">
        <v>35</v>
      </c>
      <c r="B14">
        <f>764/(10)</f>
        <v>76.400000000000006</v>
      </c>
    </row>
    <row r="15" spans="1:2" x14ac:dyDescent="0.3">
      <c r="A15" s="1" t="s">
        <v>103</v>
      </c>
      <c r="B15">
        <v>42.8</v>
      </c>
    </row>
    <row r="16" spans="1:2" x14ac:dyDescent="0.3">
      <c r="A16" s="1" t="s">
        <v>83</v>
      </c>
      <c r="B16">
        <v>55.4</v>
      </c>
    </row>
    <row r="17" spans="1:2" x14ac:dyDescent="0.3">
      <c r="A17" s="1" t="s">
        <v>99</v>
      </c>
      <c r="B17">
        <v>45.1</v>
      </c>
    </row>
    <row r="18" spans="1:2" x14ac:dyDescent="0.3">
      <c r="A18" s="1" t="s">
        <v>96</v>
      </c>
      <c r="B18">
        <v>50</v>
      </c>
    </row>
    <row r="19" spans="1:2" x14ac:dyDescent="0.3">
      <c r="A19" s="1" t="s">
        <v>31</v>
      </c>
      <c r="B19">
        <f>773/(10)</f>
        <v>77.3</v>
      </c>
    </row>
    <row r="20" spans="1:2" x14ac:dyDescent="0.3">
      <c r="A20" s="1" t="s">
        <v>50</v>
      </c>
      <c r="B20">
        <f>678/(10)</f>
        <v>67.8</v>
      </c>
    </row>
    <row r="21" spans="1:2" x14ac:dyDescent="0.3">
      <c r="A21" s="1" t="s">
        <v>56</v>
      </c>
      <c r="B21">
        <f>653/(10)</f>
        <v>65.3</v>
      </c>
    </row>
    <row r="22" spans="1:2" x14ac:dyDescent="0.3">
      <c r="A22" s="1" t="s">
        <v>126</v>
      </c>
      <c r="B22">
        <v>30.8</v>
      </c>
    </row>
    <row r="23" spans="1:2" x14ac:dyDescent="0.3">
      <c r="A23" s="1" t="s">
        <v>147</v>
      </c>
      <c r="B23">
        <v>21.3</v>
      </c>
    </row>
    <row r="24" spans="1:2" x14ac:dyDescent="0.3">
      <c r="A24" s="1" t="s">
        <v>34</v>
      </c>
      <c r="B24">
        <f>765/(10)</f>
        <v>76.5</v>
      </c>
    </row>
    <row r="25" spans="1:2" x14ac:dyDescent="0.3">
      <c r="A25" s="1" t="s">
        <v>120</v>
      </c>
      <c r="B25">
        <v>31.8</v>
      </c>
    </row>
    <row r="26" spans="1:2" x14ac:dyDescent="0.3">
      <c r="A26" s="1" t="s">
        <v>139</v>
      </c>
      <c r="B26">
        <v>25.6</v>
      </c>
    </row>
    <row r="27" spans="1:2" x14ac:dyDescent="0.3">
      <c r="A27" s="1" t="s">
        <v>11</v>
      </c>
      <c r="B27">
        <f>888/(10)</f>
        <v>88.8</v>
      </c>
    </row>
    <row r="28" spans="1:2" x14ac:dyDescent="0.3">
      <c r="A28" s="1" t="s">
        <v>163</v>
      </c>
      <c r="B28">
        <v>13.5</v>
      </c>
    </row>
    <row r="29" spans="1:2" x14ac:dyDescent="0.3">
      <c r="A29" s="1" t="s">
        <v>159</v>
      </c>
      <c r="B29">
        <v>16.7</v>
      </c>
    </row>
    <row r="30" spans="1:2" x14ac:dyDescent="0.3">
      <c r="A30" s="1" t="s">
        <v>18</v>
      </c>
      <c r="B30">
        <f>822/(10)</f>
        <v>82.2</v>
      </c>
    </row>
    <row r="31" spans="1:2" x14ac:dyDescent="0.3">
      <c r="A31" s="1" t="s">
        <v>155</v>
      </c>
      <c r="B31">
        <v>19.399999999999999</v>
      </c>
    </row>
    <row r="32" spans="1:2" x14ac:dyDescent="0.3">
      <c r="A32" s="1" t="s">
        <v>52</v>
      </c>
      <c r="B32">
        <f>672/(10)</f>
        <v>67.2</v>
      </c>
    </row>
    <row r="33" spans="1:2" x14ac:dyDescent="0.3">
      <c r="A33" s="1" t="s">
        <v>119</v>
      </c>
      <c r="B33">
        <v>32</v>
      </c>
    </row>
    <row r="34" spans="1:2" x14ac:dyDescent="0.3">
      <c r="A34" s="1" t="s">
        <v>135</v>
      </c>
      <c r="B34">
        <v>27.9</v>
      </c>
    </row>
    <row r="35" spans="1:2" x14ac:dyDescent="0.3">
      <c r="A35" s="1" t="s">
        <v>16</v>
      </c>
      <c r="B35">
        <f>829/(10)</f>
        <v>82.9</v>
      </c>
    </row>
    <row r="36" spans="1:2" x14ac:dyDescent="0.3">
      <c r="A36" s="1" t="s">
        <v>105</v>
      </c>
      <c r="B36">
        <v>42.2</v>
      </c>
    </row>
    <row r="37" spans="1:2" x14ac:dyDescent="0.3">
      <c r="A37" s="1" t="s">
        <v>58</v>
      </c>
      <c r="B37">
        <f>650/(10)</f>
        <v>65</v>
      </c>
    </row>
    <row r="38" spans="1:2" x14ac:dyDescent="0.3">
      <c r="A38" s="1" t="s">
        <v>138</v>
      </c>
      <c r="B38">
        <v>26.5</v>
      </c>
    </row>
    <row r="39" spans="1:2" x14ac:dyDescent="0.3">
      <c r="A39" s="1" t="s">
        <v>36</v>
      </c>
      <c r="B39">
        <f>738/(10)</f>
        <v>73.8</v>
      </c>
    </row>
    <row r="40" spans="1:2" x14ac:dyDescent="0.3">
      <c r="A40" s="1" t="s">
        <v>24</v>
      </c>
      <c r="B40">
        <f>797/(10)</f>
        <v>79.7</v>
      </c>
    </row>
    <row r="41" spans="1:2" x14ac:dyDescent="0.3">
      <c r="A41" s="1" t="s">
        <v>161</v>
      </c>
      <c r="B41">
        <v>14.8</v>
      </c>
    </row>
    <row r="42" spans="1:2" x14ac:dyDescent="0.3">
      <c r="A42" s="1" t="s">
        <v>5</v>
      </c>
      <c r="B42">
        <f>928/(10)</f>
        <v>92.8</v>
      </c>
    </row>
    <row r="43" spans="1:2" x14ac:dyDescent="0.3">
      <c r="A43" s="1" t="s">
        <v>136</v>
      </c>
      <c r="B43">
        <v>27.4</v>
      </c>
    </row>
    <row r="44" spans="1:2" x14ac:dyDescent="0.3">
      <c r="A44" s="1" t="s">
        <v>64</v>
      </c>
      <c r="B44">
        <f>639/(10)</f>
        <v>63.9</v>
      </c>
    </row>
    <row r="45" spans="1:2" x14ac:dyDescent="0.3">
      <c r="A45" s="1" t="s">
        <v>80</v>
      </c>
      <c r="B45">
        <v>56.9</v>
      </c>
    </row>
    <row r="46" spans="1:2" x14ac:dyDescent="0.3">
      <c r="A46" s="1" t="s">
        <v>130</v>
      </c>
      <c r="B46">
        <v>29.3</v>
      </c>
    </row>
    <row r="47" spans="1:2" x14ac:dyDescent="0.3">
      <c r="A47" s="1" t="s">
        <v>92</v>
      </c>
      <c r="B47">
        <v>50.6</v>
      </c>
    </row>
    <row r="48" spans="1:2" x14ac:dyDescent="0.3">
      <c r="A48" s="1" t="s">
        <v>157</v>
      </c>
      <c r="B48">
        <v>19.2</v>
      </c>
    </row>
    <row r="49" spans="1:2" x14ac:dyDescent="0.3">
      <c r="A49" s="1" t="s">
        <v>151</v>
      </c>
      <c r="B49">
        <v>20.3</v>
      </c>
    </row>
    <row r="50" spans="1:2" x14ac:dyDescent="0.3">
      <c r="A50" s="1" t="s">
        <v>26</v>
      </c>
      <c r="B50">
        <f>796/(10)</f>
        <v>79.599999999999994</v>
      </c>
    </row>
    <row r="51" spans="1:2" x14ac:dyDescent="0.3">
      <c r="A51" s="1" t="s">
        <v>128</v>
      </c>
      <c r="B51">
        <v>30.1</v>
      </c>
    </row>
    <row r="52" spans="1:2" x14ac:dyDescent="0.3">
      <c r="A52" s="1" t="s">
        <v>121</v>
      </c>
      <c r="B52">
        <v>31.7</v>
      </c>
    </row>
    <row r="53" spans="1:2" x14ac:dyDescent="0.3">
      <c r="A53" s="1" t="s">
        <v>82</v>
      </c>
      <c r="B53">
        <v>55.5</v>
      </c>
    </row>
    <row r="54" spans="1:2" x14ac:dyDescent="0.3">
      <c r="A54" s="1" t="s">
        <v>4</v>
      </c>
      <c r="B54">
        <f>929/(10)</f>
        <v>92.9</v>
      </c>
    </row>
    <row r="55" spans="1:2" x14ac:dyDescent="0.3">
      <c r="A55" s="1" t="s">
        <v>21</v>
      </c>
      <c r="B55">
        <f>807/(10)</f>
        <v>80.7</v>
      </c>
    </row>
    <row r="56" spans="1:2" x14ac:dyDescent="0.3">
      <c r="A56" s="1" t="s">
        <v>117</v>
      </c>
      <c r="B56">
        <v>34</v>
      </c>
    </row>
    <row r="57" spans="1:2" x14ac:dyDescent="0.3">
      <c r="A57" s="1" t="s">
        <v>101</v>
      </c>
      <c r="B57">
        <v>44.7</v>
      </c>
    </row>
    <row r="58" spans="1:2" x14ac:dyDescent="0.3">
      <c r="A58" s="1" t="s">
        <v>89</v>
      </c>
      <c r="B58">
        <v>52</v>
      </c>
    </row>
    <row r="59" spans="1:2" x14ac:dyDescent="0.3">
      <c r="A59" s="1" t="s">
        <v>13</v>
      </c>
      <c r="B59">
        <f>880/(10)</f>
        <v>88</v>
      </c>
    </row>
    <row r="60" spans="1:2" x14ac:dyDescent="0.3">
      <c r="A60" s="1" t="s">
        <v>62</v>
      </c>
      <c r="B60">
        <f>643/(10)</f>
        <v>64.3</v>
      </c>
    </row>
    <row r="61" spans="1:2" x14ac:dyDescent="0.3">
      <c r="A61" s="1" t="s">
        <v>25</v>
      </c>
      <c r="B61">
        <f>797/(10)</f>
        <v>79.7</v>
      </c>
    </row>
    <row r="62" spans="1:2" x14ac:dyDescent="0.3">
      <c r="A62" s="1" t="s">
        <v>97</v>
      </c>
      <c r="B62">
        <v>46.8</v>
      </c>
    </row>
    <row r="63" spans="1:2" x14ac:dyDescent="0.3">
      <c r="A63" s="1" t="s">
        <v>144</v>
      </c>
      <c r="B63">
        <v>23.2</v>
      </c>
    </row>
    <row r="64" spans="1:2" x14ac:dyDescent="0.3">
      <c r="A64" s="1" t="s">
        <v>140</v>
      </c>
      <c r="B64">
        <v>25.6</v>
      </c>
    </row>
    <row r="65" spans="1:2" x14ac:dyDescent="0.3">
      <c r="A65" s="1" t="s">
        <v>66</v>
      </c>
      <c r="B65">
        <f>634/(10)</f>
        <v>63.4</v>
      </c>
    </row>
    <row r="66" spans="1:2" x14ac:dyDescent="0.3">
      <c r="A66" s="1" t="s">
        <v>134</v>
      </c>
      <c r="B66">
        <v>28.1</v>
      </c>
    </row>
    <row r="67" spans="1:2" x14ac:dyDescent="0.3">
      <c r="A67" s="1" t="s">
        <v>90</v>
      </c>
      <c r="B67">
        <v>51.5</v>
      </c>
    </row>
    <row r="68" spans="1:2" x14ac:dyDescent="0.3">
      <c r="A68" s="1" t="s">
        <v>87</v>
      </c>
      <c r="B68">
        <v>52.8</v>
      </c>
    </row>
    <row r="69" spans="1:2" x14ac:dyDescent="0.3">
      <c r="A69" s="1" t="s">
        <v>55</v>
      </c>
      <c r="B69">
        <f>664/(10)</f>
        <v>66.400000000000006</v>
      </c>
    </row>
    <row r="70" spans="1:2" x14ac:dyDescent="0.3">
      <c r="A70" s="1" t="s">
        <v>2</v>
      </c>
      <c r="B70">
        <f>952/(10)</f>
        <v>95.2</v>
      </c>
    </row>
    <row r="71" spans="1:2" x14ac:dyDescent="0.3">
      <c r="A71" s="1" t="s">
        <v>45</v>
      </c>
      <c r="B71">
        <f>704/(10)</f>
        <v>70.400000000000006</v>
      </c>
    </row>
    <row r="72" spans="1:2" x14ac:dyDescent="0.3">
      <c r="A72" s="1" t="s">
        <v>53</v>
      </c>
      <c r="B72">
        <f>671/(10)</f>
        <v>67.099999999999994</v>
      </c>
    </row>
    <row r="73" spans="1:2" x14ac:dyDescent="0.3">
      <c r="A73" s="1" t="s">
        <v>153</v>
      </c>
      <c r="B73">
        <v>19.600000000000001</v>
      </c>
    </row>
    <row r="74" spans="1:2" x14ac:dyDescent="0.3">
      <c r="A74" s="1" t="s">
        <v>123</v>
      </c>
      <c r="B74">
        <v>31.3</v>
      </c>
    </row>
    <row r="75" spans="1:2" x14ac:dyDescent="0.3">
      <c r="A75" s="1" t="s">
        <v>7</v>
      </c>
      <c r="B75">
        <f>913/(10)</f>
        <v>91.3</v>
      </c>
    </row>
    <row r="76" spans="1:2" x14ac:dyDescent="0.3">
      <c r="A76" s="1" t="s">
        <v>28</v>
      </c>
      <c r="B76">
        <f>793/(10)</f>
        <v>79.3</v>
      </c>
    </row>
    <row r="77" spans="1:2" x14ac:dyDescent="0.3">
      <c r="A77" s="1" t="s">
        <v>33</v>
      </c>
      <c r="B77">
        <f>769/(10)</f>
        <v>76.900000000000006</v>
      </c>
    </row>
    <row r="78" spans="1:2" x14ac:dyDescent="0.3">
      <c r="A78" s="1" t="s">
        <v>41</v>
      </c>
      <c r="B78">
        <f>713/(10)</f>
        <v>71.3</v>
      </c>
    </row>
    <row r="79" spans="1:2" x14ac:dyDescent="0.3">
      <c r="A79" s="1" t="s">
        <v>15</v>
      </c>
      <c r="B79">
        <f>833/(10)</f>
        <v>83.3</v>
      </c>
    </row>
    <row r="80" spans="1:2" x14ac:dyDescent="0.3">
      <c r="A80" s="1" t="s">
        <v>122</v>
      </c>
      <c r="B80">
        <v>31.7</v>
      </c>
    </row>
    <row r="81" spans="1:2" x14ac:dyDescent="0.3">
      <c r="A81" s="1" t="s">
        <v>127</v>
      </c>
      <c r="B81">
        <v>30.8</v>
      </c>
    </row>
    <row r="82" spans="1:2" x14ac:dyDescent="0.3">
      <c r="A82" s="1" t="s">
        <v>93</v>
      </c>
      <c r="B82">
        <v>50.5</v>
      </c>
    </row>
    <row r="83" spans="1:2" x14ac:dyDescent="0.3">
      <c r="A83" s="1" t="s">
        <v>110</v>
      </c>
      <c r="B83">
        <v>38.299999999999997</v>
      </c>
    </row>
    <row r="84" spans="1:2" x14ac:dyDescent="0.3">
      <c r="A84" s="1" t="s">
        <v>115</v>
      </c>
      <c r="B84">
        <v>36.200000000000003</v>
      </c>
    </row>
    <row r="85" spans="1:2" x14ac:dyDescent="0.3">
      <c r="A85" s="1" t="s">
        <v>158</v>
      </c>
      <c r="B85">
        <v>17.7</v>
      </c>
    </row>
    <row r="86" spans="1:2" x14ac:dyDescent="0.3">
      <c r="A86" s="1" t="s">
        <v>37</v>
      </c>
      <c r="B86">
        <f>737/(10)</f>
        <v>73.7</v>
      </c>
    </row>
    <row r="87" spans="1:2" x14ac:dyDescent="0.3">
      <c r="A87" s="1" t="s">
        <v>114</v>
      </c>
      <c r="B87">
        <v>36.4</v>
      </c>
    </row>
    <row r="88" spans="1:2" x14ac:dyDescent="0.3">
      <c r="A88" s="1" t="s">
        <v>70</v>
      </c>
      <c r="B88">
        <f>619/(10)</f>
        <v>61.9</v>
      </c>
    </row>
    <row r="89" spans="1:2" x14ac:dyDescent="0.3">
      <c r="A89" s="1" t="s">
        <v>85</v>
      </c>
      <c r="B89">
        <v>54.3</v>
      </c>
    </row>
    <row r="90" spans="1:2" x14ac:dyDescent="0.3">
      <c r="A90" s="1" t="s">
        <v>150</v>
      </c>
      <c r="B90">
        <v>20.6</v>
      </c>
    </row>
    <row r="91" spans="1:2" x14ac:dyDescent="0.3">
      <c r="A91" s="1" t="s">
        <v>38</v>
      </c>
      <c r="B91">
        <f>731/(10)</f>
        <v>73.099999999999994</v>
      </c>
    </row>
    <row r="92" spans="1:2" x14ac:dyDescent="0.3">
      <c r="A92" s="1" t="s">
        <v>12</v>
      </c>
      <c r="B92">
        <f>881/(10)</f>
        <v>88.1</v>
      </c>
    </row>
    <row r="93" spans="1:2" x14ac:dyDescent="0.3">
      <c r="A93" s="1" t="s">
        <v>79</v>
      </c>
      <c r="B93">
        <v>57</v>
      </c>
    </row>
    <row r="94" spans="1:2" x14ac:dyDescent="0.3">
      <c r="A94" s="1" t="s">
        <v>75</v>
      </c>
      <c r="B94">
        <v>59.1</v>
      </c>
    </row>
    <row r="95" spans="1:2" x14ac:dyDescent="0.3">
      <c r="A95" s="1" t="s">
        <v>39</v>
      </c>
      <c r="B95">
        <f>730/(10)</f>
        <v>73</v>
      </c>
    </row>
    <row r="96" spans="1:2" x14ac:dyDescent="0.3">
      <c r="A96" s="1" t="s">
        <v>118</v>
      </c>
      <c r="B96">
        <v>32.299999999999997</v>
      </c>
    </row>
    <row r="97" spans="1:2" x14ac:dyDescent="0.3">
      <c r="A97" s="1" t="s">
        <v>32</v>
      </c>
      <c r="B97">
        <f>770/(10)</f>
        <v>77</v>
      </c>
    </row>
    <row r="98" spans="1:2" x14ac:dyDescent="0.3">
      <c r="A98" s="1" t="s">
        <v>107</v>
      </c>
      <c r="B98">
        <v>40.299999999999997</v>
      </c>
    </row>
    <row r="99" spans="1:2" x14ac:dyDescent="0.3">
      <c r="A99" s="1" t="s">
        <v>20</v>
      </c>
      <c r="B99">
        <f>814/(10)</f>
        <v>81.400000000000006</v>
      </c>
    </row>
    <row r="100" spans="1:2" x14ac:dyDescent="0.3">
      <c r="A100" s="1" t="s">
        <v>88</v>
      </c>
      <c r="B100">
        <v>52.5</v>
      </c>
    </row>
    <row r="101" spans="1:2" x14ac:dyDescent="0.3">
      <c r="A101" s="1" t="s">
        <v>68</v>
      </c>
      <c r="B101">
        <f>623/(10)</f>
        <v>62.3</v>
      </c>
    </row>
    <row r="102" spans="1:2" x14ac:dyDescent="0.3">
      <c r="A102" s="1" t="s">
        <v>65</v>
      </c>
      <c r="B102">
        <f>635/(10)</f>
        <v>63.5</v>
      </c>
    </row>
    <row r="103" spans="1:2" x14ac:dyDescent="0.3">
      <c r="A103" s="1" t="s">
        <v>60</v>
      </c>
      <c r="B103">
        <f>645/(10)</f>
        <v>64.5</v>
      </c>
    </row>
    <row r="104" spans="1:2" x14ac:dyDescent="0.3">
      <c r="A104" s="1" t="s">
        <v>94</v>
      </c>
      <c r="B104">
        <v>50.4</v>
      </c>
    </row>
    <row r="105" spans="1:2" x14ac:dyDescent="0.3">
      <c r="A105" s="1" t="s">
        <v>116</v>
      </c>
      <c r="B105">
        <v>35.1</v>
      </c>
    </row>
    <row r="106" spans="1:2" x14ac:dyDescent="0.3">
      <c r="A106" t="s">
        <v>165</v>
      </c>
      <c r="B106">
        <v>7.4</v>
      </c>
    </row>
    <row r="107" spans="1:2" x14ac:dyDescent="0.3">
      <c r="A107" s="1" t="s">
        <v>57</v>
      </c>
      <c r="B107">
        <f>652/(10)</f>
        <v>65.2</v>
      </c>
    </row>
    <row r="108" spans="1:2" x14ac:dyDescent="0.3">
      <c r="A108" s="1" t="s">
        <v>100</v>
      </c>
      <c r="B108">
        <v>44.9</v>
      </c>
    </row>
    <row r="109" spans="1:2" x14ac:dyDescent="0.3">
      <c r="A109" s="1" t="s">
        <v>8</v>
      </c>
      <c r="B109">
        <f>900/(10)</f>
        <v>90</v>
      </c>
    </row>
    <row r="110" spans="1:2" x14ac:dyDescent="0.3">
      <c r="A110" s="1" t="s">
        <v>1</v>
      </c>
      <c r="B110">
        <f>961/(10)</f>
        <v>96.1</v>
      </c>
    </row>
    <row r="111" spans="1:2" x14ac:dyDescent="0.3">
      <c r="A111" s="1" t="s">
        <v>142</v>
      </c>
      <c r="B111">
        <v>25</v>
      </c>
    </row>
    <row r="112" spans="1:2" x14ac:dyDescent="0.3">
      <c r="A112" s="1" t="s">
        <v>111</v>
      </c>
      <c r="B112">
        <v>37.299999999999997</v>
      </c>
    </row>
    <row r="113" spans="1:2" x14ac:dyDescent="0.3">
      <c r="A113" s="1" t="s">
        <v>104</v>
      </c>
      <c r="B113">
        <v>42.3</v>
      </c>
    </row>
    <row r="114" spans="1:2" x14ac:dyDescent="0.3">
      <c r="A114" s="1" t="s">
        <v>164</v>
      </c>
      <c r="B114">
        <v>10.8</v>
      </c>
    </row>
    <row r="115" spans="1:2" x14ac:dyDescent="0.3">
      <c r="A115" s="1" t="s">
        <v>71</v>
      </c>
      <c r="B115">
        <f>610/(10)</f>
        <v>61</v>
      </c>
    </row>
    <row r="116" spans="1:2" x14ac:dyDescent="0.3">
      <c r="A116" s="1" t="s">
        <v>0</v>
      </c>
      <c r="B116">
        <f>981/(10)</f>
        <v>98.1</v>
      </c>
    </row>
    <row r="117" spans="1:2" x14ac:dyDescent="0.3">
      <c r="A117" s="1" t="s">
        <v>124</v>
      </c>
      <c r="B117">
        <v>31.2</v>
      </c>
    </row>
    <row r="118" spans="1:2" x14ac:dyDescent="0.3">
      <c r="A118" s="1" t="s">
        <v>106</v>
      </c>
      <c r="B118">
        <v>41.3</v>
      </c>
    </row>
    <row r="119" spans="1:2" x14ac:dyDescent="0.3">
      <c r="A119" s="1" t="s">
        <v>109</v>
      </c>
      <c r="B119">
        <v>38.6</v>
      </c>
    </row>
    <row r="120" spans="1:2" x14ac:dyDescent="0.3">
      <c r="A120" s="1" t="s">
        <v>48</v>
      </c>
      <c r="B120">
        <f>691/(10)</f>
        <v>69.099999999999994</v>
      </c>
    </row>
    <row r="121" spans="1:2" x14ac:dyDescent="0.3">
      <c r="A121" s="1" t="s">
        <v>73</v>
      </c>
      <c r="B121">
        <v>59.7</v>
      </c>
    </row>
    <row r="122" spans="1:2" x14ac:dyDescent="0.3">
      <c r="A122" s="1" t="s">
        <v>76</v>
      </c>
      <c r="B122">
        <v>58.9</v>
      </c>
    </row>
    <row r="123" spans="1:2" x14ac:dyDescent="0.3">
      <c r="A123" s="1" t="s">
        <v>74</v>
      </c>
      <c r="B123">
        <v>59.2</v>
      </c>
    </row>
    <row r="124" spans="1:2" x14ac:dyDescent="0.3">
      <c r="A124" s="1" t="s">
        <v>51</v>
      </c>
      <c r="B124">
        <f>673/(10)</f>
        <v>67.3</v>
      </c>
    </row>
    <row r="125" spans="1:2" x14ac:dyDescent="0.3">
      <c r="A125" s="1" t="s">
        <v>46</v>
      </c>
      <c r="B125">
        <f>704/(10)</f>
        <v>70.400000000000006</v>
      </c>
    </row>
    <row r="126" spans="1:2" x14ac:dyDescent="0.3">
      <c r="A126" s="1" t="s">
        <v>27</v>
      </c>
      <c r="B126">
        <f>795/(10)</f>
        <v>79.5</v>
      </c>
    </row>
    <row r="127" spans="1:2" x14ac:dyDescent="0.3">
      <c r="A127" s="1" t="s">
        <v>113</v>
      </c>
      <c r="B127">
        <v>36.5</v>
      </c>
    </row>
    <row r="128" spans="1:2" x14ac:dyDescent="0.3">
      <c r="A128" s="1" t="s">
        <v>61</v>
      </c>
      <c r="B128">
        <f>645/(10)</f>
        <v>64.5</v>
      </c>
    </row>
    <row r="129" spans="1:2" x14ac:dyDescent="0.3">
      <c r="A129" s="1" t="s">
        <v>145</v>
      </c>
      <c r="B129">
        <v>22.8</v>
      </c>
    </row>
    <row r="130" spans="1:2" x14ac:dyDescent="0.3">
      <c r="A130" s="1" t="s">
        <v>125</v>
      </c>
      <c r="B130">
        <v>31</v>
      </c>
    </row>
    <row r="131" spans="1:2" x14ac:dyDescent="0.3">
      <c r="A131" s="1" t="s">
        <v>149</v>
      </c>
      <c r="B131">
        <v>20.8</v>
      </c>
    </row>
    <row r="132" spans="1:2" x14ac:dyDescent="0.3">
      <c r="A132" s="1" t="s">
        <v>78</v>
      </c>
      <c r="B132">
        <v>57.2</v>
      </c>
    </row>
    <row r="133" spans="1:2" x14ac:dyDescent="0.3">
      <c r="A133" s="1" t="s">
        <v>67</v>
      </c>
      <c r="B133">
        <f>633/(10)</f>
        <v>63.3</v>
      </c>
    </row>
    <row r="134" spans="1:2" x14ac:dyDescent="0.3">
      <c r="A134" s="1" t="s">
        <v>95</v>
      </c>
      <c r="B134">
        <v>50.3</v>
      </c>
    </row>
    <row r="135" spans="1:2" x14ac:dyDescent="0.3">
      <c r="A135" s="1" t="s">
        <v>69</v>
      </c>
      <c r="B135">
        <f>622/(10)</f>
        <v>62.2</v>
      </c>
    </row>
    <row r="136" spans="1:2" x14ac:dyDescent="0.3">
      <c r="A136" s="1" t="s">
        <v>42</v>
      </c>
      <c r="B136">
        <f>707/(10)</f>
        <v>70.7</v>
      </c>
    </row>
    <row r="137" spans="1:2" x14ac:dyDescent="0.3">
      <c r="A137" s="1" t="s">
        <v>30</v>
      </c>
      <c r="B137">
        <f>775/(10)</f>
        <v>77.5</v>
      </c>
    </row>
    <row r="138" spans="1:2" x14ac:dyDescent="0.3">
      <c r="A138" s="1" t="s">
        <v>44</v>
      </c>
      <c r="B138">
        <f>705/(10)</f>
        <v>70.5</v>
      </c>
    </row>
    <row r="139" spans="1:2" x14ac:dyDescent="0.3">
      <c r="A139" s="1" t="s">
        <v>23</v>
      </c>
      <c r="B139">
        <f>803/(10)</f>
        <v>80.3</v>
      </c>
    </row>
    <row r="140" spans="1:2" x14ac:dyDescent="0.3">
      <c r="A140" s="1" t="s">
        <v>22</v>
      </c>
      <c r="B140">
        <f>807/(10)</f>
        <v>80.7</v>
      </c>
    </row>
    <row r="141" spans="1:2" x14ac:dyDescent="0.3">
      <c r="A141" s="1" t="s">
        <v>59</v>
      </c>
      <c r="B141">
        <f>647/(10)</f>
        <v>64.7</v>
      </c>
    </row>
    <row r="142" spans="1:2" x14ac:dyDescent="0.3">
      <c r="A142" s="1" t="s">
        <v>143</v>
      </c>
      <c r="B142">
        <v>24.7</v>
      </c>
    </row>
    <row r="143" spans="1:2" x14ac:dyDescent="0.3">
      <c r="A143" s="1" t="s">
        <v>47</v>
      </c>
      <c r="B143">
        <f>695/(10)</f>
        <v>69.5</v>
      </c>
    </row>
    <row r="144" spans="1:2" x14ac:dyDescent="0.3">
      <c r="A144" s="1" t="s">
        <v>3</v>
      </c>
      <c r="B144">
        <f>939/(10)</f>
        <v>93.9</v>
      </c>
    </row>
    <row r="145" spans="1:2" x14ac:dyDescent="0.3">
      <c r="A145" s="1" t="s">
        <v>6</v>
      </c>
      <c r="B145">
        <f>914/(10)</f>
        <v>91.4</v>
      </c>
    </row>
    <row r="146" spans="1:2" x14ac:dyDescent="0.3">
      <c r="A146" s="1" t="s">
        <v>162</v>
      </c>
      <c r="B146">
        <v>14.3</v>
      </c>
    </row>
    <row r="147" spans="1:2" x14ac:dyDescent="0.3">
      <c r="A147" s="1" t="s">
        <v>9</v>
      </c>
      <c r="B147">
        <f>899/(10)</f>
        <v>89.9</v>
      </c>
    </row>
    <row r="148" spans="1:2" x14ac:dyDescent="0.3">
      <c r="A148" s="1" t="s">
        <v>156</v>
      </c>
      <c r="B148">
        <v>19.399999999999999</v>
      </c>
    </row>
    <row r="149" spans="1:2" x14ac:dyDescent="0.3">
      <c r="A149" s="1" t="s">
        <v>91</v>
      </c>
      <c r="B149">
        <v>51</v>
      </c>
    </row>
    <row r="150" spans="1:2" x14ac:dyDescent="0.3">
      <c r="A150" s="1" t="s">
        <v>54</v>
      </c>
      <c r="B150">
        <f>667/(10)</f>
        <v>66.7</v>
      </c>
    </row>
    <row r="151" spans="1:2" x14ac:dyDescent="0.3">
      <c r="A151" s="1" t="s">
        <v>43</v>
      </c>
      <c r="B151">
        <f>706/(10)</f>
        <v>70.599999999999994</v>
      </c>
    </row>
    <row r="152" spans="1:2" x14ac:dyDescent="0.3">
      <c r="A152" s="1" t="s">
        <v>129</v>
      </c>
      <c r="B152">
        <v>29.9</v>
      </c>
    </row>
    <row r="153" spans="1:2" x14ac:dyDescent="0.3">
      <c r="A153" s="1" t="s">
        <v>40</v>
      </c>
      <c r="B153">
        <f>716/(10)</f>
        <v>71.599999999999994</v>
      </c>
    </row>
    <row r="154" spans="1:2" x14ac:dyDescent="0.3">
      <c r="A154" s="1" t="s">
        <v>84</v>
      </c>
      <c r="B154">
        <v>55.1</v>
      </c>
    </row>
    <row r="155" spans="1:2" x14ac:dyDescent="0.3">
      <c r="A155" s="1" t="s">
        <v>102</v>
      </c>
      <c r="B155">
        <v>43.5</v>
      </c>
    </row>
    <row r="156" spans="1:2" x14ac:dyDescent="0.3">
      <c r="A156" s="1" t="s">
        <v>160</v>
      </c>
      <c r="B156">
        <v>16.600000000000001</v>
      </c>
    </row>
    <row r="157" spans="1:2" x14ac:dyDescent="0.3">
      <c r="A157" s="1" t="s">
        <v>98</v>
      </c>
      <c r="B157">
        <v>45.5</v>
      </c>
    </row>
    <row r="158" spans="1:2" x14ac:dyDescent="0.3">
      <c r="A158" s="1" t="s">
        <v>86</v>
      </c>
      <c r="B158">
        <v>54.2</v>
      </c>
    </row>
    <row r="159" spans="1:2" x14ac:dyDescent="0.3">
      <c r="A159" s="1" t="s">
        <v>132</v>
      </c>
      <c r="B159">
        <v>29</v>
      </c>
    </row>
    <row r="160" spans="1:2" x14ac:dyDescent="0.3">
      <c r="A160" s="1" t="s">
        <v>17</v>
      </c>
      <c r="B160">
        <f>828/(10)</f>
        <v>82.8</v>
      </c>
    </row>
    <row r="161" spans="1:2" x14ac:dyDescent="0.3">
      <c r="A161" s="1" t="s">
        <v>29</v>
      </c>
      <c r="B161">
        <f>785/(10)</f>
        <v>78.5</v>
      </c>
    </row>
    <row r="162" spans="1:2" x14ac:dyDescent="0.3">
      <c r="A162" s="1" t="s">
        <v>10</v>
      </c>
      <c r="B162">
        <f>891/(10)</f>
        <v>89.1</v>
      </c>
    </row>
    <row r="163" spans="1:2" x14ac:dyDescent="0.3">
      <c r="A163" s="1" t="s">
        <v>148</v>
      </c>
      <c r="B163">
        <v>21.2</v>
      </c>
    </row>
    <row r="164" spans="1:2" x14ac:dyDescent="0.3">
      <c r="A164" s="1" t="s">
        <v>146</v>
      </c>
      <c r="B164">
        <v>22.3</v>
      </c>
    </row>
    <row r="165" spans="1:2" x14ac:dyDescent="0.3">
      <c r="A165" s="1" t="s">
        <v>137</v>
      </c>
      <c r="B165">
        <v>27.3</v>
      </c>
    </row>
    <row r="166" spans="1:2" x14ac:dyDescent="0.3">
      <c r="A166" s="1" t="s">
        <v>154</v>
      </c>
      <c r="B166">
        <v>19.5</v>
      </c>
    </row>
    <row r="167" spans="1:2" x14ac:dyDescent="0.3">
      <c r="A167" s="1" t="s">
        <v>77</v>
      </c>
      <c r="B167">
        <v>58</v>
      </c>
    </row>
    <row r="168" spans="1:2" x14ac:dyDescent="0.3">
      <c r="A168" s="1" t="s">
        <v>131</v>
      </c>
      <c r="B168">
        <v>29.2</v>
      </c>
    </row>
  </sheetData>
  <autoFilter ref="A1:B168" xr:uid="{9582003F-4C67-4247-BFC0-B48510EAE2E5}">
    <sortState xmlns:xlrd2="http://schemas.microsoft.com/office/spreadsheetml/2017/richdata2" ref="A2:B168">
      <sortCondition ref="A1:A168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F747-C63D-464D-A97A-A853CDC3B8D6}">
  <sheetPr>
    <tabColor rgb="FFFFCA3A"/>
  </sheetPr>
  <dimension ref="A1:B181"/>
  <sheetViews>
    <sheetView workbookViewId="0">
      <selection activeCell="B1" sqref="B1:B1048576"/>
    </sheetView>
  </sheetViews>
  <sheetFormatPr defaultRowHeight="14.4" x14ac:dyDescent="0.3"/>
  <cols>
    <col min="1" max="1" width="31.5546875" bestFit="1" customWidth="1"/>
    <col min="2" max="2" width="12" bestFit="1" customWidth="1"/>
  </cols>
  <sheetData>
    <row r="1" spans="1:2" x14ac:dyDescent="0.3">
      <c r="A1" s="1" t="s">
        <v>168</v>
      </c>
      <c r="B1" s="2" t="s">
        <v>167</v>
      </c>
    </row>
    <row r="2" spans="1:2" x14ac:dyDescent="0.3">
      <c r="A2" s="1" t="s">
        <v>166</v>
      </c>
      <c r="B2">
        <v>24</v>
      </c>
    </row>
    <row r="3" spans="1:2" x14ac:dyDescent="0.3">
      <c r="A3" s="1" t="s">
        <v>63</v>
      </c>
      <c r="B3">
        <v>36</v>
      </c>
    </row>
    <row r="4" spans="1:2" x14ac:dyDescent="0.3">
      <c r="A4" s="1" t="s">
        <v>112</v>
      </c>
      <c r="B4">
        <v>33</v>
      </c>
    </row>
    <row r="5" spans="1:2" x14ac:dyDescent="0.3">
      <c r="A5" s="1" t="s">
        <v>108</v>
      </c>
      <c r="B5">
        <v>33</v>
      </c>
    </row>
    <row r="6" spans="1:2" x14ac:dyDescent="0.3">
      <c r="A6" s="1" t="s">
        <v>49</v>
      </c>
      <c r="B6">
        <v>38</v>
      </c>
    </row>
    <row r="7" spans="1:2" x14ac:dyDescent="0.3">
      <c r="A7" s="1" t="s">
        <v>81</v>
      </c>
      <c r="B7">
        <v>46</v>
      </c>
    </row>
    <row r="8" spans="1:2" x14ac:dyDescent="0.3">
      <c r="A8" s="1" t="s">
        <v>14</v>
      </c>
      <c r="B8">
        <v>75</v>
      </c>
    </row>
    <row r="9" spans="1:2" x14ac:dyDescent="0.3">
      <c r="A9" s="1" t="s">
        <v>19</v>
      </c>
      <c r="B9">
        <v>71</v>
      </c>
    </row>
    <row r="10" spans="1:2" x14ac:dyDescent="0.3">
      <c r="A10" s="1" t="s">
        <v>133</v>
      </c>
      <c r="B10">
        <v>23</v>
      </c>
    </row>
    <row r="11" spans="1:2" x14ac:dyDescent="0.3">
      <c r="A11" s="1" t="s">
        <v>169</v>
      </c>
      <c r="B11">
        <v>64</v>
      </c>
    </row>
    <row r="12" spans="1:2" x14ac:dyDescent="0.3">
      <c r="A12" s="1" t="s">
        <v>141</v>
      </c>
      <c r="B12">
        <v>44</v>
      </c>
    </row>
    <row r="13" spans="1:2" x14ac:dyDescent="0.3">
      <c r="A13" s="1" t="s">
        <v>72</v>
      </c>
      <c r="B13">
        <v>25</v>
      </c>
    </row>
    <row r="14" spans="1:2" x14ac:dyDescent="0.3">
      <c r="A14" s="1" t="s">
        <v>170</v>
      </c>
      <c r="B14">
        <v>65</v>
      </c>
    </row>
    <row r="15" spans="1:2" x14ac:dyDescent="0.3">
      <c r="A15" s="1" t="s">
        <v>152</v>
      </c>
      <c r="B15">
        <v>39</v>
      </c>
    </row>
    <row r="16" spans="1:2" x14ac:dyDescent="0.3">
      <c r="A16" s="1" t="s">
        <v>35</v>
      </c>
      <c r="B16">
        <v>73</v>
      </c>
    </row>
    <row r="17" spans="1:2" x14ac:dyDescent="0.3">
      <c r="A17" s="1" t="s">
        <v>103</v>
      </c>
      <c r="B17">
        <v>43</v>
      </c>
    </row>
    <row r="18" spans="1:2" x14ac:dyDescent="0.3">
      <c r="A18" s="1" t="s">
        <v>83</v>
      </c>
      <c r="B18">
        <v>68</v>
      </c>
    </row>
    <row r="19" spans="1:2" x14ac:dyDescent="0.3">
      <c r="A19" s="1" t="s">
        <v>99</v>
      </c>
      <c r="B19">
        <v>31</v>
      </c>
    </row>
    <row r="20" spans="1:2" x14ac:dyDescent="0.3">
      <c r="A20" s="1" t="s">
        <v>171</v>
      </c>
      <c r="B20">
        <v>34</v>
      </c>
    </row>
    <row r="21" spans="1:2" x14ac:dyDescent="0.3">
      <c r="A21" s="1" t="s">
        <v>31</v>
      </c>
      <c r="B21">
        <v>60</v>
      </c>
    </row>
    <row r="22" spans="1:2" x14ac:dyDescent="0.3">
      <c r="A22" s="1" t="s">
        <v>50</v>
      </c>
      <c r="B22">
        <v>38</v>
      </c>
    </row>
    <row r="23" spans="1:2" x14ac:dyDescent="0.3">
      <c r="A23" s="1" t="s">
        <v>56</v>
      </c>
      <c r="B23">
        <v>43</v>
      </c>
    </row>
    <row r="24" spans="1:2" x14ac:dyDescent="0.3">
      <c r="A24" s="1" t="s">
        <v>126</v>
      </c>
      <c r="B24">
        <v>42</v>
      </c>
    </row>
    <row r="25" spans="1:2" x14ac:dyDescent="0.3">
      <c r="A25" s="1" t="s">
        <v>147</v>
      </c>
      <c r="B25">
        <v>17</v>
      </c>
    </row>
    <row r="26" spans="1:2" x14ac:dyDescent="0.3">
      <c r="A26" s="1" t="s">
        <v>34</v>
      </c>
      <c r="B26">
        <v>60</v>
      </c>
    </row>
    <row r="27" spans="1:2" x14ac:dyDescent="0.3">
      <c r="A27" s="1" t="s">
        <v>120</v>
      </c>
      <c r="B27">
        <v>24</v>
      </c>
    </row>
    <row r="28" spans="1:2" x14ac:dyDescent="0.3">
      <c r="A28" s="1" t="s">
        <v>139</v>
      </c>
      <c r="B28">
        <v>26</v>
      </c>
    </row>
    <row r="29" spans="1:2" x14ac:dyDescent="0.3">
      <c r="A29" s="1" t="s">
        <v>11</v>
      </c>
      <c r="B29">
        <v>74</v>
      </c>
    </row>
    <row r="30" spans="1:2" x14ac:dyDescent="0.3">
      <c r="A30" s="1" t="s">
        <v>163</v>
      </c>
      <c r="B30">
        <v>24</v>
      </c>
    </row>
    <row r="31" spans="1:2" x14ac:dyDescent="0.3">
      <c r="A31" s="1" t="s">
        <v>159</v>
      </c>
      <c r="B31">
        <v>19</v>
      </c>
    </row>
    <row r="32" spans="1:2" x14ac:dyDescent="0.3">
      <c r="A32" s="1" t="s">
        <v>18</v>
      </c>
      <c r="B32">
        <v>67</v>
      </c>
    </row>
    <row r="33" spans="1:2" x14ac:dyDescent="0.3">
      <c r="A33" s="1" t="s">
        <v>155</v>
      </c>
      <c r="B33">
        <v>45</v>
      </c>
    </row>
    <row r="34" spans="1:2" x14ac:dyDescent="0.3">
      <c r="A34" s="1" t="s">
        <v>52</v>
      </c>
      <c r="B34">
        <v>39</v>
      </c>
    </row>
    <row r="35" spans="1:2" x14ac:dyDescent="0.3">
      <c r="A35" s="1" t="s">
        <v>119</v>
      </c>
      <c r="B35">
        <v>19</v>
      </c>
    </row>
    <row r="36" spans="1:2" x14ac:dyDescent="0.3">
      <c r="A36" s="1" t="s">
        <v>172</v>
      </c>
      <c r="B36">
        <v>21</v>
      </c>
    </row>
    <row r="37" spans="1:2" x14ac:dyDescent="0.3">
      <c r="A37" s="1" t="s">
        <v>16</v>
      </c>
      <c r="B37">
        <v>54</v>
      </c>
    </row>
    <row r="38" spans="1:2" x14ac:dyDescent="0.3">
      <c r="A38" s="1" t="s">
        <v>173</v>
      </c>
      <c r="B38">
        <v>37</v>
      </c>
    </row>
    <row r="39" spans="1:2" x14ac:dyDescent="0.3">
      <c r="A39" s="1" t="s">
        <v>58</v>
      </c>
      <c r="B39">
        <v>50</v>
      </c>
    </row>
    <row r="40" spans="1:2" x14ac:dyDescent="0.3">
      <c r="A40" s="1" t="s">
        <v>138</v>
      </c>
      <c r="B40">
        <v>45</v>
      </c>
    </row>
    <row r="41" spans="1:2" x14ac:dyDescent="0.3">
      <c r="A41" s="1" t="s">
        <v>36</v>
      </c>
      <c r="B41">
        <v>52</v>
      </c>
    </row>
    <row r="42" spans="1:2" x14ac:dyDescent="0.3">
      <c r="A42" s="1" t="s">
        <v>174</v>
      </c>
      <c r="B42">
        <v>56</v>
      </c>
    </row>
    <row r="43" spans="1:2" x14ac:dyDescent="0.3">
      <c r="A43" s="1" t="s">
        <v>175</v>
      </c>
      <c r="B43">
        <v>20</v>
      </c>
    </row>
    <row r="44" spans="1:2" x14ac:dyDescent="0.3">
      <c r="A44" s="1" t="s">
        <v>5</v>
      </c>
      <c r="B44">
        <v>90</v>
      </c>
    </row>
    <row r="45" spans="1:2" x14ac:dyDescent="0.3">
      <c r="A45" s="1" t="s">
        <v>136</v>
      </c>
      <c r="B45">
        <v>30</v>
      </c>
    </row>
    <row r="46" spans="1:2" x14ac:dyDescent="0.3">
      <c r="A46" s="1" t="s">
        <v>176</v>
      </c>
      <c r="B46">
        <v>55</v>
      </c>
    </row>
    <row r="47" spans="1:2" x14ac:dyDescent="0.3">
      <c r="A47" s="1" t="s">
        <v>64</v>
      </c>
      <c r="B47">
        <v>32</v>
      </c>
    </row>
    <row r="48" spans="1:2" x14ac:dyDescent="0.3">
      <c r="A48" s="1" t="s">
        <v>80</v>
      </c>
      <c r="B48">
        <v>36</v>
      </c>
    </row>
    <row r="49" spans="1:2" x14ac:dyDescent="0.3">
      <c r="A49" s="1" t="s">
        <v>130</v>
      </c>
      <c r="B49">
        <v>30</v>
      </c>
    </row>
    <row r="50" spans="1:2" x14ac:dyDescent="0.3">
      <c r="A50" s="1" t="s">
        <v>92</v>
      </c>
      <c r="B50">
        <v>33</v>
      </c>
    </row>
    <row r="51" spans="1:2" x14ac:dyDescent="0.3">
      <c r="A51" s="1" t="s">
        <v>157</v>
      </c>
      <c r="B51">
        <v>17</v>
      </c>
    </row>
    <row r="52" spans="1:2" x14ac:dyDescent="0.3">
      <c r="A52" s="1" t="s">
        <v>151</v>
      </c>
      <c r="B52">
        <v>22</v>
      </c>
    </row>
    <row r="53" spans="1:2" x14ac:dyDescent="0.3">
      <c r="A53" s="1" t="s">
        <v>26</v>
      </c>
      <c r="B53">
        <v>74</v>
      </c>
    </row>
    <row r="54" spans="1:2" x14ac:dyDescent="0.3">
      <c r="A54" s="1" t="s">
        <v>128</v>
      </c>
      <c r="B54">
        <v>30</v>
      </c>
    </row>
    <row r="55" spans="1:2" x14ac:dyDescent="0.3">
      <c r="A55" s="1" t="s">
        <v>121</v>
      </c>
      <c r="B55">
        <v>38</v>
      </c>
    </row>
    <row r="56" spans="1:2" x14ac:dyDescent="0.3">
      <c r="A56" s="1" t="s">
        <v>82</v>
      </c>
      <c r="B56">
        <v>53</v>
      </c>
    </row>
    <row r="57" spans="1:2" x14ac:dyDescent="0.3">
      <c r="A57" s="1" t="s">
        <v>4</v>
      </c>
      <c r="B57">
        <v>87</v>
      </c>
    </row>
    <row r="58" spans="1:2" x14ac:dyDescent="0.3">
      <c r="A58" s="1" t="s">
        <v>21</v>
      </c>
      <c r="B58">
        <v>72</v>
      </c>
    </row>
    <row r="59" spans="1:2" x14ac:dyDescent="0.3">
      <c r="A59" s="1" t="s">
        <v>117</v>
      </c>
      <c r="B59">
        <v>29</v>
      </c>
    </row>
    <row r="60" spans="1:2" x14ac:dyDescent="0.3">
      <c r="A60" s="1" t="s">
        <v>101</v>
      </c>
      <c r="B60">
        <v>34</v>
      </c>
    </row>
    <row r="61" spans="1:2" x14ac:dyDescent="0.3">
      <c r="A61" s="1" t="s">
        <v>89</v>
      </c>
      <c r="B61">
        <v>56</v>
      </c>
    </row>
    <row r="62" spans="1:2" x14ac:dyDescent="0.3">
      <c r="A62" s="1" t="s">
        <v>13</v>
      </c>
      <c r="B62">
        <v>79</v>
      </c>
    </row>
    <row r="63" spans="1:2" x14ac:dyDescent="0.3">
      <c r="A63" s="1" t="s">
        <v>62</v>
      </c>
      <c r="B63">
        <v>43</v>
      </c>
    </row>
    <row r="64" spans="1:2" x14ac:dyDescent="0.3">
      <c r="A64" s="1" t="s">
        <v>25</v>
      </c>
      <c r="B64">
        <v>52</v>
      </c>
    </row>
    <row r="65" spans="1:2" x14ac:dyDescent="0.3">
      <c r="A65" s="1" t="s">
        <v>177</v>
      </c>
      <c r="B65">
        <v>52</v>
      </c>
    </row>
    <row r="66" spans="1:2" x14ac:dyDescent="0.3">
      <c r="A66" s="1" t="s">
        <v>97</v>
      </c>
      <c r="B66">
        <v>24</v>
      </c>
    </row>
    <row r="67" spans="1:2" x14ac:dyDescent="0.3">
      <c r="A67" s="1" t="s">
        <v>144</v>
      </c>
      <c r="B67">
        <v>25</v>
      </c>
    </row>
    <row r="68" spans="1:2" x14ac:dyDescent="0.3">
      <c r="A68" s="1" t="s">
        <v>178</v>
      </c>
      <c r="B68">
        <v>21</v>
      </c>
    </row>
    <row r="69" spans="1:2" x14ac:dyDescent="0.3">
      <c r="A69" s="1" t="s">
        <v>66</v>
      </c>
      <c r="B69">
        <v>40</v>
      </c>
    </row>
    <row r="70" spans="1:2" x14ac:dyDescent="0.3">
      <c r="A70" s="1" t="s">
        <v>134</v>
      </c>
      <c r="B70">
        <v>17</v>
      </c>
    </row>
    <row r="71" spans="1:2" x14ac:dyDescent="0.3">
      <c r="A71" s="1" t="s">
        <v>90</v>
      </c>
      <c r="B71">
        <v>23</v>
      </c>
    </row>
    <row r="72" spans="1:2" x14ac:dyDescent="0.3">
      <c r="A72" s="1" t="s">
        <v>87</v>
      </c>
      <c r="B72">
        <v>76</v>
      </c>
    </row>
    <row r="73" spans="1:2" x14ac:dyDescent="0.3">
      <c r="A73" s="1" t="s">
        <v>55</v>
      </c>
      <c r="B73">
        <v>42</v>
      </c>
    </row>
    <row r="74" spans="1:2" x14ac:dyDescent="0.3">
      <c r="A74" s="1" t="s">
        <v>2</v>
      </c>
      <c r="B74">
        <v>74</v>
      </c>
    </row>
    <row r="75" spans="1:2" x14ac:dyDescent="0.3">
      <c r="A75" s="1" t="s">
        <v>45</v>
      </c>
      <c r="B75">
        <v>40</v>
      </c>
    </row>
    <row r="76" spans="1:2" x14ac:dyDescent="0.3">
      <c r="A76" s="1" t="s">
        <v>53</v>
      </c>
      <c r="B76">
        <v>34</v>
      </c>
    </row>
    <row r="77" spans="1:2" x14ac:dyDescent="0.3">
      <c r="A77" s="1" t="s">
        <v>153</v>
      </c>
      <c r="B77">
        <v>25</v>
      </c>
    </row>
    <row r="78" spans="1:2" x14ac:dyDescent="0.3">
      <c r="A78" s="1" t="s">
        <v>123</v>
      </c>
      <c r="B78">
        <v>23</v>
      </c>
    </row>
    <row r="79" spans="1:2" x14ac:dyDescent="0.3">
      <c r="A79" s="1" t="s">
        <v>7</v>
      </c>
      <c r="B79">
        <v>77</v>
      </c>
    </row>
    <row r="80" spans="1:2" x14ac:dyDescent="0.3">
      <c r="A80" s="1" t="s">
        <v>28</v>
      </c>
      <c r="B80">
        <v>63</v>
      </c>
    </row>
    <row r="81" spans="1:2" x14ac:dyDescent="0.3">
      <c r="A81" s="1" t="s">
        <v>33</v>
      </c>
      <c r="B81">
        <v>56</v>
      </c>
    </row>
    <row r="82" spans="1:2" x14ac:dyDescent="0.3">
      <c r="A82" s="1" t="s">
        <v>41</v>
      </c>
      <c r="B82">
        <v>44</v>
      </c>
    </row>
    <row r="83" spans="1:2" x14ac:dyDescent="0.3">
      <c r="A83" s="1" t="s">
        <v>15</v>
      </c>
      <c r="B83">
        <v>73</v>
      </c>
    </row>
    <row r="84" spans="1:2" x14ac:dyDescent="0.3">
      <c r="A84" s="1" t="s">
        <v>122</v>
      </c>
      <c r="B84">
        <v>47</v>
      </c>
    </row>
    <row r="85" spans="1:2" x14ac:dyDescent="0.3">
      <c r="A85" s="1" t="s">
        <v>127</v>
      </c>
      <c r="B85">
        <v>36</v>
      </c>
    </row>
    <row r="86" spans="1:2" x14ac:dyDescent="0.3">
      <c r="A86" s="1" t="s">
        <v>93</v>
      </c>
      <c r="B86">
        <v>32</v>
      </c>
    </row>
    <row r="87" spans="1:2" x14ac:dyDescent="0.3">
      <c r="A87" s="1" t="s">
        <v>179</v>
      </c>
      <c r="B87">
        <v>17</v>
      </c>
    </row>
    <row r="88" spans="1:2" x14ac:dyDescent="0.3">
      <c r="A88" s="1" t="s">
        <v>180</v>
      </c>
      <c r="B88">
        <v>63</v>
      </c>
    </row>
    <row r="89" spans="1:2" x14ac:dyDescent="0.3">
      <c r="A89" s="1" t="s">
        <v>181</v>
      </c>
      <c r="B89">
        <v>41</v>
      </c>
    </row>
    <row r="90" spans="1:2" x14ac:dyDescent="0.3">
      <c r="A90" s="1" t="s">
        <v>110</v>
      </c>
      <c r="B90">
        <v>42</v>
      </c>
    </row>
    <row r="91" spans="1:2" x14ac:dyDescent="0.3">
      <c r="A91" s="1" t="s">
        <v>182</v>
      </c>
      <c r="B91">
        <v>27</v>
      </c>
    </row>
    <row r="92" spans="1:2" x14ac:dyDescent="0.3">
      <c r="A92" s="1" t="s">
        <v>158</v>
      </c>
      <c r="B92">
        <v>31</v>
      </c>
    </row>
    <row r="93" spans="1:2" x14ac:dyDescent="0.3">
      <c r="A93" s="1" t="s">
        <v>37</v>
      </c>
      <c r="B93">
        <v>59</v>
      </c>
    </row>
    <row r="94" spans="1:2" x14ac:dyDescent="0.3">
      <c r="A94" s="1" t="s">
        <v>114</v>
      </c>
      <c r="B94">
        <v>24</v>
      </c>
    </row>
    <row r="95" spans="1:2" x14ac:dyDescent="0.3">
      <c r="A95" s="1" t="s">
        <v>70</v>
      </c>
      <c r="B95">
        <v>37</v>
      </c>
    </row>
    <row r="96" spans="1:2" x14ac:dyDescent="0.3">
      <c r="A96" s="1" t="s">
        <v>85</v>
      </c>
      <c r="B96">
        <v>26</v>
      </c>
    </row>
    <row r="97" spans="1:2" x14ac:dyDescent="0.3">
      <c r="A97" s="1" t="s">
        <v>150</v>
      </c>
      <c r="B97">
        <v>17</v>
      </c>
    </row>
    <row r="98" spans="1:2" x14ac:dyDescent="0.3">
      <c r="A98" s="1" t="s">
        <v>38</v>
      </c>
      <c r="B98">
        <v>62</v>
      </c>
    </row>
    <row r="99" spans="1:2" x14ac:dyDescent="0.3">
      <c r="A99" s="1" t="s">
        <v>12</v>
      </c>
      <c r="B99">
        <v>77</v>
      </c>
    </row>
    <row r="100" spans="1:2" x14ac:dyDescent="0.3">
      <c r="A100" s="1" t="s">
        <v>79</v>
      </c>
      <c r="B100">
        <v>26</v>
      </c>
    </row>
    <row r="101" spans="1:2" x14ac:dyDescent="0.3">
      <c r="A101" s="1" t="s">
        <v>75</v>
      </c>
      <c r="B101">
        <v>34</v>
      </c>
    </row>
    <row r="102" spans="1:2" x14ac:dyDescent="0.3">
      <c r="A102" s="1" t="s">
        <v>39</v>
      </c>
      <c r="B102">
        <v>47</v>
      </c>
    </row>
    <row r="103" spans="1:2" x14ac:dyDescent="0.3">
      <c r="A103" s="1" t="s">
        <v>183</v>
      </c>
      <c r="B103">
        <v>40</v>
      </c>
    </row>
    <row r="104" spans="1:2" x14ac:dyDescent="0.3">
      <c r="A104" s="1" t="s">
        <v>118</v>
      </c>
      <c r="B104">
        <v>28</v>
      </c>
    </row>
    <row r="105" spans="1:2" x14ac:dyDescent="0.3">
      <c r="A105" s="1" t="s">
        <v>32</v>
      </c>
      <c r="B105">
        <v>51</v>
      </c>
    </row>
    <row r="106" spans="1:2" x14ac:dyDescent="0.3">
      <c r="A106" s="1" t="s">
        <v>107</v>
      </c>
      <c r="B106">
        <v>30</v>
      </c>
    </row>
    <row r="107" spans="1:2" x14ac:dyDescent="0.3">
      <c r="A107" s="1" t="s">
        <v>20</v>
      </c>
      <c r="B107">
        <v>50</v>
      </c>
    </row>
    <row r="108" spans="1:2" x14ac:dyDescent="0.3">
      <c r="A108" s="1" t="s">
        <v>88</v>
      </c>
      <c r="B108">
        <v>31</v>
      </c>
    </row>
    <row r="109" spans="1:2" x14ac:dyDescent="0.3">
      <c r="A109" s="1" t="s">
        <v>68</v>
      </c>
      <c r="B109">
        <v>39</v>
      </c>
    </row>
    <row r="110" spans="1:2" x14ac:dyDescent="0.3">
      <c r="A110" s="1" t="s">
        <v>65</v>
      </c>
      <c r="B110">
        <v>33</v>
      </c>
    </row>
    <row r="111" spans="1:2" x14ac:dyDescent="0.3">
      <c r="A111" s="1" t="s">
        <v>60</v>
      </c>
      <c r="B111">
        <v>45</v>
      </c>
    </row>
    <row r="112" spans="1:2" x14ac:dyDescent="0.3">
      <c r="A112" s="1" t="s">
        <v>94</v>
      </c>
      <c r="B112">
        <v>38</v>
      </c>
    </row>
    <row r="113" spans="1:2" x14ac:dyDescent="0.3">
      <c r="A113" s="1" t="s">
        <v>116</v>
      </c>
      <c r="B113">
        <v>26</v>
      </c>
    </row>
    <row r="114" spans="1:2" x14ac:dyDescent="0.3">
      <c r="A114" s="1" t="s">
        <v>165</v>
      </c>
      <c r="B114">
        <v>23</v>
      </c>
    </row>
    <row r="115" spans="1:2" x14ac:dyDescent="0.3">
      <c r="A115" s="1" t="s">
        <v>57</v>
      </c>
      <c r="B115">
        <v>49</v>
      </c>
    </row>
    <row r="116" spans="1:2" x14ac:dyDescent="0.3">
      <c r="A116" s="1" t="s">
        <v>100</v>
      </c>
      <c r="B116">
        <v>34</v>
      </c>
    </row>
    <row r="117" spans="1:2" x14ac:dyDescent="0.3">
      <c r="A117" s="1" t="s">
        <v>8</v>
      </c>
      <c r="B117">
        <v>80</v>
      </c>
    </row>
    <row r="118" spans="1:2" x14ac:dyDescent="0.3">
      <c r="A118" s="1" t="s">
        <v>1</v>
      </c>
      <c r="B118">
        <v>87</v>
      </c>
    </row>
    <row r="119" spans="1:2" x14ac:dyDescent="0.3">
      <c r="A119" s="1" t="s">
        <v>142</v>
      </c>
      <c r="B119">
        <v>19</v>
      </c>
    </row>
    <row r="120" spans="1:2" x14ac:dyDescent="0.3">
      <c r="A120" s="1" t="s">
        <v>111</v>
      </c>
      <c r="B120">
        <v>32</v>
      </c>
    </row>
    <row r="121" spans="1:2" x14ac:dyDescent="0.3">
      <c r="A121" s="1" t="s">
        <v>104</v>
      </c>
      <c r="B121">
        <v>24</v>
      </c>
    </row>
    <row r="122" spans="1:2" x14ac:dyDescent="0.3">
      <c r="A122" s="1" t="s">
        <v>71</v>
      </c>
      <c r="B122">
        <v>40</v>
      </c>
    </row>
    <row r="123" spans="1:2" x14ac:dyDescent="0.3">
      <c r="A123" s="1" t="s">
        <v>0</v>
      </c>
      <c r="B123">
        <v>84</v>
      </c>
    </row>
    <row r="124" spans="1:2" x14ac:dyDescent="0.3">
      <c r="A124" s="1" t="s">
        <v>124</v>
      </c>
      <c r="B124">
        <v>44</v>
      </c>
    </row>
    <row r="125" spans="1:2" x14ac:dyDescent="0.3">
      <c r="A125" s="1" t="s">
        <v>106</v>
      </c>
      <c r="B125">
        <v>27</v>
      </c>
    </row>
    <row r="126" spans="1:2" x14ac:dyDescent="0.3">
      <c r="A126" s="1" t="s">
        <v>48</v>
      </c>
      <c r="B126">
        <v>36</v>
      </c>
    </row>
    <row r="127" spans="1:2" x14ac:dyDescent="0.3">
      <c r="A127" s="1" t="s">
        <v>73</v>
      </c>
      <c r="B127">
        <v>30</v>
      </c>
    </row>
    <row r="128" spans="1:2" x14ac:dyDescent="0.3">
      <c r="A128" s="1" t="s">
        <v>76</v>
      </c>
      <c r="B128">
        <v>28</v>
      </c>
    </row>
    <row r="129" spans="1:2" x14ac:dyDescent="0.3">
      <c r="A129" s="1" t="s">
        <v>74</v>
      </c>
      <c r="B129">
        <v>36</v>
      </c>
    </row>
    <row r="130" spans="1:2" x14ac:dyDescent="0.3">
      <c r="A130" s="1" t="s">
        <v>51</v>
      </c>
      <c r="B130">
        <v>33</v>
      </c>
    </row>
    <row r="131" spans="1:2" x14ac:dyDescent="0.3">
      <c r="A131" s="1" t="s">
        <v>46</v>
      </c>
      <c r="B131">
        <v>55</v>
      </c>
    </row>
    <row r="132" spans="1:2" x14ac:dyDescent="0.3">
      <c r="A132" s="1" t="s">
        <v>27</v>
      </c>
      <c r="B132">
        <v>62</v>
      </c>
    </row>
    <row r="133" spans="1:2" x14ac:dyDescent="0.3">
      <c r="A133" s="1" t="s">
        <v>113</v>
      </c>
      <c r="B133">
        <v>58</v>
      </c>
    </row>
    <row r="134" spans="1:2" x14ac:dyDescent="0.3">
      <c r="A134" s="1" t="s">
        <v>61</v>
      </c>
      <c r="B134">
        <v>46</v>
      </c>
    </row>
    <row r="135" spans="1:2" x14ac:dyDescent="0.3">
      <c r="A135" s="1" t="s">
        <v>145</v>
      </c>
      <c r="B135">
        <v>28</v>
      </c>
    </row>
    <row r="136" spans="1:2" x14ac:dyDescent="0.3">
      <c r="A136" s="1" t="s">
        <v>125</v>
      </c>
      <c r="B136">
        <v>51</v>
      </c>
    </row>
    <row r="137" spans="1:2" x14ac:dyDescent="0.3">
      <c r="A137" s="1" t="s">
        <v>184</v>
      </c>
      <c r="B137">
        <v>55</v>
      </c>
    </row>
    <row r="138" spans="1:2" x14ac:dyDescent="0.3">
      <c r="A138" s="1" t="s">
        <v>185</v>
      </c>
      <c r="B138">
        <v>60</v>
      </c>
    </row>
    <row r="139" spans="1:2" x14ac:dyDescent="0.3">
      <c r="A139" s="1" t="s">
        <v>186</v>
      </c>
      <c r="B139">
        <v>45</v>
      </c>
    </row>
    <row r="140" spans="1:2" x14ac:dyDescent="0.3">
      <c r="A140" s="1" t="s">
        <v>149</v>
      </c>
      <c r="B140">
        <v>51</v>
      </c>
    </row>
    <row r="141" spans="1:2" x14ac:dyDescent="0.3">
      <c r="A141" s="1" t="s">
        <v>78</v>
      </c>
      <c r="B141">
        <v>43</v>
      </c>
    </row>
    <row r="142" spans="1:2" x14ac:dyDescent="0.3">
      <c r="A142" s="1" t="s">
        <v>67</v>
      </c>
      <c r="B142">
        <v>36</v>
      </c>
    </row>
    <row r="143" spans="1:2" x14ac:dyDescent="0.3">
      <c r="A143" s="1" t="s">
        <v>187</v>
      </c>
      <c r="B143">
        <v>70</v>
      </c>
    </row>
    <row r="144" spans="1:2" x14ac:dyDescent="0.3">
      <c r="A144" s="1" t="s">
        <v>95</v>
      </c>
      <c r="B144">
        <v>34</v>
      </c>
    </row>
    <row r="145" spans="1:2" x14ac:dyDescent="0.3">
      <c r="A145" s="1" t="s">
        <v>69</v>
      </c>
      <c r="B145">
        <v>83</v>
      </c>
    </row>
    <row r="146" spans="1:2" x14ac:dyDescent="0.3">
      <c r="A146" s="1" t="s">
        <v>42</v>
      </c>
      <c r="B146">
        <v>53</v>
      </c>
    </row>
    <row r="147" spans="1:2" x14ac:dyDescent="0.3">
      <c r="A147" s="1" t="s">
        <v>30</v>
      </c>
      <c r="B147">
        <v>56</v>
      </c>
    </row>
    <row r="148" spans="1:2" x14ac:dyDescent="0.3">
      <c r="A148" s="1" t="s">
        <v>188</v>
      </c>
      <c r="B148">
        <v>42</v>
      </c>
    </row>
    <row r="149" spans="1:2" x14ac:dyDescent="0.3">
      <c r="A149" s="1" t="s">
        <v>189</v>
      </c>
      <c r="B149">
        <v>12</v>
      </c>
    </row>
    <row r="150" spans="1:2" x14ac:dyDescent="0.3">
      <c r="A150" s="1" t="s">
        <v>44</v>
      </c>
      <c r="B150">
        <v>43</v>
      </c>
    </row>
    <row r="151" spans="1:2" x14ac:dyDescent="0.3">
      <c r="A151" s="1" t="s">
        <v>190</v>
      </c>
      <c r="B151">
        <v>13</v>
      </c>
    </row>
    <row r="152" spans="1:2" x14ac:dyDescent="0.3">
      <c r="A152" s="1" t="s">
        <v>22</v>
      </c>
      <c r="B152">
        <v>60</v>
      </c>
    </row>
    <row r="153" spans="1:2" x14ac:dyDescent="0.3">
      <c r="A153" s="1" t="s">
        <v>59</v>
      </c>
      <c r="B153">
        <v>36</v>
      </c>
    </row>
    <row r="154" spans="1:2" x14ac:dyDescent="0.3">
      <c r="A154" s="1" t="s">
        <v>143</v>
      </c>
      <c r="B154">
        <v>22</v>
      </c>
    </row>
    <row r="155" spans="1:2" x14ac:dyDescent="0.3">
      <c r="A155" s="1" t="s">
        <v>47</v>
      </c>
      <c r="B155">
        <v>40</v>
      </c>
    </row>
    <row r="156" spans="1:2" x14ac:dyDescent="0.3">
      <c r="A156" s="1" t="s">
        <v>3</v>
      </c>
      <c r="B156">
        <v>83</v>
      </c>
    </row>
    <row r="157" spans="1:2" x14ac:dyDescent="0.3">
      <c r="A157" s="1" t="s">
        <v>6</v>
      </c>
      <c r="B157">
        <v>82</v>
      </c>
    </row>
    <row r="158" spans="1:2" x14ac:dyDescent="0.3">
      <c r="A158" s="1" t="s">
        <v>162</v>
      </c>
      <c r="B158">
        <v>13</v>
      </c>
    </row>
    <row r="159" spans="1:2" x14ac:dyDescent="0.3">
      <c r="A159" s="1" t="s">
        <v>9</v>
      </c>
      <c r="B159">
        <v>68</v>
      </c>
    </row>
    <row r="160" spans="1:2" x14ac:dyDescent="0.3">
      <c r="A160" s="1" t="s">
        <v>156</v>
      </c>
      <c r="B160">
        <v>24</v>
      </c>
    </row>
    <row r="161" spans="1:2" x14ac:dyDescent="0.3">
      <c r="A161" s="1" t="s">
        <v>91</v>
      </c>
      <c r="B161">
        <v>38</v>
      </c>
    </row>
    <row r="162" spans="1:2" x14ac:dyDescent="0.3">
      <c r="A162" s="1" t="s">
        <v>54</v>
      </c>
      <c r="B162">
        <v>36</v>
      </c>
    </row>
    <row r="163" spans="1:2" x14ac:dyDescent="0.3">
      <c r="A163" s="1" t="s">
        <v>43</v>
      </c>
      <c r="B163">
        <v>42</v>
      </c>
    </row>
    <row r="164" spans="1:2" x14ac:dyDescent="0.3">
      <c r="A164" s="1" t="s">
        <v>129</v>
      </c>
      <c r="B164">
        <v>30</v>
      </c>
    </row>
    <row r="165" spans="1:2" x14ac:dyDescent="0.3">
      <c r="A165" s="1" t="s">
        <v>40</v>
      </c>
      <c r="B165">
        <v>42</v>
      </c>
    </row>
    <row r="166" spans="1:2" x14ac:dyDescent="0.3">
      <c r="A166" s="1" t="s">
        <v>84</v>
      </c>
      <c r="B166">
        <v>40</v>
      </c>
    </row>
    <row r="167" spans="1:2" x14ac:dyDescent="0.3">
      <c r="A167" s="1" t="s">
        <v>102</v>
      </c>
      <c r="B167">
        <v>36</v>
      </c>
    </row>
    <row r="168" spans="1:2" x14ac:dyDescent="0.3">
      <c r="A168" s="1" t="s">
        <v>160</v>
      </c>
      <c r="B168">
        <v>19</v>
      </c>
    </row>
    <row r="169" spans="1:2" x14ac:dyDescent="0.3">
      <c r="A169" s="1" t="s">
        <v>98</v>
      </c>
      <c r="B169">
        <v>26</v>
      </c>
    </row>
    <row r="170" spans="1:2" x14ac:dyDescent="0.3">
      <c r="A170" s="1" t="s">
        <v>86</v>
      </c>
      <c r="B170">
        <v>33</v>
      </c>
    </row>
    <row r="171" spans="1:2" x14ac:dyDescent="0.3">
      <c r="A171" t="s">
        <v>132</v>
      </c>
      <c r="B171">
        <v>67</v>
      </c>
    </row>
    <row r="172" spans="1:2" x14ac:dyDescent="0.3">
      <c r="A172" t="s">
        <v>17</v>
      </c>
      <c r="B172">
        <v>73</v>
      </c>
    </row>
    <row r="173" spans="1:2" x14ac:dyDescent="0.3">
      <c r="A173" t="s">
        <v>29</v>
      </c>
      <c r="B173">
        <v>69</v>
      </c>
    </row>
    <row r="174" spans="1:2" x14ac:dyDescent="0.3">
      <c r="A174" t="s">
        <v>10</v>
      </c>
      <c r="B174">
        <v>74</v>
      </c>
    </row>
    <row r="175" spans="1:2" x14ac:dyDescent="0.3">
      <c r="A175" t="s">
        <v>148</v>
      </c>
      <c r="B175">
        <v>31</v>
      </c>
    </row>
    <row r="176" spans="1:2" x14ac:dyDescent="0.3">
      <c r="A176" t="s">
        <v>191</v>
      </c>
      <c r="B176">
        <v>48</v>
      </c>
    </row>
    <row r="177" spans="1:2" x14ac:dyDescent="0.3">
      <c r="A177" t="s">
        <v>146</v>
      </c>
      <c r="B177">
        <v>14</v>
      </c>
    </row>
    <row r="178" spans="1:2" x14ac:dyDescent="0.3">
      <c r="A178" t="s">
        <v>137</v>
      </c>
      <c r="B178">
        <v>42</v>
      </c>
    </row>
    <row r="179" spans="1:2" x14ac:dyDescent="0.3">
      <c r="A179" t="s">
        <v>154</v>
      </c>
      <c r="B179">
        <v>16</v>
      </c>
    </row>
    <row r="180" spans="1:2" x14ac:dyDescent="0.3">
      <c r="A180" t="s">
        <v>77</v>
      </c>
      <c r="B180">
        <v>33</v>
      </c>
    </row>
    <row r="181" spans="1:2" x14ac:dyDescent="0.3">
      <c r="A181" t="s">
        <v>131</v>
      </c>
      <c r="B181">
        <v>23</v>
      </c>
    </row>
  </sheetData>
  <autoFilter ref="A1:B1" xr:uid="{B9C0F747-C63D-464D-A97A-A853CDC3B8D6}">
    <sortState xmlns:xlrd2="http://schemas.microsoft.com/office/spreadsheetml/2017/richdata2" ref="A2:B181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2692-4054-4D08-ABB6-7D12F18466BE}">
  <sheetPr>
    <tabColor rgb="FF8AC926"/>
  </sheetPr>
  <dimension ref="A1:B170"/>
  <sheetViews>
    <sheetView workbookViewId="0">
      <selection activeCell="F19" sqref="F19"/>
    </sheetView>
  </sheetViews>
  <sheetFormatPr defaultRowHeight="14.4" x14ac:dyDescent="0.3"/>
  <cols>
    <col min="1" max="1" width="22.6640625" bestFit="1" customWidth="1"/>
    <col min="2" max="2" width="12" bestFit="1" customWidth="1"/>
  </cols>
  <sheetData>
    <row r="1" spans="1:2" x14ac:dyDescent="0.3">
      <c r="A1" s="1" t="s">
        <v>168</v>
      </c>
      <c r="B1" s="2" t="s">
        <v>167</v>
      </c>
    </row>
    <row r="2" spans="1:2" x14ac:dyDescent="0.3">
      <c r="A2" s="1" t="s">
        <v>63</v>
      </c>
      <c r="B2" s="4">
        <v>76.800000000000011</v>
      </c>
    </row>
    <row r="3" spans="1:2" x14ac:dyDescent="0.3">
      <c r="A3" s="1" t="s">
        <v>112</v>
      </c>
      <c r="B3" s="4">
        <v>51.3</v>
      </c>
    </row>
    <row r="4" spans="1:2" x14ac:dyDescent="0.3">
      <c r="A4" s="1" t="s">
        <v>108</v>
      </c>
      <c r="B4" s="4">
        <v>59.949999999999996</v>
      </c>
    </row>
    <row r="5" spans="1:2" x14ac:dyDescent="0.3">
      <c r="A5" s="1" t="s">
        <v>49</v>
      </c>
      <c r="B5" s="4">
        <v>77.5</v>
      </c>
    </row>
    <row r="6" spans="1:2" x14ac:dyDescent="0.3">
      <c r="A6" s="1" t="s">
        <v>81</v>
      </c>
      <c r="B6" s="4">
        <v>82.45</v>
      </c>
    </row>
    <row r="7" spans="1:2" x14ac:dyDescent="0.3">
      <c r="A7" s="1" t="s">
        <v>14</v>
      </c>
      <c r="B7" s="4">
        <v>86.8</v>
      </c>
    </row>
    <row r="8" spans="1:2" x14ac:dyDescent="0.3">
      <c r="A8" s="1" t="s">
        <v>19</v>
      </c>
      <c r="B8" s="4">
        <v>85.1</v>
      </c>
    </row>
    <row r="9" spans="1:2" x14ac:dyDescent="0.3">
      <c r="A9" s="1" t="s">
        <v>133</v>
      </c>
      <c r="B9" s="4">
        <v>55.25</v>
      </c>
    </row>
    <row r="10" spans="1:2" x14ac:dyDescent="0.3">
      <c r="A10" s="1" t="s">
        <v>192</v>
      </c>
      <c r="B10" s="4">
        <v>85.4</v>
      </c>
    </row>
    <row r="11" spans="1:2" x14ac:dyDescent="0.3">
      <c r="A11" s="1" t="s">
        <v>141</v>
      </c>
      <c r="B11" s="4">
        <v>47.800000000000004</v>
      </c>
    </row>
    <row r="12" spans="1:2" x14ac:dyDescent="0.3">
      <c r="A12" s="1" t="s">
        <v>72</v>
      </c>
      <c r="B12" s="4">
        <v>53.7</v>
      </c>
    </row>
    <row r="13" spans="1:2" x14ac:dyDescent="0.3">
      <c r="A13" s="1" t="s">
        <v>170</v>
      </c>
      <c r="B13" s="4">
        <v>79.300000000000011</v>
      </c>
    </row>
    <row r="14" spans="1:2" x14ac:dyDescent="0.3">
      <c r="A14" s="1" t="s">
        <v>152</v>
      </c>
      <c r="B14" s="4">
        <v>54.050000000000004</v>
      </c>
    </row>
    <row r="15" spans="1:2" x14ac:dyDescent="0.3">
      <c r="A15" s="1" t="s">
        <v>35</v>
      </c>
      <c r="B15" s="4">
        <v>85.949999999999989</v>
      </c>
    </row>
    <row r="16" spans="1:2" x14ac:dyDescent="0.3">
      <c r="A16" s="1" t="s">
        <v>193</v>
      </c>
      <c r="B16" s="4">
        <v>73.05</v>
      </c>
    </row>
    <row r="17" spans="1:2" x14ac:dyDescent="0.3">
      <c r="A17" s="1" t="s">
        <v>103</v>
      </c>
      <c r="B17" s="4">
        <v>71.099999999999994</v>
      </c>
    </row>
    <row r="18" spans="1:2" x14ac:dyDescent="0.3">
      <c r="A18" s="1" t="s">
        <v>83</v>
      </c>
      <c r="B18" s="4">
        <v>67.849999999999994</v>
      </c>
    </row>
    <row r="19" spans="1:2" x14ac:dyDescent="0.3">
      <c r="A19" s="1" t="s">
        <v>99</v>
      </c>
      <c r="B19" s="4">
        <v>67.599999999999994</v>
      </c>
    </row>
    <row r="20" spans="1:2" x14ac:dyDescent="0.3">
      <c r="A20" s="1" t="s">
        <v>171</v>
      </c>
      <c r="B20" s="4">
        <v>75.75</v>
      </c>
    </row>
    <row r="21" spans="1:2" x14ac:dyDescent="0.3">
      <c r="A21" s="1" t="s">
        <v>31</v>
      </c>
      <c r="B21" s="4">
        <v>74.7</v>
      </c>
    </row>
    <row r="22" spans="1:2" x14ac:dyDescent="0.3">
      <c r="A22" s="1" t="s">
        <v>50</v>
      </c>
      <c r="B22" s="4">
        <v>70.5</v>
      </c>
    </row>
    <row r="23" spans="1:2" x14ac:dyDescent="0.3">
      <c r="A23" s="1" t="s">
        <v>194</v>
      </c>
      <c r="B23" s="4">
        <v>49.55</v>
      </c>
    </row>
    <row r="24" spans="1:2" x14ac:dyDescent="0.3">
      <c r="A24" s="1" t="s">
        <v>56</v>
      </c>
      <c r="B24" s="4">
        <v>78.55</v>
      </c>
    </row>
    <row r="25" spans="1:2" x14ac:dyDescent="0.3">
      <c r="A25" s="1" t="s">
        <v>126</v>
      </c>
      <c r="B25" s="4">
        <v>68.050000000000011</v>
      </c>
    </row>
    <row r="26" spans="1:2" x14ac:dyDescent="0.3">
      <c r="A26" s="1" t="s">
        <v>147</v>
      </c>
      <c r="B26" s="4">
        <v>45.2</v>
      </c>
    </row>
    <row r="27" spans="1:2" x14ac:dyDescent="0.3">
      <c r="A27" s="1" t="s">
        <v>34</v>
      </c>
      <c r="B27" s="4">
        <v>83.05</v>
      </c>
    </row>
    <row r="28" spans="1:2" x14ac:dyDescent="0.3">
      <c r="A28" s="1" t="s">
        <v>120</v>
      </c>
      <c r="B28" s="4">
        <v>59.2</v>
      </c>
    </row>
    <row r="29" spans="1:2" x14ac:dyDescent="0.3">
      <c r="A29" s="1" t="s">
        <v>139</v>
      </c>
      <c r="B29" s="4">
        <v>51.9</v>
      </c>
    </row>
    <row r="30" spans="1:2" x14ac:dyDescent="0.3">
      <c r="A30" s="1" t="s">
        <v>11</v>
      </c>
      <c r="B30" s="4">
        <v>87.1</v>
      </c>
    </row>
    <row r="31" spans="1:2" x14ac:dyDescent="0.3">
      <c r="A31" s="1" t="s">
        <v>163</v>
      </c>
      <c r="B31" s="4">
        <v>54.899999999999991</v>
      </c>
    </row>
    <row r="32" spans="1:2" x14ac:dyDescent="0.3">
      <c r="A32" s="1" t="s">
        <v>159</v>
      </c>
      <c r="B32" s="4">
        <v>50.8</v>
      </c>
    </row>
    <row r="33" spans="1:2" x14ac:dyDescent="0.3">
      <c r="A33" s="1" t="s">
        <v>18</v>
      </c>
      <c r="B33" s="4">
        <v>82.35</v>
      </c>
    </row>
    <row r="34" spans="1:2" x14ac:dyDescent="0.3">
      <c r="A34" s="1" t="s">
        <v>155</v>
      </c>
      <c r="B34" s="4">
        <v>48.449999999999996</v>
      </c>
    </row>
    <row r="35" spans="1:2" x14ac:dyDescent="0.3">
      <c r="A35" s="1" t="s">
        <v>52</v>
      </c>
      <c r="B35" s="4">
        <v>66.849999999999994</v>
      </c>
    </row>
    <row r="36" spans="1:2" x14ac:dyDescent="0.3">
      <c r="A36" s="1" t="s">
        <v>119</v>
      </c>
      <c r="B36" s="4">
        <v>55.45</v>
      </c>
    </row>
    <row r="37" spans="1:2" x14ac:dyDescent="0.3">
      <c r="A37" s="1" t="s">
        <v>195</v>
      </c>
      <c r="B37" s="4">
        <v>54</v>
      </c>
    </row>
    <row r="38" spans="1:2" x14ac:dyDescent="0.3">
      <c r="A38" s="1" t="s">
        <v>196</v>
      </c>
      <c r="B38" s="4">
        <v>57.15</v>
      </c>
    </row>
    <row r="39" spans="1:2" x14ac:dyDescent="0.3">
      <c r="A39" s="1" t="s">
        <v>16</v>
      </c>
      <c r="B39" s="4">
        <v>81.100000000000009</v>
      </c>
    </row>
    <row r="40" spans="1:2" x14ac:dyDescent="0.3">
      <c r="A40" s="1" t="s">
        <v>173</v>
      </c>
      <c r="B40" s="4">
        <v>66.300000000000011</v>
      </c>
    </row>
    <row r="41" spans="1:2" x14ac:dyDescent="0.3">
      <c r="A41" s="1" t="s">
        <v>58</v>
      </c>
      <c r="B41" s="4">
        <v>81.050000000000011</v>
      </c>
    </row>
    <row r="42" spans="1:2" x14ac:dyDescent="0.3">
      <c r="A42" s="1" t="s">
        <v>36</v>
      </c>
      <c r="B42" s="4">
        <v>83.600000000000009</v>
      </c>
    </row>
    <row r="43" spans="1:2" x14ac:dyDescent="0.3">
      <c r="A43" s="1" t="s">
        <v>24</v>
      </c>
      <c r="B43" s="4">
        <v>85.4</v>
      </c>
    </row>
    <row r="44" spans="1:2" x14ac:dyDescent="0.3">
      <c r="A44" s="1" t="s">
        <v>5</v>
      </c>
      <c r="B44" s="4">
        <v>89.45</v>
      </c>
    </row>
    <row r="45" spans="1:2" x14ac:dyDescent="0.3">
      <c r="A45" s="1" t="s">
        <v>136</v>
      </c>
      <c r="B45" s="4">
        <v>52.649999999999991</v>
      </c>
    </row>
    <row r="46" spans="1:2" x14ac:dyDescent="0.3">
      <c r="A46" s="1" t="s">
        <v>64</v>
      </c>
      <c r="B46" s="4">
        <v>77</v>
      </c>
    </row>
    <row r="47" spans="1:2" x14ac:dyDescent="0.3">
      <c r="A47" s="1" t="s">
        <v>80</v>
      </c>
      <c r="B47" s="4">
        <v>73.45</v>
      </c>
    </row>
    <row r="48" spans="1:2" x14ac:dyDescent="0.3">
      <c r="A48" s="1" t="s">
        <v>197</v>
      </c>
      <c r="B48" s="4">
        <v>38</v>
      </c>
    </row>
    <row r="49" spans="1:2" x14ac:dyDescent="0.3">
      <c r="A49" s="1" t="s">
        <v>92</v>
      </c>
      <c r="B49" s="4">
        <v>64.8</v>
      </c>
    </row>
    <row r="50" spans="1:2" x14ac:dyDescent="0.3">
      <c r="A50" s="1" t="s">
        <v>26</v>
      </c>
      <c r="B50" s="4">
        <v>90.050000000000011</v>
      </c>
    </row>
    <row r="51" spans="1:2" x14ac:dyDescent="0.3">
      <c r="A51" s="1" t="s">
        <v>128</v>
      </c>
      <c r="B51" s="4">
        <v>53.400000000000006</v>
      </c>
    </row>
    <row r="52" spans="1:2" x14ac:dyDescent="0.3">
      <c r="A52" s="1" t="s">
        <v>121</v>
      </c>
      <c r="B52" s="4">
        <v>53.65</v>
      </c>
    </row>
    <row r="53" spans="1:2" x14ac:dyDescent="0.3">
      <c r="A53" s="1" t="s">
        <v>82</v>
      </c>
      <c r="B53" s="4">
        <v>75.449999999999989</v>
      </c>
    </row>
    <row r="54" spans="1:2" x14ac:dyDescent="0.3">
      <c r="A54" s="1" t="s">
        <v>4</v>
      </c>
      <c r="B54" s="4">
        <v>89.75</v>
      </c>
    </row>
    <row r="55" spans="1:2" x14ac:dyDescent="0.3">
      <c r="A55" s="1" t="s">
        <v>21</v>
      </c>
      <c r="B55" s="4">
        <v>79.7</v>
      </c>
    </row>
    <row r="56" spans="1:2" x14ac:dyDescent="0.3">
      <c r="A56" s="1" t="s">
        <v>117</v>
      </c>
      <c r="B56" s="4">
        <v>69.449999999999989</v>
      </c>
    </row>
    <row r="57" spans="1:2" x14ac:dyDescent="0.3">
      <c r="A57" s="1" t="s">
        <v>198</v>
      </c>
      <c r="B57" s="4">
        <v>63.900000000000006</v>
      </c>
    </row>
    <row r="58" spans="1:2" x14ac:dyDescent="0.3">
      <c r="A58" s="1" t="s">
        <v>89</v>
      </c>
      <c r="B58" s="4">
        <v>76.900000000000006</v>
      </c>
    </row>
    <row r="59" spans="1:2" x14ac:dyDescent="0.3">
      <c r="A59" s="1" t="s">
        <v>13</v>
      </c>
      <c r="B59" s="4">
        <v>85.7</v>
      </c>
    </row>
    <row r="60" spans="1:2" x14ac:dyDescent="0.3">
      <c r="A60" s="1" t="s">
        <v>62</v>
      </c>
      <c r="B60" s="4">
        <v>75.349999999999994</v>
      </c>
    </row>
    <row r="61" spans="1:2" x14ac:dyDescent="0.3">
      <c r="A61" s="1" t="s">
        <v>25</v>
      </c>
      <c r="B61" s="4">
        <v>77.45</v>
      </c>
    </row>
    <row r="62" spans="1:2" x14ac:dyDescent="0.3">
      <c r="A62" s="1" t="s">
        <v>97</v>
      </c>
      <c r="B62" s="4">
        <v>68.949999999999989</v>
      </c>
    </row>
    <row r="63" spans="1:2" x14ac:dyDescent="0.3">
      <c r="A63" s="1" t="s">
        <v>144</v>
      </c>
      <c r="B63" s="4">
        <v>53.05</v>
      </c>
    </row>
    <row r="64" spans="1:2" x14ac:dyDescent="0.3">
      <c r="A64" s="1" t="s">
        <v>140</v>
      </c>
      <c r="B64" s="4">
        <v>68.599999999999994</v>
      </c>
    </row>
    <row r="65" spans="1:2" x14ac:dyDescent="0.3">
      <c r="A65" s="1" t="s">
        <v>66</v>
      </c>
      <c r="B65" s="4">
        <v>72.849999999999994</v>
      </c>
    </row>
    <row r="66" spans="1:2" x14ac:dyDescent="0.3">
      <c r="A66" s="1" t="s">
        <v>134</v>
      </c>
      <c r="B66" s="4">
        <v>68.55</v>
      </c>
    </row>
    <row r="67" spans="1:2" x14ac:dyDescent="0.3">
      <c r="A67" s="1" t="s">
        <v>90</v>
      </c>
      <c r="B67" s="4">
        <v>65.349999999999994</v>
      </c>
    </row>
    <row r="68" spans="1:2" x14ac:dyDescent="0.3">
      <c r="A68" s="1" t="s">
        <v>199</v>
      </c>
      <c r="B68" s="4">
        <v>78.05</v>
      </c>
    </row>
    <row r="69" spans="1:2" x14ac:dyDescent="0.3">
      <c r="A69" s="1" t="s">
        <v>55</v>
      </c>
      <c r="B69" s="4">
        <v>72</v>
      </c>
    </row>
    <row r="70" spans="1:2" x14ac:dyDescent="0.3">
      <c r="A70" s="1" t="s">
        <v>2</v>
      </c>
      <c r="B70" s="4">
        <v>89.65</v>
      </c>
    </row>
    <row r="71" spans="1:2" x14ac:dyDescent="0.3">
      <c r="A71" s="1" t="s">
        <v>45</v>
      </c>
      <c r="B71" s="4">
        <v>61.5</v>
      </c>
    </row>
    <row r="72" spans="1:2" x14ac:dyDescent="0.3">
      <c r="A72" s="1" t="s">
        <v>53</v>
      </c>
      <c r="B72" s="4">
        <v>66.150000000000006</v>
      </c>
    </row>
    <row r="73" spans="1:2" x14ac:dyDescent="0.3">
      <c r="A73" s="1" t="s">
        <v>200</v>
      </c>
      <c r="B73" s="4">
        <v>40.099999999999994</v>
      </c>
    </row>
    <row r="74" spans="1:2" x14ac:dyDescent="0.3">
      <c r="A74" s="1" t="s">
        <v>123</v>
      </c>
      <c r="B74" s="4">
        <v>45.099999999999994</v>
      </c>
    </row>
    <row r="75" spans="1:2" x14ac:dyDescent="0.3">
      <c r="A75" s="1" t="s">
        <v>7</v>
      </c>
      <c r="B75" s="4">
        <v>90</v>
      </c>
    </row>
    <row r="76" spans="1:2" x14ac:dyDescent="0.3">
      <c r="A76" s="1" t="s">
        <v>28</v>
      </c>
      <c r="B76" s="4">
        <v>73.600000000000009</v>
      </c>
    </row>
    <row r="77" spans="1:2" x14ac:dyDescent="0.3">
      <c r="A77" s="1" t="s">
        <v>33</v>
      </c>
      <c r="B77" s="4">
        <v>82.4</v>
      </c>
    </row>
    <row r="78" spans="1:2" x14ac:dyDescent="0.3">
      <c r="A78" s="1" t="s">
        <v>41</v>
      </c>
      <c r="B78" s="4">
        <v>75.849999999999994</v>
      </c>
    </row>
    <row r="79" spans="1:2" x14ac:dyDescent="0.3">
      <c r="A79" s="1" t="s">
        <v>15</v>
      </c>
      <c r="B79" s="4">
        <v>85.95</v>
      </c>
    </row>
    <row r="80" spans="1:2" x14ac:dyDescent="0.3">
      <c r="A80" s="1" t="s">
        <v>122</v>
      </c>
      <c r="B80" s="4">
        <v>60.400000000000006</v>
      </c>
    </row>
    <row r="81" spans="1:2" x14ac:dyDescent="0.3">
      <c r="A81" s="1" t="s">
        <v>127</v>
      </c>
      <c r="B81" s="4">
        <v>61.4</v>
      </c>
    </row>
    <row r="82" spans="1:2" x14ac:dyDescent="0.3">
      <c r="A82" s="1" t="s">
        <v>93</v>
      </c>
      <c r="B82" s="4">
        <v>64.449999999999989</v>
      </c>
    </row>
    <row r="83" spans="1:2" x14ac:dyDescent="0.3">
      <c r="A83" s="1" t="s">
        <v>201</v>
      </c>
      <c r="B83" s="4">
        <v>83.55</v>
      </c>
    </row>
    <row r="84" spans="1:2" x14ac:dyDescent="0.3">
      <c r="A84" s="1" t="s">
        <v>110</v>
      </c>
      <c r="B84" s="4">
        <v>60.85</v>
      </c>
    </row>
    <row r="85" spans="1:2" x14ac:dyDescent="0.3">
      <c r="A85" s="1" t="s">
        <v>115</v>
      </c>
      <c r="B85" s="4">
        <v>66.05</v>
      </c>
    </row>
    <row r="86" spans="1:2" x14ac:dyDescent="0.3">
      <c r="A86" s="1" t="s">
        <v>202</v>
      </c>
      <c r="B86" s="4">
        <v>50.650000000000006</v>
      </c>
    </row>
    <row r="87" spans="1:2" x14ac:dyDescent="0.3">
      <c r="A87" s="1" t="s">
        <v>37</v>
      </c>
      <c r="B87" s="4">
        <v>86.550000000000011</v>
      </c>
    </row>
    <row r="88" spans="1:2" x14ac:dyDescent="0.3">
      <c r="A88" s="1" t="s">
        <v>114</v>
      </c>
      <c r="B88" s="4">
        <v>61.75</v>
      </c>
    </row>
    <row r="89" spans="1:2" x14ac:dyDescent="0.3">
      <c r="A89" s="1" t="s">
        <v>70</v>
      </c>
      <c r="B89" s="4">
        <v>69.05</v>
      </c>
    </row>
    <row r="90" spans="1:2" x14ac:dyDescent="0.3">
      <c r="A90" s="1" t="s">
        <v>85</v>
      </c>
      <c r="B90" s="4">
        <v>66.599999999999994</v>
      </c>
    </row>
    <row r="91" spans="1:2" x14ac:dyDescent="0.3">
      <c r="A91" s="1" t="s">
        <v>150</v>
      </c>
      <c r="B91" s="4">
        <v>49.45</v>
      </c>
    </row>
    <row r="92" spans="1:2" x14ac:dyDescent="0.3">
      <c r="A92" s="1" t="s">
        <v>38</v>
      </c>
      <c r="B92" s="4">
        <v>85.25</v>
      </c>
    </row>
    <row r="93" spans="1:2" x14ac:dyDescent="0.3">
      <c r="A93" s="1" t="s">
        <v>12</v>
      </c>
      <c r="B93" s="4">
        <v>88.800000000000011</v>
      </c>
    </row>
    <row r="94" spans="1:2" x14ac:dyDescent="0.3">
      <c r="A94" s="1" t="s">
        <v>79</v>
      </c>
      <c r="B94" s="4">
        <v>66.050000000000011</v>
      </c>
    </row>
    <row r="95" spans="1:2" x14ac:dyDescent="0.3">
      <c r="A95" s="1" t="s">
        <v>75</v>
      </c>
      <c r="B95" s="4">
        <v>72.199999999999989</v>
      </c>
    </row>
    <row r="96" spans="1:2" x14ac:dyDescent="0.3">
      <c r="A96" s="1" t="s">
        <v>39</v>
      </c>
      <c r="B96" s="4">
        <v>65.75</v>
      </c>
    </row>
    <row r="97" spans="1:2" x14ac:dyDescent="0.3">
      <c r="A97" s="1" t="s">
        <v>118</v>
      </c>
      <c r="B97" s="4">
        <v>60.65</v>
      </c>
    </row>
    <row r="98" spans="1:2" x14ac:dyDescent="0.3">
      <c r="A98" s="1" t="s">
        <v>32</v>
      </c>
      <c r="B98" s="4">
        <v>83.699999999999989</v>
      </c>
    </row>
    <row r="99" spans="1:2" x14ac:dyDescent="0.3">
      <c r="A99" s="1" t="s">
        <v>107</v>
      </c>
      <c r="B99" s="4">
        <v>53.3</v>
      </c>
    </row>
    <row r="100" spans="1:2" x14ac:dyDescent="0.3">
      <c r="A100" s="1" t="s">
        <v>20</v>
      </c>
      <c r="B100" s="4">
        <v>75.400000000000006</v>
      </c>
    </row>
    <row r="101" spans="1:2" x14ac:dyDescent="0.3">
      <c r="A101" s="1" t="s">
        <v>88</v>
      </c>
      <c r="B101" s="4">
        <v>64.150000000000006</v>
      </c>
    </row>
    <row r="102" spans="1:2" x14ac:dyDescent="0.3">
      <c r="A102" s="1" t="s">
        <v>68</v>
      </c>
      <c r="B102" s="4">
        <v>76.05</v>
      </c>
    </row>
    <row r="103" spans="1:2" x14ac:dyDescent="0.3">
      <c r="A103" s="1" t="s">
        <v>65</v>
      </c>
      <c r="B103" s="4">
        <v>77.349999999999994</v>
      </c>
    </row>
    <row r="104" spans="1:2" x14ac:dyDescent="0.3">
      <c r="A104" s="1" t="s">
        <v>60</v>
      </c>
      <c r="B104" s="4">
        <v>74.45</v>
      </c>
    </row>
    <row r="105" spans="1:2" x14ac:dyDescent="0.3">
      <c r="A105" s="1" t="s">
        <v>94</v>
      </c>
      <c r="B105" s="4">
        <v>51.95</v>
      </c>
    </row>
    <row r="106" spans="1:2" x14ac:dyDescent="0.3">
      <c r="A106" s="1" t="s">
        <v>116</v>
      </c>
      <c r="B106" s="4">
        <v>67.45</v>
      </c>
    </row>
    <row r="107" spans="1:2" x14ac:dyDescent="0.3">
      <c r="A107" s="1" t="s">
        <v>165</v>
      </c>
      <c r="B107" s="4">
        <v>54.25</v>
      </c>
    </row>
    <row r="108" spans="1:2" x14ac:dyDescent="0.3">
      <c r="A108" s="1" t="s">
        <v>57</v>
      </c>
      <c r="B108" s="4">
        <v>78.150000000000006</v>
      </c>
    </row>
    <row r="109" spans="1:2" x14ac:dyDescent="0.3">
      <c r="A109" s="1" t="s">
        <v>100</v>
      </c>
      <c r="B109" s="4">
        <v>68.5</v>
      </c>
    </row>
    <row r="110" spans="1:2" x14ac:dyDescent="0.3">
      <c r="A110" s="1" t="s">
        <v>8</v>
      </c>
      <c r="B110" s="4">
        <v>88.35</v>
      </c>
    </row>
    <row r="111" spans="1:2" x14ac:dyDescent="0.3">
      <c r="A111" s="1" t="s">
        <v>1</v>
      </c>
      <c r="B111" s="4">
        <v>89.2</v>
      </c>
    </row>
    <row r="112" spans="1:2" x14ac:dyDescent="0.3">
      <c r="A112" s="1" t="s">
        <v>142</v>
      </c>
      <c r="B112" s="4">
        <v>56.45</v>
      </c>
    </row>
    <row r="113" spans="1:2" x14ac:dyDescent="0.3">
      <c r="A113" s="1" t="s">
        <v>111</v>
      </c>
      <c r="B113" s="4">
        <v>64.599999999999994</v>
      </c>
    </row>
    <row r="114" spans="1:2" x14ac:dyDescent="0.3">
      <c r="A114" s="1" t="s">
        <v>104</v>
      </c>
      <c r="B114" s="4">
        <v>56.55</v>
      </c>
    </row>
    <row r="115" spans="1:2" x14ac:dyDescent="0.3">
      <c r="A115" s="1" t="s">
        <v>71</v>
      </c>
      <c r="B115" s="4">
        <v>78.5</v>
      </c>
    </row>
    <row r="116" spans="1:2" x14ac:dyDescent="0.3">
      <c r="A116" s="1" t="s">
        <v>0</v>
      </c>
      <c r="B116" s="4">
        <v>88.4</v>
      </c>
    </row>
    <row r="117" spans="1:2" x14ac:dyDescent="0.3">
      <c r="A117" s="1" t="s">
        <v>124</v>
      </c>
      <c r="B117" s="4">
        <v>51.8</v>
      </c>
    </row>
    <row r="118" spans="1:2" x14ac:dyDescent="0.3">
      <c r="A118" s="1" t="s">
        <v>106</v>
      </c>
      <c r="B118" s="4">
        <v>52.3</v>
      </c>
    </row>
    <row r="119" spans="1:2" x14ac:dyDescent="0.3">
      <c r="A119" s="1" t="s">
        <v>48</v>
      </c>
      <c r="B119" s="4">
        <v>75.5</v>
      </c>
    </row>
    <row r="120" spans="1:2" x14ac:dyDescent="0.3">
      <c r="A120" s="1" t="s">
        <v>73</v>
      </c>
      <c r="B120" s="4">
        <v>72.650000000000006</v>
      </c>
    </row>
    <row r="121" spans="1:2" x14ac:dyDescent="0.3">
      <c r="A121" s="1" t="s">
        <v>76</v>
      </c>
      <c r="B121" s="4">
        <v>70.5</v>
      </c>
    </row>
    <row r="122" spans="1:2" x14ac:dyDescent="0.3">
      <c r="A122" s="1" t="s">
        <v>74</v>
      </c>
      <c r="B122" s="4">
        <v>75.149999999999991</v>
      </c>
    </row>
    <row r="123" spans="1:2" x14ac:dyDescent="0.3">
      <c r="A123" s="1" t="s">
        <v>51</v>
      </c>
      <c r="B123" s="4">
        <v>63.149999999999991</v>
      </c>
    </row>
    <row r="124" spans="1:2" x14ac:dyDescent="0.3">
      <c r="A124" s="1" t="s">
        <v>46</v>
      </c>
      <c r="B124" s="4">
        <v>79.199999999999989</v>
      </c>
    </row>
    <row r="125" spans="1:2" x14ac:dyDescent="0.3">
      <c r="A125" s="1" t="s">
        <v>27</v>
      </c>
      <c r="B125" s="4">
        <v>84.75</v>
      </c>
    </row>
    <row r="126" spans="1:2" x14ac:dyDescent="0.3">
      <c r="A126" s="1" t="s">
        <v>113</v>
      </c>
      <c r="B126" s="4">
        <v>52.75</v>
      </c>
    </row>
    <row r="127" spans="1:2" x14ac:dyDescent="0.3">
      <c r="A127" s="1" t="s">
        <v>61</v>
      </c>
      <c r="B127" s="4">
        <v>79.449999999999989</v>
      </c>
    </row>
    <row r="128" spans="1:2" x14ac:dyDescent="0.3">
      <c r="A128" s="1" t="s">
        <v>203</v>
      </c>
      <c r="B128" s="4">
        <v>57.949999999999996</v>
      </c>
    </row>
    <row r="129" spans="1:2" x14ac:dyDescent="0.3">
      <c r="A129" s="1" t="s">
        <v>125</v>
      </c>
      <c r="B129" s="4">
        <v>55.85</v>
      </c>
    </row>
    <row r="130" spans="1:2" x14ac:dyDescent="0.3">
      <c r="A130" s="1" t="s">
        <v>149</v>
      </c>
      <c r="B130" s="4">
        <v>37.699999999999996</v>
      </c>
    </row>
    <row r="131" spans="1:2" x14ac:dyDescent="0.3">
      <c r="A131" s="1" t="s">
        <v>78</v>
      </c>
      <c r="B131" s="4">
        <v>69.3</v>
      </c>
    </row>
    <row r="132" spans="1:2" x14ac:dyDescent="0.3">
      <c r="A132" s="1" t="s">
        <v>67</v>
      </c>
      <c r="B132" s="4">
        <v>72.849999999999994</v>
      </c>
    </row>
    <row r="133" spans="1:2" x14ac:dyDescent="0.3">
      <c r="A133" s="1" t="s">
        <v>187</v>
      </c>
      <c r="B133" s="4">
        <v>79.400000000000006</v>
      </c>
    </row>
    <row r="134" spans="1:2" x14ac:dyDescent="0.3">
      <c r="A134" s="1" t="s">
        <v>95</v>
      </c>
      <c r="B134" s="4">
        <v>67.25</v>
      </c>
    </row>
    <row r="135" spans="1:2" x14ac:dyDescent="0.3">
      <c r="A135" s="1" t="s">
        <v>69</v>
      </c>
      <c r="B135" s="4">
        <v>74.25</v>
      </c>
    </row>
    <row r="136" spans="1:2" x14ac:dyDescent="0.3">
      <c r="A136" s="1" t="s">
        <v>204</v>
      </c>
      <c r="B136" s="4">
        <v>81.600000000000009</v>
      </c>
    </row>
    <row r="137" spans="1:2" x14ac:dyDescent="0.3">
      <c r="A137" s="1" t="s">
        <v>30</v>
      </c>
      <c r="B137" s="4">
        <v>81.949999999999989</v>
      </c>
    </row>
    <row r="138" spans="1:2" x14ac:dyDescent="0.3">
      <c r="A138" s="1" t="s">
        <v>189</v>
      </c>
      <c r="B138" s="4">
        <v>41.900000000000006</v>
      </c>
    </row>
    <row r="139" spans="1:2" x14ac:dyDescent="0.3">
      <c r="A139" s="1" t="s">
        <v>44</v>
      </c>
      <c r="B139" s="4">
        <v>70.650000000000006</v>
      </c>
    </row>
    <row r="140" spans="1:2" x14ac:dyDescent="0.3">
      <c r="A140" s="1" t="s">
        <v>22</v>
      </c>
      <c r="B140" s="4">
        <v>82.4</v>
      </c>
    </row>
    <row r="141" spans="1:2" x14ac:dyDescent="0.3">
      <c r="A141" s="1" t="s">
        <v>59</v>
      </c>
      <c r="B141" s="4">
        <v>61.9</v>
      </c>
    </row>
    <row r="142" spans="1:2" x14ac:dyDescent="0.3">
      <c r="A142" s="1" t="s">
        <v>143</v>
      </c>
      <c r="B142" s="4">
        <v>43.449999999999996</v>
      </c>
    </row>
    <row r="143" spans="1:2" x14ac:dyDescent="0.3">
      <c r="A143" s="1" t="s">
        <v>47</v>
      </c>
      <c r="B143" s="4">
        <v>77</v>
      </c>
    </row>
    <row r="144" spans="1:2" x14ac:dyDescent="0.3">
      <c r="A144" s="1" t="s">
        <v>3</v>
      </c>
      <c r="B144" s="4">
        <v>90.55</v>
      </c>
    </row>
    <row r="145" spans="1:2" x14ac:dyDescent="0.3">
      <c r="A145" s="1" t="s">
        <v>6</v>
      </c>
      <c r="B145" s="4">
        <v>91.449999999999989</v>
      </c>
    </row>
    <row r="146" spans="1:2" x14ac:dyDescent="0.3">
      <c r="A146" s="1" t="s">
        <v>205</v>
      </c>
      <c r="B146" s="4">
        <v>28.2</v>
      </c>
    </row>
    <row r="147" spans="1:2" x14ac:dyDescent="0.3">
      <c r="A147" s="1" t="s">
        <v>9</v>
      </c>
      <c r="B147" s="4">
        <v>87.1</v>
      </c>
    </row>
    <row r="148" spans="1:2" x14ac:dyDescent="0.3">
      <c r="A148" s="1" t="s">
        <v>156</v>
      </c>
      <c r="B148" s="4">
        <v>50.95</v>
      </c>
    </row>
    <row r="149" spans="1:2" x14ac:dyDescent="0.3">
      <c r="A149" s="1" t="s">
        <v>91</v>
      </c>
      <c r="B149" s="4">
        <v>61.25</v>
      </c>
    </row>
    <row r="150" spans="1:2" x14ac:dyDescent="0.3">
      <c r="A150" s="1" t="s">
        <v>54</v>
      </c>
      <c r="B150" s="4">
        <v>63.850000000000009</v>
      </c>
    </row>
    <row r="151" spans="1:2" x14ac:dyDescent="0.3">
      <c r="A151" s="1" t="s">
        <v>43</v>
      </c>
      <c r="B151" s="4">
        <v>77.400000000000006</v>
      </c>
    </row>
    <row r="152" spans="1:2" x14ac:dyDescent="0.3">
      <c r="A152" s="1" t="s">
        <v>129</v>
      </c>
      <c r="B152" s="4">
        <v>62.7</v>
      </c>
    </row>
    <row r="153" spans="1:2" x14ac:dyDescent="0.3">
      <c r="A153" s="1" t="s">
        <v>40</v>
      </c>
      <c r="B153" s="4">
        <v>77.150000000000006</v>
      </c>
    </row>
    <row r="154" spans="1:2" x14ac:dyDescent="0.3">
      <c r="A154" s="1" t="s">
        <v>84</v>
      </c>
      <c r="B154" s="4">
        <v>63.05</v>
      </c>
    </row>
    <row r="155" spans="1:2" x14ac:dyDescent="0.3">
      <c r="A155" s="1" t="s">
        <v>102</v>
      </c>
      <c r="B155" s="4">
        <v>54.3</v>
      </c>
    </row>
    <row r="156" spans="1:2" x14ac:dyDescent="0.3">
      <c r="A156" s="1" t="s">
        <v>98</v>
      </c>
      <c r="B156" s="4">
        <v>57.55</v>
      </c>
    </row>
    <row r="157" spans="1:2" x14ac:dyDescent="0.3">
      <c r="A157" s="1" t="s">
        <v>86</v>
      </c>
      <c r="B157" s="4">
        <v>68.849999999999994</v>
      </c>
    </row>
    <row r="158" spans="1:2" x14ac:dyDescent="0.3">
      <c r="A158" s="1" t="s">
        <v>132</v>
      </c>
      <c r="B158" s="4">
        <v>51.949999999999996</v>
      </c>
    </row>
    <row r="159" spans="1:2" x14ac:dyDescent="0.3">
      <c r="A159" s="1" t="s">
        <v>17</v>
      </c>
      <c r="B159" s="4">
        <v>85.1</v>
      </c>
    </row>
    <row r="160" spans="1:2" x14ac:dyDescent="0.3">
      <c r="A160" s="1" t="s">
        <v>206</v>
      </c>
      <c r="B160" s="4">
        <v>83.25</v>
      </c>
    </row>
    <row r="161" spans="1:2" x14ac:dyDescent="0.3">
      <c r="A161" s="1" t="s">
        <v>10</v>
      </c>
      <c r="B161" s="4">
        <v>83</v>
      </c>
    </row>
    <row r="162" spans="1:2" x14ac:dyDescent="0.3">
      <c r="A162" s="1" t="s">
        <v>207</v>
      </c>
      <c r="B162" s="4">
        <v>43.7</v>
      </c>
    </row>
    <row r="163" spans="1:2" x14ac:dyDescent="0.3">
      <c r="A163" s="1" t="s">
        <v>137</v>
      </c>
      <c r="B163" s="4">
        <v>53.599999999999994</v>
      </c>
    </row>
    <row r="164" spans="1:2" x14ac:dyDescent="0.3">
      <c r="A164" s="1" t="s">
        <v>208</v>
      </c>
      <c r="B164" s="4">
        <v>33.25</v>
      </c>
    </row>
    <row r="165" spans="1:2" x14ac:dyDescent="0.3">
      <c r="A165" s="1" t="s">
        <v>77</v>
      </c>
      <c r="B165" s="4">
        <v>63.15</v>
      </c>
    </row>
    <row r="166" spans="1:2" x14ac:dyDescent="0.3">
      <c r="A166" s="1" t="s">
        <v>131</v>
      </c>
      <c r="B166" s="4">
        <v>55.2</v>
      </c>
    </row>
    <row r="167" spans="1:2" x14ac:dyDescent="0.3">
      <c r="A167" s="1"/>
    </row>
    <row r="168" spans="1:2" x14ac:dyDescent="0.3">
      <c r="A168" s="1"/>
    </row>
    <row r="169" spans="1:2" x14ac:dyDescent="0.3">
      <c r="A169" s="1"/>
    </row>
    <row r="170" spans="1:2" x14ac:dyDescent="0.3">
      <c r="A170" s="1"/>
    </row>
  </sheetData>
  <autoFilter ref="A1:B1" xr:uid="{8D2C1BA8-B33E-45FC-BDFC-8AB9A40C804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F651-C8F3-4CCF-A2AE-36F540AD6470}">
  <sheetPr>
    <tabColor rgb="FF1982C4"/>
  </sheetPr>
  <dimension ref="A1:B179"/>
  <sheetViews>
    <sheetView tabSelected="1" topLeftCell="A106" workbookViewId="0">
      <selection activeCell="A123" sqref="A123:XFD123"/>
    </sheetView>
  </sheetViews>
  <sheetFormatPr defaultRowHeight="14.4" x14ac:dyDescent="0.3"/>
  <cols>
    <col min="1" max="1" width="25" bestFit="1" customWidth="1"/>
    <col min="2" max="2" width="24.77734375" customWidth="1"/>
  </cols>
  <sheetData>
    <row r="1" spans="1:2" x14ac:dyDescent="0.3">
      <c r="A1" s="1" t="s">
        <v>168</v>
      </c>
      <c r="B1" s="2" t="s">
        <v>167</v>
      </c>
    </row>
    <row r="2" spans="1:2" x14ac:dyDescent="0.3">
      <c r="A2" s="1" t="s">
        <v>166</v>
      </c>
      <c r="B2">
        <v>39.75</v>
      </c>
    </row>
    <row r="3" spans="1:2" x14ac:dyDescent="0.3">
      <c r="A3" s="1" t="s">
        <v>63</v>
      </c>
      <c r="B3">
        <v>57.86</v>
      </c>
    </row>
    <row r="4" spans="1:2" x14ac:dyDescent="0.3">
      <c r="A4" s="1" t="s">
        <v>112</v>
      </c>
      <c r="B4">
        <v>45.74</v>
      </c>
    </row>
    <row r="5" spans="1:2" x14ac:dyDescent="0.3">
      <c r="A5" s="1" t="s">
        <v>212</v>
      </c>
      <c r="B5">
        <v>75.05</v>
      </c>
    </row>
    <row r="6" spans="1:2" x14ac:dyDescent="0.3">
      <c r="A6" s="1" t="s">
        <v>108</v>
      </c>
      <c r="B6">
        <v>48.3</v>
      </c>
    </row>
    <row r="7" spans="1:2" x14ac:dyDescent="0.3">
      <c r="A7" s="1" t="s">
        <v>49</v>
      </c>
      <c r="B7">
        <v>73.36</v>
      </c>
    </row>
    <row r="8" spans="1:2" x14ac:dyDescent="0.3">
      <c r="A8" s="1" t="s">
        <v>81</v>
      </c>
      <c r="B8">
        <v>70.61</v>
      </c>
    </row>
    <row r="9" spans="1:2" x14ac:dyDescent="0.3">
      <c r="A9" s="1" t="s">
        <v>14</v>
      </c>
      <c r="B9">
        <v>78.239999999999995</v>
      </c>
    </row>
    <row r="10" spans="1:2" x14ac:dyDescent="0.3">
      <c r="A10" s="1" t="s">
        <v>19</v>
      </c>
      <c r="B10">
        <v>77.3</v>
      </c>
    </row>
    <row r="11" spans="1:2" x14ac:dyDescent="0.3">
      <c r="A11" s="1" t="s">
        <v>133</v>
      </c>
      <c r="B11">
        <v>39.93</v>
      </c>
    </row>
    <row r="12" spans="1:2" x14ac:dyDescent="0.3">
      <c r="A12" t="s">
        <v>141</v>
      </c>
      <c r="B12">
        <v>30.59</v>
      </c>
    </row>
    <row r="13" spans="1:2" x14ac:dyDescent="0.3">
      <c r="A13" s="1" t="s">
        <v>72</v>
      </c>
      <c r="B13">
        <v>35.31</v>
      </c>
    </row>
    <row r="14" spans="1:2" x14ac:dyDescent="0.3">
      <c r="A14" s="1" t="s">
        <v>152</v>
      </c>
      <c r="B14">
        <v>37.17</v>
      </c>
    </row>
    <row r="15" spans="1:2" x14ac:dyDescent="0.3">
      <c r="A15" s="1" t="s">
        <v>35</v>
      </c>
      <c r="B15">
        <v>76.47</v>
      </c>
    </row>
    <row r="16" spans="1:2" x14ac:dyDescent="0.3">
      <c r="A16" s="1" t="s">
        <v>193</v>
      </c>
      <c r="B16">
        <v>70.489999999999995</v>
      </c>
    </row>
    <row r="17" spans="1:2" x14ac:dyDescent="0.3">
      <c r="A17" s="1" t="s">
        <v>103</v>
      </c>
      <c r="B17">
        <v>52.44</v>
      </c>
    </row>
    <row r="18" spans="1:2" x14ac:dyDescent="0.3">
      <c r="A18" s="1" t="s">
        <v>83</v>
      </c>
      <c r="B18">
        <v>59.25</v>
      </c>
    </row>
    <row r="19" spans="1:2" x14ac:dyDescent="0.3">
      <c r="A19" s="1" t="s">
        <v>99</v>
      </c>
      <c r="B19">
        <v>51.09</v>
      </c>
    </row>
    <row r="20" spans="1:2" x14ac:dyDescent="0.3">
      <c r="A20" s="1" t="s">
        <v>215</v>
      </c>
      <c r="B20">
        <v>65.430000000000007</v>
      </c>
    </row>
    <row r="21" spans="1:2" x14ac:dyDescent="0.3">
      <c r="A21" s="1" t="s">
        <v>31</v>
      </c>
      <c r="B21">
        <v>64.61</v>
      </c>
    </row>
    <row r="22" spans="1:2" x14ac:dyDescent="0.3">
      <c r="A22" s="1" t="s">
        <v>50</v>
      </c>
      <c r="B22">
        <v>58.67</v>
      </c>
    </row>
    <row r="23" spans="1:2" x14ac:dyDescent="0.3">
      <c r="A23" s="1" t="s">
        <v>218</v>
      </c>
      <c r="B23">
        <v>44.2</v>
      </c>
    </row>
    <row r="24" spans="1:2" x14ac:dyDescent="0.3">
      <c r="A24" s="1" t="s">
        <v>56</v>
      </c>
      <c r="B24">
        <v>62.98</v>
      </c>
    </row>
    <row r="25" spans="1:2" x14ac:dyDescent="0.3">
      <c r="A25" s="1" t="s">
        <v>126</v>
      </c>
      <c r="B25">
        <v>67.64</v>
      </c>
    </row>
    <row r="26" spans="1:2" x14ac:dyDescent="0.3">
      <c r="A26" s="1" t="s">
        <v>147</v>
      </c>
      <c r="B26">
        <v>52.14</v>
      </c>
    </row>
    <row r="27" spans="1:2" x14ac:dyDescent="0.3">
      <c r="A27" s="1" t="s">
        <v>34</v>
      </c>
      <c r="B27">
        <v>75.72</v>
      </c>
    </row>
    <row r="28" spans="1:2" x14ac:dyDescent="0.3">
      <c r="A28" s="1" t="s">
        <v>120</v>
      </c>
      <c r="B28">
        <v>42.02</v>
      </c>
    </row>
    <row r="29" spans="1:2" x14ac:dyDescent="0.3">
      <c r="A29" s="1" t="s">
        <v>139</v>
      </c>
      <c r="B29">
        <v>45.58</v>
      </c>
    </row>
    <row r="30" spans="1:2" x14ac:dyDescent="0.3">
      <c r="A30" s="1" t="s">
        <v>11</v>
      </c>
      <c r="B30">
        <v>83.53</v>
      </c>
    </row>
    <row r="31" spans="1:2" x14ac:dyDescent="0.3">
      <c r="A31" s="1" t="s">
        <v>163</v>
      </c>
      <c r="B31">
        <v>57.56</v>
      </c>
    </row>
    <row r="32" spans="1:2" x14ac:dyDescent="0.3">
      <c r="A32" s="1" t="s">
        <v>159</v>
      </c>
      <c r="B32">
        <v>53.73</v>
      </c>
    </row>
    <row r="33" spans="1:2" x14ac:dyDescent="0.3">
      <c r="A33" s="1" t="s">
        <v>18</v>
      </c>
      <c r="B33">
        <v>60.09</v>
      </c>
    </row>
    <row r="34" spans="1:2" x14ac:dyDescent="0.3">
      <c r="A34" t="s">
        <v>155</v>
      </c>
      <c r="B34">
        <v>22.97</v>
      </c>
    </row>
    <row r="35" spans="1:2" x14ac:dyDescent="0.3">
      <c r="A35" s="1" t="s">
        <v>52</v>
      </c>
      <c r="B35">
        <v>45.23</v>
      </c>
    </row>
    <row r="36" spans="1:2" x14ac:dyDescent="0.3">
      <c r="A36" s="1" t="s">
        <v>119</v>
      </c>
      <c r="B36">
        <v>62.25</v>
      </c>
    </row>
    <row r="37" spans="1:2" x14ac:dyDescent="0.3">
      <c r="A37" s="1" t="s">
        <v>216</v>
      </c>
      <c r="B37">
        <v>60.42</v>
      </c>
    </row>
    <row r="38" spans="1:2" x14ac:dyDescent="0.3">
      <c r="A38" s="1" t="s">
        <v>16</v>
      </c>
      <c r="B38">
        <v>80.2</v>
      </c>
    </row>
    <row r="39" spans="1:2" x14ac:dyDescent="0.3">
      <c r="A39" s="1" t="s">
        <v>214</v>
      </c>
      <c r="B39">
        <v>68.83</v>
      </c>
    </row>
    <row r="40" spans="1:2" x14ac:dyDescent="0.3">
      <c r="A40" s="1" t="s">
        <v>58</v>
      </c>
      <c r="B40">
        <v>71.95</v>
      </c>
    </row>
    <row r="41" spans="1:2" x14ac:dyDescent="0.3">
      <c r="A41" t="s">
        <v>138</v>
      </c>
      <c r="B41">
        <v>29</v>
      </c>
    </row>
    <row r="42" spans="1:2" x14ac:dyDescent="0.3">
      <c r="A42" s="1" t="s">
        <v>36</v>
      </c>
      <c r="B42">
        <v>68.62</v>
      </c>
    </row>
    <row r="43" spans="1:2" x14ac:dyDescent="0.3">
      <c r="A43" s="1" t="s">
        <v>174</v>
      </c>
      <c r="B43">
        <v>83.58</v>
      </c>
    </row>
    <row r="44" spans="1:2" x14ac:dyDescent="0.3">
      <c r="A44" s="1" t="s">
        <v>5</v>
      </c>
      <c r="B44">
        <v>89.48</v>
      </c>
    </row>
    <row r="45" spans="1:2" x14ac:dyDescent="0.3">
      <c r="A45" s="1" t="s">
        <v>136</v>
      </c>
      <c r="B45">
        <v>35.869999999999997</v>
      </c>
    </row>
    <row r="46" spans="1:2" x14ac:dyDescent="0.3">
      <c r="A46" s="1" t="s">
        <v>64</v>
      </c>
      <c r="B46">
        <v>71.88</v>
      </c>
    </row>
    <row r="47" spans="1:2" x14ac:dyDescent="0.3">
      <c r="A47" s="1" t="s">
        <v>217</v>
      </c>
      <c r="B47">
        <v>48.55</v>
      </c>
    </row>
    <row r="48" spans="1:2" x14ac:dyDescent="0.3">
      <c r="A48" s="1" t="s">
        <v>209</v>
      </c>
      <c r="B48">
        <v>84.49</v>
      </c>
    </row>
    <row r="49" spans="1:2" x14ac:dyDescent="0.3">
      <c r="A49" s="1" t="s">
        <v>80</v>
      </c>
      <c r="B49">
        <v>60.51</v>
      </c>
    </row>
    <row r="50" spans="1:2" x14ac:dyDescent="0.3">
      <c r="A50" s="1" t="s">
        <v>130</v>
      </c>
      <c r="B50">
        <v>33.369999999999997</v>
      </c>
    </row>
    <row r="51" spans="1:2" x14ac:dyDescent="0.3">
      <c r="A51" s="1" t="s">
        <v>92</v>
      </c>
      <c r="B51">
        <v>51.36</v>
      </c>
    </row>
    <row r="52" spans="1:2" x14ac:dyDescent="0.3">
      <c r="A52" s="1" t="s">
        <v>157</v>
      </c>
      <c r="B52">
        <v>50.35</v>
      </c>
    </row>
    <row r="53" spans="1:2" x14ac:dyDescent="0.3">
      <c r="A53" t="s">
        <v>151</v>
      </c>
      <c r="B53">
        <v>27.86</v>
      </c>
    </row>
    <row r="54" spans="1:2" x14ac:dyDescent="0.3">
      <c r="A54" s="1" t="s">
        <v>26</v>
      </c>
      <c r="B54">
        <v>85.31</v>
      </c>
    </row>
    <row r="55" spans="1:2" x14ac:dyDescent="0.3">
      <c r="A55" s="1" t="s">
        <v>128</v>
      </c>
      <c r="B55">
        <v>52.66</v>
      </c>
    </row>
    <row r="56" spans="1:2" x14ac:dyDescent="0.3">
      <c r="A56" s="1" t="s">
        <v>121</v>
      </c>
      <c r="B56">
        <v>47.7</v>
      </c>
    </row>
    <row r="57" spans="1:2" x14ac:dyDescent="0.3">
      <c r="A57" s="1" t="s">
        <v>82</v>
      </c>
      <c r="B57">
        <v>59.27</v>
      </c>
    </row>
    <row r="58" spans="1:2" x14ac:dyDescent="0.3">
      <c r="A58" s="1" t="s">
        <v>4</v>
      </c>
      <c r="B58">
        <v>87.94</v>
      </c>
    </row>
    <row r="59" spans="1:2" x14ac:dyDescent="0.3">
      <c r="A59" s="1" t="s">
        <v>21</v>
      </c>
      <c r="B59">
        <v>78.72</v>
      </c>
    </row>
    <row r="60" spans="1:2" x14ac:dyDescent="0.3">
      <c r="A60" s="1" t="s">
        <v>117</v>
      </c>
      <c r="B60">
        <v>58.12</v>
      </c>
    </row>
    <row r="61" spans="1:2" x14ac:dyDescent="0.3">
      <c r="A61" s="1" t="s">
        <v>101</v>
      </c>
      <c r="B61">
        <v>71.06</v>
      </c>
    </row>
    <row r="62" spans="1:2" x14ac:dyDescent="0.3">
      <c r="A62" s="1" t="s">
        <v>89</v>
      </c>
      <c r="B62">
        <v>61.69</v>
      </c>
    </row>
    <row r="63" spans="1:2" x14ac:dyDescent="0.3">
      <c r="A63" s="1" t="s">
        <v>13</v>
      </c>
      <c r="B63">
        <v>81.91</v>
      </c>
    </row>
    <row r="64" spans="1:2" x14ac:dyDescent="0.3">
      <c r="A64" s="1" t="s">
        <v>62</v>
      </c>
      <c r="B64">
        <v>65.930000000000007</v>
      </c>
    </row>
    <row r="65" spans="1:2" x14ac:dyDescent="0.3">
      <c r="A65" s="1" t="s">
        <v>25</v>
      </c>
      <c r="B65">
        <v>55.2</v>
      </c>
    </row>
    <row r="66" spans="1:2" x14ac:dyDescent="0.3">
      <c r="A66" s="1" t="s">
        <v>97</v>
      </c>
      <c r="B66">
        <v>48.12</v>
      </c>
    </row>
    <row r="67" spans="1:2" x14ac:dyDescent="0.3">
      <c r="A67" s="1" t="s">
        <v>144</v>
      </c>
      <c r="B67">
        <v>59.51</v>
      </c>
    </row>
    <row r="68" spans="1:2" x14ac:dyDescent="0.3">
      <c r="A68" s="1" t="s">
        <v>140</v>
      </c>
      <c r="B68">
        <v>61.57</v>
      </c>
    </row>
    <row r="69" spans="1:2" x14ac:dyDescent="0.3">
      <c r="A69" s="1" t="s">
        <v>66</v>
      </c>
      <c r="B69">
        <v>67.5</v>
      </c>
    </row>
    <row r="70" spans="1:2" x14ac:dyDescent="0.3">
      <c r="A70" s="1" t="s">
        <v>134</v>
      </c>
      <c r="B70">
        <v>57.38</v>
      </c>
    </row>
    <row r="71" spans="1:2" x14ac:dyDescent="0.3">
      <c r="A71" s="1" t="s">
        <v>90</v>
      </c>
      <c r="B71">
        <v>32.65</v>
      </c>
    </row>
    <row r="72" spans="1:2" x14ac:dyDescent="0.3">
      <c r="A72" s="1" t="s">
        <v>87</v>
      </c>
      <c r="B72">
        <v>44.86</v>
      </c>
    </row>
    <row r="73" spans="1:2" x14ac:dyDescent="0.3">
      <c r="A73" s="1" t="s">
        <v>55</v>
      </c>
      <c r="B73">
        <v>62.96</v>
      </c>
    </row>
    <row r="74" spans="1:2" x14ac:dyDescent="0.3">
      <c r="A74" s="1" t="s">
        <v>2</v>
      </c>
      <c r="B74">
        <v>83.19</v>
      </c>
    </row>
    <row r="75" spans="1:2" x14ac:dyDescent="0.3">
      <c r="A75" s="1" t="s">
        <v>45</v>
      </c>
      <c r="B75">
        <v>36.619999999999997</v>
      </c>
    </row>
    <row r="76" spans="1:2" x14ac:dyDescent="0.3">
      <c r="A76" s="1" t="s">
        <v>53</v>
      </c>
      <c r="B76">
        <v>54.83</v>
      </c>
    </row>
    <row r="77" spans="1:2" x14ac:dyDescent="0.3">
      <c r="A77" t="s">
        <v>153</v>
      </c>
      <c r="B77">
        <v>24.81</v>
      </c>
    </row>
    <row r="78" spans="1:2" x14ac:dyDescent="0.3">
      <c r="A78" s="1" t="s">
        <v>123</v>
      </c>
      <c r="B78">
        <v>32.94</v>
      </c>
    </row>
    <row r="79" spans="1:2" x14ac:dyDescent="0.3">
      <c r="A79" s="1" t="s">
        <v>7</v>
      </c>
      <c r="B79">
        <v>89.91</v>
      </c>
    </row>
    <row r="80" spans="1:2" x14ac:dyDescent="0.3">
      <c r="A80" s="1" t="s">
        <v>28</v>
      </c>
      <c r="B80">
        <v>57.57</v>
      </c>
    </row>
    <row r="81" spans="1:2" x14ac:dyDescent="0.3">
      <c r="A81" s="1" t="s">
        <v>33</v>
      </c>
      <c r="B81">
        <v>72.05</v>
      </c>
    </row>
    <row r="82" spans="1:2" x14ac:dyDescent="0.3">
      <c r="A82" s="1" t="s">
        <v>41</v>
      </c>
      <c r="B82">
        <v>75.89</v>
      </c>
    </row>
    <row r="83" spans="1:2" x14ac:dyDescent="0.3">
      <c r="A83" s="1" t="s">
        <v>15</v>
      </c>
      <c r="B83">
        <v>63.95</v>
      </c>
    </row>
    <row r="84" spans="1:2" x14ac:dyDescent="0.3">
      <c r="A84" s="1" t="s">
        <v>122</v>
      </c>
      <c r="B84">
        <v>42.79</v>
      </c>
    </row>
    <row r="85" spans="1:2" x14ac:dyDescent="0.3">
      <c r="A85" s="1" t="s">
        <v>127</v>
      </c>
      <c r="B85">
        <v>45.87</v>
      </c>
    </row>
    <row r="86" spans="1:2" x14ac:dyDescent="0.3">
      <c r="A86" s="1" t="s">
        <v>93</v>
      </c>
      <c r="B86">
        <v>51.15</v>
      </c>
    </row>
    <row r="87" spans="1:2" x14ac:dyDescent="0.3">
      <c r="A87" s="1" t="s">
        <v>181</v>
      </c>
      <c r="B87">
        <v>68.38</v>
      </c>
    </row>
    <row r="88" spans="1:2" x14ac:dyDescent="0.3">
      <c r="A88" s="1" t="s">
        <v>110</v>
      </c>
      <c r="B88">
        <v>38.840000000000003</v>
      </c>
    </row>
    <row r="89" spans="1:2" x14ac:dyDescent="0.3">
      <c r="A89" s="1" t="s">
        <v>182</v>
      </c>
      <c r="B89">
        <v>49.91</v>
      </c>
    </row>
    <row r="90" spans="1:2" x14ac:dyDescent="0.3">
      <c r="A90" s="1" t="s">
        <v>158</v>
      </c>
      <c r="B90">
        <v>36.659999999999997</v>
      </c>
    </row>
    <row r="91" spans="1:2" x14ac:dyDescent="0.3">
      <c r="A91" s="1" t="s">
        <v>37</v>
      </c>
      <c r="B91">
        <v>83.27</v>
      </c>
    </row>
    <row r="92" spans="1:2" x14ac:dyDescent="0.3">
      <c r="A92" s="1" t="s">
        <v>114</v>
      </c>
      <c r="B92">
        <v>50.46</v>
      </c>
    </row>
    <row r="93" spans="1:2" x14ac:dyDescent="0.3">
      <c r="A93" s="1" t="s">
        <v>70</v>
      </c>
      <c r="B93">
        <v>64.290000000000006</v>
      </c>
    </row>
    <row r="94" spans="1:2" x14ac:dyDescent="0.3">
      <c r="A94" s="1" t="s">
        <v>85</v>
      </c>
      <c r="B94">
        <v>64.34</v>
      </c>
    </row>
    <row r="95" spans="1:2" x14ac:dyDescent="0.3">
      <c r="A95" s="1" t="s">
        <v>150</v>
      </c>
      <c r="B95">
        <v>40.22</v>
      </c>
    </row>
    <row r="96" spans="1:2" x14ac:dyDescent="0.3">
      <c r="A96" s="1" t="s">
        <v>210</v>
      </c>
      <c r="B96">
        <v>84.47</v>
      </c>
    </row>
    <row r="97" spans="1:2" x14ac:dyDescent="0.3">
      <c r="A97" s="1" t="s">
        <v>38</v>
      </c>
      <c r="B97">
        <v>86.79</v>
      </c>
    </row>
    <row r="98" spans="1:2" x14ac:dyDescent="0.3">
      <c r="A98" s="1" t="s">
        <v>12</v>
      </c>
      <c r="B98">
        <v>81.98</v>
      </c>
    </row>
    <row r="99" spans="1:2" x14ac:dyDescent="0.3">
      <c r="A99" s="1" t="s">
        <v>79</v>
      </c>
      <c r="B99">
        <v>56.66</v>
      </c>
    </row>
    <row r="100" spans="1:2" x14ac:dyDescent="0.3">
      <c r="A100" s="1" t="s">
        <v>75</v>
      </c>
      <c r="B100">
        <v>60.34</v>
      </c>
    </row>
    <row r="101" spans="1:2" x14ac:dyDescent="0.3">
      <c r="A101" s="1" t="s">
        <v>39</v>
      </c>
      <c r="B101">
        <v>62.83</v>
      </c>
    </row>
    <row r="102" spans="1:2" x14ac:dyDescent="0.3">
      <c r="A102" s="1" t="s">
        <v>183</v>
      </c>
      <c r="B102">
        <v>56.93</v>
      </c>
    </row>
    <row r="103" spans="1:2" x14ac:dyDescent="0.3">
      <c r="A103" s="1" t="s">
        <v>118</v>
      </c>
      <c r="B103">
        <v>52.29</v>
      </c>
    </row>
    <row r="104" spans="1:2" x14ac:dyDescent="0.3">
      <c r="A104" s="1" t="s">
        <v>32</v>
      </c>
      <c r="B104">
        <v>59.76</v>
      </c>
    </row>
    <row r="105" spans="1:2" x14ac:dyDescent="0.3">
      <c r="A105" s="1" t="s">
        <v>107</v>
      </c>
      <c r="B105">
        <v>59.45</v>
      </c>
    </row>
    <row r="106" spans="1:2" x14ac:dyDescent="0.3">
      <c r="A106" s="1" t="s">
        <v>20</v>
      </c>
      <c r="B106">
        <v>65.56</v>
      </c>
    </row>
    <row r="107" spans="1:2" x14ac:dyDescent="0.3">
      <c r="A107" s="1" t="s">
        <v>88</v>
      </c>
      <c r="B107">
        <v>47.98</v>
      </c>
    </row>
    <row r="108" spans="1:2" x14ac:dyDescent="0.3">
      <c r="A108" s="1" t="s">
        <v>68</v>
      </c>
      <c r="B108">
        <v>77.62</v>
      </c>
    </row>
    <row r="109" spans="1:2" x14ac:dyDescent="0.3">
      <c r="A109" s="1" t="s">
        <v>65</v>
      </c>
      <c r="B109">
        <v>59.33</v>
      </c>
    </row>
    <row r="110" spans="1:2" x14ac:dyDescent="0.3">
      <c r="A110" s="1" t="s">
        <v>60</v>
      </c>
      <c r="B110">
        <v>74.28</v>
      </c>
    </row>
    <row r="111" spans="1:2" x14ac:dyDescent="0.3">
      <c r="A111" s="1" t="s">
        <v>94</v>
      </c>
      <c r="B111">
        <v>43.69</v>
      </c>
    </row>
    <row r="112" spans="1:2" x14ac:dyDescent="0.3">
      <c r="A112" s="1" t="s">
        <v>116</v>
      </c>
      <c r="B112">
        <v>56.13</v>
      </c>
    </row>
    <row r="113" spans="1:2" x14ac:dyDescent="0.3">
      <c r="A113" t="s">
        <v>165</v>
      </c>
      <c r="B113">
        <v>28.26</v>
      </c>
    </row>
    <row r="114" spans="1:2" x14ac:dyDescent="0.3">
      <c r="A114" s="1" t="s">
        <v>57</v>
      </c>
      <c r="B114">
        <v>80.91</v>
      </c>
    </row>
    <row r="115" spans="1:2" x14ac:dyDescent="0.3">
      <c r="A115" s="1" t="s">
        <v>100</v>
      </c>
      <c r="B115">
        <v>57.89</v>
      </c>
    </row>
    <row r="116" spans="1:2" x14ac:dyDescent="0.3">
      <c r="A116" s="1" t="s">
        <v>8</v>
      </c>
      <c r="B116">
        <v>87</v>
      </c>
    </row>
    <row r="117" spans="1:2" x14ac:dyDescent="0.3">
      <c r="A117" s="1" t="s">
        <v>1</v>
      </c>
      <c r="B117">
        <v>84.23</v>
      </c>
    </row>
    <row r="118" spans="1:2" x14ac:dyDescent="0.3">
      <c r="A118" s="1" t="s">
        <v>142</v>
      </c>
      <c r="B118">
        <v>37.090000000000003</v>
      </c>
    </row>
    <row r="119" spans="1:2" x14ac:dyDescent="0.3">
      <c r="A119" s="1" t="s">
        <v>111</v>
      </c>
      <c r="B119">
        <v>66.84</v>
      </c>
    </row>
    <row r="120" spans="1:2" x14ac:dyDescent="0.3">
      <c r="A120" s="1" t="s">
        <v>104</v>
      </c>
      <c r="B120">
        <v>49.56</v>
      </c>
    </row>
    <row r="121" spans="1:2" x14ac:dyDescent="0.3">
      <c r="A121" t="s">
        <v>164</v>
      </c>
      <c r="B121">
        <v>21.72</v>
      </c>
    </row>
    <row r="122" spans="1:2" x14ac:dyDescent="0.3">
      <c r="A122" s="1" t="s">
        <v>71</v>
      </c>
      <c r="B122">
        <v>74.349999999999994</v>
      </c>
    </row>
    <row r="123" spans="1:2" x14ac:dyDescent="0.3">
      <c r="A123" s="1" t="s">
        <v>0</v>
      </c>
      <c r="B123">
        <v>95.18</v>
      </c>
    </row>
    <row r="124" spans="1:2" x14ac:dyDescent="0.3">
      <c r="A124" s="1" t="s">
        <v>124</v>
      </c>
      <c r="B124">
        <v>37.869999999999997</v>
      </c>
    </row>
    <row r="125" spans="1:2" x14ac:dyDescent="0.3">
      <c r="A125" s="1" t="s">
        <v>106</v>
      </c>
      <c r="B125">
        <v>39.950000000000003</v>
      </c>
    </row>
    <row r="126" spans="1:2" x14ac:dyDescent="0.3">
      <c r="A126" s="1" t="s">
        <v>109</v>
      </c>
      <c r="B126">
        <v>37.86</v>
      </c>
    </row>
    <row r="127" spans="1:2" x14ac:dyDescent="0.3">
      <c r="A127" s="1" t="s">
        <v>48</v>
      </c>
      <c r="B127">
        <v>63.67</v>
      </c>
    </row>
    <row r="128" spans="1:2" x14ac:dyDescent="0.3">
      <c r="A128" s="1" t="s">
        <v>73</v>
      </c>
      <c r="B128">
        <v>67.62</v>
      </c>
    </row>
    <row r="129" spans="1:2" x14ac:dyDescent="0.3">
      <c r="A129" s="1" t="s">
        <v>76</v>
      </c>
      <c r="B129">
        <v>55.96</v>
      </c>
    </row>
    <row r="130" spans="1:2" x14ac:dyDescent="0.3">
      <c r="A130" s="1" t="s">
        <v>74</v>
      </c>
      <c r="B130">
        <v>52.74</v>
      </c>
    </row>
    <row r="131" spans="1:2" x14ac:dyDescent="0.3">
      <c r="A131" s="1" t="s">
        <v>51</v>
      </c>
      <c r="B131">
        <v>46.21</v>
      </c>
    </row>
    <row r="132" spans="1:2" x14ac:dyDescent="0.3">
      <c r="A132" s="1" t="s">
        <v>46</v>
      </c>
      <c r="B132">
        <v>67.66</v>
      </c>
    </row>
    <row r="133" spans="1:2" x14ac:dyDescent="0.3">
      <c r="A133" s="1" t="s">
        <v>27</v>
      </c>
      <c r="B133">
        <v>84.6</v>
      </c>
    </row>
    <row r="134" spans="1:2" x14ac:dyDescent="0.3">
      <c r="A134" s="1" t="s">
        <v>113</v>
      </c>
      <c r="B134">
        <v>55.28</v>
      </c>
    </row>
    <row r="135" spans="1:2" x14ac:dyDescent="0.3">
      <c r="A135" s="1" t="s">
        <v>61</v>
      </c>
      <c r="B135">
        <v>69.040000000000006</v>
      </c>
    </row>
    <row r="136" spans="1:2" x14ac:dyDescent="0.3">
      <c r="A136" s="1" t="s">
        <v>145</v>
      </c>
      <c r="B136">
        <v>34.770000000000003</v>
      </c>
    </row>
    <row r="137" spans="1:2" x14ac:dyDescent="0.3">
      <c r="A137" s="1" t="s">
        <v>125</v>
      </c>
      <c r="B137">
        <v>46.58</v>
      </c>
    </row>
    <row r="138" spans="1:2" x14ac:dyDescent="0.3">
      <c r="A138" s="1" t="s">
        <v>211</v>
      </c>
      <c r="B138">
        <v>82.15</v>
      </c>
    </row>
    <row r="139" spans="1:2" x14ac:dyDescent="0.3">
      <c r="A139" t="s">
        <v>149</v>
      </c>
      <c r="B139">
        <v>32.43</v>
      </c>
    </row>
    <row r="140" spans="1:2" x14ac:dyDescent="0.3">
      <c r="A140" s="1" t="s">
        <v>78</v>
      </c>
      <c r="B140">
        <v>55.82</v>
      </c>
    </row>
    <row r="141" spans="1:2" x14ac:dyDescent="0.3">
      <c r="A141" s="1" t="s">
        <v>67</v>
      </c>
      <c r="B141">
        <v>59.16</v>
      </c>
    </row>
    <row r="142" spans="1:2" x14ac:dyDescent="0.3">
      <c r="A142" s="1" t="s">
        <v>187</v>
      </c>
      <c r="B142">
        <v>75.709999999999994</v>
      </c>
    </row>
    <row r="143" spans="1:2" x14ac:dyDescent="0.3">
      <c r="A143" s="1" t="s">
        <v>95</v>
      </c>
      <c r="B143">
        <v>62.55</v>
      </c>
    </row>
    <row r="144" spans="1:2" x14ac:dyDescent="0.3">
      <c r="A144" s="1" t="s">
        <v>69</v>
      </c>
      <c r="B144">
        <v>47.88</v>
      </c>
    </row>
    <row r="145" spans="1:2" x14ac:dyDescent="0.3">
      <c r="A145" s="1" t="s">
        <v>42</v>
      </c>
      <c r="B145">
        <v>83.22</v>
      </c>
    </row>
    <row r="146" spans="1:2" x14ac:dyDescent="0.3">
      <c r="A146" s="1" t="s">
        <v>30</v>
      </c>
      <c r="B146">
        <v>70.59</v>
      </c>
    </row>
    <row r="147" spans="1:2" x14ac:dyDescent="0.3">
      <c r="A147" s="1" t="s">
        <v>189</v>
      </c>
      <c r="B147">
        <v>44.24</v>
      </c>
    </row>
    <row r="148" spans="1:2" x14ac:dyDescent="0.3">
      <c r="A148" s="1" t="s">
        <v>44</v>
      </c>
      <c r="B148">
        <v>78.599999999999994</v>
      </c>
    </row>
    <row r="149" spans="1:2" x14ac:dyDescent="0.3">
      <c r="A149" s="1" t="s">
        <v>23</v>
      </c>
      <c r="B149">
        <v>70.83</v>
      </c>
    </row>
    <row r="150" spans="1:2" x14ac:dyDescent="0.3">
      <c r="A150" s="1" t="s">
        <v>190</v>
      </c>
      <c r="B150">
        <v>50.62</v>
      </c>
    </row>
    <row r="151" spans="1:2" x14ac:dyDescent="0.3">
      <c r="A151" s="1" t="s">
        <v>22</v>
      </c>
      <c r="B151">
        <v>75.37</v>
      </c>
    </row>
    <row r="152" spans="1:2" x14ac:dyDescent="0.3">
      <c r="A152" s="1" t="s">
        <v>59</v>
      </c>
      <c r="B152">
        <v>45.85</v>
      </c>
    </row>
    <row r="153" spans="1:2" x14ac:dyDescent="0.3">
      <c r="A153" s="1" t="s">
        <v>143</v>
      </c>
      <c r="B153">
        <v>40.83</v>
      </c>
    </row>
    <row r="154" spans="1:2" x14ac:dyDescent="0.3">
      <c r="A154" s="1" t="s">
        <v>47</v>
      </c>
      <c r="B154">
        <v>70.62</v>
      </c>
    </row>
    <row r="155" spans="1:2" x14ac:dyDescent="0.3">
      <c r="A155" s="1" t="s">
        <v>3</v>
      </c>
      <c r="B155">
        <v>88.15</v>
      </c>
    </row>
    <row r="156" spans="1:2" x14ac:dyDescent="0.3">
      <c r="A156" s="1" t="s">
        <v>6</v>
      </c>
      <c r="B156">
        <v>84.4</v>
      </c>
    </row>
    <row r="157" spans="1:2" x14ac:dyDescent="0.3">
      <c r="A157" t="s">
        <v>162</v>
      </c>
      <c r="B157">
        <v>27.22</v>
      </c>
    </row>
    <row r="158" spans="1:2" x14ac:dyDescent="0.3">
      <c r="A158" s="1" t="s">
        <v>9</v>
      </c>
      <c r="B158">
        <v>75.540000000000006</v>
      </c>
    </row>
    <row r="159" spans="1:2" x14ac:dyDescent="0.3">
      <c r="A159" s="1" t="s">
        <v>156</v>
      </c>
      <c r="B159">
        <v>39.06</v>
      </c>
    </row>
    <row r="160" spans="1:2" x14ac:dyDescent="0.3">
      <c r="A160" s="1" t="s">
        <v>91</v>
      </c>
      <c r="B160">
        <v>44.02</v>
      </c>
    </row>
    <row r="161" spans="1:2" x14ac:dyDescent="0.3">
      <c r="A161" s="1" t="s">
        <v>54</v>
      </c>
      <c r="B161">
        <v>55.24</v>
      </c>
    </row>
    <row r="162" spans="1:2" x14ac:dyDescent="0.3">
      <c r="A162" s="1" t="s">
        <v>129</v>
      </c>
      <c r="B162">
        <v>63.06</v>
      </c>
    </row>
    <row r="163" spans="1:2" x14ac:dyDescent="0.3">
      <c r="A163" s="1" t="s">
        <v>213</v>
      </c>
      <c r="B163">
        <v>71.290000000000006</v>
      </c>
    </row>
    <row r="164" spans="1:2" x14ac:dyDescent="0.3">
      <c r="A164" s="1" t="s">
        <v>40</v>
      </c>
      <c r="B164">
        <v>76.540000000000006</v>
      </c>
    </row>
    <row r="165" spans="1:2" x14ac:dyDescent="0.3">
      <c r="A165" s="1" t="s">
        <v>84</v>
      </c>
      <c r="B165">
        <v>50.11</v>
      </c>
    </row>
    <row r="166" spans="1:2" x14ac:dyDescent="0.3">
      <c r="A166" s="1" t="s">
        <v>219</v>
      </c>
      <c r="B166">
        <v>33.97</v>
      </c>
    </row>
    <row r="167" spans="1:2" x14ac:dyDescent="0.3">
      <c r="A167" t="s">
        <v>160</v>
      </c>
      <c r="B167">
        <v>25.82</v>
      </c>
    </row>
    <row r="168" spans="1:2" x14ac:dyDescent="0.3">
      <c r="A168" s="1" t="s">
        <v>98</v>
      </c>
      <c r="B168">
        <v>46.08</v>
      </c>
    </row>
    <row r="169" spans="1:2" x14ac:dyDescent="0.3">
      <c r="A169" s="1" t="s">
        <v>86</v>
      </c>
      <c r="B169">
        <v>61.19</v>
      </c>
    </row>
    <row r="170" spans="1:2" x14ac:dyDescent="0.3">
      <c r="A170" s="1" t="s">
        <v>132</v>
      </c>
      <c r="B170">
        <v>42.99</v>
      </c>
    </row>
    <row r="171" spans="1:2" x14ac:dyDescent="0.3">
      <c r="A171" s="1" t="s">
        <v>17</v>
      </c>
      <c r="B171">
        <v>78.510000000000005</v>
      </c>
    </row>
    <row r="172" spans="1:2" x14ac:dyDescent="0.3">
      <c r="A172" s="1" t="s">
        <v>206</v>
      </c>
      <c r="B172">
        <v>71.22</v>
      </c>
    </row>
    <row r="173" spans="1:2" x14ac:dyDescent="0.3">
      <c r="A173" s="1" t="s">
        <v>10</v>
      </c>
      <c r="B173">
        <v>70.33</v>
      </c>
    </row>
    <row r="174" spans="1:2" x14ac:dyDescent="0.3">
      <c r="A174" s="1" t="s">
        <v>148</v>
      </c>
      <c r="B174">
        <v>45.73</v>
      </c>
    </row>
    <row r="175" spans="1:2" x14ac:dyDescent="0.3">
      <c r="A175" s="1" t="s">
        <v>146</v>
      </c>
      <c r="B175">
        <v>36.99</v>
      </c>
    </row>
    <row r="176" spans="1:2" x14ac:dyDescent="0.3">
      <c r="A176" t="s">
        <v>137</v>
      </c>
      <c r="B176">
        <v>24.58</v>
      </c>
    </row>
    <row r="177" spans="1:2" x14ac:dyDescent="0.3">
      <c r="A177" s="1" t="s">
        <v>154</v>
      </c>
      <c r="B177">
        <v>32.78</v>
      </c>
    </row>
    <row r="178" spans="1:2" x14ac:dyDescent="0.3">
      <c r="A178" s="1" t="s">
        <v>77</v>
      </c>
      <c r="B178">
        <v>59.41</v>
      </c>
    </row>
    <row r="179" spans="1:2" x14ac:dyDescent="0.3">
      <c r="A179" s="1" t="s">
        <v>131</v>
      </c>
      <c r="B179">
        <v>48.17</v>
      </c>
    </row>
  </sheetData>
  <autoFilter ref="A1:B1" xr:uid="{CCD8F651-C8F3-4CCF-A2AE-36F540AD6470}">
    <sortState xmlns:xlrd2="http://schemas.microsoft.com/office/spreadsheetml/2017/richdata2" ref="A2:B181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2D41-BE4A-441E-87B5-B91BB67970E5}">
  <sheetPr>
    <tabColor rgb="FF6A4C93"/>
  </sheetPr>
  <dimension ref="A1:F182"/>
  <sheetViews>
    <sheetView workbookViewId="0">
      <selection activeCell="I11" sqref="I11"/>
    </sheetView>
  </sheetViews>
  <sheetFormatPr defaultRowHeight="14.4" x14ac:dyDescent="0.3"/>
  <cols>
    <col min="1" max="1" width="31.109375" bestFit="1" customWidth="1"/>
    <col min="2" max="2" width="21.44140625" customWidth="1"/>
  </cols>
  <sheetData>
    <row r="1" spans="1:6" x14ac:dyDescent="0.3">
      <c r="A1" s="1" t="s">
        <v>168</v>
      </c>
      <c r="B1" s="2" t="s">
        <v>167</v>
      </c>
    </row>
    <row r="2" spans="1:6" x14ac:dyDescent="0.3">
      <c r="A2" s="1" t="s">
        <v>166</v>
      </c>
      <c r="B2" s="3">
        <v>43.6</v>
      </c>
      <c r="C2" s="3"/>
      <c r="D2" s="3"/>
    </row>
    <row r="3" spans="1:6" x14ac:dyDescent="0.3">
      <c r="A3" s="1" t="s">
        <v>63</v>
      </c>
      <c r="B3" s="3">
        <v>47.1</v>
      </c>
      <c r="F3" s="13"/>
    </row>
    <row r="4" spans="1:6" x14ac:dyDescent="0.3">
      <c r="A4" s="1" t="s">
        <v>112</v>
      </c>
      <c r="B4" s="3">
        <v>29.6</v>
      </c>
    </row>
    <row r="5" spans="1:6" x14ac:dyDescent="0.3">
      <c r="A5" s="1" t="s">
        <v>108</v>
      </c>
      <c r="B5" s="3">
        <v>30.5</v>
      </c>
    </row>
    <row r="6" spans="1:6" x14ac:dyDescent="0.3">
      <c r="A6" s="1" t="s">
        <v>220</v>
      </c>
      <c r="B6" s="3">
        <v>52.4</v>
      </c>
    </row>
    <row r="7" spans="1:6" x14ac:dyDescent="0.3">
      <c r="A7" s="1" t="s">
        <v>49</v>
      </c>
      <c r="B7" s="3">
        <v>41.1</v>
      </c>
    </row>
    <row r="8" spans="1:6" x14ac:dyDescent="0.3">
      <c r="A8" s="1" t="s">
        <v>81</v>
      </c>
      <c r="B8" s="3">
        <v>48.3</v>
      </c>
    </row>
    <row r="9" spans="1:6" x14ac:dyDescent="0.3">
      <c r="A9" s="1" t="s">
        <v>14</v>
      </c>
      <c r="B9" s="3">
        <v>60.1</v>
      </c>
    </row>
    <row r="10" spans="1:6" x14ac:dyDescent="0.3">
      <c r="A10" s="1" t="s">
        <v>19</v>
      </c>
      <c r="B10" s="3">
        <v>66.5</v>
      </c>
    </row>
    <row r="11" spans="1:6" x14ac:dyDescent="0.3">
      <c r="A11" s="1" t="s">
        <v>133</v>
      </c>
      <c r="B11" s="3">
        <v>38.6</v>
      </c>
    </row>
    <row r="12" spans="1:6" x14ac:dyDescent="0.3">
      <c r="A12" s="1" t="s">
        <v>169</v>
      </c>
      <c r="B12" s="3">
        <v>56.2</v>
      </c>
    </row>
    <row r="13" spans="1:6" x14ac:dyDescent="0.3">
      <c r="A13" s="1" t="s">
        <v>141</v>
      </c>
      <c r="B13" s="3">
        <v>42</v>
      </c>
    </row>
    <row r="14" spans="1:6" x14ac:dyDescent="0.3">
      <c r="A14" t="s">
        <v>72</v>
      </c>
      <c r="B14" s="3">
        <v>23.1</v>
      </c>
    </row>
    <row r="15" spans="1:6" x14ac:dyDescent="0.3">
      <c r="A15" s="1" t="s">
        <v>170</v>
      </c>
      <c r="B15" s="3">
        <v>53.2</v>
      </c>
    </row>
    <row r="16" spans="1:6" x14ac:dyDescent="0.3">
      <c r="A16" s="1" t="s">
        <v>152</v>
      </c>
      <c r="B16" s="3">
        <v>48.5</v>
      </c>
    </row>
    <row r="17" spans="1:2" x14ac:dyDescent="0.3">
      <c r="A17" s="1" t="s">
        <v>35</v>
      </c>
      <c r="B17" s="3">
        <v>58.2</v>
      </c>
    </row>
    <row r="18" spans="1:2" x14ac:dyDescent="0.3">
      <c r="A18" s="1" t="s">
        <v>193</v>
      </c>
      <c r="B18" s="3">
        <v>50</v>
      </c>
    </row>
    <row r="19" spans="1:2" x14ac:dyDescent="0.3">
      <c r="A19" s="1" t="s">
        <v>103</v>
      </c>
      <c r="B19" s="3">
        <v>29.6</v>
      </c>
    </row>
    <row r="20" spans="1:2" x14ac:dyDescent="0.3">
      <c r="A20" s="1" t="s">
        <v>83</v>
      </c>
      <c r="B20" s="3">
        <v>42.5</v>
      </c>
    </row>
    <row r="21" spans="1:2" x14ac:dyDescent="0.3">
      <c r="A21" s="1" t="s">
        <v>99</v>
      </c>
      <c r="B21" s="3">
        <v>40.1</v>
      </c>
    </row>
    <row r="22" spans="1:2" x14ac:dyDescent="0.3">
      <c r="A22" s="1" t="s">
        <v>171</v>
      </c>
      <c r="B22" s="3">
        <v>39.4</v>
      </c>
    </row>
    <row r="23" spans="1:2" x14ac:dyDescent="0.3">
      <c r="A23" s="1" t="s">
        <v>31</v>
      </c>
      <c r="B23" s="3">
        <v>54</v>
      </c>
    </row>
    <row r="24" spans="1:2" x14ac:dyDescent="0.3">
      <c r="A24" s="1" t="s">
        <v>50</v>
      </c>
      <c r="B24" s="3">
        <v>43.6</v>
      </c>
    </row>
    <row r="25" spans="1:2" x14ac:dyDescent="0.3">
      <c r="A25" s="1" t="s">
        <v>194</v>
      </c>
      <c r="B25" s="3">
        <v>45.7</v>
      </c>
    </row>
    <row r="26" spans="1:2" x14ac:dyDescent="0.3">
      <c r="A26" s="1" t="s">
        <v>56</v>
      </c>
      <c r="B26" s="3">
        <v>51.9</v>
      </c>
    </row>
    <row r="27" spans="1:2" x14ac:dyDescent="0.3">
      <c r="A27" s="1" t="s">
        <v>126</v>
      </c>
      <c r="B27" s="3">
        <v>35.5</v>
      </c>
    </row>
    <row r="28" spans="1:2" x14ac:dyDescent="0.3">
      <c r="A28" s="1" t="s">
        <v>147</v>
      </c>
      <c r="B28" s="3">
        <v>30.5</v>
      </c>
    </row>
    <row r="29" spans="1:2" x14ac:dyDescent="0.3">
      <c r="A29" s="1" t="s">
        <v>34</v>
      </c>
      <c r="B29" s="3">
        <v>41.9</v>
      </c>
    </row>
    <row r="30" spans="1:2" x14ac:dyDescent="0.3">
      <c r="A30" s="1" t="s">
        <v>120</v>
      </c>
      <c r="B30" s="3">
        <v>30.1</v>
      </c>
    </row>
    <row r="31" spans="1:2" x14ac:dyDescent="0.3">
      <c r="A31" s="1" t="s">
        <v>139</v>
      </c>
      <c r="B31" s="3">
        <v>30.2</v>
      </c>
    </row>
    <row r="32" spans="1:2" x14ac:dyDescent="0.3">
      <c r="A32" s="1" t="s">
        <v>11</v>
      </c>
      <c r="B32" s="3">
        <v>50</v>
      </c>
    </row>
    <row r="33" spans="1:2" x14ac:dyDescent="0.3">
      <c r="A33" s="1" t="s">
        <v>163</v>
      </c>
      <c r="B33" s="3">
        <v>44.9</v>
      </c>
    </row>
    <row r="34" spans="1:2" x14ac:dyDescent="0.3">
      <c r="A34" s="1" t="s">
        <v>159</v>
      </c>
      <c r="B34" s="3">
        <v>28.1</v>
      </c>
    </row>
    <row r="35" spans="1:2" x14ac:dyDescent="0.3">
      <c r="A35" s="1" t="s">
        <v>18</v>
      </c>
      <c r="B35" s="3">
        <v>46.7</v>
      </c>
    </row>
    <row r="36" spans="1:2" x14ac:dyDescent="0.3">
      <c r="A36" s="1" t="s">
        <v>155</v>
      </c>
      <c r="B36" s="3">
        <v>28.4</v>
      </c>
    </row>
    <row r="37" spans="1:2" x14ac:dyDescent="0.3">
      <c r="A37" s="1" t="s">
        <v>52</v>
      </c>
      <c r="B37" s="3">
        <v>42.4</v>
      </c>
    </row>
    <row r="38" spans="1:2" x14ac:dyDescent="0.3">
      <c r="A38" s="1" t="s">
        <v>119</v>
      </c>
      <c r="B38" s="3">
        <v>42.5</v>
      </c>
    </row>
    <row r="39" spans="1:2" x14ac:dyDescent="0.3">
      <c r="A39" s="1" t="s">
        <v>16</v>
      </c>
      <c r="B39" s="3">
        <v>46.3</v>
      </c>
    </row>
    <row r="40" spans="1:2" x14ac:dyDescent="0.3">
      <c r="A40" s="1" t="s">
        <v>173</v>
      </c>
      <c r="B40" s="3">
        <v>32.799999999999997</v>
      </c>
    </row>
    <row r="41" spans="1:2" x14ac:dyDescent="0.3">
      <c r="A41" s="1" t="s">
        <v>58</v>
      </c>
      <c r="B41" s="3">
        <v>60.2</v>
      </c>
    </row>
    <row r="42" spans="1:2" x14ac:dyDescent="0.3">
      <c r="A42" s="1" t="s">
        <v>138</v>
      </c>
      <c r="B42" s="3">
        <v>47.5</v>
      </c>
    </row>
    <row r="43" spans="1:2" x14ac:dyDescent="0.3">
      <c r="A43" s="1" t="s">
        <v>36</v>
      </c>
      <c r="B43" s="3">
        <v>58</v>
      </c>
    </row>
    <row r="44" spans="1:2" x14ac:dyDescent="0.3">
      <c r="A44" s="1" t="s">
        <v>24</v>
      </c>
      <c r="B44" s="3">
        <v>59.9</v>
      </c>
    </row>
    <row r="45" spans="1:2" x14ac:dyDescent="0.3">
      <c r="A45" s="1" t="s">
        <v>224</v>
      </c>
      <c r="B45" s="3">
        <v>36.9</v>
      </c>
    </row>
    <row r="46" spans="1:2" x14ac:dyDescent="0.3">
      <c r="A46" s="1" t="s">
        <v>5</v>
      </c>
      <c r="B46" s="3">
        <v>77.900000000000006</v>
      </c>
    </row>
    <row r="47" spans="1:2" x14ac:dyDescent="0.3">
      <c r="A47" s="1" t="s">
        <v>136</v>
      </c>
      <c r="B47" s="3">
        <v>47.5</v>
      </c>
    </row>
    <row r="48" spans="1:2" x14ac:dyDescent="0.3">
      <c r="A48" s="1" t="s">
        <v>176</v>
      </c>
      <c r="B48" s="3">
        <v>51.2</v>
      </c>
    </row>
    <row r="49" spans="1:2" x14ac:dyDescent="0.3">
      <c r="A49" s="1" t="s">
        <v>64</v>
      </c>
      <c r="B49" s="3">
        <v>42.2</v>
      </c>
    </row>
    <row r="50" spans="1:2" x14ac:dyDescent="0.3">
      <c r="A50" s="1" t="s">
        <v>80</v>
      </c>
      <c r="B50" s="3">
        <v>46.5</v>
      </c>
    </row>
    <row r="51" spans="1:2" x14ac:dyDescent="0.3">
      <c r="A51" s="1" t="s">
        <v>130</v>
      </c>
      <c r="B51" s="3">
        <v>35.5</v>
      </c>
    </row>
    <row r="52" spans="1:2" x14ac:dyDescent="0.3">
      <c r="A52" s="1" t="s">
        <v>92</v>
      </c>
      <c r="B52" s="3">
        <v>40.799999999999997</v>
      </c>
    </row>
    <row r="53" spans="1:2" x14ac:dyDescent="0.3">
      <c r="A53" s="1" t="s">
        <v>157</v>
      </c>
      <c r="B53" s="3">
        <v>44.8</v>
      </c>
    </row>
    <row r="54" spans="1:2" x14ac:dyDescent="0.3">
      <c r="A54" s="1" t="s">
        <v>151</v>
      </c>
      <c r="B54" s="3">
        <v>31.7</v>
      </c>
    </row>
    <row r="55" spans="1:2" x14ac:dyDescent="0.3">
      <c r="A55" s="1" t="s">
        <v>26</v>
      </c>
      <c r="B55" s="3">
        <v>61.4</v>
      </c>
    </row>
    <row r="56" spans="1:2" x14ac:dyDescent="0.3">
      <c r="A56" s="1" t="s">
        <v>128</v>
      </c>
      <c r="B56" s="3">
        <v>44.9</v>
      </c>
    </row>
    <row r="57" spans="1:2" x14ac:dyDescent="0.3">
      <c r="A57" s="1" t="s">
        <v>121</v>
      </c>
      <c r="B57" s="3">
        <v>31.8</v>
      </c>
    </row>
    <row r="58" spans="1:2" x14ac:dyDescent="0.3">
      <c r="A58" s="1" t="s">
        <v>82</v>
      </c>
      <c r="B58" s="3">
        <v>31.3</v>
      </c>
    </row>
    <row r="59" spans="1:2" x14ac:dyDescent="0.3">
      <c r="A59" s="1" t="s">
        <v>4</v>
      </c>
      <c r="B59" s="3">
        <v>76.5</v>
      </c>
    </row>
    <row r="60" spans="1:2" x14ac:dyDescent="0.3">
      <c r="A60" s="1" t="s">
        <v>21</v>
      </c>
      <c r="B60" s="3">
        <v>62.5</v>
      </c>
    </row>
    <row r="61" spans="1:2" x14ac:dyDescent="0.3">
      <c r="A61" s="1" t="s">
        <v>117</v>
      </c>
      <c r="B61" s="3">
        <v>49.7</v>
      </c>
    </row>
    <row r="62" spans="1:2" x14ac:dyDescent="0.3">
      <c r="A62" s="1" t="s">
        <v>101</v>
      </c>
      <c r="B62" s="3">
        <v>36.4</v>
      </c>
    </row>
    <row r="63" spans="1:2" x14ac:dyDescent="0.3">
      <c r="A63" s="1" t="s">
        <v>89</v>
      </c>
      <c r="B63" s="3">
        <v>39.1</v>
      </c>
    </row>
    <row r="64" spans="1:2" x14ac:dyDescent="0.3">
      <c r="A64" s="1" t="s">
        <v>13</v>
      </c>
      <c r="B64" s="3">
        <v>62.4</v>
      </c>
    </row>
    <row r="65" spans="1:2" x14ac:dyDescent="0.3">
      <c r="A65" t="s">
        <v>62</v>
      </c>
      <c r="B65" s="3">
        <v>27.7</v>
      </c>
    </row>
    <row r="66" spans="1:2" x14ac:dyDescent="0.3">
      <c r="A66" s="1" t="s">
        <v>25</v>
      </c>
      <c r="B66" s="3">
        <v>56.2</v>
      </c>
    </row>
    <row r="67" spans="1:2" x14ac:dyDescent="0.3">
      <c r="A67" s="1" t="s">
        <v>177</v>
      </c>
      <c r="B67" s="3">
        <v>47.9</v>
      </c>
    </row>
    <row r="68" spans="1:2" x14ac:dyDescent="0.3">
      <c r="A68" s="1" t="s">
        <v>97</v>
      </c>
      <c r="B68" s="3">
        <v>28</v>
      </c>
    </row>
    <row r="69" spans="1:2" x14ac:dyDescent="0.3">
      <c r="A69" s="1" t="s">
        <v>144</v>
      </c>
      <c r="B69" s="3">
        <v>31.6</v>
      </c>
    </row>
    <row r="70" spans="1:2" x14ac:dyDescent="0.3">
      <c r="A70" s="1" t="s">
        <v>140</v>
      </c>
      <c r="B70" s="3">
        <v>40.200000000000003</v>
      </c>
    </row>
    <row r="71" spans="1:2" x14ac:dyDescent="0.3">
      <c r="A71" s="1" t="s">
        <v>66</v>
      </c>
      <c r="B71" s="3">
        <v>38.5</v>
      </c>
    </row>
    <row r="72" spans="1:2" x14ac:dyDescent="0.3">
      <c r="A72" t="s">
        <v>134</v>
      </c>
      <c r="B72" s="3">
        <v>26.1</v>
      </c>
    </row>
    <row r="73" spans="1:2" x14ac:dyDescent="0.3">
      <c r="A73" s="1" t="s">
        <v>90</v>
      </c>
      <c r="B73" s="3">
        <v>36.5</v>
      </c>
    </row>
    <row r="74" spans="1:2" x14ac:dyDescent="0.3">
      <c r="A74" s="1" t="s">
        <v>55</v>
      </c>
      <c r="B74" s="3">
        <v>55.1</v>
      </c>
    </row>
    <row r="75" spans="1:2" x14ac:dyDescent="0.3">
      <c r="A75" s="1" t="s">
        <v>2</v>
      </c>
      <c r="B75" s="3">
        <v>62.8</v>
      </c>
    </row>
    <row r="76" spans="1:2" x14ac:dyDescent="0.3">
      <c r="A76" t="s">
        <v>45</v>
      </c>
      <c r="B76" s="3">
        <v>18.899999999999999</v>
      </c>
    </row>
    <row r="77" spans="1:2" x14ac:dyDescent="0.3">
      <c r="A77" s="1" t="s">
        <v>53</v>
      </c>
      <c r="B77" s="3">
        <v>28.2</v>
      </c>
    </row>
    <row r="78" spans="1:2" x14ac:dyDescent="0.3">
      <c r="A78" s="1" t="s">
        <v>153</v>
      </c>
      <c r="B78" s="3">
        <v>34.5</v>
      </c>
    </row>
    <row r="79" spans="1:2" x14ac:dyDescent="0.3">
      <c r="A79" s="1" t="s">
        <v>123</v>
      </c>
      <c r="B79" s="3">
        <v>27.8</v>
      </c>
    </row>
    <row r="80" spans="1:2" x14ac:dyDescent="0.3">
      <c r="A80" s="1" t="s">
        <v>7</v>
      </c>
      <c r="B80" s="3">
        <v>57.4</v>
      </c>
    </row>
    <row r="81" spans="1:2" x14ac:dyDescent="0.3">
      <c r="A81" s="1" t="s">
        <v>28</v>
      </c>
      <c r="B81" s="3">
        <v>48.2</v>
      </c>
    </row>
    <row r="82" spans="1:2" x14ac:dyDescent="0.3">
      <c r="A82" s="1" t="s">
        <v>33</v>
      </c>
      <c r="B82" s="3">
        <v>57.7</v>
      </c>
    </row>
    <row r="83" spans="1:2" x14ac:dyDescent="0.3">
      <c r="A83" s="1" t="s">
        <v>41</v>
      </c>
      <c r="B83" s="3">
        <v>45.6</v>
      </c>
    </row>
    <row r="84" spans="1:2" x14ac:dyDescent="0.3">
      <c r="A84" s="1" t="s">
        <v>15</v>
      </c>
      <c r="B84" s="3">
        <v>57.2</v>
      </c>
    </row>
    <row r="85" spans="1:2" x14ac:dyDescent="0.3">
      <c r="A85" s="1" t="s">
        <v>122</v>
      </c>
      <c r="B85" s="3">
        <v>43.6</v>
      </c>
    </row>
    <row r="86" spans="1:2" x14ac:dyDescent="0.3">
      <c r="A86" s="1" t="s">
        <v>127</v>
      </c>
      <c r="B86" s="3">
        <v>40.9</v>
      </c>
    </row>
    <row r="87" spans="1:2" x14ac:dyDescent="0.3">
      <c r="A87" s="1" t="s">
        <v>93</v>
      </c>
      <c r="B87" s="3">
        <v>30.8</v>
      </c>
    </row>
    <row r="88" spans="1:2" x14ac:dyDescent="0.3">
      <c r="A88" s="1" t="s">
        <v>221</v>
      </c>
      <c r="B88" s="3">
        <v>49</v>
      </c>
    </row>
    <row r="89" spans="1:2" x14ac:dyDescent="0.3">
      <c r="A89" s="1" t="s">
        <v>110</v>
      </c>
      <c r="B89" s="3">
        <v>42.4</v>
      </c>
    </row>
    <row r="90" spans="1:2" x14ac:dyDescent="0.3">
      <c r="A90" s="1" t="s">
        <v>182</v>
      </c>
      <c r="B90" s="3">
        <v>35.700000000000003</v>
      </c>
    </row>
    <row r="91" spans="1:2" x14ac:dyDescent="0.3">
      <c r="A91" s="1" t="s">
        <v>158</v>
      </c>
      <c r="B91" s="3">
        <v>30.7</v>
      </c>
    </row>
    <row r="92" spans="1:2" x14ac:dyDescent="0.3">
      <c r="A92" s="1" t="s">
        <v>37</v>
      </c>
      <c r="B92" s="3">
        <v>61.1</v>
      </c>
    </row>
    <row r="93" spans="1:2" x14ac:dyDescent="0.3">
      <c r="A93" s="1" t="s">
        <v>114</v>
      </c>
      <c r="B93" s="3">
        <v>32.200000000000003</v>
      </c>
    </row>
    <row r="94" spans="1:2" x14ac:dyDescent="0.3">
      <c r="A94" s="1" t="s">
        <v>70</v>
      </c>
      <c r="B94" s="3">
        <v>32.299999999999997</v>
      </c>
    </row>
    <row r="95" spans="1:2" x14ac:dyDescent="0.3">
      <c r="A95" t="s">
        <v>85</v>
      </c>
      <c r="B95" s="3">
        <v>24.9</v>
      </c>
    </row>
    <row r="96" spans="1:2" x14ac:dyDescent="0.3">
      <c r="A96" s="1" t="s">
        <v>150</v>
      </c>
      <c r="B96" s="10">
        <f>((77.9-18.9)*(49-27.43))/(87.42-27.43)+27.43</f>
        <v>48.644035672612105</v>
      </c>
    </row>
    <row r="97" spans="1:2" x14ac:dyDescent="0.3">
      <c r="A97" s="1" t="s">
        <v>38</v>
      </c>
      <c r="B97" s="3">
        <v>55.9</v>
      </c>
    </row>
    <row r="98" spans="1:2" x14ac:dyDescent="0.3">
      <c r="A98" s="1" t="s">
        <v>12</v>
      </c>
      <c r="B98" s="3">
        <v>72.3</v>
      </c>
    </row>
    <row r="99" spans="1:2" x14ac:dyDescent="0.3">
      <c r="A99" s="1" t="s">
        <v>79</v>
      </c>
      <c r="B99" s="3">
        <v>28</v>
      </c>
    </row>
    <row r="100" spans="1:2" x14ac:dyDescent="0.3">
      <c r="A100" s="1" t="s">
        <v>75</v>
      </c>
      <c r="B100" s="3">
        <v>40.6</v>
      </c>
    </row>
    <row r="101" spans="1:2" x14ac:dyDescent="0.3">
      <c r="A101" s="1" t="s">
        <v>39</v>
      </c>
      <c r="B101" s="3">
        <v>35</v>
      </c>
    </row>
    <row r="102" spans="1:2" x14ac:dyDescent="0.3">
      <c r="A102" s="1" t="s">
        <v>183</v>
      </c>
      <c r="B102" s="3">
        <v>37.4</v>
      </c>
    </row>
    <row r="103" spans="1:2" x14ac:dyDescent="0.3">
      <c r="A103" s="1" t="s">
        <v>118</v>
      </c>
      <c r="B103" s="3">
        <v>28.5</v>
      </c>
    </row>
    <row r="104" spans="1:2" x14ac:dyDescent="0.3">
      <c r="A104" s="1" t="s">
        <v>32</v>
      </c>
      <c r="B104" s="3">
        <v>75.2</v>
      </c>
    </row>
    <row r="105" spans="1:2" x14ac:dyDescent="0.3">
      <c r="A105" s="1" t="s">
        <v>225</v>
      </c>
      <c r="B105" s="3">
        <v>36.200000000000003</v>
      </c>
    </row>
    <row r="106" spans="1:2" x14ac:dyDescent="0.3">
      <c r="A106" s="1" t="s">
        <v>107</v>
      </c>
      <c r="B106" s="3">
        <v>28.1</v>
      </c>
    </row>
    <row r="107" spans="1:2" x14ac:dyDescent="0.3">
      <c r="A107" s="1" t="s">
        <v>20</v>
      </c>
      <c r="B107" s="3">
        <v>44.8</v>
      </c>
    </row>
    <row r="108" spans="1:2" x14ac:dyDescent="0.3">
      <c r="A108" s="1" t="s">
        <v>88</v>
      </c>
      <c r="B108" s="3">
        <v>45.5</v>
      </c>
    </row>
    <row r="109" spans="1:2" x14ac:dyDescent="0.3">
      <c r="A109" s="1" t="s">
        <v>223</v>
      </c>
      <c r="B109" s="3">
        <v>37.4</v>
      </c>
    </row>
    <row r="110" spans="1:2" x14ac:dyDescent="0.3">
      <c r="A110" s="1" t="s">
        <v>68</v>
      </c>
      <c r="B110" s="3">
        <v>42.7</v>
      </c>
    </row>
    <row r="111" spans="1:2" x14ac:dyDescent="0.3">
      <c r="A111" s="1" t="s">
        <v>65</v>
      </c>
      <c r="B111" s="3">
        <v>29.6</v>
      </c>
    </row>
    <row r="112" spans="1:2" x14ac:dyDescent="0.3">
      <c r="A112" s="1" t="s">
        <v>60</v>
      </c>
      <c r="B112" s="3">
        <v>46.9</v>
      </c>
    </row>
    <row r="113" spans="1:2" x14ac:dyDescent="0.3">
      <c r="A113" s="1" t="s">
        <v>94</v>
      </c>
      <c r="B113" s="3">
        <v>28.4</v>
      </c>
    </row>
    <row r="114" spans="1:2" x14ac:dyDescent="0.3">
      <c r="A114" s="1" t="s">
        <v>116</v>
      </c>
      <c r="B114" s="3">
        <v>31.7</v>
      </c>
    </row>
    <row r="115" spans="1:2" x14ac:dyDescent="0.3">
      <c r="A115" t="s">
        <v>165</v>
      </c>
      <c r="B115" s="3">
        <v>19.399999999999999</v>
      </c>
    </row>
    <row r="116" spans="1:2" x14ac:dyDescent="0.3">
      <c r="A116" s="1" t="s">
        <v>57</v>
      </c>
      <c r="B116" s="3">
        <v>50.9</v>
      </c>
    </row>
    <row r="117" spans="1:2" x14ac:dyDescent="0.3">
      <c r="A117" s="1" t="s">
        <v>100</v>
      </c>
      <c r="B117" s="3">
        <v>28.3</v>
      </c>
    </row>
    <row r="118" spans="1:2" x14ac:dyDescent="0.3">
      <c r="A118" s="1" t="s">
        <v>8</v>
      </c>
      <c r="B118" s="3">
        <v>62.6</v>
      </c>
    </row>
    <row r="119" spans="1:2" x14ac:dyDescent="0.3">
      <c r="A119" s="1" t="s">
        <v>1</v>
      </c>
      <c r="B119" s="3">
        <v>56.7</v>
      </c>
    </row>
    <row r="120" spans="1:2" x14ac:dyDescent="0.3">
      <c r="A120" s="1" t="s">
        <v>142</v>
      </c>
      <c r="B120" s="3">
        <v>37.700000000000003</v>
      </c>
    </row>
    <row r="121" spans="1:2" x14ac:dyDescent="0.3">
      <c r="A121" s="1" t="s">
        <v>111</v>
      </c>
      <c r="B121" s="3">
        <v>37.700000000000003</v>
      </c>
    </row>
    <row r="122" spans="1:2" x14ac:dyDescent="0.3">
      <c r="A122" s="1" t="s">
        <v>104</v>
      </c>
      <c r="B122" s="3">
        <v>28.3</v>
      </c>
    </row>
    <row r="123" spans="1:2" x14ac:dyDescent="0.3">
      <c r="A123" s="1" t="s">
        <v>71</v>
      </c>
      <c r="B123" s="3">
        <v>54.3</v>
      </c>
    </row>
    <row r="124" spans="1:2" x14ac:dyDescent="0.3">
      <c r="A124" s="1" t="s">
        <v>0</v>
      </c>
      <c r="B124" s="3">
        <v>59.3</v>
      </c>
    </row>
    <row r="125" spans="1:2" x14ac:dyDescent="0.3">
      <c r="A125" s="1" t="s">
        <v>124</v>
      </c>
      <c r="B125" s="3">
        <v>30.7</v>
      </c>
    </row>
    <row r="126" spans="1:2" x14ac:dyDescent="0.3">
      <c r="A126" t="s">
        <v>106</v>
      </c>
      <c r="B126" s="3">
        <v>24.6</v>
      </c>
    </row>
    <row r="127" spans="1:2" x14ac:dyDescent="0.3">
      <c r="A127" s="1" t="s">
        <v>48</v>
      </c>
      <c r="B127" s="3">
        <v>50.5</v>
      </c>
    </row>
    <row r="128" spans="1:2" x14ac:dyDescent="0.3">
      <c r="A128" t="s">
        <v>73</v>
      </c>
      <c r="B128" s="3">
        <v>24.8</v>
      </c>
    </row>
    <row r="129" spans="1:2" x14ac:dyDescent="0.3">
      <c r="A129" s="1" t="s">
        <v>76</v>
      </c>
      <c r="B129" s="3">
        <v>40.9</v>
      </c>
    </row>
    <row r="130" spans="1:2" x14ac:dyDescent="0.3">
      <c r="A130" s="1" t="s">
        <v>74</v>
      </c>
      <c r="B130" s="3">
        <v>39.799999999999997</v>
      </c>
    </row>
    <row r="131" spans="1:2" x14ac:dyDescent="0.3">
      <c r="A131" s="1" t="s">
        <v>51</v>
      </c>
      <c r="B131" s="3">
        <v>28.9</v>
      </c>
    </row>
    <row r="132" spans="1:2" x14ac:dyDescent="0.3">
      <c r="A132" s="1" t="s">
        <v>46</v>
      </c>
      <c r="B132" s="3">
        <v>50.6</v>
      </c>
    </row>
    <row r="133" spans="1:2" x14ac:dyDescent="0.3">
      <c r="A133" s="1" t="s">
        <v>27</v>
      </c>
      <c r="B133" s="3">
        <v>50.4</v>
      </c>
    </row>
    <row r="134" spans="1:2" x14ac:dyDescent="0.3">
      <c r="A134" s="1" t="s">
        <v>113</v>
      </c>
      <c r="B134" s="3">
        <v>33</v>
      </c>
    </row>
    <row r="135" spans="1:2" x14ac:dyDescent="0.3">
      <c r="A135" s="1" t="s">
        <v>222</v>
      </c>
      <c r="B135" s="3">
        <v>40.1</v>
      </c>
    </row>
    <row r="136" spans="1:2" x14ac:dyDescent="0.3">
      <c r="A136" s="1" t="s">
        <v>61</v>
      </c>
      <c r="B136" s="3">
        <v>56</v>
      </c>
    </row>
    <row r="137" spans="1:2" x14ac:dyDescent="0.3">
      <c r="A137" s="1" t="s">
        <v>145</v>
      </c>
      <c r="B137" s="3">
        <v>37.5</v>
      </c>
    </row>
    <row r="138" spans="1:2" x14ac:dyDescent="0.3">
      <c r="A138" s="1" t="s">
        <v>125</v>
      </c>
      <c r="B138" s="3">
        <v>32.799999999999997</v>
      </c>
    </row>
    <row r="139" spans="1:2" x14ac:dyDescent="0.3">
      <c r="A139" s="1" t="s">
        <v>184</v>
      </c>
      <c r="B139" s="3">
        <v>49.4</v>
      </c>
    </row>
    <row r="140" spans="1:2" x14ac:dyDescent="0.3">
      <c r="A140" s="1" t="s">
        <v>185</v>
      </c>
      <c r="B140" s="3">
        <v>53.2</v>
      </c>
    </row>
    <row r="141" spans="1:2" x14ac:dyDescent="0.3">
      <c r="A141" s="1" t="s">
        <v>211</v>
      </c>
      <c r="B141" s="3">
        <v>36.4</v>
      </c>
    </row>
    <row r="142" spans="1:2" x14ac:dyDescent="0.3">
      <c r="A142" s="1" t="s">
        <v>186</v>
      </c>
      <c r="B142" s="3">
        <v>52.9</v>
      </c>
    </row>
    <row r="143" spans="1:2" x14ac:dyDescent="0.3">
      <c r="A143" s="1" t="s">
        <v>149</v>
      </c>
      <c r="B143" s="3">
        <v>37.9</v>
      </c>
    </row>
    <row r="144" spans="1:2" x14ac:dyDescent="0.3">
      <c r="A144" s="1" t="s">
        <v>78</v>
      </c>
      <c r="B144" s="3">
        <v>33.9</v>
      </c>
    </row>
    <row r="145" spans="1:2" x14ac:dyDescent="0.3">
      <c r="A145" s="1" t="s">
        <v>67</v>
      </c>
      <c r="B145" s="3">
        <v>43.9</v>
      </c>
    </row>
    <row r="146" spans="1:2" x14ac:dyDescent="0.3">
      <c r="A146" s="1" t="s">
        <v>187</v>
      </c>
      <c r="B146" s="3">
        <v>55.6</v>
      </c>
    </row>
    <row r="147" spans="1:2" x14ac:dyDescent="0.3">
      <c r="A147" s="1" t="s">
        <v>95</v>
      </c>
      <c r="B147" s="3">
        <v>32.700000000000003</v>
      </c>
    </row>
    <row r="148" spans="1:2" x14ac:dyDescent="0.3">
      <c r="A148" s="1" t="s">
        <v>69</v>
      </c>
      <c r="B148" s="3">
        <v>50.9</v>
      </c>
    </row>
    <row r="149" spans="1:2" x14ac:dyDescent="0.3">
      <c r="A149" s="1" t="s">
        <v>42</v>
      </c>
      <c r="B149" s="3">
        <v>60</v>
      </c>
    </row>
    <row r="150" spans="1:2" x14ac:dyDescent="0.3">
      <c r="A150" s="1" t="s">
        <v>30</v>
      </c>
      <c r="B150" s="3">
        <v>67.3</v>
      </c>
    </row>
    <row r="151" spans="1:2" x14ac:dyDescent="0.3">
      <c r="A151" s="1" t="s">
        <v>188</v>
      </c>
      <c r="B151" s="3">
        <v>35</v>
      </c>
    </row>
    <row r="152" spans="1:2" x14ac:dyDescent="0.3">
      <c r="A152" s="1" t="s">
        <v>44</v>
      </c>
      <c r="B152" s="3">
        <v>37.200000000000003</v>
      </c>
    </row>
    <row r="153" spans="1:2" x14ac:dyDescent="0.3">
      <c r="A153" s="1" t="s">
        <v>23</v>
      </c>
      <c r="B153" s="3">
        <v>46.9</v>
      </c>
    </row>
    <row r="154" spans="1:2" x14ac:dyDescent="0.3">
      <c r="A154" s="1" t="s">
        <v>22</v>
      </c>
      <c r="B154" s="3">
        <v>56.6</v>
      </c>
    </row>
    <row r="155" spans="1:2" x14ac:dyDescent="0.3">
      <c r="A155" s="1" t="s">
        <v>59</v>
      </c>
      <c r="B155" s="3">
        <v>34.700000000000003</v>
      </c>
    </row>
    <row r="156" spans="1:2" x14ac:dyDescent="0.3">
      <c r="A156" t="s">
        <v>143</v>
      </c>
      <c r="B156" s="3">
        <v>27.6</v>
      </c>
    </row>
    <row r="157" spans="1:2" x14ac:dyDescent="0.3">
      <c r="A157" s="1" t="s">
        <v>47</v>
      </c>
      <c r="B157" s="3">
        <v>45.9</v>
      </c>
    </row>
    <row r="158" spans="1:2" x14ac:dyDescent="0.3">
      <c r="A158" s="1" t="s">
        <v>3</v>
      </c>
      <c r="B158" s="3">
        <v>72.7</v>
      </c>
    </row>
    <row r="159" spans="1:2" x14ac:dyDescent="0.3">
      <c r="A159" s="1" t="s">
        <v>6</v>
      </c>
      <c r="B159" s="3">
        <v>65.900000000000006</v>
      </c>
    </row>
    <row r="160" spans="1:2" x14ac:dyDescent="0.3">
      <c r="A160" s="1" t="s">
        <v>9</v>
      </c>
      <c r="B160" s="3">
        <v>45.3</v>
      </c>
    </row>
    <row r="161" spans="1:2" x14ac:dyDescent="0.3">
      <c r="A161" s="1" t="s">
        <v>156</v>
      </c>
      <c r="B161" s="3">
        <v>37.1</v>
      </c>
    </row>
    <row r="162" spans="1:2" x14ac:dyDescent="0.3">
      <c r="A162" s="1" t="s">
        <v>91</v>
      </c>
      <c r="B162" s="3">
        <v>34.200000000000003</v>
      </c>
    </row>
    <row r="163" spans="1:2" x14ac:dyDescent="0.3">
      <c r="A163" s="1" t="s">
        <v>54</v>
      </c>
      <c r="B163" s="3">
        <v>38.1</v>
      </c>
    </row>
    <row r="164" spans="1:2" x14ac:dyDescent="0.3">
      <c r="A164" s="1" t="s">
        <v>43</v>
      </c>
      <c r="B164" s="3">
        <v>35.1</v>
      </c>
    </row>
    <row r="165" spans="1:2" x14ac:dyDescent="0.3">
      <c r="A165" s="1" t="s">
        <v>129</v>
      </c>
      <c r="B165" s="3">
        <v>34</v>
      </c>
    </row>
    <row r="166" spans="1:2" x14ac:dyDescent="0.3">
      <c r="A166" s="1" t="s">
        <v>213</v>
      </c>
      <c r="B166" s="3">
        <v>43.8</v>
      </c>
    </row>
    <row r="167" spans="1:2" x14ac:dyDescent="0.3">
      <c r="A167" s="1" t="s">
        <v>40</v>
      </c>
      <c r="B167" s="3">
        <v>47.8</v>
      </c>
    </row>
    <row r="168" spans="1:2" x14ac:dyDescent="0.3">
      <c r="A168" s="1" t="s">
        <v>84</v>
      </c>
      <c r="B168" s="3">
        <v>40.700000000000003</v>
      </c>
    </row>
    <row r="169" spans="1:2" x14ac:dyDescent="0.3">
      <c r="A169" t="s">
        <v>102</v>
      </c>
      <c r="B169" s="3">
        <v>26.3</v>
      </c>
    </row>
    <row r="170" spans="1:2" x14ac:dyDescent="0.3">
      <c r="A170" s="1" t="s">
        <v>160</v>
      </c>
      <c r="B170" s="3">
        <v>37</v>
      </c>
    </row>
    <row r="171" spans="1:2" x14ac:dyDescent="0.3">
      <c r="A171" s="1" t="s">
        <v>98</v>
      </c>
      <c r="B171" s="3">
        <v>35.799999999999997</v>
      </c>
    </row>
    <row r="172" spans="1:2" x14ac:dyDescent="0.3">
      <c r="A172" s="1" t="s">
        <v>86</v>
      </c>
      <c r="B172" s="3">
        <v>49.6</v>
      </c>
    </row>
    <row r="173" spans="1:2" x14ac:dyDescent="0.3">
      <c r="A173" s="1" t="s">
        <v>132</v>
      </c>
      <c r="B173" s="3">
        <v>52.4</v>
      </c>
    </row>
    <row r="174" spans="1:2" x14ac:dyDescent="0.3">
      <c r="A174" s="1" t="s">
        <v>17</v>
      </c>
      <c r="B174" s="3">
        <v>77.7</v>
      </c>
    </row>
    <row r="175" spans="1:2" x14ac:dyDescent="0.3">
      <c r="A175" s="1" t="s">
        <v>29</v>
      </c>
      <c r="B175" s="3">
        <v>51.1</v>
      </c>
    </row>
    <row r="176" spans="1:2" x14ac:dyDescent="0.3">
      <c r="A176" s="1" t="s">
        <v>10</v>
      </c>
      <c r="B176" s="3">
        <v>37.4</v>
      </c>
    </row>
    <row r="177" spans="1:2" x14ac:dyDescent="0.3">
      <c r="A177" s="1" t="s">
        <v>148</v>
      </c>
      <c r="B177" s="3">
        <v>38.200000000000003</v>
      </c>
    </row>
    <row r="178" spans="1:2" x14ac:dyDescent="0.3">
      <c r="A178" s="1" t="s">
        <v>191</v>
      </c>
      <c r="B178" s="3">
        <v>36.9</v>
      </c>
    </row>
    <row r="179" spans="1:2" x14ac:dyDescent="0.3">
      <c r="A179" s="1" t="s">
        <v>146</v>
      </c>
      <c r="B179" s="3">
        <v>46.4</v>
      </c>
    </row>
    <row r="180" spans="1:2" x14ac:dyDescent="0.3">
      <c r="A180" t="s">
        <v>226</v>
      </c>
      <c r="B180" s="3">
        <v>20.100000000000001</v>
      </c>
    </row>
    <row r="181" spans="1:2" x14ac:dyDescent="0.3">
      <c r="A181" s="1" t="s">
        <v>77</v>
      </c>
      <c r="B181" s="3">
        <v>38.4</v>
      </c>
    </row>
    <row r="182" spans="1:2" x14ac:dyDescent="0.3">
      <c r="A182" s="1" t="s">
        <v>131</v>
      </c>
      <c r="B182" s="3">
        <v>46.2</v>
      </c>
    </row>
  </sheetData>
  <autoFilter ref="A1:B1" xr:uid="{9DB32D41-BE4A-441E-87B5-B91BB67970E5}">
    <sortState xmlns:xlrd2="http://schemas.microsoft.com/office/spreadsheetml/2017/richdata2" ref="A2:B182">
      <sortCondition ref="A1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E329-F89B-4C70-9F66-A543D2FD28FB}">
  <sheetPr>
    <tabColor theme="0" tint="-0.249977111117893"/>
  </sheetPr>
  <dimension ref="A1:S52"/>
  <sheetViews>
    <sheetView workbookViewId="0">
      <pane xSplit="1" ySplit="1" topLeftCell="B2" activePane="bottomRight" state="frozen"/>
      <selection activeCell="E160" sqref="E160"/>
      <selection pane="topRight" activeCell="E160" sqref="E160"/>
      <selection pane="bottomLeft" activeCell="E160" sqref="E160"/>
      <selection pane="bottomRight" activeCell="D15" sqref="D15"/>
    </sheetView>
  </sheetViews>
  <sheetFormatPr defaultRowHeight="14.4" x14ac:dyDescent="0.3"/>
  <cols>
    <col min="1" max="1" width="20" bestFit="1" customWidth="1"/>
    <col min="2" max="2" width="15.6640625" customWidth="1"/>
    <col min="3" max="4" width="20.33203125" bestFit="1" customWidth="1"/>
    <col min="5" max="5" width="19.88671875" bestFit="1" customWidth="1"/>
    <col min="6" max="6" width="20.88671875" bestFit="1" customWidth="1"/>
    <col min="7" max="7" width="17.88671875" bestFit="1" customWidth="1"/>
    <col min="8" max="8" width="20" bestFit="1" customWidth="1"/>
    <col min="9" max="9" width="18.5546875" bestFit="1" customWidth="1"/>
    <col min="10" max="10" width="11.33203125" customWidth="1"/>
    <col min="11" max="11" width="20.44140625" customWidth="1"/>
    <col min="12" max="13" width="16.5546875" customWidth="1"/>
    <col min="14" max="14" width="20.6640625" customWidth="1"/>
    <col min="15" max="15" width="16.5546875" customWidth="1"/>
    <col min="16" max="16" width="15.33203125" customWidth="1"/>
    <col min="17" max="17" width="29.88671875" customWidth="1"/>
    <col min="18" max="18" width="19.88671875" customWidth="1"/>
    <col min="19" max="19" width="14.44140625" customWidth="1"/>
  </cols>
  <sheetData>
    <row r="1" spans="1:19" s="20" customFormat="1" ht="28.8" x14ac:dyDescent="0.3">
      <c r="A1" s="18" t="s">
        <v>168</v>
      </c>
      <c r="B1" s="19" t="s">
        <v>263</v>
      </c>
      <c r="C1" s="19" t="s">
        <v>261</v>
      </c>
      <c r="D1" s="19" t="s">
        <v>262</v>
      </c>
      <c r="E1" s="19" t="s">
        <v>264</v>
      </c>
      <c r="F1" s="19" t="s">
        <v>265</v>
      </c>
      <c r="G1" s="19" t="s">
        <v>266</v>
      </c>
      <c r="H1" s="19" t="s">
        <v>267</v>
      </c>
      <c r="I1" s="19" t="s">
        <v>268</v>
      </c>
      <c r="J1" s="19" t="s">
        <v>269</v>
      </c>
      <c r="K1" s="19" t="s">
        <v>270</v>
      </c>
      <c r="L1" s="19" t="s">
        <v>229</v>
      </c>
      <c r="M1" s="19" t="s">
        <v>230</v>
      </c>
      <c r="N1" s="19" t="s">
        <v>232</v>
      </c>
      <c r="O1" s="19" t="s">
        <v>233</v>
      </c>
      <c r="P1" s="19" t="s">
        <v>234</v>
      </c>
      <c r="Q1" s="19" t="s">
        <v>235</v>
      </c>
      <c r="R1" s="19" t="s">
        <v>271</v>
      </c>
      <c r="S1" s="19" t="s">
        <v>256</v>
      </c>
    </row>
    <row r="2" spans="1:19" x14ac:dyDescent="0.3">
      <c r="A2" t="s">
        <v>112</v>
      </c>
      <c r="B2" s="5">
        <f>VLOOKUP($A2,'[1]Gas - Proved reserves'!$A$7:$E$76,5,FALSE)*1000</f>
        <v>2279.1999999999998</v>
      </c>
      <c r="C2" s="4">
        <v>100.77375000000001</v>
      </c>
      <c r="D2" s="4">
        <v>16.068101667917446</v>
      </c>
      <c r="E2" s="4">
        <v>38.901784358756942</v>
      </c>
      <c r="F2" s="4">
        <f t="shared" ref="F2:F33" si="0">SUM(D2:E2)</f>
        <v>54.969886026674388</v>
      </c>
      <c r="G2" s="3">
        <v>15.368561114624477</v>
      </c>
      <c r="H2" s="3">
        <v>34.147306187028846</v>
      </c>
      <c r="I2" s="4">
        <f t="shared" ref="I2:I33" si="1">SUM(G2:H2)</f>
        <v>49.515867301653323</v>
      </c>
      <c r="J2" s="8">
        <f t="shared" ref="J2:J33" si="2">B2/C2</f>
        <v>22.617000955109834</v>
      </c>
      <c r="K2" s="4">
        <f t="shared" ref="K2:K33" si="3">B2-C2</f>
        <v>2178.42625</v>
      </c>
      <c r="L2">
        <f>33.5+8</f>
        <v>41.5</v>
      </c>
      <c r="M2" s="3">
        <f>L2-H2</f>
        <v>7.3526938129711539</v>
      </c>
      <c r="N2">
        <v>33.81</v>
      </c>
      <c r="O2" s="3">
        <f t="shared" ref="O2:O33" si="4">N2-G2</f>
        <v>18.441438885375526</v>
      </c>
      <c r="P2" s="3">
        <f t="shared" ref="P2:P33" si="5">SUM(O2,M2)</f>
        <v>25.794132698346679</v>
      </c>
      <c r="Q2" s="7">
        <f t="shared" ref="Q2:Q33" si="6">IF(A2="Russian Federation",0,P2/INDEX($I$2:$I$52,MATCH("Russian Federation",$A$2:$A$52,0),1))</f>
        <v>0.17232408363068699</v>
      </c>
      <c r="R2">
        <v>538</v>
      </c>
      <c r="S2" t="s">
        <v>255</v>
      </c>
    </row>
    <row r="3" spans="1:19" x14ac:dyDescent="0.3">
      <c r="A3" t="s">
        <v>108</v>
      </c>
      <c r="B3" s="5">
        <v>300.865726</v>
      </c>
      <c r="C3" s="4">
        <f>11313.4287/1000</f>
        <v>11.313428700000001</v>
      </c>
      <c r="D3" s="3">
        <f>212724/1000/48/0.7</f>
        <v>6.3310714285714287</v>
      </c>
      <c r="E3" s="3">
        <v>0</v>
      </c>
      <c r="F3" s="3">
        <f t="shared" si="0"/>
        <v>6.3310714285714287</v>
      </c>
      <c r="G3" s="3">
        <f>D3*0.6/3.63</f>
        <v>1.0464580873671783</v>
      </c>
      <c r="H3">
        <v>0</v>
      </c>
      <c r="I3" s="3">
        <f t="shared" si="1"/>
        <v>1.0464580873671783</v>
      </c>
      <c r="J3" s="8">
        <f t="shared" si="2"/>
        <v>26.593682072703562</v>
      </c>
      <c r="K3" s="4">
        <f t="shared" si="3"/>
        <v>289.55229730000002</v>
      </c>
      <c r="L3">
        <v>0</v>
      </c>
      <c r="M3">
        <v>0</v>
      </c>
      <c r="N3">
        <f>0.02124*365</f>
        <v>7.7525999999999993</v>
      </c>
      <c r="O3" s="3">
        <f t="shared" si="4"/>
        <v>6.7061419126328214</v>
      </c>
      <c r="P3" s="3">
        <f t="shared" si="5"/>
        <v>6.7061419126328214</v>
      </c>
      <c r="Q3" s="7">
        <f t="shared" si="6"/>
        <v>4.4802039801317521E-2</v>
      </c>
      <c r="R3">
        <v>4691</v>
      </c>
      <c r="S3" t="s">
        <v>252</v>
      </c>
    </row>
    <row r="4" spans="1:19" x14ac:dyDescent="0.3">
      <c r="A4" t="s">
        <v>49</v>
      </c>
      <c r="B4" s="5">
        <f>VLOOKUP($A4,'[1]Gas - Proved reserves'!$A$7:$E$76,5,FALSE)*1000</f>
        <v>385.56774602500002</v>
      </c>
      <c r="C4" s="4">
        <v>38.608494583749952</v>
      </c>
      <c r="D4" s="4">
        <v>0</v>
      </c>
      <c r="E4" s="4">
        <v>0</v>
      </c>
      <c r="F4" s="4">
        <f t="shared" si="0"/>
        <v>0</v>
      </c>
      <c r="G4" s="3">
        <v>0</v>
      </c>
      <c r="H4" s="3">
        <v>0</v>
      </c>
      <c r="I4" s="4">
        <f t="shared" si="1"/>
        <v>0</v>
      </c>
      <c r="J4" s="8">
        <f t="shared" si="2"/>
        <v>9.9866039891460261</v>
      </c>
      <c r="K4" s="4">
        <f t="shared" si="3"/>
        <v>346.95925144125005</v>
      </c>
      <c r="L4">
        <v>0</v>
      </c>
      <c r="M4" s="3">
        <f t="shared" ref="M4:M27" si="7">L4-H4</f>
        <v>0</v>
      </c>
      <c r="N4">
        <v>0</v>
      </c>
      <c r="O4" s="3">
        <f t="shared" si="4"/>
        <v>0</v>
      </c>
      <c r="P4" s="3">
        <f t="shared" si="5"/>
        <v>0</v>
      </c>
      <c r="Q4" s="7">
        <f t="shared" si="6"/>
        <v>0</v>
      </c>
      <c r="R4">
        <v>5470</v>
      </c>
      <c r="S4" t="s">
        <v>231</v>
      </c>
    </row>
    <row r="5" spans="1:19" x14ac:dyDescent="0.3">
      <c r="A5" t="s">
        <v>14</v>
      </c>
      <c r="B5" s="5">
        <f>VLOOKUP($A5,'[1]Gas - Proved reserves'!$A$7:$E$76,5,FALSE)*1000</f>
        <v>2389.5955044697198</v>
      </c>
      <c r="C5" s="4">
        <v>147.2188974920868</v>
      </c>
      <c r="D5" s="4">
        <v>108.06711762358789</v>
      </c>
      <c r="E5" s="4">
        <v>0</v>
      </c>
      <c r="F5" s="4">
        <f t="shared" si="0"/>
        <v>108.06711762358789</v>
      </c>
      <c r="G5" s="3">
        <v>7.5791757599999995E-2</v>
      </c>
      <c r="H5" s="3">
        <v>0</v>
      </c>
      <c r="I5" s="4">
        <f t="shared" si="1"/>
        <v>7.5791757599999995E-2</v>
      </c>
      <c r="J5" s="8">
        <f t="shared" si="2"/>
        <v>16.231581306320837</v>
      </c>
      <c r="K5" s="4">
        <f t="shared" si="3"/>
        <v>2242.3766069776329</v>
      </c>
      <c r="L5">
        <v>0</v>
      </c>
      <c r="M5" s="3">
        <f t="shared" si="7"/>
        <v>0</v>
      </c>
      <c r="N5">
        <v>121.67</v>
      </c>
      <c r="O5" s="3">
        <f t="shared" si="4"/>
        <v>121.5942082424</v>
      </c>
      <c r="P5" s="3">
        <f t="shared" si="5"/>
        <v>121.5942082424</v>
      </c>
      <c r="Q5" s="7">
        <f t="shared" si="6"/>
        <v>0.81234018430530786</v>
      </c>
      <c r="R5">
        <v>7335</v>
      </c>
      <c r="S5" t="s">
        <v>251</v>
      </c>
    </row>
    <row r="6" spans="1:19" x14ac:dyDescent="0.3">
      <c r="A6" t="s">
        <v>133</v>
      </c>
      <c r="B6" s="5">
        <f>VLOOKUP($A6,'[1]Gas - Proved reserves'!$A$7:$E$76,5,FALSE)*1000</f>
        <v>2503.6527991692847</v>
      </c>
      <c r="C6" s="4">
        <v>31.808315749999998</v>
      </c>
      <c r="D6" s="4">
        <v>0</v>
      </c>
      <c r="E6" s="4">
        <v>19.637016458645821</v>
      </c>
      <c r="F6" s="4">
        <f t="shared" si="0"/>
        <v>19.637016458645821</v>
      </c>
      <c r="G6" s="3">
        <v>0</v>
      </c>
      <c r="H6" s="3">
        <v>8.1694120891691</v>
      </c>
      <c r="I6" s="4">
        <f t="shared" si="1"/>
        <v>8.1694120891691</v>
      </c>
      <c r="J6" s="8">
        <f t="shared" si="2"/>
        <v>78.710637144290942</v>
      </c>
      <c r="K6" s="4">
        <f t="shared" si="3"/>
        <v>2471.8444834192846</v>
      </c>
      <c r="L6">
        <v>10</v>
      </c>
      <c r="M6" s="3">
        <f t="shared" si="7"/>
        <v>1.8305879108309</v>
      </c>
      <c r="N6">
        <v>0</v>
      </c>
      <c r="O6" s="3">
        <f t="shared" si="4"/>
        <v>0</v>
      </c>
      <c r="P6" s="3">
        <f t="shared" si="5"/>
        <v>1.8305879108309</v>
      </c>
      <c r="Q6" s="7">
        <f t="shared" si="6"/>
        <v>1.2229695331433579E-2</v>
      </c>
      <c r="R6" s="15" t="s">
        <v>272</v>
      </c>
      <c r="S6" t="s">
        <v>231</v>
      </c>
    </row>
    <row r="7" spans="1:19" x14ac:dyDescent="0.3">
      <c r="A7" t="s">
        <v>141</v>
      </c>
      <c r="B7" s="5">
        <f>VLOOKUP($A7,'[1]Gas - Proved reserves'!$A$7:$E$76,5,FALSE)*1000</f>
        <v>64.831428075000005</v>
      </c>
      <c r="C7" s="4">
        <v>17.228249467898337</v>
      </c>
      <c r="D7" s="4">
        <v>0</v>
      </c>
      <c r="E7" s="4">
        <v>0</v>
      </c>
      <c r="F7" s="4">
        <f t="shared" si="0"/>
        <v>0</v>
      </c>
      <c r="G7" s="3">
        <v>0</v>
      </c>
      <c r="H7" s="3">
        <v>0</v>
      </c>
      <c r="I7" s="4">
        <f t="shared" si="1"/>
        <v>0</v>
      </c>
      <c r="J7" s="8">
        <f t="shared" si="2"/>
        <v>3.7630885364065225</v>
      </c>
      <c r="K7" s="4">
        <f t="shared" si="3"/>
        <v>47.603178607101668</v>
      </c>
      <c r="L7">
        <v>0</v>
      </c>
      <c r="M7" s="3">
        <f t="shared" si="7"/>
        <v>0</v>
      </c>
      <c r="N7">
        <v>0</v>
      </c>
      <c r="O7" s="3">
        <f t="shared" si="4"/>
        <v>0</v>
      </c>
      <c r="P7" s="3">
        <f t="shared" si="5"/>
        <v>0</v>
      </c>
      <c r="Q7" s="7">
        <f t="shared" si="6"/>
        <v>0</v>
      </c>
      <c r="R7">
        <v>3714</v>
      </c>
      <c r="S7" t="s">
        <v>231</v>
      </c>
    </row>
    <row r="8" spans="1:19" x14ac:dyDescent="0.3">
      <c r="A8" t="s">
        <v>72</v>
      </c>
      <c r="B8" s="5">
        <f>VLOOKUP($A8,'[1]Gas - Proved reserves'!$A$7:$E$76,5,FALSE)*1000</f>
        <v>110.22726758793749</v>
      </c>
      <c r="C8" s="4">
        <v>24.142775260609248</v>
      </c>
      <c r="D8" s="4">
        <v>0</v>
      </c>
      <c r="E8" s="4">
        <v>0</v>
      </c>
      <c r="F8" s="4">
        <f t="shared" si="0"/>
        <v>0</v>
      </c>
      <c r="G8" s="3">
        <v>0</v>
      </c>
      <c r="H8" s="3">
        <v>0</v>
      </c>
      <c r="I8" s="4">
        <f t="shared" si="1"/>
        <v>0</v>
      </c>
      <c r="J8" s="8">
        <f t="shared" si="2"/>
        <v>4.5656419528446488</v>
      </c>
      <c r="K8" s="4">
        <f t="shared" si="3"/>
        <v>86.084492327328235</v>
      </c>
      <c r="L8">
        <v>0</v>
      </c>
      <c r="M8" s="3">
        <f t="shared" si="7"/>
        <v>0</v>
      </c>
      <c r="N8">
        <v>0</v>
      </c>
      <c r="O8" s="3">
        <f t="shared" si="4"/>
        <v>0</v>
      </c>
      <c r="P8" s="3">
        <f t="shared" si="5"/>
        <v>0</v>
      </c>
      <c r="Q8" s="7">
        <f t="shared" si="6"/>
        <v>0</v>
      </c>
      <c r="R8">
        <v>5298</v>
      </c>
      <c r="S8" t="s">
        <v>231</v>
      </c>
    </row>
    <row r="9" spans="1:19" x14ac:dyDescent="0.3">
      <c r="A9" t="s">
        <v>99</v>
      </c>
      <c r="B9" s="5">
        <f>VLOOKUP($A9,'[1]Gas - Proved reserves'!$A$7:$E$76,5,FALSE)*1000</f>
        <v>212.86767234749999</v>
      </c>
      <c r="C9" s="4">
        <v>15.088104353543162</v>
      </c>
      <c r="D9" s="4">
        <v>0</v>
      </c>
      <c r="E9" s="4">
        <v>11.534964701238296</v>
      </c>
      <c r="F9" s="4">
        <f t="shared" si="0"/>
        <v>11.534964701238296</v>
      </c>
      <c r="G9" s="3">
        <v>0</v>
      </c>
      <c r="H9" s="3">
        <v>0</v>
      </c>
      <c r="I9" s="4">
        <f t="shared" si="1"/>
        <v>0</v>
      </c>
      <c r="J9" s="8">
        <f t="shared" si="2"/>
        <v>14.108311247032962</v>
      </c>
      <c r="K9" s="4">
        <f t="shared" si="3"/>
        <v>197.77956799395682</v>
      </c>
      <c r="L9">
        <v>0</v>
      </c>
      <c r="M9" s="3">
        <f t="shared" si="7"/>
        <v>0</v>
      </c>
      <c r="N9">
        <v>0</v>
      </c>
      <c r="O9" s="3">
        <f t="shared" si="4"/>
        <v>0</v>
      </c>
      <c r="P9" s="3">
        <f t="shared" si="5"/>
        <v>0</v>
      </c>
      <c r="Q9" s="7">
        <f t="shared" si="6"/>
        <v>0</v>
      </c>
      <c r="R9" s="15" t="s">
        <v>272</v>
      </c>
      <c r="S9" t="s">
        <v>255</v>
      </c>
    </row>
    <row r="10" spans="1:19" x14ac:dyDescent="0.3">
      <c r="A10" t="s">
        <v>50</v>
      </c>
      <c r="B10" s="5">
        <f>VLOOKUP($A10,'[1]Gas - Proved reserves'!$A$7:$E$76,5,FALSE)*1000</f>
        <v>348.52831763392197</v>
      </c>
      <c r="C10" s="4">
        <v>24.33267807291687</v>
      </c>
      <c r="D10" s="4">
        <v>0</v>
      </c>
      <c r="E10" s="4">
        <v>0</v>
      </c>
      <c r="F10" s="4">
        <f t="shared" si="0"/>
        <v>0</v>
      </c>
      <c r="G10" s="3">
        <v>0</v>
      </c>
      <c r="H10" s="3">
        <v>0</v>
      </c>
      <c r="I10" s="4">
        <f t="shared" si="1"/>
        <v>0</v>
      </c>
      <c r="J10" s="8">
        <f t="shared" si="2"/>
        <v>14.323467256234581</v>
      </c>
      <c r="K10" s="4">
        <f t="shared" si="3"/>
        <v>324.19563956100512</v>
      </c>
      <c r="L10">
        <v>0</v>
      </c>
      <c r="M10" s="3">
        <f t="shared" si="7"/>
        <v>0</v>
      </c>
      <c r="N10">
        <v>0</v>
      </c>
      <c r="O10" s="3">
        <f t="shared" si="4"/>
        <v>0</v>
      </c>
      <c r="P10" s="3">
        <f t="shared" si="5"/>
        <v>0</v>
      </c>
      <c r="Q10" s="7">
        <f t="shared" si="6"/>
        <v>0</v>
      </c>
      <c r="R10">
        <v>4225</v>
      </c>
      <c r="S10" t="s">
        <v>254</v>
      </c>
    </row>
    <row r="11" spans="1:19" x14ac:dyDescent="0.3">
      <c r="A11" t="s">
        <v>218</v>
      </c>
      <c r="B11" s="5">
        <f>VLOOKUP($A11,'[1]Gas - Proved reserves'!$A$7:$E$76,5,FALSE)*1000</f>
        <v>222.3</v>
      </c>
      <c r="C11" s="4">
        <v>11.534708847393818</v>
      </c>
      <c r="D11" s="4">
        <v>7.6050033972318296</v>
      </c>
      <c r="E11" s="4">
        <v>0</v>
      </c>
      <c r="F11" s="4">
        <f t="shared" si="0"/>
        <v>7.6050033972318296</v>
      </c>
      <c r="G11" s="3">
        <v>0</v>
      </c>
      <c r="H11" s="3">
        <v>0</v>
      </c>
      <c r="I11" s="4">
        <f t="shared" si="1"/>
        <v>0</v>
      </c>
      <c r="J11" s="8">
        <f t="shared" si="2"/>
        <v>19.272267981885566</v>
      </c>
      <c r="K11" s="4">
        <f t="shared" si="3"/>
        <v>210.76529115260618</v>
      </c>
      <c r="L11">
        <v>0</v>
      </c>
      <c r="M11" s="3">
        <f t="shared" si="7"/>
        <v>0</v>
      </c>
      <c r="N11">
        <v>0</v>
      </c>
      <c r="O11" s="3">
        <f t="shared" si="4"/>
        <v>0</v>
      </c>
      <c r="P11" s="3">
        <f t="shared" si="5"/>
        <v>0</v>
      </c>
      <c r="Q11" s="7">
        <f t="shared" si="6"/>
        <v>0</v>
      </c>
      <c r="R11">
        <v>6268</v>
      </c>
      <c r="S11" t="s">
        <v>231</v>
      </c>
    </row>
    <row r="12" spans="1:19" x14ac:dyDescent="0.3">
      <c r="A12" t="s">
        <v>11</v>
      </c>
      <c r="B12" s="5">
        <f>VLOOKUP($A12,'[1]Gas - Proved reserves'!$A$7:$E$76,5,FALSE)*1000</f>
        <v>2353.9576936499998</v>
      </c>
      <c r="C12" s="4">
        <v>172.3191922349319</v>
      </c>
      <c r="D12" s="4">
        <v>0</v>
      </c>
      <c r="E12" s="4">
        <v>75.895683264121871</v>
      </c>
      <c r="F12" s="4">
        <f t="shared" si="0"/>
        <v>75.895683264121871</v>
      </c>
      <c r="G12" s="3">
        <v>0</v>
      </c>
      <c r="H12" s="3">
        <v>0</v>
      </c>
      <c r="I12" s="4">
        <f t="shared" si="1"/>
        <v>0</v>
      </c>
      <c r="J12" s="8">
        <f t="shared" si="2"/>
        <v>13.660449907638403</v>
      </c>
      <c r="K12" s="4">
        <f t="shared" si="3"/>
        <v>2181.6385014150678</v>
      </c>
      <c r="L12">
        <v>0</v>
      </c>
      <c r="M12" s="3">
        <f t="shared" si="7"/>
        <v>0</v>
      </c>
      <c r="N12">
        <v>0.04</v>
      </c>
      <c r="O12" s="3">
        <f t="shared" si="4"/>
        <v>0.04</v>
      </c>
      <c r="P12" s="3">
        <f t="shared" si="5"/>
        <v>0.04</v>
      </c>
      <c r="Q12" s="7">
        <f t="shared" si="6"/>
        <v>2.6722989393899245E-4</v>
      </c>
      <c r="R12">
        <v>2023</v>
      </c>
      <c r="S12" t="s">
        <v>251</v>
      </c>
    </row>
    <row r="13" spans="1:19" x14ac:dyDescent="0.3">
      <c r="A13" t="s">
        <v>155</v>
      </c>
      <c r="B13" s="5">
        <f>VLOOKUP($A13,'[1]Gas - Proved reserves'!$A$7:$E$76,5,FALSE)*1000</f>
        <v>8398.5496558505401</v>
      </c>
      <c r="C13" s="4">
        <v>209.21288102261551</v>
      </c>
      <c r="D13" s="4">
        <v>0</v>
      </c>
      <c r="E13" s="4">
        <v>0</v>
      </c>
      <c r="F13" s="4">
        <f t="shared" si="0"/>
        <v>0</v>
      </c>
      <c r="G13" s="3">
        <v>0</v>
      </c>
      <c r="H13" s="3">
        <v>0</v>
      </c>
      <c r="I13" s="4">
        <f t="shared" si="1"/>
        <v>0</v>
      </c>
      <c r="J13" s="8">
        <f t="shared" si="2"/>
        <v>40.143559109740828</v>
      </c>
      <c r="K13" s="4">
        <f t="shared" si="3"/>
        <v>8189.3367748279243</v>
      </c>
      <c r="L13">
        <v>0</v>
      </c>
      <c r="M13" s="3">
        <f t="shared" si="7"/>
        <v>0</v>
      </c>
      <c r="N13">
        <v>0</v>
      </c>
      <c r="O13" s="3">
        <f t="shared" si="4"/>
        <v>0</v>
      </c>
      <c r="P13" s="3">
        <f t="shared" si="5"/>
        <v>0</v>
      </c>
      <c r="Q13" s="7">
        <f t="shared" si="6"/>
        <v>0</v>
      </c>
      <c r="R13">
        <v>7067</v>
      </c>
      <c r="S13" t="s">
        <v>231</v>
      </c>
    </row>
    <row r="14" spans="1:19" x14ac:dyDescent="0.3">
      <c r="A14" t="s">
        <v>52</v>
      </c>
      <c r="B14" s="5">
        <f>VLOOKUP($A14,'[1]Gas - Proved reserves'!$A$7:$E$76,5,FALSE)*1000</f>
        <v>86.207464179374981</v>
      </c>
      <c r="C14" s="4">
        <v>12.566442702400122</v>
      </c>
      <c r="D14" s="4">
        <v>0</v>
      </c>
      <c r="E14" s="4">
        <v>0</v>
      </c>
      <c r="F14" s="4">
        <f t="shared" si="0"/>
        <v>0</v>
      </c>
      <c r="G14" s="3">
        <v>0</v>
      </c>
      <c r="H14" s="3">
        <v>0</v>
      </c>
      <c r="I14" s="4">
        <f t="shared" si="1"/>
        <v>0</v>
      </c>
      <c r="J14" s="8">
        <f t="shared" si="2"/>
        <v>6.8601326740549915</v>
      </c>
      <c r="K14" s="4">
        <f t="shared" si="3"/>
        <v>73.641021476974856</v>
      </c>
      <c r="L14">
        <v>0</v>
      </c>
      <c r="M14" s="3">
        <f t="shared" si="7"/>
        <v>0</v>
      </c>
      <c r="N14">
        <v>0</v>
      </c>
      <c r="O14" s="3">
        <f t="shared" si="4"/>
        <v>0</v>
      </c>
      <c r="P14" s="3">
        <f t="shared" si="5"/>
        <v>0</v>
      </c>
      <c r="Q14" s="7">
        <f t="shared" si="6"/>
        <v>0</v>
      </c>
      <c r="R14">
        <v>3979</v>
      </c>
      <c r="S14" t="s">
        <v>231</v>
      </c>
    </row>
    <row r="15" spans="1:19" x14ac:dyDescent="0.3">
      <c r="A15" t="s">
        <v>5</v>
      </c>
      <c r="B15" s="5">
        <f>VLOOKUP($A15,'[1]Gas - Proved reserves'!$A$7:$E$76,5,FALSE)*1000</f>
        <v>28.027956853326593</v>
      </c>
      <c r="C15" s="4">
        <v>1.3085921156131224</v>
      </c>
      <c r="D15" s="4">
        <v>0</v>
      </c>
      <c r="E15" s="4">
        <v>0</v>
      </c>
      <c r="F15" s="4">
        <f t="shared" si="0"/>
        <v>0</v>
      </c>
      <c r="G15" s="3">
        <v>0</v>
      </c>
      <c r="H15" s="3">
        <v>0</v>
      </c>
      <c r="I15" s="4">
        <f t="shared" si="1"/>
        <v>0</v>
      </c>
      <c r="J15" s="8">
        <f t="shared" si="2"/>
        <v>21.418405719336381</v>
      </c>
      <c r="K15" s="4">
        <f t="shared" si="3"/>
        <v>26.71936473771347</v>
      </c>
      <c r="L15">
        <v>0</v>
      </c>
      <c r="M15" s="3">
        <f t="shared" si="7"/>
        <v>0</v>
      </c>
      <c r="N15">
        <v>0</v>
      </c>
      <c r="O15" s="3">
        <f t="shared" si="4"/>
        <v>0</v>
      </c>
      <c r="P15" s="3">
        <f t="shared" si="5"/>
        <v>0</v>
      </c>
      <c r="Q15" s="7">
        <f t="shared" si="6"/>
        <v>0</v>
      </c>
      <c r="R15">
        <v>0</v>
      </c>
      <c r="S15" t="s">
        <v>231</v>
      </c>
    </row>
    <row r="16" spans="1:19" x14ac:dyDescent="0.3">
      <c r="A16" t="s">
        <v>130</v>
      </c>
      <c r="B16" s="5">
        <f>VLOOKUP($A16,'[1]Gas - Proved reserves'!$A$7:$E$76,5,FALSE)*1000</f>
        <v>2137.7125000000001</v>
      </c>
      <c r="C16" s="4">
        <v>67.799430545000007</v>
      </c>
      <c r="D16" s="4">
        <v>9.0130501627402939</v>
      </c>
      <c r="E16" s="4">
        <v>0</v>
      </c>
      <c r="F16" s="4">
        <f t="shared" si="0"/>
        <v>9.0130501627402939</v>
      </c>
      <c r="G16" s="3">
        <v>2.5418659091749669</v>
      </c>
      <c r="H16" s="3">
        <v>0</v>
      </c>
      <c r="I16" s="4">
        <f t="shared" si="1"/>
        <v>2.5418659091749669</v>
      </c>
      <c r="J16" s="8">
        <f t="shared" si="2"/>
        <v>31.529947712188413</v>
      </c>
      <c r="K16" s="4">
        <f t="shared" si="3"/>
        <v>2069.9130694549999</v>
      </c>
      <c r="L16">
        <v>0</v>
      </c>
      <c r="M16" s="3">
        <f t="shared" si="7"/>
        <v>0</v>
      </c>
      <c r="N16">
        <v>16.600000000000001</v>
      </c>
      <c r="O16" s="3">
        <f t="shared" si="4"/>
        <v>14.058134090825035</v>
      </c>
      <c r="P16" s="3">
        <f t="shared" si="5"/>
        <v>14.058134090825035</v>
      </c>
      <c r="Q16" s="7">
        <f t="shared" si="6"/>
        <v>9.3918842051782706E-2</v>
      </c>
      <c r="R16">
        <v>593</v>
      </c>
      <c r="S16" t="s">
        <v>252</v>
      </c>
    </row>
    <row r="17" spans="1:19" x14ac:dyDescent="0.3">
      <c r="A17" t="s">
        <v>13</v>
      </c>
      <c r="B17" s="5">
        <f>VLOOKUP($A17,'[1]Gas - Proved reserves'!$A$7:$E$76,5,FALSE)*1000</f>
        <v>19.659538079999997</v>
      </c>
      <c r="C17" s="4">
        <v>4.5368164800000006</v>
      </c>
      <c r="D17" s="4">
        <v>0</v>
      </c>
      <c r="E17" s="4">
        <v>0</v>
      </c>
      <c r="F17" s="4">
        <f t="shared" si="0"/>
        <v>0</v>
      </c>
      <c r="G17" s="3">
        <v>0</v>
      </c>
      <c r="H17" s="3">
        <v>0</v>
      </c>
      <c r="I17" s="4">
        <f t="shared" si="1"/>
        <v>0</v>
      </c>
      <c r="J17" s="8">
        <f t="shared" si="2"/>
        <v>4.3333333333333321</v>
      </c>
      <c r="K17" s="4">
        <f t="shared" si="3"/>
        <v>15.122721599999997</v>
      </c>
      <c r="L17">
        <v>0</v>
      </c>
      <c r="M17" s="3">
        <f t="shared" si="7"/>
        <v>0</v>
      </c>
      <c r="N17">
        <v>0</v>
      </c>
      <c r="O17" s="3">
        <f t="shared" si="4"/>
        <v>0</v>
      </c>
      <c r="P17" s="3">
        <f t="shared" si="5"/>
        <v>0</v>
      </c>
      <c r="Q17" s="7">
        <f t="shared" si="6"/>
        <v>0</v>
      </c>
      <c r="R17">
        <v>0</v>
      </c>
      <c r="S17" t="s">
        <v>231</v>
      </c>
    </row>
    <row r="18" spans="1:19" x14ac:dyDescent="0.3">
      <c r="A18" t="s">
        <v>45</v>
      </c>
      <c r="B18" s="5">
        <f>VLOOKUP($A18,'[1]Gas - Proved reserves'!$A$7:$E$76,5,FALSE)*1000</f>
        <v>1320.4431160449042</v>
      </c>
      <c r="C18" s="4">
        <v>28.538813383206804</v>
      </c>
      <c r="D18" s="4">
        <v>0</v>
      </c>
      <c r="E18" s="4">
        <v>0</v>
      </c>
      <c r="F18" s="4">
        <f t="shared" si="0"/>
        <v>0</v>
      </c>
      <c r="G18" s="3">
        <v>0</v>
      </c>
      <c r="H18" s="3">
        <v>0</v>
      </c>
      <c r="I18" s="4">
        <f t="shared" si="1"/>
        <v>0</v>
      </c>
      <c r="J18" s="8">
        <f t="shared" si="2"/>
        <v>46.268325817004616</v>
      </c>
      <c r="K18" s="4">
        <f t="shared" si="3"/>
        <v>1291.9043026616973</v>
      </c>
      <c r="L18">
        <v>0</v>
      </c>
      <c r="M18" s="3">
        <f t="shared" si="7"/>
        <v>0</v>
      </c>
      <c r="N18">
        <v>0</v>
      </c>
      <c r="O18" s="3">
        <f t="shared" si="4"/>
        <v>0</v>
      </c>
      <c r="P18" s="3">
        <f t="shared" si="5"/>
        <v>0</v>
      </c>
      <c r="Q18" s="7">
        <f t="shared" si="6"/>
        <v>0</v>
      </c>
      <c r="R18">
        <v>3795</v>
      </c>
      <c r="S18" t="s">
        <v>231</v>
      </c>
    </row>
    <row r="19" spans="1:19" x14ac:dyDescent="0.3">
      <c r="A19" t="s">
        <v>53</v>
      </c>
      <c r="B19" s="5">
        <f>VLOOKUP($A19,'[1]Gas - Proved reserves'!$A$7:$E$76,5,FALSE)*1000</f>
        <v>1252.2716318174998</v>
      </c>
      <c r="C19" s="4">
        <v>59.29194330266025</v>
      </c>
      <c r="D19" s="4">
        <v>14.642419201034004</v>
      </c>
      <c r="E19" s="4">
        <v>7.5444504000000006</v>
      </c>
      <c r="F19" s="4">
        <f t="shared" si="0"/>
        <v>22.186869601034005</v>
      </c>
      <c r="G19" s="3">
        <v>0</v>
      </c>
      <c r="H19" s="3">
        <v>0</v>
      </c>
      <c r="I19" s="4">
        <f t="shared" si="1"/>
        <v>0</v>
      </c>
      <c r="J19" s="8">
        <f t="shared" si="2"/>
        <v>21.120434953956284</v>
      </c>
      <c r="K19" s="4">
        <f t="shared" si="3"/>
        <v>1192.9796885148396</v>
      </c>
      <c r="L19">
        <v>0</v>
      </c>
      <c r="M19" s="3">
        <f t="shared" si="7"/>
        <v>0</v>
      </c>
      <c r="N19">
        <v>31.64</v>
      </c>
      <c r="O19" s="3">
        <f t="shared" si="4"/>
        <v>31.64</v>
      </c>
      <c r="P19" s="3">
        <f t="shared" si="5"/>
        <v>31.64</v>
      </c>
      <c r="Q19" s="7">
        <f t="shared" si="6"/>
        <v>0.21137884610574303</v>
      </c>
      <c r="R19">
        <v>7170</v>
      </c>
      <c r="S19" t="s">
        <v>231</v>
      </c>
    </row>
    <row r="20" spans="1:19" x14ac:dyDescent="0.3">
      <c r="A20" t="s">
        <v>153</v>
      </c>
      <c r="B20" s="5">
        <f>VLOOKUP($A20,'[1]Gas - Proved reserves'!$A$7:$E$76,5,FALSE)*1000</f>
        <v>32101.378588650001</v>
      </c>
      <c r="C20" s="4">
        <v>256.65016561297466</v>
      </c>
      <c r="D20" s="4">
        <v>0</v>
      </c>
      <c r="E20" s="4">
        <v>17.295224579445314</v>
      </c>
      <c r="F20" s="4">
        <f t="shared" si="0"/>
        <v>17.295224579445314</v>
      </c>
      <c r="G20" s="3">
        <v>0</v>
      </c>
      <c r="H20" s="3">
        <v>0</v>
      </c>
      <c r="I20" s="4">
        <f t="shared" si="1"/>
        <v>0</v>
      </c>
      <c r="J20" s="8">
        <f t="shared" si="2"/>
        <v>125.07834745393654</v>
      </c>
      <c r="K20" s="4">
        <f t="shared" si="3"/>
        <v>31844.728423037028</v>
      </c>
      <c r="L20">
        <v>0</v>
      </c>
      <c r="M20" s="3">
        <f t="shared" si="7"/>
        <v>0</v>
      </c>
      <c r="N20">
        <v>0</v>
      </c>
      <c r="O20" s="3">
        <f t="shared" si="4"/>
        <v>0</v>
      </c>
      <c r="P20" s="3">
        <f t="shared" si="5"/>
        <v>0</v>
      </c>
      <c r="Q20" s="7">
        <f t="shared" si="6"/>
        <v>0</v>
      </c>
      <c r="R20">
        <v>3919</v>
      </c>
      <c r="S20" t="s">
        <v>231</v>
      </c>
    </row>
    <row r="21" spans="1:19" x14ac:dyDescent="0.3">
      <c r="A21" t="s">
        <v>123</v>
      </c>
      <c r="B21" s="5">
        <f>VLOOKUP($A21,'[1]Gas - Proved reserves'!$A$7:$E$76,5,FALSE)*1000</f>
        <v>3528.5259099999994</v>
      </c>
      <c r="C21" s="4">
        <v>9.3548094252583418</v>
      </c>
      <c r="D21" s="4">
        <v>0</v>
      </c>
      <c r="E21" s="4">
        <v>0</v>
      </c>
      <c r="F21" s="4">
        <f t="shared" si="0"/>
        <v>0</v>
      </c>
      <c r="G21" s="3">
        <v>0</v>
      </c>
      <c r="H21" s="3">
        <v>0</v>
      </c>
      <c r="I21" s="4">
        <f t="shared" si="1"/>
        <v>0</v>
      </c>
      <c r="J21" s="8">
        <f t="shared" si="2"/>
        <v>377.18843320023655</v>
      </c>
      <c r="K21" s="4">
        <f t="shared" si="3"/>
        <v>3519.1711005747411</v>
      </c>
      <c r="L21">
        <v>0</v>
      </c>
      <c r="M21" s="3">
        <f t="shared" si="7"/>
        <v>0</v>
      </c>
      <c r="N21">
        <v>0</v>
      </c>
      <c r="O21" s="3">
        <f t="shared" si="4"/>
        <v>0</v>
      </c>
      <c r="P21" s="3">
        <f t="shared" si="5"/>
        <v>0</v>
      </c>
      <c r="Q21" s="7">
        <f t="shared" si="6"/>
        <v>0</v>
      </c>
      <c r="R21">
        <v>3949</v>
      </c>
      <c r="S21" t="s">
        <v>231</v>
      </c>
    </row>
    <row r="22" spans="1:19" x14ac:dyDescent="0.3">
      <c r="A22" t="s">
        <v>33</v>
      </c>
      <c r="B22" s="5">
        <f>VLOOKUP($A22,'[1]Gas - Proved reserves'!$A$7:$E$76,5,FALSE)*1000</f>
        <v>42.397680000000001</v>
      </c>
      <c r="C22" s="4">
        <v>3.1841406211324754</v>
      </c>
      <c r="D22" s="4">
        <v>0</v>
      </c>
      <c r="E22" s="4">
        <v>0</v>
      </c>
      <c r="F22" s="4">
        <f t="shared" si="0"/>
        <v>0</v>
      </c>
      <c r="G22" s="3">
        <v>0</v>
      </c>
      <c r="H22" s="3">
        <v>0</v>
      </c>
      <c r="I22" s="4">
        <f t="shared" si="1"/>
        <v>0</v>
      </c>
      <c r="J22" s="8">
        <f t="shared" si="2"/>
        <v>13.315266203576396</v>
      </c>
      <c r="K22" s="4">
        <f t="shared" si="3"/>
        <v>39.213539378867523</v>
      </c>
      <c r="L22">
        <v>0</v>
      </c>
      <c r="M22" s="3">
        <f t="shared" si="7"/>
        <v>0</v>
      </c>
      <c r="N22">
        <v>0</v>
      </c>
      <c r="O22" s="3">
        <f t="shared" si="4"/>
        <v>0</v>
      </c>
      <c r="P22" s="3">
        <f t="shared" si="5"/>
        <v>0</v>
      </c>
      <c r="Q22" s="7">
        <f t="shared" si="6"/>
        <v>0</v>
      </c>
      <c r="R22">
        <v>0</v>
      </c>
      <c r="S22" t="s">
        <v>231</v>
      </c>
    </row>
    <row r="23" spans="1:19" x14ac:dyDescent="0.3">
      <c r="A23" t="s">
        <v>127</v>
      </c>
      <c r="B23" s="5">
        <f>VLOOKUP($A23,'[1]Gas - Proved reserves'!$A$7:$E$76,5,FALSE)*1000</f>
        <v>2257.1154469758785</v>
      </c>
      <c r="C23" s="4">
        <v>31.974209191283261</v>
      </c>
      <c r="D23" s="4">
        <v>0</v>
      </c>
      <c r="E23" s="4">
        <v>10.560593759912999</v>
      </c>
      <c r="F23" s="4">
        <f t="shared" si="0"/>
        <v>10.560593759912999</v>
      </c>
      <c r="G23" s="3">
        <v>0</v>
      </c>
      <c r="H23" s="3">
        <v>0</v>
      </c>
      <c r="I23" s="4">
        <f t="shared" si="1"/>
        <v>0</v>
      </c>
      <c r="J23" s="8">
        <f t="shared" si="2"/>
        <v>70.591752042180559</v>
      </c>
      <c r="K23" s="4">
        <f t="shared" si="3"/>
        <v>2225.1412377845954</v>
      </c>
      <c r="L23">
        <v>0</v>
      </c>
      <c r="M23" s="3">
        <f t="shared" si="7"/>
        <v>0</v>
      </c>
      <c r="N23">
        <v>0</v>
      </c>
      <c r="O23" s="3">
        <f t="shared" si="4"/>
        <v>0</v>
      </c>
      <c r="P23" s="3">
        <f t="shared" si="5"/>
        <v>0</v>
      </c>
      <c r="Q23" s="7">
        <f t="shared" si="6"/>
        <v>0</v>
      </c>
      <c r="R23" s="15" t="s">
        <v>272</v>
      </c>
      <c r="S23" t="s">
        <v>231</v>
      </c>
    </row>
    <row r="24" spans="1:19" x14ac:dyDescent="0.3">
      <c r="A24" t="s">
        <v>110</v>
      </c>
      <c r="B24" s="5">
        <f>VLOOKUP($A24,'[1]Gas - Proved reserves'!$A$7:$E$76,5,FALSE)*1000</f>
        <v>1694.8</v>
      </c>
      <c r="C24" s="4">
        <v>17.393453312186253</v>
      </c>
      <c r="D24" s="4">
        <v>0</v>
      </c>
      <c r="E24" s="4">
        <v>0</v>
      </c>
      <c r="F24" s="4">
        <f t="shared" si="0"/>
        <v>0</v>
      </c>
      <c r="G24" s="3">
        <v>0</v>
      </c>
      <c r="H24" s="3">
        <v>0</v>
      </c>
      <c r="I24" s="4">
        <f t="shared" si="1"/>
        <v>0</v>
      </c>
      <c r="J24" s="8">
        <f t="shared" si="2"/>
        <v>97.43895991100193</v>
      </c>
      <c r="K24" s="4">
        <f t="shared" si="3"/>
        <v>1677.4065466878137</v>
      </c>
      <c r="L24">
        <v>0</v>
      </c>
      <c r="M24" s="3">
        <f t="shared" si="7"/>
        <v>0</v>
      </c>
      <c r="N24">
        <v>0</v>
      </c>
      <c r="O24" s="3">
        <f t="shared" si="4"/>
        <v>0</v>
      </c>
      <c r="P24" s="3">
        <f t="shared" si="5"/>
        <v>0</v>
      </c>
      <c r="Q24" s="7">
        <f t="shared" si="6"/>
        <v>0</v>
      </c>
      <c r="R24">
        <v>3877</v>
      </c>
      <c r="S24" t="s">
        <v>231</v>
      </c>
    </row>
    <row r="25" spans="1:19" x14ac:dyDescent="0.3">
      <c r="A25" t="s">
        <v>150</v>
      </c>
      <c r="B25" s="5">
        <f>VLOOKUP($A25,'[1]Gas - Proved reserves'!$A$7:$E$76,5,FALSE)*1000</f>
        <v>1429.6544888133672</v>
      </c>
      <c r="C25" s="4">
        <v>12.396907477072064</v>
      </c>
      <c r="D25" s="4">
        <v>0</v>
      </c>
      <c r="E25" s="4">
        <v>3.0772184334684689</v>
      </c>
      <c r="F25" s="4">
        <f t="shared" si="0"/>
        <v>3.0772184334684689</v>
      </c>
      <c r="G25" s="3">
        <v>0</v>
      </c>
      <c r="H25" s="3">
        <v>3.0772184334684689</v>
      </c>
      <c r="I25" s="4">
        <f t="shared" si="1"/>
        <v>3.0772184334684689</v>
      </c>
      <c r="J25" s="8">
        <f t="shared" si="2"/>
        <v>115.32347817046279</v>
      </c>
      <c r="K25" s="4">
        <f t="shared" si="3"/>
        <v>1417.2575813362951</v>
      </c>
      <c r="L25">
        <v>11</v>
      </c>
      <c r="M25" s="3">
        <f t="shared" si="7"/>
        <v>7.9227815665315315</v>
      </c>
      <c r="N25">
        <v>0</v>
      </c>
      <c r="O25" s="3">
        <f t="shared" si="4"/>
        <v>0</v>
      </c>
      <c r="P25" s="3">
        <f t="shared" si="5"/>
        <v>7.9227815665315315</v>
      </c>
      <c r="Q25" s="7">
        <f t="shared" si="6"/>
        <v>5.2930101943150641E-2</v>
      </c>
      <c r="R25">
        <v>410</v>
      </c>
      <c r="S25" t="s">
        <v>252</v>
      </c>
    </row>
    <row r="26" spans="1:19" x14ac:dyDescent="0.3">
      <c r="A26" t="s">
        <v>39</v>
      </c>
      <c r="B26" s="5">
        <f>VLOOKUP($A26,'[1]Gas - Proved reserves'!$A$7:$E$76,5,FALSE)*1000</f>
        <v>908.23063050878829</v>
      </c>
      <c r="C26" s="4">
        <v>74.190540520081527</v>
      </c>
      <c r="D26" s="4">
        <v>33.50282608575354</v>
      </c>
      <c r="E26" s="4">
        <v>0</v>
      </c>
      <c r="F26" s="4">
        <f t="shared" si="0"/>
        <v>33.50282608575354</v>
      </c>
      <c r="G26" s="3">
        <v>0</v>
      </c>
      <c r="H26" s="3">
        <v>0</v>
      </c>
      <c r="I26" s="4">
        <f t="shared" si="1"/>
        <v>0</v>
      </c>
      <c r="J26" s="8">
        <f t="shared" si="2"/>
        <v>12.241865662954066</v>
      </c>
      <c r="K26" s="4">
        <f t="shared" si="3"/>
        <v>834.04008998870677</v>
      </c>
      <c r="L26">
        <v>0</v>
      </c>
      <c r="M26" s="3">
        <f t="shared" si="7"/>
        <v>0</v>
      </c>
      <c r="N26">
        <v>0</v>
      </c>
      <c r="O26" s="3">
        <f t="shared" si="4"/>
        <v>0</v>
      </c>
      <c r="P26" s="3">
        <f t="shared" si="5"/>
        <v>0</v>
      </c>
      <c r="Q26" s="7">
        <f t="shared" si="6"/>
        <v>0</v>
      </c>
      <c r="R26">
        <v>5451</v>
      </c>
      <c r="S26" t="s">
        <v>231</v>
      </c>
    </row>
    <row r="27" spans="1:19" x14ac:dyDescent="0.3">
      <c r="A27" t="s">
        <v>88</v>
      </c>
      <c r="B27" s="5">
        <f>VLOOKUP($A27,'[1]Gas - Proved reserves'!$A$7:$E$76,5,FALSE)*1000</f>
        <v>178.06994488800001</v>
      </c>
      <c r="C27" s="4">
        <v>29.241314128957576</v>
      </c>
      <c r="D27" s="4">
        <v>0</v>
      </c>
      <c r="E27" s="4">
        <v>4.6824035238749999E-2</v>
      </c>
      <c r="F27" s="4">
        <f t="shared" si="0"/>
        <v>4.6824035238749999E-2</v>
      </c>
      <c r="G27" s="3">
        <v>0</v>
      </c>
      <c r="H27" s="3">
        <v>0</v>
      </c>
      <c r="I27" s="4">
        <f t="shared" si="1"/>
        <v>0</v>
      </c>
      <c r="J27" s="8">
        <f t="shared" si="2"/>
        <v>6.0896697085052667</v>
      </c>
      <c r="K27" s="4">
        <f t="shared" si="3"/>
        <v>148.82863075904243</v>
      </c>
      <c r="L27">
        <v>0</v>
      </c>
      <c r="M27" s="3">
        <f t="shared" si="7"/>
        <v>0</v>
      </c>
      <c r="N27">
        <v>0</v>
      </c>
      <c r="O27" s="3">
        <f t="shared" si="4"/>
        <v>0</v>
      </c>
      <c r="P27" s="3">
        <f t="shared" si="5"/>
        <v>0</v>
      </c>
      <c r="Q27" s="7">
        <f t="shared" si="6"/>
        <v>0</v>
      </c>
      <c r="R27">
        <v>7034</v>
      </c>
      <c r="S27" t="s">
        <v>231</v>
      </c>
    </row>
    <row r="28" spans="1:19" x14ac:dyDescent="0.3">
      <c r="A28" t="s">
        <v>116</v>
      </c>
      <c r="B28" s="5">
        <v>2840.0000000000005</v>
      </c>
      <c r="C28" s="4">
        <f>166804/1000/48/0.7</f>
        <v>4.9644047619047624</v>
      </c>
      <c r="D28">
        <v>0</v>
      </c>
      <c r="E28" s="3">
        <f>136422/1000/48/0.7</f>
        <v>4.0601785714285716</v>
      </c>
      <c r="F28" s="3">
        <f t="shared" si="0"/>
        <v>4.0601785714285716</v>
      </c>
      <c r="G28">
        <v>0</v>
      </c>
      <c r="H28">
        <v>0</v>
      </c>
      <c r="I28" s="3">
        <f t="shared" si="1"/>
        <v>0</v>
      </c>
      <c r="J28" s="8">
        <f t="shared" si="2"/>
        <v>572.07261216757399</v>
      </c>
      <c r="K28" s="4">
        <f t="shared" si="3"/>
        <v>2835.0355952380955</v>
      </c>
      <c r="L28">
        <v>0</v>
      </c>
      <c r="M28" s="3">
        <v>0</v>
      </c>
      <c r="N28">
        <v>0</v>
      </c>
      <c r="O28" s="3">
        <f t="shared" si="4"/>
        <v>0</v>
      </c>
      <c r="P28" s="3">
        <f t="shared" si="5"/>
        <v>0</v>
      </c>
      <c r="Q28" s="7">
        <f t="shared" si="6"/>
        <v>0</v>
      </c>
      <c r="R28">
        <v>4366</v>
      </c>
      <c r="S28" t="s">
        <v>252</v>
      </c>
    </row>
    <row r="29" spans="1:19" x14ac:dyDescent="0.3">
      <c r="A29" t="s">
        <v>165</v>
      </c>
      <c r="B29" s="5">
        <f>VLOOKUP($A29,'[1]Gas - Proved reserves'!$A$7:$E$76,5,FALSE)*1000</f>
        <v>432.21186916584657</v>
      </c>
      <c r="C29" s="4">
        <v>16.940227432060059</v>
      </c>
      <c r="D29" s="4">
        <v>0</v>
      </c>
      <c r="E29" s="4">
        <v>10.58411526218441</v>
      </c>
      <c r="F29" s="4">
        <f t="shared" si="0"/>
        <v>10.58411526218441</v>
      </c>
      <c r="G29" s="3">
        <v>0</v>
      </c>
      <c r="H29" s="3">
        <v>0</v>
      </c>
      <c r="I29" s="4">
        <f t="shared" si="1"/>
        <v>0</v>
      </c>
      <c r="J29" s="8">
        <f t="shared" si="2"/>
        <v>25.513935447399501</v>
      </c>
      <c r="K29" s="4">
        <f t="shared" si="3"/>
        <v>415.27164173378651</v>
      </c>
      <c r="L29">
        <v>0</v>
      </c>
      <c r="M29" s="3">
        <f t="shared" ref="M29:M52" si="8">L29-H29</f>
        <v>0</v>
      </c>
      <c r="N29">
        <v>0</v>
      </c>
      <c r="O29" s="3">
        <f t="shared" si="4"/>
        <v>0</v>
      </c>
      <c r="P29" s="3">
        <f t="shared" si="5"/>
        <v>0</v>
      </c>
      <c r="Q29" s="7">
        <f t="shared" si="6"/>
        <v>0</v>
      </c>
      <c r="R29">
        <v>5643</v>
      </c>
      <c r="S29" t="s">
        <v>253</v>
      </c>
    </row>
    <row r="30" spans="1:19" x14ac:dyDescent="0.3">
      <c r="A30" t="s">
        <v>8</v>
      </c>
      <c r="B30" s="5">
        <f>VLOOKUP($A30,'[1]Gas - Proved reserves'!$A$7:$E$76,5,FALSE)*1000</f>
        <v>129.93036000000001</v>
      </c>
      <c r="C30" s="4">
        <v>18.100000000000001</v>
      </c>
      <c r="D30" s="4">
        <v>0</v>
      </c>
      <c r="E30" s="4">
        <v>0</v>
      </c>
      <c r="F30" s="4">
        <f t="shared" si="0"/>
        <v>0</v>
      </c>
      <c r="G30" s="3">
        <v>0</v>
      </c>
      <c r="H30" s="3">
        <v>0</v>
      </c>
      <c r="I30" s="4">
        <f t="shared" si="1"/>
        <v>0</v>
      </c>
      <c r="J30" s="8">
        <f t="shared" si="2"/>
        <v>7.1784729281767952</v>
      </c>
      <c r="K30" s="4">
        <f t="shared" si="3"/>
        <v>111.83036000000001</v>
      </c>
      <c r="L30">
        <v>0</v>
      </c>
      <c r="M30" s="3">
        <f t="shared" si="8"/>
        <v>0</v>
      </c>
      <c r="N30">
        <v>0</v>
      </c>
      <c r="O30" s="3">
        <f t="shared" si="4"/>
        <v>0</v>
      </c>
      <c r="P30" s="3">
        <f t="shared" si="5"/>
        <v>0</v>
      </c>
      <c r="Q30" s="7">
        <f t="shared" si="6"/>
        <v>0</v>
      </c>
      <c r="R30">
        <v>0</v>
      </c>
      <c r="S30" t="s">
        <v>231</v>
      </c>
    </row>
    <row r="31" spans="1:19" x14ac:dyDescent="0.3">
      <c r="A31" t="s">
        <v>104</v>
      </c>
      <c r="B31" s="5">
        <f>VLOOKUP($A31,'[1]Gas - Proved reserves'!$A$7:$E$76,5,FALSE)*1000</f>
        <v>5472.9794499999998</v>
      </c>
      <c r="C31" s="4">
        <v>45.913323664985178</v>
      </c>
      <c r="D31" s="4">
        <v>23.340086870393058</v>
      </c>
      <c r="E31" s="4">
        <v>0</v>
      </c>
      <c r="F31" s="4">
        <f t="shared" si="0"/>
        <v>23.340086870393058</v>
      </c>
      <c r="G31" s="3">
        <v>12.974278652256324</v>
      </c>
      <c r="H31" s="3">
        <v>0</v>
      </c>
      <c r="I31" s="4">
        <f t="shared" si="1"/>
        <v>12.974278652256324</v>
      </c>
      <c r="J31" s="8">
        <f t="shared" si="2"/>
        <v>119.20242346066206</v>
      </c>
      <c r="K31" s="4">
        <f t="shared" si="3"/>
        <v>5427.0661263350148</v>
      </c>
      <c r="L31">
        <v>0</v>
      </c>
      <c r="M31" s="3">
        <f t="shared" si="8"/>
        <v>0</v>
      </c>
      <c r="N31">
        <v>29.81</v>
      </c>
      <c r="O31" s="3">
        <f t="shared" si="4"/>
        <v>16.835721347743675</v>
      </c>
      <c r="P31" s="3">
        <f t="shared" si="5"/>
        <v>16.835721347743675</v>
      </c>
      <c r="Q31" s="7">
        <f t="shared" si="6"/>
        <v>0.11247520075359933</v>
      </c>
      <c r="R31">
        <v>3400</v>
      </c>
      <c r="S31" t="s">
        <v>257</v>
      </c>
    </row>
    <row r="32" spans="1:19" x14ac:dyDescent="0.3">
      <c r="A32" t="s">
        <v>0</v>
      </c>
      <c r="B32" s="5">
        <f>VLOOKUP($A32,'[1]Gas - Proved reserves'!$A$7:$E$76,5,FALSE)*1000</f>
        <v>1429.1801499999999</v>
      </c>
      <c r="C32" s="4">
        <v>114.3168477275</v>
      </c>
      <c r="D32" s="4">
        <v>0.17529254863057692</v>
      </c>
      <c r="E32" s="4">
        <v>112.8553174846401</v>
      </c>
      <c r="F32" s="4">
        <f t="shared" si="0"/>
        <v>113.03061003327068</v>
      </c>
      <c r="G32" s="3">
        <v>0.17529254863057692</v>
      </c>
      <c r="H32" s="3">
        <v>80.906032984640063</v>
      </c>
      <c r="I32" s="4">
        <f t="shared" si="1"/>
        <v>81.081325533270643</v>
      </c>
      <c r="J32" s="8">
        <f t="shared" si="2"/>
        <v>12.501920569107829</v>
      </c>
      <c r="K32" s="4">
        <f t="shared" si="3"/>
        <v>1314.8633022724998</v>
      </c>
      <c r="L32" s="14">
        <v>95</v>
      </c>
      <c r="M32" s="3">
        <f t="shared" si="8"/>
        <v>14.093967015359937</v>
      </c>
      <c r="N32">
        <v>6.52</v>
      </c>
      <c r="O32" s="3">
        <f t="shared" si="4"/>
        <v>6.3447074513694224</v>
      </c>
      <c r="P32" s="3">
        <f t="shared" si="5"/>
        <v>20.43867446672936</v>
      </c>
      <c r="Q32" s="7">
        <f t="shared" si="6"/>
        <v>0.13654562024994199</v>
      </c>
      <c r="R32">
        <v>665</v>
      </c>
      <c r="S32" t="s">
        <v>258</v>
      </c>
    </row>
    <row r="33" spans="1:19" x14ac:dyDescent="0.3">
      <c r="A33" t="s">
        <v>124</v>
      </c>
      <c r="B33" s="5">
        <f>VLOOKUP($A33,'[1]Gas - Proved reserves'!$A$7:$E$76,5,FALSE)*1000</f>
        <v>666.34750000000008</v>
      </c>
      <c r="C33" s="4">
        <v>41.792215079928162</v>
      </c>
      <c r="D33" s="4">
        <v>14.180023412723248</v>
      </c>
      <c r="E33" s="4">
        <v>0</v>
      </c>
      <c r="F33" s="4">
        <f t="shared" si="0"/>
        <v>14.180023412723248</v>
      </c>
      <c r="G33" s="3">
        <v>0</v>
      </c>
      <c r="H33" s="3">
        <v>0</v>
      </c>
      <c r="I33" s="4">
        <f t="shared" si="1"/>
        <v>0</v>
      </c>
      <c r="J33" s="8">
        <f t="shared" si="2"/>
        <v>15.944297250710489</v>
      </c>
      <c r="K33" s="4">
        <f t="shared" si="3"/>
        <v>624.55528492007193</v>
      </c>
      <c r="L33">
        <v>0</v>
      </c>
      <c r="M33" s="3">
        <f t="shared" si="8"/>
        <v>0</v>
      </c>
      <c r="N33">
        <v>0</v>
      </c>
      <c r="O33" s="3">
        <f t="shared" si="4"/>
        <v>0</v>
      </c>
      <c r="P33" s="3">
        <f t="shared" si="5"/>
        <v>0</v>
      </c>
      <c r="Q33" s="7">
        <f t="shared" si="6"/>
        <v>0</v>
      </c>
      <c r="R33">
        <v>4999</v>
      </c>
      <c r="S33" t="s">
        <v>231</v>
      </c>
    </row>
    <row r="34" spans="1:19" x14ac:dyDescent="0.3">
      <c r="A34" t="s">
        <v>106</v>
      </c>
      <c r="B34" s="5">
        <f>VLOOKUP($A34,'[1]Gas - Proved reserves'!$A$7:$E$76,5,FALSE)*1000</f>
        <v>384.7863298650301</v>
      </c>
      <c r="C34" s="4">
        <v>32.676795394499997</v>
      </c>
      <c r="D34" s="4">
        <v>0</v>
      </c>
      <c r="E34" s="4">
        <v>0</v>
      </c>
      <c r="F34" s="4">
        <f t="shared" ref="F34:F52" si="9">SUM(D34:E34)</f>
        <v>0</v>
      </c>
      <c r="G34" s="3">
        <v>0</v>
      </c>
      <c r="H34" s="3">
        <v>0</v>
      </c>
      <c r="I34" s="4">
        <f t="shared" ref="I34:I52" si="10">SUM(G34:H34)</f>
        <v>0</v>
      </c>
      <c r="J34" s="8">
        <f t="shared" ref="J34:J52" si="11">B34/C34</f>
        <v>11.775522208331221</v>
      </c>
      <c r="K34" s="4">
        <f t="shared" ref="K34:K52" si="12">B34-C34</f>
        <v>352.10953447053009</v>
      </c>
      <c r="L34">
        <v>0</v>
      </c>
      <c r="M34" s="3">
        <f t="shared" si="8"/>
        <v>0</v>
      </c>
      <c r="N34">
        <v>0</v>
      </c>
      <c r="O34" s="3">
        <f t="shared" ref="O34:O52" si="13">N34-G34</f>
        <v>0</v>
      </c>
      <c r="P34" s="3">
        <f t="shared" ref="P34:P52" si="14">SUM(O34,M34)</f>
        <v>0</v>
      </c>
      <c r="Q34" s="7">
        <f t="shared" ref="Q34:Q52" si="15">IF(A34="Russian Federation",0,P34/INDEX($I$2:$I$52,MATCH("Russian Federation",$A$2:$A$52,0),1))</f>
        <v>0</v>
      </c>
      <c r="R34">
        <v>3231</v>
      </c>
      <c r="S34" t="s">
        <v>231</v>
      </c>
    </row>
    <row r="35" spans="1:19" x14ac:dyDescent="0.3">
      <c r="A35" t="s">
        <v>74</v>
      </c>
      <c r="B35" s="5">
        <f>VLOOKUP($A35,'[1]Gas - Proved reserves'!$A$7:$E$76,5,FALSE)*1000</f>
        <v>261.44213080364551</v>
      </c>
      <c r="C35" s="4">
        <v>11.483049304384636</v>
      </c>
      <c r="D35" s="4">
        <v>3.4592540259720717</v>
      </c>
      <c r="E35" s="4">
        <v>0</v>
      </c>
      <c r="F35" s="4">
        <f t="shared" si="9"/>
        <v>3.4592540259720717</v>
      </c>
      <c r="G35" s="3">
        <v>1.298026674389793</v>
      </c>
      <c r="H35" s="3">
        <v>0</v>
      </c>
      <c r="I35" s="4">
        <f t="shared" si="10"/>
        <v>1.298026674389793</v>
      </c>
      <c r="J35" s="8">
        <f t="shared" si="11"/>
        <v>22.767657254925975</v>
      </c>
      <c r="K35" s="4">
        <f t="shared" si="12"/>
        <v>249.95908149926089</v>
      </c>
      <c r="L35">
        <v>0</v>
      </c>
      <c r="M35" s="3">
        <f t="shared" si="8"/>
        <v>0</v>
      </c>
      <c r="N35" s="9">
        <v>0</v>
      </c>
      <c r="O35" s="3">
        <f t="shared" si="13"/>
        <v>-1.298026674389793</v>
      </c>
      <c r="P35" s="3">
        <f t="shared" si="14"/>
        <v>-1.298026674389793</v>
      </c>
      <c r="Q35" s="7">
        <f t="shared" si="15"/>
        <v>-8.6717882631791865E-3</v>
      </c>
      <c r="R35">
        <v>5044</v>
      </c>
      <c r="S35" t="s">
        <v>255</v>
      </c>
    </row>
    <row r="36" spans="1:19" x14ac:dyDescent="0.3">
      <c r="A36" t="s">
        <v>46</v>
      </c>
      <c r="B36" s="5">
        <f>VLOOKUP($A36,'[1]Gas - Proved reserves'!$A$7:$E$76,5,FALSE)*1000</f>
        <v>72.260085814479638</v>
      </c>
      <c r="C36" s="4">
        <v>3.8702206308818887</v>
      </c>
      <c r="D36" s="4">
        <v>0</v>
      </c>
      <c r="E36" s="4">
        <v>0</v>
      </c>
      <c r="F36" s="4">
        <f t="shared" si="9"/>
        <v>0</v>
      </c>
      <c r="G36" s="3">
        <v>0</v>
      </c>
      <c r="H36" s="3">
        <v>0</v>
      </c>
      <c r="I36" s="4">
        <f t="shared" si="10"/>
        <v>0</v>
      </c>
      <c r="J36" s="8">
        <f t="shared" si="11"/>
        <v>18.670792367207778</v>
      </c>
      <c r="K36" s="4">
        <f t="shared" si="12"/>
        <v>68.389865183597749</v>
      </c>
      <c r="L36">
        <v>0</v>
      </c>
      <c r="M36" s="3">
        <f t="shared" si="8"/>
        <v>0</v>
      </c>
      <c r="N36">
        <v>0</v>
      </c>
      <c r="O36" s="3">
        <f t="shared" si="13"/>
        <v>0</v>
      </c>
      <c r="P36" s="3">
        <f t="shared" si="14"/>
        <v>0</v>
      </c>
      <c r="Q36" s="7">
        <f t="shared" si="15"/>
        <v>0</v>
      </c>
      <c r="R36">
        <v>0</v>
      </c>
      <c r="S36" t="s">
        <v>231</v>
      </c>
    </row>
    <row r="37" spans="1:19" x14ac:dyDescent="0.3">
      <c r="A37" t="s">
        <v>113</v>
      </c>
      <c r="B37" s="5">
        <f>VLOOKUP($A37,'[1]Gas - Proved reserves'!$A$7:$E$76,5,FALSE)*1000</f>
        <v>24665.471469000004</v>
      </c>
      <c r="C37" s="4">
        <v>176.98039944113219</v>
      </c>
      <c r="D37" s="4">
        <v>106.75966808314644</v>
      </c>
      <c r="E37" s="4">
        <v>21.074384604953067</v>
      </c>
      <c r="F37" s="4">
        <f t="shared" si="9"/>
        <v>127.8340526880995</v>
      </c>
      <c r="G37" s="3">
        <v>22.538085284488002</v>
      </c>
      <c r="H37" s="3">
        <v>0</v>
      </c>
      <c r="I37" s="4">
        <f t="shared" si="10"/>
        <v>22.538085284488002</v>
      </c>
      <c r="J37" s="8">
        <f t="shared" si="11"/>
        <v>139.36837947528937</v>
      </c>
      <c r="K37" s="4">
        <f t="shared" si="12"/>
        <v>24488.491069558873</v>
      </c>
      <c r="L37">
        <v>0</v>
      </c>
      <c r="M37" s="3">
        <f t="shared" si="8"/>
        <v>0</v>
      </c>
      <c r="N37">
        <v>43.14</v>
      </c>
      <c r="O37" s="3">
        <f t="shared" si="13"/>
        <v>20.601914715511999</v>
      </c>
      <c r="P37" s="3">
        <f t="shared" si="14"/>
        <v>20.601914715511999</v>
      </c>
      <c r="Q37" s="7">
        <f t="shared" si="15"/>
        <v>0.13763618710916098</v>
      </c>
      <c r="R37">
        <v>3441</v>
      </c>
      <c r="S37" t="s">
        <v>259</v>
      </c>
    </row>
    <row r="38" spans="1:19" x14ac:dyDescent="0.3">
      <c r="A38" t="s">
        <v>61</v>
      </c>
      <c r="B38" s="5">
        <f>VLOOKUP($A38,'[1]Gas - Proved reserves'!$A$7:$E$76,5,FALSE)*1000</f>
        <v>78.867749999999987</v>
      </c>
      <c r="C38" s="4">
        <v>8.4644788340101424</v>
      </c>
      <c r="D38" s="4">
        <v>0</v>
      </c>
      <c r="E38" s="4">
        <v>0</v>
      </c>
      <c r="F38" s="4">
        <f t="shared" si="9"/>
        <v>0</v>
      </c>
      <c r="G38" s="3">
        <v>0</v>
      </c>
      <c r="H38" s="3">
        <v>0</v>
      </c>
      <c r="I38" s="4">
        <f t="shared" si="10"/>
        <v>0</v>
      </c>
      <c r="J38" s="8">
        <f t="shared" si="11"/>
        <v>9.3174962743259062</v>
      </c>
      <c r="K38" s="4">
        <f t="shared" si="12"/>
        <v>70.40327116598985</v>
      </c>
      <c r="L38">
        <v>0</v>
      </c>
      <c r="M38" s="3">
        <f t="shared" si="8"/>
        <v>0</v>
      </c>
      <c r="N38">
        <v>0</v>
      </c>
      <c r="O38" s="3">
        <f t="shared" si="13"/>
        <v>0</v>
      </c>
      <c r="P38" s="3">
        <f t="shared" si="14"/>
        <v>0</v>
      </c>
      <c r="Q38" s="7">
        <f t="shared" si="15"/>
        <v>0</v>
      </c>
      <c r="R38">
        <v>0</v>
      </c>
      <c r="S38" t="s">
        <v>231</v>
      </c>
    </row>
    <row r="39" spans="1:19" x14ac:dyDescent="0.3">
      <c r="A39" t="s">
        <v>203</v>
      </c>
      <c r="B39" s="5">
        <f>VLOOKUP($A39,'[1]Gas - Proved reserves'!$A$7:$E$76,5,FALSE)*1000</f>
        <v>37391.524354530055</v>
      </c>
      <c r="C39" s="4">
        <v>701.66740412979345</v>
      </c>
      <c r="D39" s="4">
        <v>39.614080080821836</v>
      </c>
      <c r="E39" s="4">
        <v>201.70748438412878</v>
      </c>
      <c r="F39" s="4">
        <f t="shared" si="9"/>
        <v>241.3215644649506</v>
      </c>
      <c r="G39" s="3">
        <v>17.366285480336391</v>
      </c>
      <c r="H39" s="3">
        <v>132.3175669150541</v>
      </c>
      <c r="I39" s="4">
        <f t="shared" si="10"/>
        <v>149.68385239539049</v>
      </c>
      <c r="J39" s="8">
        <f t="shared" si="11"/>
        <v>53.289527394967067</v>
      </c>
      <c r="K39" s="4">
        <f t="shared" si="12"/>
        <v>36689.856950400259</v>
      </c>
      <c r="L39">
        <f>55+55+33+28+26+31.5</f>
        <v>228.5</v>
      </c>
      <c r="M39" s="3">
        <f t="shared" si="8"/>
        <v>96.182433084945899</v>
      </c>
      <c r="N39">
        <v>38.19</v>
      </c>
      <c r="O39" s="3">
        <f t="shared" si="13"/>
        <v>20.823714519663607</v>
      </c>
      <c r="P39" s="3">
        <f t="shared" si="14"/>
        <v>117.00614760460951</v>
      </c>
      <c r="Q39" s="7">
        <f t="shared" si="15"/>
        <v>0</v>
      </c>
      <c r="R39">
        <v>1299</v>
      </c>
      <c r="S39" t="s">
        <v>231</v>
      </c>
    </row>
    <row r="40" spans="1:19" x14ac:dyDescent="0.3">
      <c r="A40" t="s">
        <v>149</v>
      </c>
      <c r="B40" s="5">
        <f>VLOOKUP($A40,'[1]Gas - Proved reserves'!$A$7:$E$76,5,FALSE)*1000</f>
        <v>6019.1200153744176</v>
      </c>
      <c r="C40" s="4">
        <v>117.28698420288887</v>
      </c>
      <c r="D40" s="4">
        <v>0</v>
      </c>
      <c r="E40" s="4">
        <v>0</v>
      </c>
      <c r="F40" s="4">
        <f t="shared" si="9"/>
        <v>0</v>
      </c>
      <c r="G40" s="3">
        <v>0</v>
      </c>
      <c r="H40" s="3">
        <v>0</v>
      </c>
      <c r="I40" s="4">
        <f t="shared" si="10"/>
        <v>0</v>
      </c>
      <c r="J40" s="8">
        <f t="shared" si="11"/>
        <v>51.319590628762725</v>
      </c>
      <c r="K40" s="4">
        <f t="shared" si="12"/>
        <v>5901.833031171529</v>
      </c>
      <c r="L40">
        <v>0</v>
      </c>
      <c r="M40" s="3">
        <f t="shared" si="8"/>
        <v>0</v>
      </c>
      <c r="N40">
        <v>0</v>
      </c>
      <c r="O40" s="3">
        <f t="shared" si="13"/>
        <v>0</v>
      </c>
      <c r="P40" s="3">
        <f t="shared" si="14"/>
        <v>0</v>
      </c>
      <c r="Q40" s="7">
        <f t="shared" si="15"/>
        <v>0</v>
      </c>
      <c r="R40">
        <v>1299</v>
      </c>
      <c r="S40" t="s">
        <v>231</v>
      </c>
    </row>
    <row r="41" spans="1:19" x14ac:dyDescent="0.3">
      <c r="A41" t="s">
        <v>162</v>
      </c>
      <c r="B41" s="5">
        <f>VLOOKUP($A41,'[1]Gas - Proved reserves'!$A$7:$E$76,5,FALSE)*1000</f>
        <v>268.61250000000001</v>
      </c>
      <c r="C41" s="4">
        <v>2.8781321701443745</v>
      </c>
      <c r="D41" s="4">
        <v>0</v>
      </c>
      <c r="E41" s="4">
        <v>0</v>
      </c>
      <c r="F41" s="4">
        <f t="shared" si="9"/>
        <v>0</v>
      </c>
      <c r="G41" s="3">
        <v>0</v>
      </c>
      <c r="H41" s="3">
        <v>0</v>
      </c>
      <c r="I41" s="4">
        <f t="shared" si="10"/>
        <v>0</v>
      </c>
      <c r="J41" s="8">
        <f t="shared" si="11"/>
        <v>93.328757722243765</v>
      </c>
      <c r="K41" s="4">
        <f t="shared" si="12"/>
        <v>265.73436782985561</v>
      </c>
      <c r="L41">
        <v>0</v>
      </c>
      <c r="M41" s="3">
        <f t="shared" si="8"/>
        <v>0</v>
      </c>
      <c r="N41">
        <v>0</v>
      </c>
      <c r="O41" s="3">
        <f t="shared" si="13"/>
        <v>0</v>
      </c>
      <c r="P41" s="3">
        <f t="shared" si="14"/>
        <v>0</v>
      </c>
      <c r="Q41" s="7">
        <f t="shared" si="15"/>
        <v>0</v>
      </c>
      <c r="R41">
        <v>641</v>
      </c>
      <c r="S41" t="s">
        <v>231</v>
      </c>
    </row>
    <row r="42" spans="1:19" x14ac:dyDescent="0.3">
      <c r="A42" t="s">
        <v>54</v>
      </c>
      <c r="B42" s="5">
        <f>VLOOKUP($A42,'[1]Gas - Proved reserves'!$A$7:$E$76,5,FALSE)*1000</f>
        <v>143.08403709987846</v>
      </c>
      <c r="C42" s="4">
        <v>31.525940764302582</v>
      </c>
      <c r="D42" s="4">
        <v>0</v>
      </c>
      <c r="E42" s="4">
        <v>0</v>
      </c>
      <c r="F42" s="4">
        <f t="shared" si="9"/>
        <v>0</v>
      </c>
      <c r="G42" s="3">
        <v>0</v>
      </c>
      <c r="H42" s="3">
        <v>0</v>
      </c>
      <c r="I42" s="4">
        <f t="shared" si="10"/>
        <v>0</v>
      </c>
      <c r="J42" s="8">
        <f t="shared" si="11"/>
        <v>4.5386127624110495</v>
      </c>
      <c r="K42" s="4">
        <f t="shared" si="12"/>
        <v>111.55809633557587</v>
      </c>
      <c r="L42">
        <v>0</v>
      </c>
      <c r="M42" s="3">
        <f t="shared" si="8"/>
        <v>0</v>
      </c>
      <c r="N42">
        <v>0</v>
      </c>
      <c r="O42" s="3">
        <f t="shared" si="13"/>
        <v>0</v>
      </c>
      <c r="P42" s="3">
        <f t="shared" si="14"/>
        <v>0</v>
      </c>
      <c r="Q42" s="7">
        <f t="shared" si="15"/>
        <v>0</v>
      </c>
      <c r="R42">
        <v>5221</v>
      </c>
      <c r="S42" t="s">
        <v>231</v>
      </c>
    </row>
    <row r="43" spans="1:19" x14ac:dyDescent="0.3">
      <c r="A43" t="s">
        <v>228</v>
      </c>
      <c r="B43" s="5">
        <f>VLOOKUP($A43,'[1]Gas - Proved reserves'!$A$7:$E$76,5,FALSE)*1000</f>
        <v>289.86642611475003</v>
      </c>
      <c r="C43" s="4">
        <v>24.722997071116467</v>
      </c>
      <c r="D43" s="4">
        <v>9.1261490561526877</v>
      </c>
      <c r="E43" s="4">
        <v>0</v>
      </c>
      <c r="F43" s="4">
        <f t="shared" si="9"/>
        <v>9.1261490561526877</v>
      </c>
      <c r="G43" s="3">
        <v>2.3755233230331414</v>
      </c>
      <c r="H43" s="3">
        <v>0</v>
      </c>
      <c r="I43" s="3">
        <f t="shared" si="10"/>
        <v>2.3755233230331414</v>
      </c>
      <c r="J43" s="8">
        <f t="shared" si="11"/>
        <v>11.724566616294144</v>
      </c>
      <c r="K43" s="4">
        <f t="shared" si="12"/>
        <v>265.14342904363355</v>
      </c>
      <c r="L43">
        <v>0</v>
      </c>
      <c r="M43" s="3">
        <f t="shared" si="8"/>
        <v>0</v>
      </c>
      <c r="N43">
        <v>2.38</v>
      </c>
      <c r="O43" s="3">
        <f t="shared" si="13"/>
        <v>4.4766769668584949E-3</v>
      </c>
      <c r="P43" s="3">
        <f t="shared" si="14"/>
        <v>4.4766769668584949E-3</v>
      </c>
      <c r="Q43" s="7">
        <f t="shared" si="15"/>
        <v>2.9907547776318151E-5</v>
      </c>
      <c r="R43">
        <v>3355</v>
      </c>
      <c r="S43" t="s">
        <v>231</v>
      </c>
    </row>
    <row r="44" spans="1:19" x14ac:dyDescent="0.3">
      <c r="A44" t="s">
        <v>160</v>
      </c>
      <c r="B44" s="5">
        <f>VLOOKUP($A44,'[1]Gas - Proved reserves'!$A$7:$E$76,5,FALSE)*1000</f>
        <v>13601.25</v>
      </c>
      <c r="C44" s="4">
        <v>79.283595132743386</v>
      </c>
      <c r="D44" s="4">
        <v>0</v>
      </c>
      <c r="E44" s="4">
        <v>42.052155772304786</v>
      </c>
      <c r="F44" s="4">
        <f t="shared" si="9"/>
        <v>42.052155772304786</v>
      </c>
      <c r="G44" s="3">
        <v>0</v>
      </c>
      <c r="H44" s="3">
        <v>0</v>
      </c>
      <c r="I44" s="4">
        <f t="shared" si="10"/>
        <v>0</v>
      </c>
      <c r="J44" s="8">
        <f t="shared" si="11"/>
        <v>171.55188254553318</v>
      </c>
      <c r="K44" s="4">
        <f t="shared" si="12"/>
        <v>13521.966404867257</v>
      </c>
      <c r="L44">
        <v>0</v>
      </c>
      <c r="M44" s="3">
        <f t="shared" si="8"/>
        <v>0</v>
      </c>
      <c r="N44">
        <v>0.27</v>
      </c>
      <c r="O44" s="3">
        <f t="shared" si="13"/>
        <v>0.27</v>
      </c>
      <c r="P44" s="3">
        <f t="shared" si="14"/>
        <v>0.27</v>
      </c>
      <c r="Q44" s="7">
        <f t="shared" si="15"/>
        <v>1.8038017840881992E-3</v>
      </c>
      <c r="R44" s="15" t="s">
        <v>272</v>
      </c>
      <c r="S44" t="s">
        <v>231</v>
      </c>
    </row>
    <row r="45" spans="1:19" x14ac:dyDescent="0.3">
      <c r="A45" t="s">
        <v>86</v>
      </c>
      <c r="B45" s="5">
        <f>VLOOKUP($A45,'[1]Gas - Proved reserves'!$A$7:$E$76,5,FALSE)*1000</f>
        <v>1091.2109671474802</v>
      </c>
      <c r="C45" s="4">
        <v>18.582212389380533</v>
      </c>
      <c r="D45" s="4">
        <v>0</v>
      </c>
      <c r="E45" s="4">
        <v>0</v>
      </c>
      <c r="F45" s="4">
        <f t="shared" si="9"/>
        <v>0</v>
      </c>
      <c r="G45" s="3">
        <v>0</v>
      </c>
      <c r="H45" s="3">
        <v>0</v>
      </c>
      <c r="I45" s="4">
        <f t="shared" si="10"/>
        <v>0</v>
      </c>
      <c r="J45" s="8">
        <f t="shared" si="11"/>
        <v>58.723414859421773</v>
      </c>
      <c r="K45" s="4">
        <f t="shared" si="12"/>
        <v>1072.6287547580996</v>
      </c>
      <c r="L45">
        <v>0</v>
      </c>
      <c r="M45" s="3">
        <f t="shared" si="8"/>
        <v>0</v>
      </c>
      <c r="N45">
        <v>0</v>
      </c>
      <c r="O45" s="3">
        <f t="shared" si="13"/>
        <v>0</v>
      </c>
      <c r="P45" s="3">
        <f t="shared" si="14"/>
        <v>0</v>
      </c>
      <c r="Q45" s="7">
        <f t="shared" si="15"/>
        <v>0</v>
      </c>
      <c r="R45">
        <v>0</v>
      </c>
      <c r="S45" t="s">
        <v>231</v>
      </c>
    </row>
    <row r="46" spans="1:19" x14ac:dyDescent="0.3">
      <c r="A46" t="s">
        <v>132</v>
      </c>
      <c r="B46" s="5">
        <f>VLOOKUP($A46,'[1]Gas - Proved reserves'!$A$7:$E$76,5,FALSE)*1000</f>
        <v>5938.7250000000004</v>
      </c>
      <c r="C46" s="4">
        <v>56.994165591446077</v>
      </c>
      <c r="D46" s="4">
        <v>0</v>
      </c>
      <c r="E46" s="4">
        <v>0</v>
      </c>
      <c r="F46" s="4">
        <f t="shared" si="9"/>
        <v>0</v>
      </c>
      <c r="G46" s="3">
        <v>0</v>
      </c>
      <c r="H46" s="3">
        <v>0</v>
      </c>
      <c r="I46" s="4">
        <f t="shared" si="10"/>
        <v>0</v>
      </c>
      <c r="J46" s="8">
        <f t="shared" si="11"/>
        <v>104.19882348257957</v>
      </c>
      <c r="K46" s="4">
        <f t="shared" si="12"/>
        <v>5881.7308344085541</v>
      </c>
      <c r="L46">
        <v>0</v>
      </c>
      <c r="M46" s="3">
        <f t="shared" si="8"/>
        <v>0</v>
      </c>
      <c r="N46">
        <v>10.34</v>
      </c>
      <c r="O46" s="3">
        <f t="shared" si="13"/>
        <v>10.34</v>
      </c>
      <c r="P46" s="3">
        <f t="shared" si="14"/>
        <v>10.34</v>
      </c>
      <c r="Q46" s="7">
        <f t="shared" si="15"/>
        <v>6.9078927583229546E-2</v>
      </c>
      <c r="R46">
        <v>3476</v>
      </c>
      <c r="S46" t="s">
        <v>231</v>
      </c>
    </row>
    <row r="47" spans="1:19" x14ac:dyDescent="0.3">
      <c r="A47" t="s">
        <v>17</v>
      </c>
      <c r="B47" s="5">
        <f>VLOOKUP($A47,'[1]Gas - Proved reserves'!$A$7:$E$76,5,FALSE)*1000</f>
        <v>186.97934276987775</v>
      </c>
      <c r="C47" s="4">
        <v>32.697748800000006</v>
      </c>
      <c r="D47" s="4">
        <v>0</v>
      </c>
      <c r="E47" s="4">
        <v>0</v>
      </c>
      <c r="F47" s="4">
        <f t="shared" si="9"/>
        <v>0</v>
      </c>
      <c r="G47" s="3">
        <v>0</v>
      </c>
      <c r="H47" s="3">
        <v>0</v>
      </c>
      <c r="I47" s="4">
        <f t="shared" si="10"/>
        <v>0</v>
      </c>
      <c r="J47" s="8">
        <f t="shared" si="11"/>
        <v>5.7184163935432064</v>
      </c>
      <c r="K47" s="4">
        <f t="shared" si="12"/>
        <v>154.28159396987775</v>
      </c>
      <c r="L47">
        <v>0</v>
      </c>
      <c r="M47" s="3">
        <f t="shared" si="8"/>
        <v>0</v>
      </c>
      <c r="N47">
        <v>0</v>
      </c>
      <c r="O47" s="3">
        <f t="shared" si="13"/>
        <v>0</v>
      </c>
      <c r="P47" s="3">
        <f t="shared" si="14"/>
        <v>0</v>
      </c>
      <c r="Q47" s="7">
        <f t="shared" si="15"/>
        <v>0</v>
      </c>
      <c r="R47">
        <v>639</v>
      </c>
      <c r="S47" t="s">
        <v>231</v>
      </c>
    </row>
    <row r="48" spans="1:19" x14ac:dyDescent="0.3">
      <c r="A48" t="s">
        <v>227</v>
      </c>
      <c r="B48" s="5">
        <f>VLOOKUP($A48,'[1]Gas - Proved reserves'!$A$7:$E$76,5,FALSE)*1000</f>
        <v>12618.704422344374</v>
      </c>
      <c r="C48" s="4">
        <v>934.20318753822266</v>
      </c>
      <c r="D48" s="4">
        <v>95.030511509181906</v>
      </c>
      <c r="E48" s="4">
        <v>84.287079125287505</v>
      </c>
      <c r="F48" s="4">
        <f t="shared" si="9"/>
        <v>179.31759063446941</v>
      </c>
      <c r="G48" s="3">
        <v>30.808964113832808</v>
      </c>
      <c r="H48" s="3">
        <v>0</v>
      </c>
      <c r="I48" s="4">
        <f t="shared" si="10"/>
        <v>30.808964113832808</v>
      </c>
      <c r="J48" s="8">
        <f t="shared" si="11"/>
        <v>13.507451687888919</v>
      </c>
      <c r="K48" s="4">
        <f t="shared" si="12"/>
        <v>11684.50123480615</v>
      </c>
      <c r="L48">
        <v>0</v>
      </c>
      <c r="M48" s="3">
        <f t="shared" si="8"/>
        <v>0</v>
      </c>
      <c r="N48">
        <v>101.2</v>
      </c>
      <c r="O48" s="3">
        <f t="shared" si="13"/>
        <v>70.391035886167202</v>
      </c>
      <c r="P48" s="3">
        <f t="shared" si="14"/>
        <v>70.391035886167202</v>
      </c>
      <c r="Q48" s="7">
        <f t="shared" si="15"/>
        <v>0.47026472635290678</v>
      </c>
      <c r="R48">
        <v>4362</v>
      </c>
      <c r="S48" t="s">
        <v>231</v>
      </c>
    </row>
    <row r="49" spans="1:19" x14ac:dyDescent="0.3">
      <c r="A49" t="s">
        <v>148</v>
      </c>
      <c r="B49" s="5">
        <f>VLOOKUP($A49,'[1]Gas - Proved reserves'!$A$7:$E$76,5,FALSE)*1000</f>
        <v>845.32500000000005</v>
      </c>
      <c r="C49" s="4">
        <v>50.918805309734509</v>
      </c>
      <c r="D49" s="4">
        <v>0</v>
      </c>
      <c r="E49" s="4">
        <v>4.4913572829991564</v>
      </c>
      <c r="F49" s="4">
        <f t="shared" si="9"/>
        <v>4.4913572829991564</v>
      </c>
      <c r="G49" s="3">
        <v>0</v>
      </c>
      <c r="H49" s="3">
        <v>0</v>
      </c>
      <c r="I49" s="4">
        <f t="shared" si="10"/>
        <v>0</v>
      </c>
      <c r="J49" s="8">
        <f t="shared" si="11"/>
        <v>16.601430352852237</v>
      </c>
      <c r="K49" s="4">
        <f t="shared" si="12"/>
        <v>794.40619469026558</v>
      </c>
      <c r="L49">
        <v>0</v>
      </c>
      <c r="M49" s="3">
        <f t="shared" si="8"/>
        <v>0</v>
      </c>
      <c r="N49">
        <v>0</v>
      </c>
      <c r="O49" s="3">
        <f t="shared" si="13"/>
        <v>0</v>
      </c>
      <c r="P49" s="3">
        <f t="shared" si="14"/>
        <v>0</v>
      </c>
      <c r="Q49" s="7">
        <f t="shared" si="15"/>
        <v>0</v>
      </c>
      <c r="R49" s="15" t="s">
        <v>272</v>
      </c>
      <c r="S49" t="s">
        <v>231</v>
      </c>
    </row>
    <row r="50" spans="1:19" x14ac:dyDescent="0.3">
      <c r="A50" t="s">
        <v>146</v>
      </c>
      <c r="B50" s="5">
        <f>VLOOKUP($A50,'[1]Gas - Proved reserves'!$A$7:$E$76,5,FALSE)*1000</f>
        <v>6260.1734064165266</v>
      </c>
      <c r="C50" s="4">
        <v>23.977126628818752</v>
      </c>
      <c r="D50" s="4">
        <v>0</v>
      </c>
      <c r="E50" s="4">
        <v>0</v>
      </c>
      <c r="F50" s="4">
        <f t="shared" si="9"/>
        <v>0</v>
      </c>
      <c r="G50" s="3">
        <v>0</v>
      </c>
      <c r="H50" s="3">
        <v>0</v>
      </c>
      <c r="I50" s="4">
        <f t="shared" si="10"/>
        <v>0</v>
      </c>
      <c r="J50" s="8">
        <f t="shared" si="11"/>
        <v>261.08939170768929</v>
      </c>
      <c r="K50" s="4">
        <f t="shared" si="12"/>
        <v>6236.1962797877077</v>
      </c>
      <c r="L50">
        <v>0</v>
      </c>
      <c r="M50" s="3">
        <f t="shared" si="8"/>
        <v>0</v>
      </c>
      <c r="N50">
        <v>0</v>
      </c>
      <c r="O50" s="3">
        <f t="shared" si="13"/>
        <v>0</v>
      </c>
      <c r="P50" s="3">
        <f t="shared" si="14"/>
        <v>0</v>
      </c>
      <c r="Q50" s="7">
        <f t="shared" si="15"/>
        <v>0</v>
      </c>
      <c r="R50">
        <v>3443</v>
      </c>
      <c r="S50" t="s">
        <v>255</v>
      </c>
    </row>
    <row r="51" spans="1:19" x14ac:dyDescent="0.3">
      <c r="A51" t="s">
        <v>137</v>
      </c>
      <c r="B51" s="5">
        <f>VLOOKUP($A51,'[1]Gas - Proved reserves'!$A$7:$E$76,5,FALSE)*1000</f>
        <v>645.9286386595777</v>
      </c>
      <c r="C51" s="4">
        <v>7.1217000000000015</v>
      </c>
      <c r="D51" s="4">
        <v>0</v>
      </c>
      <c r="E51" s="4">
        <v>0</v>
      </c>
      <c r="F51" s="4">
        <f t="shared" si="9"/>
        <v>0</v>
      </c>
      <c r="G51" s="3">
        <v>0</v>
      </c>
      <c r="H51" s="3">
        <v>0</v>
      </c>
      <c r="I51" s="4">
        <f t="shared" si="10"/>
        <v>0</v>
      </c>
      <c r="J51" s="8">
        <f t="shared" si="11"/>
        <v>90.698658839824418</v>
      </c>
      <c r="K51" s="4">
        <f t="shared" si="12"/>
        <v>638.80693865957767</v>
      </c>
      <c r="L51">
        <v>0</v>
      </c>
      <c r="M51" s="3">
        <f t="shared" si="8"/>
        <v>0</v>
      </c>
      <c r="N51">
        <v>0</v>
      </c>
      <c r="O51" s="3">
        <f t="shared" si="13"/>
        <v>0</v>
      </c>
      <c r="P51" s="3">
        <f t="shared" si="14"/>
        <v>0</v>
      </c>
      <c r="Q51" s="7">
        <f t="shared" si="15"/>
        <v>0</v>
      </c>
      <c r="R51">
        <v>6253</v>
      </c>
    </row>
    <row r="52" spans="1:19" x14ac:dyDescent="0.3">
      <c r="A52" t="s">
        <v>154</v>
      </c>
      <c r="B52" s="5">
        <f>VLOOKUP($A52,'[1]Gas - Proved reserves'!$A$7:$E$76,5,FALSE)*1000</f>
        <v>265.83103001075847</v>
      </c>
      <c r="C52" s="4">
        <v>0.39774999999999999</v>
      </c>
      <c r="D52" s="4">
        <v>0</v>
      </c>
      <c r="E52" s="4">
        <v>0</v>
      </c>
      <c r="F52" s="4">
        <f t="shared" si="9"/>
        <v>0</v>
      </c>
      <c r="G52" s="3">
        <v>0</v>
      </c>
      <c r="H52" s="3">
        <v>0</v>
      </c>
      <c r="I52" s="4">
        <f t="shared" si="10"/>
        <v>0</v>
      </c>
      <c r="J52" s="8">
        <f t="shared" si="11"/>
        <v>668.33697048587931</v>
      </c>
      <c r="K52" s="4">
        <f t="shared" si="12"/>
        <v>265.43328001075849</v>
      </c>
      <c r="L52">
        <v>0</v>
      </c>
      <c r="M52" s="3">
        <f t="shared" si="8"/>
        <v>0</v>
      </c>
      <c r="N52">
        <v>0</v>
      </c>
      <c r="O52" s="3">
        <f t="shared" si="13"/>
        <v>0</v>
      </c>
      <c r="P52" s="3">
        <f t="shared" si="14"/>
        <v>0</v>
      </c>
      <c r="Q52" s="7">
        <f t="shared" si="15"/>
        <v>0</v>
      </c>
      <c r="R52">
        <v>1987</v>
      </c>
      <c r="S52" t="s">
        <v>231</v>
      </c>
    </row>
  </sheetData>
  <autoFilter ref="A1:S52" xr:uid="{688DE329-F89B-4C70-9F66-A543D2FD28FB}">
    <sortState xmlns:xlrd2="http://schemas.microsoft.com/office/spreadsheetml/2017/richdata2" ref="A2:S52">
      <sortCondition ref="A1:A52"/>
    </sortState>
  </autoFilter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A6FB-4EC4-4914-B539-55B02AB998A0}">
  <dimension ref="A1:B17"/>
  <sheetViews>
    <sheetView workbookViewId="0">
      <selection activeCell="A16" sqref="A16:XFD16"/>
    </sheetView>
  </sheetViews>
  <sheetFormatPr defaultRowHeight="14.4" x14ac:dyDescent="0.3"/>
  <cols>
    <col min="1" max="1" width="18" bestFit="1" customWidth="1"/>
    <col min="2" max="2" width="22.88671875" bestFit="1" customWidth="1"/>
  </cols>
  <sheetData>
    <row r="1" spans="1:2" x14ac:dyDescent="0.3">
      <c r="A1" s="11" t="s">
        <v>168</v>
      </c>
      <c r="B1" s="11" t="s">
        <v>256</v>
      </c>
    </row>
    <row r="2" spans="1:2" x14ac:dyDescent="0.3">
      <c r="A2" t="s">
        <v>112</v>
      </c>
      <c r="B2" t="s">
        <v>255</v>
      </c>
    </row>
    <row r="3" spans="1:2" x14ac:dyDescent="0.3">
      <c r="A3" s="16" t="s">
        <v>108</v>
      </c>
      <c r="B3" t="s">
        <v>252</v>
      </c>
    </row>
    <row r="4" spans="1:2" x14ac:dyDescent="0.3">
      <c r="A4" t="s">
        <v>14</v>
      </c>
      <c r="B4" t="s">
        <v>251</v>
      </c>
    </row>
    <row r="5" spans="1:2" x14ac:dyDescent="0.3">
      <c r="A5" s="16" t="s">
        <v>99</v>
      </c>
      <c r="B5" t="s">
        <v>255</v>
      </c>
    </row>
    <row r="6" spans="1:2" x14ac:dyDescent="0.3">
      <c r="A6" t="s">
        <v>50</v>
      </c>
      <c r="B6" t="s">
        <v>254</v>
      </c>
    </row>
    <row r="7" spans="1:2" x14ac:dyDescent="0.3">
      <c r="A7" t="s">
        <v>11</v>
      </c>
      <c r="B7" t="s">
        <v>251</v>
      </c>
    </row>
    <row r="8" spans="1:2" x14ac:dyDescent="0.3">
      <c r="A8" t="s">
        <v>130</v>
      </c>
      <c r="B8" t="s">
        <v>252</v>
      </c>
    </row>
    <row r="9" spans="1:2" x14ac:dyDescent="0.3">
      <c r="A9" t="s">
        <v>150</v>
      </c>
      <c r="B9" t="s">
        <v>252</v>
      </c>
    </row>
    <row r="10" spans="1:2" x14ac:dyDescent="0.3">
      <c r="A10" s="16" t="s">
        <v>116</v>
      </c>
      <c r="B10" t="s">
        <v>252</v>
      </c>
    </row>
    <row r="11" spans="1:2" x14ac:dyDescent="0.3">
      <c r="A11" t="s">
        <v>165</v>
      </c>
      <c r="B11" t="s">
        <v>253</v>
      </c>
    </row>
    <row r="12" spans="1:2" x14ac:dyDescent="0.3">
      <c r="A12" t="s">
        <v>104</v>
      </c>
      <c r="B12" t="s">
        <v>257</v>
      </c>
    </row>
    <row r="13" spans="1:2" x14ac:dyDescent="0.3">
      <c r="A13" t="s">
        <v>0</v>
      </c>
      <c r="B13" t="s">
        <v>258</v>
      </c>
    </row>
    <row r="14" spans="1:2" x14ac:dyDescent="0.3">
      <c r="A14" t="s">
        <v>74</v>
      </c>
      <c r="B14" t="s">
        <v>22</v>
      </c>
    </row>
    <row r="15" spans="1:2" x14ac:dyDescent="0.3">
      <c r="A15" t="s">
        <v>113</v>
      </c>
      <c r="B15" t="s">
        <v>259</v>
      </c>
    </row>
    <row r="16" spans="1:2" x14ac:dyDescent="0.3">
      <c r="A16" t="s">
        <v>236</v>
      </c>
      <c r="B16" t="s">
        <v>260</v>
      </c>
    </row>
    <row r="17" spans="1:2" x14ac:dyDescent="0.3">
      <c r="A17" t="s">
        <v>146</v>
      </c>
      <c r="B17" t="s">
        <v>255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44ae6a-e145-4c9d-94e7-ddf9cc58067e">
      <Terms xmlns="http://schemas.microsoft.com/office/infopath/2007/PartnerControls"/>
    </lcf76f155ced4ddcb4097134ff3c332f>
    <TaxCatchAll xmlns="e67e9a88-35e1-4b39-8da9-a609eb308282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F Y G A A B Q S w M E F A A C A A g A R W 7 N V i N M k e 2 l A A A A 9 g A A A B I A H A B D b 2 5 m a W c v U G F j a 2 F n Z S 5 4 b W w g o h g A K K A U A A A A A A A A A A A A A A A A A A A A A A A A A A A A h Y 8 x D o I w G I W v Q r r T l p K o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t q F q x 2 Q K Q J 5 f + A P U E s D B B Q A A g A I A E V u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b s 1 W t c v 1 B U 8 D A A C v D g A A E w A c A E Z v c m 1 1 b G F z L 1 N l Y 3 R p b 2 4 x L m 0 g o h g A K K A U A A A A A A A A A A A A A A A A A A A A A A A A A A A A 5 V Z d T 9 s w F H 1 H 4 j 9 c h Z d W a i v S M g p D f W A t b J H G q F r g h a L J S 2 6 p N c e O b K e D I f 7 7 b t I W C q l L V P a 0 5 S X S / b J 9 j n 3 u N R h a r i Q M Z 3 / / a H t r e 8 t M m M Y I d r w L 9 k P g 7 u 4 + V P r s F u G w 6 k E H B N r t L a D v X P N b L p F M / W j c y G N N 5 Z Q L b H S V t C i t q X j d j 6 N L g 9 q M h N I o R 3 0 l u M V Q 8 l B B x O G M C y b V q H f y 7 X N 9 e D I 8 P o M 6 9 F S Y x p T M R / 3 L T 1 + D 7 v F F c P 5 t O G r u N l v f h x O U k e Y / 1 Z R 9 P 0 M t O C X H K k I x i p h l o 8 + o k m w B H j I B X E b 0 t 4 r W 7 g X 1 M Z d M 1 K e 0 E z p l X W O i t G 0 k 0 d i r 1 u A 6 i B O B 2 Z o s w 6 D j + Y 2 W d 1 O t z U 7 5 h E F n c e C H 6 y D q P G H j 3 T x e 9 2 j 1 m 3 n 8 j n e m I j 7 O 1 w b L E 5 V h l g c 3 L j S T Z q x 0 3 F U i j e X F f U K A L e r U H h 6 8 m d 3 3 a m D J B x b v 7 G M N F v a m w 9 5 y 2 P c c 9 g 8 O + 7 7 D 3 n b Y D x z 2 w x f 2 x + o T M A H d C m P Z b w K Z A x O / m c X s F g g + R S G W c O p r F S u L X 5 B F R F i l i C h x N o 8 5 F m J I b D N t O l a n e F N 1 s e C / Q c O b u 8 v 4 y f P B x c M / z o 9 f n i B / E 4 a a 7 2 T I z y n q Y a x C z c J 7 C G S E d 0 C 6 U e T l n I S A C V G w D 5 j 8 W Q R t w i S J H 5 e g V 7 k D O B E k n o o K Q q J V i M Y U Y w I 4 T W W u s F z e g h q v i A i g v 9 C u o v d q j f M K u n z K x W a k N s u T 2 t y E 1 N Y 7 S W 1 6 6 3 T R h N R V y E o 1 9 v c a W c W 1 z 2 5 M m y e O c M p V a u A e m S 7 m M h l B I l J i k 5 u 4 U O F W 0 c 2 R W a s o Z i Z M E 0 E 8 y Z t I 0 R 2 m w q a r d i v 4 D 6 R M N C 9 d p S l s l a e w t Q m F e + + k s L W W w m f p L E n i s 3 a + S j h N h Y B o 8 f x d B f d d j r b L c e B y H D o J O 9 c R z R u E A g 0 M E 3 z G b 0 h T R 5 G V v S W A M i A o G 3 W j h y a k a Y f 0 Y r k y j V d W r 6 q M m Q g N 1 K + M j 1 f L 1 w B Z O I G M 5 e r 2 F p e O W i t H v / Z 8 9 P N 3 6 3 7 r P x 7 / 2 o 7 x r 1 0 c / z a c c h Y F N 3 i h f 2 O 0 c b 3 P e a v c q Y h x 1 S G 3 J b p m n l 5 G f l d 0 0 z x 3 v S w X + m u e s 0 6 s X / T b P P o N + V 5 u w X m 8 U 8 / n / T g P e l v b B z x W x i C E S i g p l 1 7 0 g J R s i j N a V s 7 A T 8 C X x r o 0 u m U A L Q H h O t A c M D 2 + U K j X 4 B z 9 A V B L A Q I t A B Q A A g A I A E V u z V Y j T J H t p Q A A A P Y A A A A S A A A A A A A A A A A A A A A A A A A A A A B D b 2 5 m a W c v U G F j a 2 F n Z S 5 4 b W x Q S w E C L Q A U A A I A C A B F b s 1 W D 8 r p q 6 Q A A A D p A A A A E w A A A A A A A A A A A A A A A A D x A A A A W 0 N v b n R l b n R f V H l w Z X N d L n h t b F B L A Q I t A B Q A A g A I A E V u z V a 1 y / U F T w M A A K 8 O A A A T A A A A A A A A A A A A A A A A A O I B A A B G b 3 J t d W x h c y 9 T Z W N 0 a W 9 u M S 5 t U E s F B g A A A A A D A A M A w g A A A H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d A A A A A A A A w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E 6 N D c 6 M z c u N z E 2 N D A 3 O V o i I C 8 + P E V u d H J 5 I F R 5 c G U 9 I k Z p b G x D b 2 x 1 b W 5 U e X B l c y I g V m F s d W U 9 I n N C Z 0 1 H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G d W x s I G R l b W 9 j c m F j e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O S k v Q X V 0 b 1 J l b W 9 2 Z W R D b 2 x 1 b W 5 z M S 5 7 Q 2 9 s d W 1 u M S w w f S Z x d W 9 0 O y w m c X V v d D t T Z W N 0 a W 9 u M S 9 U Y W J s Z T A w N i A o U G F n Z S A 5 K S 9 B d X R v U m V t b 3 Z l Z E N v b H V t b n M x L n t D b 2 x 1 b W 4 y L D F 9 J n F 1 b 3 Q 7 L C Z x d W 9 0 O 1 N l Y 3 R p b 2 4 x L 1 R h Y m x l M D A 2 I C h Q Y W d l I D k p L 0 F 1 d G 9 S Z W 1 v d m V k Q 2 9 s d W 1 u c z E u e 0 N v b H V t b j M s M n 0 m c X V v d D s s J n F 1 b 3 Q 7 U 2 V j d G l v b j E v V G F i b G U w M D Y g K F B h Z 2 U g O S k v Q X V 0 b 1 J l b W 9 2 Z W R D b 2 x 1 b W 5 z M S 5 7 Q 2 9 s d W 1 u N C w z f S Z x d W 9 0 O y w m c X V v d D t T Z W N 0 a W 9 u M S 9 U Y W J s Z T A w N i A o U G F n Z S A 5 K S 9 B d X R v U m V t b 3 Z l Z E N v b H V t b n M x L n t G d W x s I G R l b W 9 j c m F j e S w 0 f S Z x d W 9 0 O y w m c X V v d D t T Z W N 0 a W 9 u M S 9 U Y W J s Z T A w N i A o U G F n Z S A 5 K S 9 B d X R v U m V t b 3 Z l Z E N v b H V t b n M x L n t D b 2 x 1 b W 4 2 L D V 9 J n F 1 b 3 Q 7 L C Z x d W 9 0 O 1 N l Y 3 R p b 2 4 x L 1 R h Y m x l M D A 2 I C h Q Y W d l I D k p L 0 F 1 d G 9 S Z W 1 v d m V k Q 2 9 s d W 1 u c z E u e 0 N v b H V t b j c s N n 0 m c X V v d D s s J n F 1 b 3 Q 7 U 2 V j d G l v b j E v V G F i b G U w M D Y g K F B h Z 2 U g O S k v Q X V 0 b 1 J l b W 9 2 Z W R D b 2 x 1 b W 5 z M S 5 7 Q 2 9 s d W 1 u O C w 3 f S Z x d W 9 0 O y w m c X V v d D t T Z W N 0 a W 9 u M S 9 U Y W J s Z T A w N i A o U G F n Z S A 5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2 I C h Q Y W d l I D k p L 0 F 1 d G 9 S Z W 1 v d m V k Q 2 9 s d W 1 u c z E u e 0 N v b H V t b j E s M H 0 m c X V v d D s s J n F 1 b 3 Q 7 U 2 V j d G l v b j E v V G F i b G U w M D Y g K F B h Z 2 U g O S k v Q X V 0 b 1 J l b W 9 2 Z W R D b 2 x 1 b W 5 z M S 5 7 Q 2 9 s d W 1 u M i w x f S Z x d W 9 0 O y w m c X V v d D t T Z W N 0 a W 9 u M S 9 U Y W J s Z T A w N i A o U G F n Z S A 5 K S 9 B d X R v U m V t b 3 Z l Z E N v b H V t b n M x L n t D b 2 x 1 b W 4 z L D J 9 J n F 1 b 3 Q 7 L C Z x d W 9 0 O 1 N l Y 3 R p b 2 4 x L 1 R h Y m x l M D A 2 I C h Q Y W d l I D k p L 0 F 1 d G 9 S Z W 1 v d m V k Q 2 9 s d W 1 u c z E u e 0 N v b H V t b j Q s M 3 0 m c X V v d D s s J n F 1 b 3 Q 7 U 2 V j d G l v b j E v V G F i b G U w M D Y g K F B h Z 2 U g O S k v Q X V 0 b 1 J l b W 9 2 Z W R D b 2 x 1 b W 5 z M S 5 7 R n V s b C B k Z W 1 v Y 3 J h Y 3 k s N H 0 m c X V v d D s s J n F 1 b 3 Q 7 U 2 V j d G l v b j E v V G F i b G U w M D Y g K F B h Z 2 U g O S k v Q X V 0 b 1 J l b W 9 2 Z W R D b 2 x 1 b W 5 z M S 5 7 Q 2 9 s d W 1 u N i w 1 f S Z x d W 9 0 O y w m c X V v d D t T Z W N 0 a W 9 u M S 9 U Y W J s Z T A w N i A o U G F n Z S A 5 K S 9 B d X R v U m V t b 3 Z l Z E N v b H V t b n M x L n t D b 2 x 1 b W 4 3 L D Z 9 J n F 1 b 3 Q 7 L C Z x d W 9 0 O 1 N l Y 3 R p b 2 4 x L 1 R h Y m x l M D A 2 I C h Q Y W d l I D k p L 0 F 1 d G 9 S Z W 1 v d m V k Q 2 9 s d W 1 u c z E u e 0 N v b H V t b j g s N 3 0 m c X V v d D s s J n F 1 b 3 Q 7 U 2 V j d G l v b j E v V G F i b G U w M D Y g K F B h Z 2 U g O S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O S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O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k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5 K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k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5 K S 9 J b n R l c 3 R h e m l v b m k l M j B h b H p h d G U l M j B k a S U y M G x p d m V s b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k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5 K S 9 J b n R l c 3 R h e m l v b m k l M j B h b H p h d G U l M j B k a S U y M G x p d m V s b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k p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5 K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k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T A t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E 6 N D k 6 M z k u N j Y 4 N D E y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T 3 Z l c m F s b F x u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x M C 0 x M y k v Q X V 0 b 1 J l b W 9 2 Z W R D b 2 x 1 b W 5 z M S 5 7 Q 2 9 s d W 1 u M S w w f S Z x d W 9 0 O y w m c X V v d D t T Z W N 0 a W 9 u M S 9 U Y W J s Z T A w N y A o U G F n Z S A x M C 0 x M y k v Q X V 0 b 1 J l b W 9 2 Z W R D b 2 x 1 b W 5 z M S 5 7 T 3 Z l c m F s b F x u c 2 N v c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c g K F B h Z 2 U g M T A t M T M p L 0 F 1 d G 9 S Z W 1 v d m V k Q 2 9 s d W 1 u c z E u e 0 N v b H V t b j E s M H 0 m c X V v d D s s J n F 1 b 3 Q 7 U 2 V j d G l v b j E v V G F i b G U w M D c g K F B h Z 2 U g M T A t M T M p L 0 F 1 d G 9 S Z W 1 v d m V k Q 2 9 s d W 1 u c z E u e 0 9 2 Z X J h b G x c b n N j b 3 J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M T A t M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T A t M T M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E w L T E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T A t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E w L T E z K S 9 S a W 1 v c 3 N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h B U v 0 Q t Z R o W 6 J 7 f 1 P j f b A A A A A A I A A A A A A B B m A A A A A Q A A I A A A A K + Z G Q T Q g U h q c 7 8 4 J G O X K / M t c D k R B m 5 1 g D M J C K k T E 8 w Q A A A A A A 6 A A A A A A g A A I A A A A P 4 d O i I s D 8 5 l 8 H p Z d l S g 0 h r 7 D E L I w y h 2 L g r I z z 0 I e 2 C o U A A A A O J + r 0 C j l P O N K u y z W K R E U t H b 8 8 T Z L G 8 e T z / k U / n J v 4 U 6 f g E R / H U P G Y A f m S + Q S 5 L K a z o F f k h z e B m Q m l k 6 f L J S Z J r p 8 I 3 l A m O 6 s r F e B 1 5 r d K X B Q A A A A E + E 7 b 1 X K 3 y f M H H i h m X h 4 b S Y v R 9 a R d A 9 t j V Q Q N 5 r F w / L M X c 4 I I c e W w X V + M N 3 g 7 f 3 e O L a Z s Y h Z a 0 o Y A Z I X n y b 4 j w = < / D a t a M a s h u p > 
</file>

<file path=customXml/itemProps1.xml><?xml version="1.0" encoding="utf-8"?>
<ds:datastoreItem xmlns:ds="http://schemas.openxmlformats.org/officeDocument/2006/customXml" ds:itemID="{2DE433F6-C9A3-46AF-9919-5C0809AF0A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8F392B-7743-4824-8A8E-5A68D7319C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25D471-5AF4-456A-B8F9-96490CD4BDCA}">
  <ds:schemaRefs>
    <ds:schemaRef ds:uri="http://schemas.microsoft.com/office/2006/metadata/properties"/>
    <ds:schemaRef ds:uri="http://schemas.microsoft.com/office/infopath/2007/PartnerControls"/>
    <ds:schemaRef ds:uri="5d44ae6a-e145-4c9d-94e7-ddf9cc58067e"/>
    <ds:schemaRef ds:uri="e67e9a88-35e1-4b39-8da9-a609eb308282"/>
  </ds:schemaRefs>
</ds:datastoreItem>
</file>

<file path=customXml/itemProps4.xml><?xml version="1.0" encoding="utf-8"?>
<ds:datastoreItem xmlns:ds="http://schemas.openxmlformats.org/officeDocument/2006/customXml" ds:itemID="{AC64D81D-CB48-4CBA-8DF9-D71BA8B176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LikeMindedness</vt:lpstr>
      <vt:lpstr>GDI</vt:lpstr>
      <vt:lpstr>CPI</vt:lpstr>
      <vt:lpstr>HFI</vt:lpstr>
      <vt:lpstr>WPFI</vt:lpstr>
      <vt:lpstr>EPI</vt:lpstr>
      <vt:lpstr>Gas data</vt:lpstr>
      <vt:lpstr>O&amp;G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2023-06-12T14:03:43Z</dcterms:created>
  <dcterms:modified xsi:type="dcterms:W3CDTF">2023-07-10T17:16:43Z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0x010100241E96938535DD4B921FCDFB54345D30</vt:lpwstr>
  </property>
  <property fmtid="{D5CDD505-2E9C-101B-9397-08002B2CF9AE}" pid="3" name="MediaServiceImageTags">
    <vt:lpwstr/>
  </property>
</Properties>
</file>