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qc305/Documents/PhD/Klinisk/"/>
    </mc:Choice>
  </mc:AlternateContent>
  <xr:revisionPtr revIDLastSave="0" documentId="13_ncr:1_{AFC0119D-44FF-9C4E-A878-8657B6CFA8E4}" xr6:coauthVersionLast="45" xr6:coauthVersionMax="45" xr10:uidLastSave="{00000000-0000-0000-0000-000000000000}"/>
  <bookViews>
    <workbookView xWindow="12720" yWindow="440" windowWidth="16180" windowHeight="16580" xr2:uid="{2474D602-20E0-9E4C-941A-F2751D11B271}"/>
    <workbookView xWindow="600" yWindow="440" windowWidth="12140" windowHeight="16580" activeTab="1" xr2:uid="{FB63AB46-2E13-DF4C-82F3-EF32305DB0C9}"/>
  </bookViews>
  <sheets>
    <sheet name="arbetsblad" sheetId="8" r:id="rId1"/>
    <sheet name="For sequencing" sheetId="9" r:id="rId2"/>
    <sheet name="Box" sheetId="1" r:id="rId3"/>
    <sheet name="List of samples" sheetId="2" r:id="rId4"/>
    <sheet name="Summary" sheetId="7" r:id="rId5"/>
    <sheet name="Label guide" sheetId="3" r:id="rId6"/>
  </sheets>
  <definedNames>
    <definedName name="B">#REF!</definedName>
    <definedName name="_xlnm.Print_Area" localSheetId="0">arbetsblad!$A$1:$R$39</definedName>
    <definedName name="_xlnm.Print_Area" localSheetId="2">Box!$A$1:$N$11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4" i="8" l="1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5" i="8"/>
  <c r="B11" i="7" l="1"/>
  <c r="B19" i="7"/>
  <c r="B18" i="7"/>
  <c r="B17" i="7"/>
  <c r="B16" i="7"/>
  <c r="Z26" i="2"/>
  <c r="Y26" i="2"/>
  <c r="X26" i="2"/>
  <c r="W26" i="2"/>
  <c r="P14" i="2"/>
  <c r="P6" i="2"/>
  <c r="I31" i="8"/>
  <c r="I27" i="8"/>
  <c r="D26" i="8"/>
  <c r="D25" i="8"/>
  <c r="I24" i="8"/>
  <c r="D24" i="8"/>
  <c r="D23" i="8"/>
  <c r="D22" i="8"/>
  <c r="D21" i="8"/>
  <c r="I20" i="8"/>
  <c r="D20" i="8"/>
  <c r="I19" i="8"/>
  <c r="D19" i="8"/>
  <c r="I18" i="8"/>
  <c r="D18" i="8"/>
  <c r="I17" i="8"/>
  <c r="D17" i="8"/>
  <c r="D16" i="8"/>
  <c r="D15" i="8"/>
  <c r="I14" i="8"/>
  <c r="D14" i="8"/>
  <c r="D13" i="8"/>
  <c r="D12" i="8"/>
  <c r="D11" i="8"/>
  <c r="D10" i="8"/>
  <c r="I9" i="8"/>
  <c r="D9" i="8"/>
  <c r="D8" i="8"/>
  <c r="D7" i="8"/>
  <c r="D6" i="8"/>
  <c r="D5" i="8"/>
  <c r="B20" i="7" l="1"/>
  <c r="C27" i="7"/>
  <c r="C26" i="7"/>
  <c r="C25" i="7"/>
  <c r="B25" i="7"/>
  <c r="B27" i="7"/>
  <c r="B26" i="7"/>
  <c r="B22" i="7"/>
  <c r="B12" i="7"/>
  <c r="B10" i="7"/>
  <c r="B9" i="7"/>
  <c r="B5" i="7"/>
  <c r="B4" i="7"/>
  <c r="B3" i="7"/>
  <c r="B2" i="7"/>
  <c r="B13" i="7" l="1"/>
  <c r="B6" i="7"/>
  <c r="P2" i="2" l="1"/>
  <c r="P4" i="2"/>
  <c r="P3" i="2"/>
  <c r="P8" i="2"/>
  <c r="P23" i="2"/>
  <c r="P9" i="2"/>
  <c r="P15" i="2"/>
  <c r="P7" i="2"/>
  <c r="P20" i="2"/>
  <c r="P5" i="2"/>
  <c r="P10" i="2"/>
  <c r="P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Sophie Emilie Søborg Agger</author>
  </authors>
  <commentList>
    <comment ref="P1" authorId="0" shapeId="0" xr:uid="{FCB511AA-8697-3648-B5DD-754B137607FA}">
      <text>
        <r>
          <rPr>
            <b/>
            <sz val="10"/>
            <color rgb="FF000000"/>
            <rFont val="Tahoma"/>
            <family val="2"/>
          </rPr>
          <t>Sophie Emilie Søborg Agger: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for mal så kun de mal og for ben så al beign
</t>
        </r>
      </text>
    </comment>
  </commentList>
</comments>
</file>

<file path=xl/sharedStrings.xml><?xml version="1.0" encoding="utf-8"?>
<sst xmlns="http://schemas.openxmlformats.org/spreadsheetml/2006/main" count="511" uniqueCount="267">
  <si>
    <t>ID</t>
  </si>
  <si>
    <t>Navn</t>
  </si>
  <si>
    <t>SSA01</t>
  </si>
  <si>
    <t>SSA02</t>
  </si>
  <si>
    <t>SSA03</t>
  </si>
  <si>
    <t>SSA04</t>
  </si>
  <si>
    <t>SSA05</t>
  </si>
  <si>
    <t>SSA06</t>
  </si>
  <si>
    <t>SSA07</t>
  </si>
  <si>
    <t>SSA08</t>
  </si>
  <si>
    <t>SSA09</t>
  </si>
  <si>
    <t>SSA10</t>
  </si>
  <si>
    <t>SSA11</t>
  </si>
  <si>
    <t>SSA12</t>
  </si>
  <si>
    <t>SSA13</t>
  </si>
  <si>
    <t>SSA14</t>
  </si>
  <si>
    <t>SSA15</t>
  </si>
  <si>
    <t>SSA16</t>
  </si>
  <si>
    <t>Topper</t>
  </si>
  <si>
    <t>Silja</t>
  </si>
  <si>
    <t>Tullamore</t>
  </si>
  <si>
    <t>Ellie</t>
  </si>
  <si>
    <t>Chili</t>
  </si>
  <si>
    <t>Hope</t>
  </si>
  <si>
    <t>Alma</t>
  </si>
  <si>
    <t>Wanda</t>
  </si>
  <si>
    <t>Maddie</t>
  </si>
  <si>
    <t>Bella</t>
  </si>
  <si>
    <t>Alice</t>
  </si>
  <si>
    <t>Complete set in folder</t>
  </si>
  <si>
    <t>Complete set in P drive</t>
  </si>
  <si>
    <t>SSA01
Tumor
19/02/20</t>
  </si>
  <si>
    <t>SSA01
cfDNA
19/02/20</t>
  </si>
  <si>
    <t>SSA01
Buffycoat
19/02/20</t>
  </si>
  <si>
    <t>SSA02
Buffycoat
17/02/20</t>
  </si>
  <si>
    <t>SSA02
Tumor
17/02/20</t>
  </si>
  <si>
    <t>SSA02
cfDNA
17/02/20</t>
  </si>
  <si>
    <t>SSA03
Buffycoat
20/11/19</t>
  </si>
  <si>
    <t>SSA03
Tumor
20/11/19</t>
  </si>
  <si>
    <t>SSA03
cfDNA
20/11/19</t>
  </si>
  <si>
    <t>SSA04
Buffycoat
07/02/20</t>
  </si>
  <si>
    <t>SSA04
Tumor 1
07/02/20</t>
  </si>
  <si>
    <t>SSA04
Tumor 2
07/02/20</t>
  </si>
  <si>
    <t>SSA04
cfDNA
07/02/20</t>
  </si>
  <si>
    <t>Sex</t>
  </si>
  <si>
    <t>Breed</t>
  </si>
  <si>
    <t>Age</t>
  </si>
  <si>
    <t>Status</t>
  </si>
  <si>
    <t>Diagnosis</t>
  </si>
  <si>
    <t>Grade</t>
  </si>
  <si>
    <t>cfDNA</t>
  </si>
  <si>
    <t>Notes</t>
  </si>
  <si>
    <t>Female</t>
  </si>
  <si>
    <t>Boxer</t>
  </si>
  <si>
    <t>Alive</t>
  </si>
  <si>
    <t>Simple carcinoma</t>
  </si>
  <si>
    <t>Yes</t>
  </si>
  <si>
    <t>-</t>
  </si>
  <si>
    <t>Kleiner Münsterländer</t>
  </si>
  <si>
    <t>Solid adenocarcinoma</t>
  </si>
  <si>
    <t>Complex adenoma</t>
  </si>
  <si>
    <t>Cocker spaniel</t>
  </si>
  <si>
    <t>Labrador</t>
  </si>
  <si>
    <t>Complex adenocarcinomas</t>
  </si>
  <si>
    <t>Large mix</t>
  </si>
  <si>
    <t>Dead</t>
  </si>
  <si>
    <t>Solid carcinoma</t>
  </si>
  <si>
    <t>No</t>
  </si>
  <si>
    <t>Also lymphoma</t>
  </si>
  <si>
    <t>WHWT</t>
  </si>
  <si>
    <t>Also (primary) lung nodule</t>
  </si>
  <si>
    <t>Border Collie</t>
  </si>
  <si>
    <t>Complex carcinoma</t>
  </si>
  <si>
    <t>Labrador mix</t>
  </si>
  <si>
    <t>High grade mammary carcinoma</t>
  </si>
  <si>
    <t>Grade set as high</t>
  </si>
  <si>
    <t>Golden Retriever</t>
  </si>
  <si>
    <t>Papillary carcinoma</t>
  </si>
  <si>
    <t>v</t>
  </si>
  <si>
    <t>Molly-Jens</t>
  </si>
  <si>
    <t>Molly-Birk</t>
  </si>
  <si>
    <t>Tulle</t>
  </si>
  <si>
    <t>Danish/swedish farmdog</t>
  </si>
  <si>
    <t>Carcinoma Grade 3</t>
  </si>
  <si>
    <t>Infected mmt</t>
  </si>
  <si>
    <t>Olivia</t>
  </si>
  <si>
    <t>SSA10
Tumor
11/5/20</t>
  </si>
  <si>
    <t>SSA11
Tumor
1/10/19</t>
  </si>
  <si>
    <t>SSA12
Buffycoat
04/10/19</t>
  </si>
  <si>
    <t>SSA12
Tumor 1
04/10/19</t>
  </si>
  <si>
    <t>SSA12
Tumor 2
7/2/20</t>
  </si>
  <si>
    <t>SSA12
cfDNA 
04/10/19</t>
  </si>
  <si>
    <t>SSA13
Buffycoat
15/6/20</t>
  </si>
  <si>
    <t>SSA13
Tumor 1
15/6/20</t>
  </si>
  <si>
    <t>SSA13
Tumor 2
15/6/20</t>
  </si>
  <si>
    <t>SSA05
Buffycoat
07/02/20</t>
  </si>
  <si>
    <t>SSA05
Tumor 1
07/02/20</t>
  </si>
  <si>
    <t>SSA05
Tumor 2
07/02/20</t>
  </si>
  <si>
    <t>SSA05
cfDNA
07/02/20</t>
  </si>
  <si>
    <t>SSA09
Tumor
09/09/20</t>
  </si>
  <si>
    <t>SSA08
Tumor
11/09/20</t>
  </si>
  <si>
    <t>SSA07
Tumor 2
08/11/19</t>
  </si>
  <si>
    <t>SSA07
Tumor 1
08/11/19</t>
  </si>
  <si>
    <t>SSA06
Buffycoat
26/02/20</t>
  </si>
  <si>
    <t>SSA06
Tumor
26/02/20</t>
  </si>
  <si>
    <t>SSA06
cfDNA
26/02/20</t>
  </si>
  <si>
    <t>Alba</t>
  </si>
  <si>
    <t>Trille</t>
  </si>
  <si>
    <t>T1=M3sin-lateral
T2=M3sin-med</t>
  </si>
  <si>
    <t>Tumor 2=T5 journal</t>
  </si>
  <si>
    <t>SSA13
cfDNA
15/6/20</t>
  </si>
  <si>
    <t>SSA15
Buffycoat
28/7/20</t>
  </si>
  <si>
    <t>SSA15
Tumor
28/7/20</t>
  </si>
  <si>
    <t>SSA15
cfDNA
28/7/20</t>
  </si>
  <si>
    <t>SSA16
Buffycoat
29/7/20</t>
  </si>
  <si>
    <t>SSA16
Tumor
29/7/20</t>
  </si>
  <si>
    <t>SSA16
cfDNA
29/7/20</t>
  </si>
  <si>
    <t>SSA17</t>
  </si>
  <si>
    <t>SSA17
Buffycoat
29/6/20</t>
  </si>
  <si>
    <t>SSA17
Tumor
29/6/20</t>
  </si>
  <si>
    <t>SSA17
cfDNA
29/6/20</t>
  </si>
  <si>
    <t>Japanese Spitz</t>
  </si>
  <si>
    <t>English springer spanel</t>
  </si>
  <si>
    <t>Ductal carcinoma</t>
  </si>
  <si>
    <t>Complex Carcinoma</t>
  </si>
  <si>
    <t>SSA14
Buffycoat
5/6/20</t>
  </si>
  <si>
    <t>SSA14
Tumor 1
5/6/20</t>
  </si>
  <si>
    <t>SSA14
Tumor 2
5/6/20</t>
  </si>
  <si>
    <t>SSA14
Tumor 3
5/6/20</t>
  </si>
  <si>
    <t>Notes2</t>
  </si>
  <si>
    <t>Jack russel</t>
  </si>
  <si>
    <t>Carcinosarcoma</t>
  </si>
  <si>
    <t>Naming of samples</t>
  </si>
  <si>
    <t>Sample type</t>
  </si>
  <si>
    <t>Date</t>
  </si>
  <si>
    <t>🅈</t>
  </si>
  <si>
    <r>
      <rPr>
        <b/>
        <sz val="16"/>
        <color theme="9" tint="-0.249977111117893"/>
        <rFont val="Calibri"/>
        <family val="2"/>
        <scheme val="minor"/>
      </rPr>
      <t>Sample type:</t>
    </r>
    <r>
      <rPr>
        <sz val="16"/>
        <color theme="9" tint="-0.249977111117893"/>
        <rFont val="Calibri"/>
        <family val="2"/>
        <scheme val="minor"/>
      </rPr>
      <t xml:space="preserve">
Buffy(coat)
Whole blood
Tumor Z
cfDNA</t>
    </r>
  </si>
  <si>
    <r>
      <rPr>
        <b/>
        <sz val="16"/>
        <color theme="1"/>
        <rFont val="Calibri"/>
        <family val="2"/>
        <scheme val="minor"/>
      </rPr>
      <t>Date:</t>
    </r>
    <r>
      <rPr>
        <sz val="16"/>
        <color theme="1"/>
        <rFont val="Calibri"/>
        <family val="2"/>
        <scheme val="minor"/>
      </rPr>
      <t xml:space="preserve">
dd/mm/yy</t>
    </r>
  </si>
  <si>
    <t>Also metastatic mct</t>
  </si>
  <si>
    <t>ID: SSA X</t>
  </si>
  <si>
    <t>X: Number 1-17</t>
  </si>
  <si>
    <t xml:space="preserve"> 🄽 : Normal 
 🅃 : Tumor</t>
  </si>
  <si>
    <t>Sample date</t>
  </si>
  <si>
    <t>T1=Tumor-wall
T2=Tumor-center</t>
  </si>
  <si>
    <t>SSA07
Whole Blood
08/11/19</t>
  </si>
  <si>
    <t>SSA08
Whole Blood
11/09/20</t>
  </si>
  <si>
    <t>SSA09
Whole Blood
09/09/20</t>
  </si>
  <si>
    <t>SSA10
Whole Blood
11/5/20</t>
  </si>
  <si>
    <t>SSA11
Whole Blood
1/10/19</t>
  </si>
  <si>
    <t>Box</t>
  </si>
  <si>
    <t>Tube</t>
  </si>
  <si>
    <t>SSA14
cfDNA - streck
microcentrifuge
5/6/20</t>
  </si>
  <si>
    <t>SSA14
cfDNA - edta
microcentrifuge
5/6/20</t>
  </si>
  <si>
    <t>SSA14
cfDNA - edta
cryotube
5/6/20</t>
  </si>
  <si>
    <t>SSA14
cfDNA - streck
cryotube
5/6/20</t>
  </si>
  <si>
    <t>DNA and RNA extraction
-----------------------------------------
Fast allprep kit</t>
  </si>
  <si>
    <t>DNA extraction
-----------------------------------------
Whatever kit you prefer</t>
  </si>
  <si>
    <t>cfDNA extraction
----------------------------------------- 
minElute ccfDNA kit</t>
  </si>
  <si>
    <t>Do nothing
---------------------------
Duplicates</t>
  </si>
  <si>
    <t>Nucelospin</t>
  </si>
  <si>
    <t>ng/µl</t>
  </si>
  <si>
    <t>minElute ccDNA</t>
  </si>
  <si>
    <t>AllPrep RNA/DNA</t>
  </si>
  <si>
    <t>Tora buffy coat</t>
  </si>
  <si>
    <t>Topper buffy coat</t>
  </si>
  <si>
    <t>Buffy Coat Tora</t>
  </si>
  <si>
    <t>RNA nanodrop</t>
  </si>
  <si>
    <t>RNA conc tapestation</t>
  </si>
  <si>
    <t>DNA nanodrop</t>
  </si>
  <si>
    <t>conc som står på röret är conc från tapestation</t>
  </si>
  <si>
    <t>RIN</t>
  </si>
  <si>
    <t>Tora cfDNA</t>
  </si>
  <si>
    <t>Topper cfDNA</t>
  </si>
  <si>
    <t>Tora tumor 29/5/20</t>
  </si>
  <si>
    <t>Tora cfDNA 29/5/20</t>
  </si>
  <si>
    <t>Topp cfDNA 2/7/20</t>
  </si>
  <si>
    <t>working nummber on tubes</t>
  </si>
  <si>
    <t>2020-08-19/20</t>
  </si>
  <si>
    <t>Tora</t>
  </si>
  <si>
    <t>Vægt</t>
  </si>
  <si>
    <t>Perla</t>
  </si>
  <si>
    <t>bambi</t>
  </si>
  <si>
    <t>SSA18</t>
  </si>
  <si>
    <t>SSA19</t>
  </si>
  <si>
    <t>yes</t>
  </si>
  <si>
    <t>Str tumor</t>
  </si>
  <si>
    <t>C</t>
  </si>
  <si>
    <t>Comedocarcinoma</t>
  </si>
  <si>
    <t>Mixed mammary tumor</t>
  </si>
  <si>
    <t>Tumor/normal</t>
  </si>
  <si>
    <t>#</t>
  </si>
  <si>
    <t>Mammary carcinomas</t>
  </si>
  <si>
    <t>Benign</t>
  </si>
  <si>
    <t>SCC</t>
  </si>
  <si>
    <t>Total</t>
  </si>
  <si>
    <t>RNA</t>
  </si>
  <si>
    <t>Malignant</t>
  </si>
  <si>
    <t>Grade - carcinomas only</t>
  </si>
  <si>
    <t>Grade 1</t>
  </si>
  <si>
    <t>Grade 2</t>
  </si>
  <si>
    <t>Grade 3</t>
  </si>
  <si>
    <t>Rack R -80°</t>
  </si>
  <si>
    <t>prep 2020-10-13</t>
  </si>
  <si>
    <t>nanodrop ng/µl</t>
  </si>
  <si>
    <t>2500 ng</t>
  </si>
  <si>
    <t>var blod i röret ?!,tumör kom 2020-10-15_extraherat 2020-11-16</t>
  </si>
  <si>
    <t>SSA03 Tumor 20/11/19</t>
  </si>
  <si>
    <t>extraherat 2020-11-16</t>
  </si>
  <si>
    <t>SSA04 Tumor 2 07/02/20</t>
  </si>
  <si>
    <t>SSA05 Tumor 2 07/02/20</t>
  </si>
  <si>
    <t>SSA07 Tumor 2 08/11/19</t>
  </si>
  <si>
    <t>SSA13 Tumor 2 15/6/20</t>
  </si>
  <si>
    <t>SSA18 Buffycoat 25/9/20</t>
  </si>
  <si>
    <t>A</t>
  </si>
  <si>
    <t>SSA19 Buffycoat 28/9/20</t>
  </si>
  <si>
    <t>B</t>
  </si>
  <si>
    <t>D</t>
  </si>
  <si>
    <t>SSA16 Tumor 2 16/9/20</t>
  </si>
  <si>
    <t>extraherat 2020-11-17</t>
  </si>
  <si>
    <t>SSA16 Tumor 2(3) 16/9/20</t>
  </si>
  <si>
    <t>ej tillräckligt med prov</t>
  </si>
  <si>
    <t>SSA18 cfDNA 25/9/20</t>
  </si>
  <si>
    <t xml:space="preserve">10 prover 2500 ng (2,5 µg) och </t>
  </si>
  <si>
    <t>SSA18 Tumor 1 25/9/20</t>
  </si>
  <si>
    <t>SSA19 cfDNA 28/9/20</t>
  </si>
  <si>
    <t>10 prover 3500 (3,5 µg)</t>
  </si>
  <si>
    <t>SSA18 Tumor 2 25/9/20</t>
  </si>
  <si>
    <t>i 25-50 µl EB el H2O</t>
  </si>
  <si>
    <t>SSA19 Tumor 1 28/9/20</t>
  </si>
  <si>
    <t>SSA19 Tumor 2 28/9/20</t>
  </si>
  <si>
    <t>Tora Tumor 1 29/5/20</t>
  </si>
  <si>
    <t>Tora Tumor 2 9/5/20</t>
  </si>
  <si>
    <t>kurvorna på DNA såg inte så bra ut på nanodrop på de prover som är extraherade</t>
  </si>
  <si>
    <t>2020-11-16--17. 260/280 mellan 1,50-1,80</t>
  </si>
  <si>
    <t>N-conc</t>
  </si>
  <si>
    <t>T-conc</t>
  </si>
  <si>
    <t>cfDNA conc</t>
  </si>
  <si>
    <t xml:space="preserve">Complex carcinoma 
</t>
  </si>
  <si>
    <t>T2=07/02/2020</t>
  </si>
  <si>
    <t>T1=04/10/2019</t>
  </si>
  <si>
    <t>Multiples</t>
  </si>
  <si>
    <t>Notes3</t>
  </si>
  <si>
    <t>Large amounts of necrosis in the tumor</t>
  </si>
  <si>
    <t>For t/n study</t>
  </si>
  <si>
    <t>cfDNA - benign</t>
  </si>
  <si>
    <t>T/N-study</t>
  </si>
  <si>
    <t>Repeat dog</t>
  </si>
  <si>
    <t>Include in</t>
  </si>
  <si>
    <t>Probable relapse</t>
  </si>
  <si>
    <t>Complex adenocarcinoma
solid adenocarcinoma
benign mixed</t>
  </si>
  <si>
    <t>Cockapoo</t>
  </si>
  <si>
    <t>CKCS</t>
  </si>
  <si>
    <t>Mixed mammary tumor
Complex adenoma</t>
  </si>
  <si>
    <t>Malignant tumors</t>
  </si>
  <si>
    <t>ng/ml</t>
  </si>
  <si>
    <t>Normal tube</t>
  </si>
  <si>
    <t>ID-18-tumor 2</t>
  </si>
  <si>
    <t>ID-16-tumor2</t>
  </si>
  <si>
    <t>Tumor 1 tube</t>
  </si>
  <si>
    <t>Tumor 2 tube</t>
  </si>
  <si>
    <t>ID-19-tumor1</t>
  </si>
  <si>
    <t>SSA3</t>
  </si>
  <si>
    <t>SSA6</t>
  </si>
  <si>
    <t>SSA2</t>
  </si>
  <si>
    <t>SSA1</t>
  </si>
  <si>
    <t>SSA4</t>
  </si>
  <si>
    <t>Sample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</si>
</sst>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4"/>
      <name val="Calibri"/>
      <family val="2"/>
      <scheme val="minor"/>
    </font>
    <font>
      <sz val="16"/>
      <color theme="9" tint="-0.249977111117893"/>
      <name val="Calibri"/>
      <family val="2"/>
      <scheme val="minor"/>
    </font>
    <font>
      <sz val="16"/>
      <color rgb="FFC00000"/>
      <name val="Calibri"/>
      <family val="2"/>
      <scheme val="minor"/>
    </font>
    <font>
      <sz val="20"/>
      <color rgb="FFC00000"/>
      <name val="Calibri"/>
      <family val="2"/>
      <scheme val="minor"/>
    </font>
    <font>
      <b/>
      <sz val="16"/>
      <color theme="9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000000"/>
      <name val="Helvetica"/>
      <family val="2"/>
    </font>
    <font>
      <sz val="12"/>
      <color theme="9" tint="-0.249977111117893"/>
      <name val="Calibri"/>
      <family val="2"/>
      <scheme val="minor"/>
    </font>
    <font>
      <sz val="12"/>
      <color theme="1" tint="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8EFA00"/>
        <bgColor indexed="64"/>
      </patternFill>
    </fill>
    <fill>
      <patternFill patternType="solid">
        <fgColor rgb="FFFF85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D579"/>
        <bgColor indexed="64"/>
      </patternFill>
    </fill>
    <fill>
      <patternFill patternType="solid">
        <fgColor rgb="FF8EA9DC"/>
        <bgColor indexed="64"/>
      </patternFill>
    </fill>
    <fill>
      <patternFill patternType="solid">
        <fgColor theme="9" tint="0.39997558519241921"/>
        <bgColor rgb="FF000000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1">
    <xf numFmtId="0" fontId="0" fillId="0" borderId="0" xfId="0"/>
    <xf numFmtId="0" fontId="0" fillId="0" borderId="0" xfId="0" applyFill="1"/>
    <xf numFmtId="0" fontId="2" fillId="0" borderId="0" xfId="0" applyFont="1"/>
    <xf numFmtId="0" fontId="0" fillId="0" borderId="0" xfId="0" applyBorder="1"/>
    <xf numFmtId="0" fontId="0" fillId="0" borderId="0" xfId="0" applyFill="1" applyBorder="1"/>
    <xf numFmtId="0" fontId="0" fillId="2" borderId="16" xfId="0" applyFill="1" applyBorder="1"/>
    <xf numFmtId="0" fontId="0" fillId="2" borderId="11" xfId="0" applyFill="1" applyBorder="1"/>
    <xf numFmtId="0" fontId="3" fillId="2" borderId="12" xfId="0" applyFont="1" applyFill="1" applyBorder="1"/>
    <xf numFmtId="0" fontId="0" fillId="2" borderId="0" xfId="0" applyFill="1" applyBorder="1"/>
    <xf numFmtId="0" fontId="0" fillId="2" borderId="13" xfId="0" applyFill="1" applyBorder="1"/>
    <xf numFmtId="0" fontId="0" fillId="2" borderId="12" xfId="0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8" fillId="2" borderId="13" xfId="0" applyFont="1" applyFill="1" applyBorder="1"/>
    <xf numFmtId="0" fontId="3" fillId="2" borderId="14" xfId="0" applyFont="1" applyFill="1" applyBorder="1"/>
    <xf numFmtId="0" fontId="3" fillId="2" borderId="15" xfId="0" applyFont="1" applyFill="1" applyBorder="1"/>
    <xf numFmtId="0" fontId="4" fillId="2" borderId="0" xfId="0" applyFont="1" applyFill="1" applyBorder="1" applyAlignment="1">
      <alignment horizontal="left" vertical="top" wrapText="1"/>
    </xf>
    <xf numFmtId="0" fontId="0" fillId="2" borderId="17" xfId="0" applyFill="1" applyBorder="1"/>
    <xf numFmtId="0" fontId="0" fillId="2" borderId="15" xfId="0" applyFill="1" applyBorder="1"/>
    <xf numFmtId="0" fontId="10" fillId="0" borderId="0" xfId="0" applyFont="1"/>
    <xf numFmtId="0" fontId="10" fillId="3" borderId="2" xfId="0" applyFont="1" applyFill="1" applyBorder="1" applyAlignment="1">
      <alignment wrapText="1"/>
    </xf>
    <xf numFmtId="0" fontId="10" fillId="3" borderId="3" xfId="0" applyFont="1" applyFill="1" applyBorder="1" applyAlignment="1">
      <alignment wrapText="1"/>
    </xf>
    <xf numFmtId="0" fontId="10" fillId="3" borderId="4" xfId="0" applyFont="1" applyFill="1" applyBorder="1" applyAlignment="1">
      <alignment wrapText="1"/>
    </xf>
    <xf numFmtId="0" fontId="10" fillId="3" borderId="5" xfId="0" applyFont="1" applyFill="1" applyBorder="1" applyAlignment="1">
      <alignment wrapText="1"/>
    </xf>
    <xf numFmtId="0" fontId="10" fillId="3" borderId="1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0" fillId="3" borderId="6" xfId="0" applyFont="1" applyFill="1" applyBorder="1" applyAlignment="1">
      <alignment wrapText="1"/>
    </xf>
    <xf numFmtId="0" fontId="11" fillId="3" borderId="9" xfId="0" applyFont="1" applyFill="1" applyBorder="1" applyAlignment="1">
      <alignment wrapText="1"/>
    </xf>
    <xf numFmtId="0" fontId="12" fillId="0" borderId="0" xfId="0" applyFont="1"/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3" borderId="24" xfId="0" applyFont="1" applyFill="1" applyBorder="1" applyAlignment="1">
      <alignment horizontal="center"/>
    </xf>
    <xf numFmtId="0" fontId="14" fillId="3" borderId="24" xfId="0" applyFont="1" applyFill="1" applyBorder="1" applyAlignment="1">
      <alignment horizontal="center"/>
    </xf>
    <xf numFmtId="0" fontId="15" fillId="3" borderId="2" xfId="0" applyFont="1" applyFill="1" applyBorder="1" applyAlignment="1">
      <alignment wrapText="1"/>
    </xf>
    <xf numFmtId="0" fontId="15" fillId="4" borderId="3" xfId="0" applyFont="1" applyFill="1" applyBorder="1" applyAlignment="1">
      <alignment wrapText="1"/>
    </xf>
    <xf numFmtId="0" fontId="16" fillId="5" borderId="3" xfId="0" applyFont="1" applyFill="1" applyBorder="1" applyAlignment="1">
      <alignment wrapText="1"/>
    </xf>
    <xf numFmtId="0" fontId="15" fillId="3" borderId="3" xfId="0" applyFont="1" applyFill="1" applyBorder="1" applyAlignment="1">
      <alignment wrapText="1"/>
    </xf>
    <xf numFmtId="0" fontId="15" fillId="5" borderId="3" xfId="0" applyFont="1" applyFill="1" applyBorder="1" applyAlignment="1">
      <alignment wrapText="1"/>
    </xf>
    <xf numFmtId="0" fontId="15" fillId="3" borderId="4" xfId="0" applyFont="1" applyFill="1" applyBorder="1" applyAlignment="1">
      <alignment wrapText="1"/>
    </xf>
    <xf numFmtId="0" fontId="15" fillId="0" borderId="0" xfId="0" applyFont="1"/>
    <xf numFmtId="0" fontId="15" fillId="5" borderId="18" xfId="0" applyFont="1" applyFill="1" applyBorder="1" applyAlignment="1">
      <alignment wrapText="1"/>
    </xf>
    <xf numFmtId="0" fontId="15" fillId="3" borderId="5" xfId="0" applyFont="1" applyFill="1" applyBorder="1" applyAlignment="1">
      <alignment wrapText="1"/>
    </xf>
    <xf numFmtId="0" fontId="15" fillId="4" borderId="1" xfId="0" applyFont="1" applyFill="1" applyBorder="1" applyAlignment="1">
      <alignment wrapText="1"/>
    </xf>
    <xf numFmtId="0" fontId="16" fillId="5" borderId="1" xfId="0" applyFont="1" applyFill="1" applyBorder="1" applyAlignment="1">
      <alignment wrapText="1"/>
    </xf>
    <xf numFmtId="0" fontId="15" fillId="3" borderId="1" xfId="0" applyFont="1" applyFill="1" applyBorder="1" applyAlignment="1">
      <alignment wrapText="1"/>
    </xf>
    <xf numFmtId="0" fontId="15" fillId="2" borderId="1" xfId="0" applyFont="1" applyFill="1" applyBorder="1" applyAlignment="1">
      <alignment wrapText="1"/>
    </xf>
    <xf numFmtId="0" fontId="16" fillId="5" borderId="6" xfId="0" applyFont="1" applyFill="1" applyBorder="1" applyAlignment="1">
      <alignment wrapText="1"/>
    </xf>
    <xf numFmtId="0" fontId="15" fillId="5" borderId="19" xfId="0" applyFont="1" applyFill="1" applyBorder="1" applyAlignment="1">
      <alignment wrapText="1"/>
    </xf>
    <xf numFmtId="0" fontId="16" fillId="3" borderId="1" xfId="0" applyFont="1" applyFill="1" applyBorder="1" applyAlignment="1">
      <alignment wrapText="1"/>
    </xf>
    <xf numFmtId="0" fontId="16" fillId="2" borderId="6" xfId="0" applyFont="1" applyFill="1" applyBorder="1" applyAlignment="1">
      <alignment wrapText="1"/>
    </xf>
    <xf numFmtId="0" fontId="15" fillId="4" borderId="5" xfId="0" applyFont="1" applyFill="1" applyBorder="1" applyAlignment="1">
      <alignment wrapText="1"/>
    </xf>
    <xf numFmtId="0" fontId="15" fillId="2" borderId="6" xfId="0" applyFont="1" applyFill="1" applyBorder="1" applyAlignment="1">
      <alignment wrapText="1"/>
    </xf>
    <xf numFmtId="0" fontId="15" fillId="5" borderId="20" xfId="0" applyFont="1" applyFill="1" applyBorder="1" applyAlignment="1">
      <alignment wrapText="1"/>
    </xf>
    <xf numFmtId="0" fontId="15" fillId="5" borderId="6" xfId="0" applyFont="1" applyFill="1" applyBorder="1" applyAlignment="1">
      <alignment wrapText="1"/>
    </xf>
    <xf numFmtId="0" fontId="15" fillId="5" borderId="5" xfId="0" applyFont="1" applyFill="1" applyBorder="1" applyAlignment="1">
      <alignment wrapText="1"/>
    </xf>
    <xf numFmtId="0" fontId="15" fillId="5" borderId="1" xfId="0" applyFont="1" applyFill="1" applyBorder="1" applyAlignment="1">
      <alignment wrapText="1"/>
    </xf>
    <xf numFmtId="0" fontId="15" fillId="3" borderId="6" xfId="0" applyFont="1" applyFill="1" applyBorder="1" applyAlignment="1">
      <alignment wrapText="1"/>
    </xf>
    <xf numFmtId="0" fontId="16" fillId="0" borderId="1" xfId="0" applyFont="1" applyBorder="1" applyAlignment="1">
      <alignment wrapText="1"/>
    </xf>
    <xf numFmtId="0" fontId="16" fillId="0" borderId="6" xfId="0" applyFont="1" applyBorder="1" applyAlignment="1">
      <alignment wrapText="1"/>
    </xf>
    <xf numFmtId="0" fontId="16" fillId="0" borderId="8" xfId="0" applyFont="1" applyBorder="1" applyAlignment="1">
      <alignment wrapText="1"/>
    </xf>
    <xf numFmtId="0" fontId="16" fillId="0" borderId="9" xfId="0" applyFont="1" applyBorder="1" applyAlignment="1">
      <alignment wrapText="1"/>
    </xf>
    <xf numFmtId="0" fontId="16" fillId="3" borderId="9" xfId="0" applyFont="1" applyFill="1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6" fillId="4" borderId="9" xfId="0" applyFont="1" applyFill="1" applyBorder="1" applyAlignment="1">
      <alignment wrapText="1"/>
    </xf>
    <xf numFmtId="0" fontId="16" fillId="2" borderId="7" xfId="0" applyFont="1" applyFill="1" applyBorder="1" applyAlignment="1">
      <alignment wrapText="1"/>
    </xf>
    <xf numFmtId="0" fontId="12" fillId="0" borderId="22" xfId="0" applyFont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1" xfId="0" applyFont="1" applyBorder="1" applyAlignment="1">
      <alignment horizontal="center" wrapText="1"/>
    </xf>
    <xf numFmtId="0" fontId="0" fillId="5" borderId="16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15" fillId="0" borderId="0" xfId="0" applyFont="1" applyAlignment="1">
      <alignment wrapText="1"/>
    </xf>
    <xf numFmtId="0" fontId="12" fillId="0" borderId="0" xfId="0" applyFont="1" applyAlignment="1">
      <alignment horizontal="center" wrapText="1"/>
    </xf>
    <xf numFmtId="14" fontId="12" fillId="7" borderId="0" xfId="0" applyNumberFormat="1" applyFont="1" applyFill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0" fillId="8" borderId="0" xfId="0" applyFill="1"/>
    <xf numFmtId="0" fontId="0" fillId="0" borderId="22" xfId="0" applyBorder="1"/>
    <xf numFmtId="164" fontId="12" fillId="0" borderId="29" xfId="0" applyNumberFormat="1" applyFont="1" applyBorder="1" applyAlignment="1">
      <alignment horizontal="center"/>
    </xf>
    <xf numFmtId="0" fontId="2" fillId="0" borderId="37" xfId="0" applyFont="1" applyBorder="1"/>
    <xf numFmtId="0" fontId="2" fillId="0" borderId="35" xfId="0" applyFont="1" applyBorder="1" applyAlignment="1">
      <alignment horizontal="right"/>
    </xf>
    <xf numFmtId="1" fontId="19" fillId="0" borderId="0" xfId="0" applyNumberFormat="1" applyFont="1"/>
    <xf numFmtId="0" fontId="2" fillId="0" borderId="12" xfId="0" applyFont="1" applyBorder="1"/>
    <xf numFmtId="0" fontId="2" fillId="0" borderId="13" xfId="0" applyFont="1" applyBorder="1"/>
    <xf numFmtId="0" fontId="2" fillId="0" borderId="38" xfId="0" applyFont="1" applyBorder="1"/>
    <xf numFmtId="0" fontId="2" fillId="0" borderId="36" xfId="0" applyFont="1" applyBorder="1"/>
    <xf numFmtId="0" fontId="2" fillId="0" borderId="39" xfId="0" applyFont="1" applyBorder="1"/>
    <xf numFmtId="0" fontId="2" fillId="0" borderId="40" xfId="0" applyFont="1" applyBorder="1"/>
    <xf numFmtId="0" fontId="2" fillId="0" borderId="34" xfId="0" applyFont="1" applyBorder="1"/>
    <xf numFmtId="0" fontId="2" fillId="0" borderId="14" xfId="0" applyFont="1" applyBorder="1"/>
    <xf numFmtId="0" fontId="2" fillId="0" borderId="15" xfId="0" applyFont="1" applyBorder="1"/>
    <xf numFmtId="0" fontId="12" fillId="9" borderId="0" xfId="0" applyFont="1" applyFill="1" applyAlignment="1">
      <alignment wrapText="1"/>
    </xf>
    <xf numFmtId="0" fontId="12" fillId="8" borderId="1" xfId="0" applyFont="1" applyFill="1" applyBorder="1" applyAlignment="1">
      <alignment horizontal="center" wrapText="1"/>
    </xf>
    <xf numFmtId="0" fontId="12" fillId="9" borderId="1" xfId="0" applyFont="1" applyFill="1" applyBorder="1" applyAlignment="1">
      <alignment horizontal="center" wrapText="1"/>
    </xf>
    <xf numFmtId="0" fontId="12" fillId="7" borderId="0" xfId="0" applyFont="1" applyFill="1" applyAlignment="1">
      <alignment horizontal="center" wrapText="1"/>
    </xf>
    <xf numFmtId="0" fontId="12" fillId="0" borderId="0" xfId="0" applyFont="1" applyAlignment="1">
      <alignment wrapText="1"/>
    </xf>
    <xf numFmtId="0" fontId="12" fillId="7" borderId="0" xfId="0" applyFont="1" applyFill="1" applyAlignment="1">
      <alignment horizontal="center"/>
    </xf>
    <xf numFmtId="0" fontId="12" fillId="3" borderId="30" xfId="0" applyFont="1" applyFill="1" applyBorder="1" applyAlignment="1">
      <alignment horizontal="center"/>
    </xf>
    <xf numFmtId="0" fontId="12" fillId="0" borderId="29" xfId="0" applyFont="1" applyBorder="1" applyAlignment="1">
      <alignment horizontal="center"/>
    </xf>
    <xf numFmtId="0" fontId="12" fillId="7" borderId="29" xfId="0" applyFont="1" applyFill="1" applyBorder="1" applyAlignment="1">
      <alignment horizontal="center"/>
    </xf>
    <xf numFmtId="0" fontId="12" fillId="10" borderId="28" xfId="0" applyFont="1" applyFill="1" applyBorder="1" applyAlignment="1">
      <alignment horizontal="center"/>
    </xf>
    <xf numFmtId="0" fontId="14" fillId="5" borderId="28" xfId="0" applyFont="1" applyFill="1" applyBorder="1"/>
    <xf numFmtId="0" fontId="12" fillId="3" borderId="27" xfId="0" applyFont="1" applyFill="1" applyBorder="1" applyAlignment="1">
      <alignment horizontal="center"/>
    </xf>
    <xf numFmtId="0" fontId="12" fillId="10" borderId="26" xfId="0" applyFont="1" applyFill="1" applyBorder="1" applyAlignment="1">
      <alignment horizontal="center"/>
    </xf>
    <xf numFmtId="0" fontId="14" fillId="5" borderId="26" xfId="0" applyFont="1" applyFill="1" applyBorder="1"/>
    <xf numFmtId="20" fontId="12" fillId="0" borderId="1" xfId="0" applyNumberFormat="1" applyFont="1" applyBorder="1" applyAlignment="1">
      <alignment horizontal="center"/>
    </xf>
    <xf numFmtId="0" fontId="12" fillId="10" borderId="22" xfId="0" applyFont="1" applyFill="1" applyBorder="1" applyAlignment="1">
      <alignment horizontal="center"/>
    </xf>
    <xf numFmtId="0" fontId="12" fillId="11" borderId="1" xfId="0" applyFont="1" applyFill="1" applyBorder="1" applyAlignment="1">
      <alignment horizontal="center"/>
    </xf>
    <xf numFmtId="0" fontId="2" fillId="0" borderId="33" xfId="0" applyFont="1" applyBorder="1" applyAlignment="1">
      <alignment horizontal="center" wrapText="1"/>
    </xf>
    <xf numFmtId="0" fontId="12" fillId="5" borderId="26" xfId="0" applyFont="1" applyFill="1" applyBorder="1"/>
    <xf numFmtId="20" fontId="12" fillId="0" borderId="0" xfId="0" applyNumberFormat="1" applyFont="1" applyAlignment="1">
      <alignment horizontal="center"/>
    </xf>
    <xf numFmtId="0" fontId="12" fillId="10" borderId="1" xfId="0" applyFont="1" applyFill="1" applyBorder="1" applyAlignment="1">
      <alignment horizontal="center"/>
    </xf>
    <xf numFmtId="0" fontId="14" fillId="5" borderId="22" xfId="0" applyFont="1" applyFill="1" applyBorder="1"/>
    <xf numFmtId="0" fontId="12" fillId="5" borderId="22" xfId="0" applyFont="1" applyFill="1" applyBorder="1"/>
    <xf numFmtId="0" fontId="14" fillId="0" borderId="0" xfId="0" applyFont="1" applyAlignment="1">
      <alignment horizontal="center"/>
    </xf>
    <xf numFmtId="0" fontId="12" fillId="5" borderId="25" xfId="0" applyFont="1" applyFill="1" applyBorder="1"/>
    <xf numFmtId="0" fontId="14" fillId="6" borderId="23" xfId="0" applyFont="1" applyFill="1" applyBorder="1" applyAlignment="1">
      <alignment horizontal="center"/>
    </xf>
    <xf numFmtId="0" fontId="12" fillId="3" borderId="31" xfId="0" applyFont="1" applyFill="1" applyBorder="1" applyAlignment="1">
      <alignment horizontal="center"/>
    </xf>
    <xf numFmtId="0" fontId="12" fillId="0" borderId="32" xfId="0" applyFont="1" applyBorder="1" applyAlignment="1">
      <alignment horizontal="center"/>
    </xf>
    <xf numFmtId="0" fontId="12" fillId="7" borderId="32" xfId="0" applyFont="1" applyFill="1" applyBorder="1" applyAlignment="1">
      <alignment horizontal="center"/>
    </xf>
    <xf numFmtId="0" fontId="12" fillId="7" borderId="22" xfId="0" applyFont="1" applyFill="1" applyBorder="1" applyAlignment="1">
      <alignment horizontal="center"/>
    </xf>
    <xf numFmtId="0" fontId="14" fillId="10" borderId="1" xfId="0" applyFont="1" applyFill="1" applyBorder="1" applyAlignment="1">
      <alignment horizontal="center"/>
    </xf>
    <xf numFmtId="0" fontId="14" fillId="5" borderId="21" xfId="0" applyFont="1" applyFill="1" applyBorder="1"/>
    <xf numFmtId="0" fontId="12" fillId="12" borderId="1" xfId="0" applyFont="1" applyFill="1" applyBorder="1" applyAlignment="1">
      <alignment horizontal="center"/>
    </xf>
    <xf numFmtId="164" fontId="12" fillId="0" borderId="1" xfId="0" applyNumberFormat="1" applyFont="1" applyBorder="1" applyAlignment="1">
      <alignment horizontal="center"/>
    </xf>
    <xf numFmtId="0" fontId="12" fillId="5" borderId="18" xfId="0" applyFont="1" applyFill="1" applyBorder="1"/>
    <xf numFmtId="0" fontId="14" fillId="13" borderId="1" xfId="0" applyFont="1" applyFill="1" applyBorder="1" applyAlignment="1">
      <alignment horizontal="center"/>
    </xf>
    <xf numFmtId="0" fontId="12" fillId="5" borderId="19" xfId="0" applyFont="1" applyFill="1" applyBorder="1"/>
    <xf numFmtId="0" fontId="0" fillId="5" borderId="0" xfId="0" applyFill="1" applyAlignment="1">
      <alignment horizontal="center"/>
    </xf>
    <xf numFmtId="0" fontId="12" fillId="5" borderId="20" xfId="0" applyFont="1" applyFill="1" applyBorder="1"/>
    <xf numFmtId="0" fontId="12" fillId="5" borderId="29" xfId="0" applyFont="1" applyFill="1" applyBorder="1"/>
    <xf numFmtId="0" fontId="12" fillId="5" borderId="1" xfId="0" applyFont="1" applyFill="1" applyBorder="1"/>
    <xf numFmtId="0" fontId="12" fillId="0" borderId="1" xfId="0" applyFont="1" applyBorder="1"/>
    <xf numFmtId="0" fontId="12" fillId="5" borderId="1" xfId="0" applyFont="1" applyFill="1" applyBorder="1" applyAlignment="1">
      <alignment horizontal="center"/>
    </xf>
    <xf numFmtId="0" fontId="12" fillId="8" borderId="0" xfId="0" applyFont="1" applyFill="1" applyAlignment="1">
      <alignment horizontal="center"/>
    </xf>
    <xf numFmtId="0" fontId="2" fillId="11" borderId="0" xfId="0" applyFont="1" applyFill="1"/>
    <xf numFmtId="0" fontId="12" fillId="11" borderId="0" xfId="0" applyFont="1" applyFill="1" applyAlignment="1">
      <alignment horizontal="center"/>
    </xf>
    <xf numFmtId="14" fontId="0" fillId="0" borderId="0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20" fillId="0" borderId="0" xfId="0" applyFont="1" applyFill="1"/>
    <xf numFmtId="0" fontId="20" fillId="0" borderId="0" xfId="0" applyFont="1" applyFill="1" applyBorder="1"/>
    <xf numFmtId="0" fontId="0" fillId="0" borderId="0" xfId="0" applyFont="1" applyFill="1" applyBorder="1"/>
    <xf numFmtId="0" fontId="0" fillId="0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horizontal="center"/>
    </xf>
    <xf numFmtId="0" fontId="0" fillId="0" borderId="0" xfId="0" applyNumberFormat="1" applyFont="1" applyFill="1" applyBorder="1"/>
    <xf numFmtId="2" fontId="0" fillId="0" borderId="0" xfId="0" applyNumberFormat="1" applyFont="1" applyFill="1" applyBorder="1"/>
    <xf numFmtId="0" fontId="20" fillId="0" borderId="0" xfId="0" applyFont="1" applyFill="1" applyBorder="1" applyAlignment="1">
      <alignment wrapText="1"/>
    </xf>
    <xf numFmtId="0" fontId="20" fillId="0" borderId="0" xfId="0" applyFont="1" applyFill="1" applyBorder="1" applyAlignment="1">
      <alignment horizontal="right"/>
    </xf>
    <xf numFmtId="0" fontId="2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4" fontId="0" fillId="0" borderId="0" xfId="0" applyNumberFormat="1" applyFont="1" applyFill="1" applyBorder="1" applyAlignment="1">
      <alignment horizontal="right" vertical="center" wrapText="1"/>
    </xf>
    <xf numFmtId="14" fontId="1" fillId="0" borderId="0" xfId="0" applyNumberFormat="1" applyFont="1" applyFill="1" applyBorder="1" applyAlignment="1">
      <alignment vertical="center"/>
    </xf>
    <xf numFmtId="49" fontId="0" fillId="0" borderId="0" xfId="0" applyNumberFormat="1" applyFont="1" applyFill="1" applyBorder="1"/>
    <xf numFmtId="14" fontId="20" fillId="0" borderId="0" xfId="0" applyNumberFormat="1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49" fontId="20" fillId="0" borderId="0" xfId="0" applyNumberFormat="1" applyFont="1" applyFill="1" applyBorder="1"/>
    <xf numFmtId="0" fontId="21" fillId="0" borderId="0" xfId="0" applyFont="1" applyFill="1" applyBorder="1"/>
    <xf numFmtId="0" fontId="21" fillId="0" borderId="0" xfId="0" applyFont="1" applyFill="1" applyBorder="1" applyAlignment="1">
      <alignment wrapText="1"/>
    </xf>
    <xf numFmtId="49" fontId="21" fillId="0" borderId="0" xfId="0" applyNumberFormat="1" applyFont="1" applyFill="1" applyBorder="1"/>
    <xf numFmtId="0" fontId="21" fillId="0" borderId="0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right"/>
    </xf>
    <xf numFmtId="14" fontId="21" fillId="0" borderId="0" xfId="0" applyNumberFormat="1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15" fillId="3" borderId="0" xfId="0" applyFont="1" applyFill="1" applyBorder="1" applyAlignment="1">
      <alignment wrapText="1"/>
    </xf>
    <xf numFmtId="0" fontId="15" fillId="4" borderId="0" xfId="0" applyFont="1" applyFill="1" applyBorder="1" applyAlignment="1">
      <alignment wrapText="1"/>
    </xf>
    <xf numFmtId="0" fontId="16" fillId="5" borderId="0" xfId="0" applyFont="1" applyFill="1" applyBorder="1" applyAlignment="1">
      <alignment horizontal="left" wrapText="1"/>
    </xf>
    <xf numFmtId="0" fontId="10" fillId="0" borderId="17" xfId="0" applyFont="1" applyBorder="1" applyAlignment="1">
      <alignment horizontal="center"/>
    </xf>
    <xf numFmtId="0" fontId="15" fillId="2" borderId="0" xfId="0" applyFont="1" applyFill="1" applyAlignment="1">
      <alignment horizontal="left" wrapText="1"/>
    </xf>
    <xf numFmtId="0" fontId="5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left" vertical="top" wrapText="1"/>
    </xf>
    <xf numFmtId="0" fontId="6" fillId="2" borderId="12" xfId="0" applyFont="1" applyFill="1" applyBorder="1" applyAlignment="1">
      <alignment horizontal="left" wrapText="1"/>
    </xf>
    <xf numFmtId="0" fontId="6" fillId="2" borderId="14" xfId="0" applyFont="1" applyFill="1" applyBorder="1" applyAlignment="1">
      <alignment horizontal="left" wrapText="1"/>
    </xf>
    <xf numFmtId="0" fontId="3" fillId="2" borderId="10" xfId="0" applyFont="1" applyFill="1" applyBorder="1" applyAlignment="1">
      <alignment horizontal="left"/>
    </xf>
    <xf numFmtId="0" fontId="3" fillId="2" borderId="16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left" vertical="top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2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mruColors>
      <color rgb="FF8EFA00"/>
      <color rgb="FF8EA9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177800</xdr:colOff>
      <xdr:row>2</xdr:row>
      <xdr:rowOff>12700</xdr:rowOff>
    </xdr:from>
    <xdr:to>
      <xdr:col>10</xdr:col>
      <xdr:colOff>596900</xdr:colOff>
      <xdr:row>6</xdr:row>
      <xdr:rowOff>115711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339A7B2-8FA4-5447-8230-0E44A890A35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000" t="42424" r="10227" b="18519"/>
        <a:stretch/>
      </xdr:blipFill>
      <xdr:spPr>
        <a:xfrm>
          <a:off x="5003800" y="685800"/>
          <a:ext cx="2895600" cy="1309511"/>
        </a:xfrm>
        <a:prstGeom prst="rect">
          <a:avLst/>
        </a:prstGeom>
      </xdr:spPr>
    </xdr:pic>
    <xdr:clientData/>
  </xdr:twoCellAnchor>
  <xdr:twoCellAnchor>
    <xdr:from>
      <xdr:col>1</xdr:col>
      <xdr:colOff>1257300</xdr:colOff>
      <xdr:row>2</xdr:row>
      <xdr:rowOff>177800</xdr:rowOff>
    </xdr:from>
    <xdr:to>
      <xdr:col>4</xdr:col>
      <xdr:colOff>0</xdr:colOff>
      <xdr:row>2</xdr:row>
      <xdr:rowOff>190500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786ADA2-B7F0-E448-A5D1-CE4939344405}"/>
            </a:ext>
          </a:extLst>
        </xdr:cNvPr>
        <xdr:cNvCxnSpPr/>
      </xdr:nvCxnSpPr>
      <xdr:spPr>
        <a:xfrm flipH="1" flipV="1">
          <a:off x="3429000" y="850900"/>
          <a:ext cx="25908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393700</xdr:colOff>
      <xdr:row>3</xdr:row>
      <xdr:rowOff>203200</xdr:rowOff>
    </xdr:from>
    <xdr:to>
      <xdr:col>1</xdr:col>
      <xdr:colOff>25400</xdr:colOff>
      <xdr:row>7</xdr:row>
      <xdr:rowOff>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3C264743-0750-AC4E-98D8-9A1B86902B38}"/>
            </a:ext>
          </a:extLst>
        </xdr:cNvPr>
        <xdr:cNvCxnSpPr/>
      </xdr:nvCxnSpPr>
      <xdr:spPr>
        <a:xfrm flipV="1">
          <a:off x="3505200" y="876300"/>
          <a:ext cx="533400" cy="876300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584200</xdr:colOff>
      <xdr:row>4</xdr:row>
      <xdr:rowOff>215900</xdr:rowOff>
    </xdr:from>
    <xdr:to>
      <xdr:col>4</xdr:col>
      <xdr:colOff>25400</xdr:colOff>
      <xdr:row>6</xdr:row>
      <xdr:rowOff>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FCF25036-86BC-5E40-95A2-0BCBB1259113}"/>
            </a:ext>
          </a:extLst>
        </xdr:cNvPr>
        <xdr:cNvCxnSpPr/>
      </xdr:nvCxnSpPr>
      <xdr:spPr>
        <a:xfrm flipH="1" flipV="1">
          <a:off x="2755900" y="1549400"/>
          <a:ext cx="3289300" cy="3302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266700</xdr:colOff>
      <xdr:row>3</xdr:row>
      <xdr:rowOff>177800</xdr:rowOff>
    </xdr:from>
    <xdr:to>
      <xdr:col>3</xdr:col>
      <xdr:colOff>1422400</xdr:colOff>
      <xdr:row>3</xdr:row>
      <xdr:rowOff>177800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413448E6-5C28-8240-AA02-C929FB378D8D}"/>
            </a:ext>
          </a:extLst>
        </xdr:cNvPr>
        <xdr:cNvCxnSpPr/>
      </xdr:nvCxnSpPr>
      <xdr:spPr>
        <a:xfrm flipH="1">
          <a:off x="3873500" y="1181100"/>
          <a:ext cx="2133600" cy="0"/>
        </a:xfrm>
        <a:prstGeom prst="straightConnector1">
          <a:avLst/>
        </a:prstGeom>
        <a:ln>
          <a:solidFill>
            <a:srgbClr val="C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DFF8C9-2199-5F46-B85B-B192FF973AD5}" name="Table2" displayName="Table2" ref="A2:D14" totalsRowShown="0">
  <tableColumns count="4">
    <tableColumn id="1" xr3:uid="{CDC4E6E3-3CE1-C942-B4CD-057CFF5A13FB}" name="ID"/>
    <tableColumn id="2" xr3:uid="{B81936F3-34B9-2C42-9D82-52334C34F8D7}" name="Normal tube"/>
    <tableColumn id="3" xr3:uid="{9AB6A0FA-423E-9B4C-B15C-38B256561F39}" name="Tumor 1 tube"/>
    <tableColumn id="4" xr3:uid="{3096487D-171E-524F-A718-AEE6C5BE67E2}" name="Tumor 2 tub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76F339-3343-3440-B83F-9D96FDDB1FAD}" name="Table1" displayName="Table1" ref="A1:V23" totalsRowShown="0" dataDxfId="25">
  <autoFilter ref="A1:V23" xr:uid="{AB140B1C-EDFA-DD4C-A91D-F4BD256B1BF9}"/>
  <sortState xmlns:xlrd2="http://schemas.microsoft.com/office/spreadsheetml/2017/richdata2" ref="A2:V23">
    <sortCondition ref="U1:U23"/>
  </sortState>
  <tableColumns count="22">
    <tableColumn id="1" xr3:uid="{6224A1F1-7AE3-4C47-B35D-FC522F209BCB}" name="ID" dataDxfId="24"/>
    <tableColumn id="2" xr3:uid="{0CA3AB0E-26D6-4B4D-A7FA-7939C6E20555}" name="Navn" dataDxfId="23"/>
    <tableColumn id="4" xr3:uid="{C3913214-B448-6D49-BC6D-7B3FA842922E}" name="Complete set in folder" dataDxfId="22"/>
    <tableColumn id="5" xr3:uid="{49315ED3-7AE9-EE42-B432-DECBEA5E36FD}" name="Complete set in P drive" dataDxfId="21"/>
    <tableColumn id="6" xr3:uid="{909AC997-7892-5347-9BCF-AEADF0964310}" name="Notes" dataDxfId="20"/>
    <tableColumn id="7" xr3:uid="{F8ACF910-56A0-FE4C-BF58-BC6CE7E898EB}" name="Sex" dataDxfId="19"/>
    <tableColumn id="8" xr3:uid="{1906B9CB-F2E5-7C4C-9DA0-576B7D64F3D3}" name="Breed" dataDxfId="18"/>
    <tableColumn id="9" xr3:uid="{E825FB5B-4F3B-A043-8555-8C8D905E538D}" name="Age" dataDxfId="17"/>
    <tableColumn id="10" xr3:uid="{4B583636-232A-D048-A6C6-615C6434442C}" name="Status" dataDxfId="16"/>
    <tableColumn id="11" xr3:uid="{6F54445A-6FB3-8E48-92D2-B0E198E76D57}" name="Diagnosis" dataDxfId="15"/>
    <tableColumn id="12" xr3:uid="{2F603FAD-CC9F-3B4D-BEA5-364939DC961A}" name="Grade" dataDxfId="14"/>
    <tableColumn id="13" xr3:uid="{4102FA63-3E7C-BC4F-A9AF-7A5BF266460A}" name="cfDNA" dataDxfId="13"/>
    <tableColumn id="14" xr3:uid="{5F817813-A873-4C4D-ADB3-989E467F56C2}" name="Sample date" dataDxfId="12"/>
    <tableColumn id="22" xr3:uid="{5601E604-9450-BA48-B1AC-36D5B2A38D70}" name="Notes2" dataDxfId="11"/>
    <tableColumn id="3" xr3:uid="{14864916-2714-EC4D-AD9C-4B32D43F4FEC}" name="Vægt" dataDxfId="10"/>
    <tableColumn id="16" xr3:uid="{1B14F55D-FEA9-7244-ABBC-47C56C32EBFE}" name="Str tumor" dataDxfId="9"/>
    <tableColumn id="17" xr3:uid="{62280584-4276-F342-9DEE-EB85B2F2FF30}" name="N-conc" dataDxfId="8"/>
    <tableColumn id="15" xr3:uid="{4ECACC5F-ABB0-0F46-BE33-9C8D13D94C27}" name="T-conc" dataDxfId="7"/>
    <tableColumn id="18" xr3:uid="{414778E3-402D-384F-845F-B3AB199CF704}" name="RIN" dataDxfId="6"/>
    <tableColumn id="19" xr3:uid="{285C2DDC-812F-7041-A2D9-DF307CE3E912}" name="cfDNA conc" dataDxfId="5"/>
    <tableColumn id="21" xr3:uid="{6505ED2F-E22A-8444-AFA5-E08690CBC66E}" name="Include in" dataDxfId="4"/>
    <tableColumn id="23" xr3:uid="{EADE50FA-2F9E-0647-81B8-A0270CA2CB64}" name="Notes3" dataDxfId="3"/>
  </tableColumns>
  <tableStyleInfo name="TableStyleLight9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41C1A-1149-1543-B380-5EA2E36533E3}">
  <sheetPr>
    <pageSetUpPr fitToPage="1"/>
  </sheetPr>
  <dimension ref="A2:S44"/>
  <sheetViews>
    <sheetView tabSelected="1" topLeftCell="C11" workbookViewId="0">
      <selection activeCell="K33" sqref="G32:K33"/>
    </sheetView>
    <sheetView topLeftCell="B1" workbookViewId="1"/>
  </sheetViews>
  <sheetFormatPr baseColWidth="10" defaultRowHeight="19" x14ac:dyDescent="0.25"/>
  <cols>
    <col min="1" max="1" width="10.83203125" customWidth="1"/>
    <col min="2" max="2" width="31.1640625" customWidth="1"/>
    <col min="3" max="4" width="12.83203125" customWidth="1"/>
    <col min="5" max="5" width="6.6640625" customWidth="1"/>
    <col min="6" max="6" width="10.83203125" customWidth="1"/>
    <col min="7" max="7" width="26.5" customWidth="1"/>
    <col min="8" max="8" width="10.83203125" style="32"/>
    <col min="9" max="10" width="12.33203125" style="71" customWidth="1"/>
    <col min="11" max="11" width="10.83203125" customWidth="1"/>
    <col min="12" max="12" width="25" customWidth="1"/>
    <col min="13" max="13" width="6.33203125" customWidth="1"/>
    <col min="14" max="14" width="10.83203125" customWidth="1"/>
    <col min="15" max="15" width="25" customWidth="1"/>
    <col min="18" max="18" width="10.83203125" style="28"/>
  </cols>
  <sheetData>
    <row r="2" spans="1:19" ht="21" x14ac:dyDescent="0.25">
      <c r="B2" s="19" t="s">
        <v>201</v>
      </c>
    </row>
    <row r="3" spans="1:19" ht="60" x14ac:dyDescent="0.25">
      <c r="A3" s="76" t="s">
        <v>176</v>
      </c>
      <c r="B3" s="70">
        <v>44060</v>
      </c>
      <c r="C3" s="94" t="s">
        <v>168</v>
      </c>
      <c r="E3" s="77"/>
      <c r="F3" s="76" t="s">
        <v>176</v>
      </c>
      <c r="G3" s="71" t="s">
        <v>177</v>
      </c>
      <c r="H3" s="72" t="s">
        <v>166</v>
      </c>
      <c r="I3" s="95" t="s">
        <v>167</v>
      </c>
      <c r="K3" s="96" t="s">
        <v>168</v>
      </c>
      <c r="L3" s="76"/>
      <c r="M3" s="97"/>
      <c r="N3" s="76" t="s">
        <v>176</v>
      </c>
      <c r="O3" s="71" t="s">
        <v>202</v>
      </c>
      <c r="R3" s="98" t="s">
        <v>203</v>
      </c>
      <c r="S3" t="s">
        <v>254</v>
      </c>
    </row>
    <row r="4" spans="1:19" ht="20" x14ac:dyDescent="0.25">
      <c r="A4" s="32"/>
      <c r="B4" s="33" t="s">
        <v>159</v>
      </c>
      <c r="C4" s="33" t="s">
        <v>160</v>
      </c>
      <c r="D4" s="71" t="s">
        <v>204</v>
      </c>
      <c r="E4" s="99"/>
      <c r="F4" s="32"/>
      <c r="G4" s="33" t="s">
        <v>162</v>
      </c>
      <c r="H4" s="33" t="s">
        <v>160</v>
      </c>
      <c r="I4" s="33" t="s">
        <v>160</v>
      </c>
      <c r="J4" s="72" t="s">
        <v>170</v>
      </c>
      <c r="K4" s="33" t="s">
        <v>160</v>
      </c>
      <c r="L4" s="71"/>
      <c r="M4" s="99"/>
      <c r="N4" s="32"/>
      <c r="O4" s="33" t="s">
        <v>161</v>
      </c>
      <c r="Q4" s="29"/>
      <c r="R4" s="33"/>
    </row>
    <row r="5" spans="1:19" ht="20" thickBot="1" x14ac:dyDescent="0.3">
      <c r="A5" s="33">
        <v>1</v>
      </c>
      <c r="B5" s="100" t="s">
        <v>33</v>
      </c>
      <c r="C5" s="101">
        <v>97.7</v>
      </c>
      <c r="D5" s="81">
        <f>2500/C5</f>
        <v>25.588536335721596</v>
      </c>
      <c r="E5" s="102"/>
      <c r="F5" s="33">
        <v>1</v>
      </c>
      <c r="G5" s="103" t="s">
        <v>31</v>
      </c>
      <c r="H5" s="33">
        <v>179.3</v>
      </c>
      <c r="I5" s="33">
        <v>234</v>
      </c>
      <c r="J5" s="33">
        <v>8.1999999999999993</v>
      </c>
      <c r="K5" s="33">
        <v>45.1</v>
      </c>
      <c r="L5" s="71"/>
      <c r="M5" s="99"/>
      <c r="N5" s="33">
        <v>1</v>
      </c>
      <c r="O5" s="104" t="s">
        <v>32</v>
      </c>
      <c r="P5" s="32"/>
      <c r="Q5" s="29"/>
      <c r="R5" s="33">
        <v>0.9</v>
      </c>
      <c r="S5">
        <f>R5/0.001</f>
        <v>900</v>
      </c>
    </row>
    <row r="6" spans="1:19" ht="20" thickBot="1" x14ac:dyDescent="0.3">
      <c r="A6" s="33">
        <v>2</v>
      </c>
      <c r="B6" s="105" t="s">
        <v>34</v>
      </c>
      <c r="C6" s="33">
        <v>34.9</v>
      </c>
      <c r="D6" s="81">
        <f t="shared" ref="D6:D26" si="0">2500/C6</f>
        <v>71.633237822349571</v>
      </c>
      <c r="E6" s="78"/>
      <c r="F6" s="33">
        <v>2</v>
      </c>
      <c r="G6" s="106" t="s">
        <v>35</v>
      </c>
      <c r="H6" s="33">
        <v>202</v>
      </c>
      <c r="I6" s="33">
        <v>310</v>
      </c>
      <c r="J6" s="33">
        <v>6.2</v>
      </c>
      <c r="K6" s="33">
        <v>64.8</v>
      </c>
      <c r="L6" s="71"/>
      <c r="M6" s="99"/>
      <c r="N6" s="33"/>
      <c r="O6" s="107" t="s">
        <v>32</v>
      </c>
      <c r="P6" s="32"/>
      <c r="Q6" s="29"/>
      <c r="R6" s="33"/>
      <c r="S6">
        <f t="shared" ref="S6:S32" si="1">R6/0.001</f>
        <v>0</v>
      </c>
    </row>
    <row r="7" spans="1:19" ht="53" thickBot="1" x14ac:dyDescent="0.3">
      <c r="A7" s="33">
        <v>3</v>
      </c>
      <c r="B7" s="105" t="s">
        <v>37</v>
      </c>
      <c r="C7" s="33">
        <v>81.599999999999994</v>
      </c>
      <c r="D7" s="81">
        <f t="shared" si="0"/>
        <v>30.637254901960787</v>
      </c>
      <c r="E7" s="78"/>
      <c r="F7" s="108">
        <v>0.12569444444444444</v>
      </c>
      <c r="G7" s="109" t="s">
        <v>38</v>
      </c>
      <c r="H7" s="33">
        <v>84.2</v>
      </c>
      <c r="I7" s="33">
        <v>208</v>
      </c>
      <c r="J7" s="33">
        <v>4.0999999999999996</v>
      </c>
      <c r="K7" s="110">
        <v>9.8000000000000007</v>
      </c>
      <c r="L7" s="111" t="s">
        <v>205</v>
      </c>
      <c r="M7" s="99"/>
      <c r="N7" s="33">
        <v>2</v>
      </c>
      <c r="O7" s="112" t="s">
        <v>36</v>
      </c>
      <c r="P7" s="32"/>
      <c r="Q7" s="29"/>
      <c r="R7" s="33">
        <v>1.9</v>
      </c>
      <c r="S7">
        <f t="shared" si="1"/>
        <v>1899.9999999999998</v>
      </c>
    </row>
    <row r="8" spans="1:19" x14ac:dyDescent="0.25">
      <c r="A8" s="33">
        <v>4</v>
      </c>
      <c r="B8" s="34" t="s">
        <v>37</v>
      </c>
      <c r="C8" s="33">
        <v>55.1</v>
      </c>
      <c r="D8" s="81">
        <f t="shared" si="0"/>
        <v>45.372050816696913</v>
      </c>
      <c r="E8" s="78"/>
      <c r="F8" s="113">
        <v>0.12638888888888888</v>
      </c>
      <c r="G8" s="114" t="s">
        <v>206</v>
      </c>
      <c r="H8" s="33">
        <v>606</v>
      </c>
      <c r="I8" s="33">
        <v>615</v>
      </c>
      <c r="J8" s="33">
        <v>5.8</v>
      </c>
      <c r="K8" s="110">
        <v>44.5</v>
      </c>
      <c r="L8" s="71" t="s">
        <v>207</v>
      </c>
      <c r="M8" s="99"/>
      <c r="N8" s="33"/>
      <c r="O8" s="112" t="s">
        <v>36</v>
      </c>
      <c r="P8" s="32"/>
      <c r="Q8" s="29"/>
      <c r="R8" s="33"/>
      <c r="S8">
        <f t="shared" si="1"/>
        <v>0</v>
      </c>
    </row>
    <row r="9" spans="1:19" x14ac:dyDescent="0.25">
      <c r="A9" s="33">
        <v>5</v>
      </c>
      <c r="B9" s="34" t="s">
        <v>40</v>
      </c>
      <c r="C9" s="33">
        <v>67.7</v>
      </c>
      <c r="D9" s="81">
        <f t="shared" si="0"/>
        <v>36.92762186115214</v>
      </c>
      <c r="E9" s="78"/>
      <c r="F9" s="68">
        <v>4</v>
      </c>
      <c r="G9" s="114" t="s">
        <v>41</v>
      </c>
      <c r="H9" s="33">
        <v>644.5</v>
      </c>
      <c r="I9" s="33">
        <f>219*3</f>
        <v>657</v>
      </c>
      <c r="J9" s="33">
        <v>8.5</v>
      </c>
      <c r="K9" s="33">
        <v>339.8</v>
      </c>
      <c r="L9" s="71"/>
      <c r="M9" s="99"/>
      <c r="N9" s="33">
        <v>3</v>
      </c>
      <c r="O9" s="115" t="s">
        <v>39</v>
      </c>
      <c r="P9" s="32"/>
      <c r="Q9" s="29"/>
      <c r="R9" s="33">
        <v>4.7</v>
      </c>
      <c r="S9">
        <f t="shared" si="1"/>
        <v>4700</v>
      </c>
    </row>
    <row r="10" spans="1:19" x14ac:dyDescent="0.25">
      <c r="A10" s="33">
        <v>6</v>
      </c>
      <c r="B10" s="34" t="s">
        <v>95</v>
      </c>
      <c r="C10" s="33">
        <v>49.3</v>
      </c>
      <c r="D10" s="81">
        <f t="shared" si="0"/>
        <v>50.709939148073026</v>
      </c>
      <c r="E10" s="78"/>
      <c r="G10" s="114" t="s">
        <v>208</v>
      </c>
      <c r="H10" s="33">
        <v>458.2</v>
      </c>
      <c r="I10" s="33">
        <v>506</v>
      </c>
      <c r="J10" s="33">
        <v>5.8</v>
      </c>
      <c r="K10" s="110">
        <v>71.599999999999994</v>
      </c>
      <c r="L10" s="71" t="s">
        <v>207</v>
      </c>
      <c r="M10" s="99"/>
      <c r="N10" s="33"/>
      <c r="O10" s="115" t="s">
        <v>39</v>
      </c>
      <c r="P10" s="32"/>
      <c r="Q10" s="29"/>
      <c r="R10" s="33"/>
      <c r="S10">
        <f t="shared" si="1"/>
        <v>0</v>
      </c>
    </row>
    <row r="11" spans="1:19" x14ac:dyDescent="0.25">
      <c r="A11" s="33">
        <v>7</v>
      </c>
      <c r="B11" s="34" t="s">
        <v>103</v>
      </c>
      <c r="C11" s="33">
        <v>52.1</v>
      </c>
      <c r="D11" s="81">
        <f t="shared" si="0"/>
        <v>47.984644913627641</v>
      </c>
      <c r="E11" s="78"/>
      <c r="F11" s="68">
        <v>5</v>
      </c>
      <c r="G11" s="114" t="s">
        <v>96</v>
      </c>
      <c r="H11" s="33">
        <v>287.89999999999998</v>
      </c>
      <c r="I11" s="33">
        <v>388</v>
      </c>
      <c r="J11" s="33">
        <v>8.8000000000000007</v>
      </c>
      <c r="K11" s="33">
        <v>69.900000000000006</v>
      </c>
      <c r="L11" s="71"/>
      <c r="M11" s="99"/>
      <c r="N11" s="33"/>
      <c r="O11" s="115" t="s">
        <v>39</v>
      </c>
      <c r="P11" s="32"/>
      <c r="Q11" s="29"/>
      <c r="R11" s="33"/>
      <c r="S11">
        <f t="shared" si="1"/>
        <v>0</v>
      </c>
    </row>
    <row r="12" spans="1:19" x14ac:dyDescent="0.25">
      <c r="A12" s="33">
        <v>8</v>
      </c>
      <c r="B12" s="35" t="s">
        <v>144</v>
      </c>
      <c r="C12" s="33">
        <v>31.3</v>
      </c>
      <c r="D12" s="81">
        <f t="shared" si="0"/>
        <v>79.87220447284345</v>
      </c>
      <c r="E12" s="78"/>
      <c r="G12" s="114" t="s">
        <v>209</v>
      </c>
      <c r="H12" s="33">
        <v>143.19999999999999</v>
      </c>
      <c r="I12" s="33">
        <v>201</v>
      </c>
      <c r="J12" s="33">
        <v>7.5</v>
      </c>
      <c r="K12" s="110">
        <v>15.7</v>
      </c>
      <c r="L12" s="71" t="s">
        <v>207</v>
      </c>
      <c r="M12" s="99"/>
      <c r="N12" s="33">
        <v>4</v>
      </c>
      <c r="O12" s="115" t="s">
        <v>43</v>
      </c>
      <c r="P12" s="32"/>
      <c r="Q12" s="29"/>
      <c r="R12" s="33">
        <v>0.9</v>
      </c>
      <c r="S12">
        <f t="shared" si="1"/>
        <v>900</v>
      </c>
    </row>
    <row r="13" spans="1:19" x14ac:dyDescent="0.25">
      <c r="A13" s="33">
        <v>9</v>
      </c>
      <c r="B13" s="34" t="s">
        <v>145</v>
      </c>
      <c r="C13" s="33">
        <v>38.4</v>
      </c>
      <c r="D13" s="81">
        <f t="shared" si="0"/>
        <v>65.104166666666671</v>
      </c>
      <c r="E13" s="78"/>
      <c r="F13" s="68">
        <v>6</v>
      </c>
      <c r="G13" s="114" t="s">
        <v>104</v>
      </c>
      <c r="H13" s="33">
        <v>136.69999999999999</v>
      </c>
      <c r="I13" s="33">
        <v>133</v>
      </c>
      <c r="J13" s="33">
        <v>8.6999999999999993</v>
      </c>
      <c r="K13" s="33">
        <v>21.6</v>
      </c>
      <c r="L13" s="71"/>
      <c r="M13" s="99"/>
      <c r="N13" s="33">
        <v>5</v>
      </c>
      <c r="O13" s="115" t="s">
        <v>98</v>
      </c>
      <c r="P13" s="32"/>
      <c r="Q13" s="29"/>
      <c r="R13" s="33">
        <v>0.1</v>
      </c>
      <c r="S13">
        <f t="shared" si="1"/>
        <v>100</v>
      </c>
    </row>
    <row r="14" spans="1:19" x14ac:dyDescent="0.25">
      <c r="A14" s="33">
        <v>10</v>
      </c>
      <c r="B14" s="34" t="s">
        <v>146</v>
      </c>
      <c r="C14" s="33">
        <v>120.1</v>
      </c>
      <c r="D14" s="81">
        <f t="shared" si="0"/>
        <v>20.815986677768528</v>
      </c>
      <c r="E14" s="78"/>
      <c r="F14" s="68">
        <v>7</v>
      </c>
      <c r="G14" s="114" t="s">
        <v>102</v>
      </c>
      <c r="H14" s="33">
        <v>1192.9000000000001</v>
      </c>
      <c r="I14" s="33">
        <f>95.4*5</f>
        <v>477</v>
      </c>
      <c r="J14" s="33">
        <v>8.5</v>
      </c>
      <c r="K14" s="33">
        <v>252.7</v>
      </c>
      <c r="L14" s="71"/>
      <c r="M14" s="99"/>
      <c r="N14" s="33">
        <v>6</v>
      </c>
      <c r="O14" s="115" t="s">
        <v>105</v>
      </c>
      <c r="P14" s="32"/>
      <c r="Q14" s="29"/>
      <c r="R14" s="33">
        <v>2.7</v>
      </c>
      <c r="S14">
        <f t="shared" si="1"/>
        <v>2700</v>
      </c>
    </row>
    <row r="15" spans="1:19" x14ac:dyDescent="0.25">
      <c r="A15" s="33">
        <v>11</v>
      </c>
      <c r="B15" s="34" t="s">
        <v>147</v>
      </c>
      <c r="C15" s="33">
        <v>20.7</v>
      </c>
      <c r="D15" s="81">
        <f t="shared" si="0"/>
        <v>120.77294685990339</v>
      </c>
      <c r="E15" s="78"/>
      <c r="G15" s="114" t="s">
        <v>210</v>
      </c>
      <c r="H15" s="33">
        <v>923.4</v>
      </c>
      <c r="I15" s="33">
        <v>1020</v>
      </c>
      <c r="J15" s="33">
        <v>3.4</v>
      </c>
      <c r="K15" s="110">
        <v>31.1</v>
      </c>
      <c r="L15" s="71" t="s">
        <v>207</v>
      </c>
      <c r="M15" s="99"/>
      <c r="N15" s="33">
        <v>12</v>
      </c>
      <c r="O15" s="116" t="s">
        <v>91</v>
      </c>
      <c r="P15" s="32"/>
      <c r="Q15" s="29"/>
      <c r="R15" s="33">
        <v>3.5</v>
      </c>
      <c r="S15">
        <f t="shared" si="1"/>
        <v>3500</v>
      </c>
    </row>
    <row r="16" spans="1:19" x14ac:dyDescent="0.25">
      <c r="A16" s="33">
        <v>12</v>
      </c>
      <c r="B16" s="34" t="s">
        <v>148</v>
      </c>
      <c r="C16" s="33">
        <v>21.2</v>
      </c>
      <c r="D16" s="81">
        <f t="shared" si="0"/>
        <v>117.9245283018868</v>
      </c>
      <c r="E16" s="78"/>
      <c r="F16" s="68">
        <v>8</v>
      </c>
      <c r="G16" s="114" t="s">
        <v>100</v>
      </c>
      <c r="H16" s="33">
        <v>360.2</v>
      </c>
      <c r="I16" s="33">
        <v>262</v>
      </c>
      <c r="J16" s="33">
        <v>5.7</v>
      </c>
      <c r="K16" s="33">
        <v>37.4</v>
      </c>
      <c r="L16" s="117"/>
      <c r="M16" s="99"/>
      <c r="N16" s="33"/>
      <c r="O16" s="118" t="s">
        <v>91</v>
      </c>
      <c r="P16" s="32"/>
      <c r="Q16" s="29"/>
      <c r="R16" s="33"/>
      <c r="S16">
        <f t="shared" si="1"/>
        <v>0</v>
      </c>
    </row>
    <row r="17" spans="1:19" x14ac:dyDescent="0.25">
      <c r="A17" s="33">
        <v>13</v>
      </c>
      <c r="B17" s="34" t="s">
        <v>88</v>
      </c>
      <c r="C17" s="33">
        <v>96.7</v>
      </c>
      <c r="D17" s="81">
        <f t="shared" si="0"/>
        <v>25.853154084798344</v>
      </c>
      <c r="E17" s="78"/>
      <c r="F17" s="68">
        <v>9</v>
      </c>
      <c r="G17" s="114" t="s">
        <v>99</v>
      </c>
      <c r="H17" s="33">
        <v>652.4</v>
      </c>
      <c r="I17" s="33">
        <f>124*3</f>
        <v>372</v>
      </c>
      <c r="J17" s="33">
        <v>7.8</v>
      </c>
      <c r="K17" s="33">
        <v>144</v>
      </c>
      <c r="L17" s="71"/>
      <c r="M17" s="99"/>
      <c r="N17" s="33"/>
      <c r="O17" s="116" t="s">
        <v>91</v>
      </c>
      <c r="P17" s="32"/>
      <c r="Q17" s="29"/>
      <c r="R17" s="33"/>
      <c r="S17">
        <f t="shared" si="1"/>
        <v>0</v>
      </c>
    </row>
    <row r="18" spans="1:19" x14ac:dyDescent="0.25">
      <c r="A18" s="33">
        <v>14</v>
      </c>
      <c r="B18" s="34" t="s">
        <v>92</v>
      </c>
      <c r="C18" s="33">
        <v>101.5</v>
      </c>
      <c r="D18" s="81">
        <f t="shared" si="0"/>
        <v>24.630541871921181</v>
      </c>
      <c r="E18" s="78"/>
      <c r="F18" s="68">
        <v>10</v>
      </c>
      <c r="G18" s="114" t="s">
        <v>86</v>
      </c>
      <c r="H18" s="33">
        <v>720.3</v>
      </c>
      <c r="I18" s="33">
        <f>217*3</f>
        <v>651</v>
      </c>
      <c r="J18" s="33">
        <v>8.1999999999999993</v>
      </c>
      <c r="K18" s="33">
        <v>256.3</v>
      </c>
      <c r="L18" s="71"/>
      <c r="M18" s="99"/>
      <c r="N18" s="33">
        <v>13</v>
      </c>
      <c r="O18" s="116" t="s">
        <v>110</v>
      </c>
      <c r="P18" s="32"/>
      <c r="Q18" s="29"/>
      <c r="R18" s="33">
        <v>1.9</v>
      </c>
      <c r="S18">
        <f t="shared" si="1"/>
        <v>1899.9999999999998</v>
      </c>
    </row>
    <row r="19" spans="1:19" ht="20" thickBot="1" x14ac:dyDescent="0.3">
      <c r="A19" s="69">
        <v>15</v>
      </c>
      <c r="B19" s="119" t="s">
        <v>125</v>
      </c>
      <c r="C19" s="33">
        <v>82.2</v>
      </c>
      <c r="D19" s="81">
        <f t="shared" si="0"/>
        <v>30.413625304136254</v>
      </c>
      <c r="E19" s="78"/>
      <c r="F19" s="68">
        <v>11</v>
      </c>
      <c r="G19" s="114" t="s">
        <v>87</v>
      </c>
      <c r="H19" s="33">
        <v>1331</v>
      </c>
      <c r="I19" s="33">
        <f>305*5</f>
        <v>1525</v>
      </c>
      <c r="J19" s="33">
        <v>4.0999999999999996</v>
      </c>
      <c r="K19" s="33">
        <v>165.5</v>
      </c>
      <c r="L19" s="117"/>
      <c r="M19" s="99"/>
      <c r="N19" s="33"/>
      <c r="O19" s="116" t="s">
        <v>110</v>
      </c>
      <c r="P19" s="32"/>
      <c r="Q19" s="29"/>
      <c r="R19" s="33"/>
      <c r="S19">
        <f t="shared" si="1"/>
        <v>0</v>
      </c>
    </row>
    <row r="20" spans="1:19" x14ac:dyDescent="0.25">
      <c r="A20" s="33">
        <v>16</v>
      </c>
      <c r="B20" s="34" t="s">
        <v>111</v>
      </c>
      <c r="C20" s="33">
        <v>64.599999999999994</v>
      </c>
      <c r="D20" s="81">
        <f t="shared" si="0"/>
        <v>38.699690402476783</v>
      </c>
      <c r="E20" s="78"/>
      <c r="F20" s="68">
        <v>12</v>
      </c>
      <c r="G20" s="114" t="s">
        <v>89</v>
      </c>
      <c r="H20" s="33">
        <v>714</v>
      </c>
      <c r="I20" s="33">
        <f>236*3</f>
        <v>708</v>
      </c>
      <c r="J20" s="33">
        <v>9.3000000000000007</v>
      </c>
      <c r="K20" s="33">
        <v>236.6</v>
      </c>
      <c r="L20" s="71"/>
      <c r="M20" s="99"/>
      <c r="N20" s="33"/>
      <c r="O20" s="116" t="s">
        <v>110</v>
      </c>
      <c r="P20" s="32"/>
      <c r="Q20" s="29"/>
      <c r="R20" s="33"/>
      <c r="S20">
        <f t="shared" si="1"/>
        <v>0</v>
      </c>
    </row>
    <row r="21" spans="1:19" x14ac:dyDescent="0.25">
      <c r="A21" s="33">
        <v>17</v>
      </c>
      <c r="B21" s="34" t="s">
        <v>114</v>
      </c>
      <c r="C21" s="33">
        <v>35.9</v>
      </c>
      <c r="D21" s="81">
        <f t="shared" si="0"/>
        <v>69.637883008356553</v>
      </c>
      <c r="E21" s="78"/>
      <c r="F21" s="68">
        <v>13</v>
      </c>
      <c r="G21" s="114" t="s">
        <v>90</v>
      </c>
      <c r="H21" s="33">
        <v>32.6</v>
      </c>
      <c r="I21" s="33">
        <v>44.8</v>
      </c>
      <c r="J21" s="33">
        <v>7</v>
      </c>
      <c r="K21" s="33">
        <v>18</v>
      </c>
      <c r="L21" s="71"/>
      <c r="M21" s="99"/>
      <c r="N21" s="33">
        <v>15</v>
      </c>
      <c r="O21" s="116" t="s">
        <v>113</v>
      </c>
      <c r="P21" s="32"/>
      <c r="Q21" s="29"/>
      <c r="R21" s="33">
        <v>2.6</v>
      </c>
      <c r="S21">
        <f t="shared" si="1"/>
        <v>2600</v>
      </c>
    </row>
    <row r="22" spans="1:19" x14ac:dyDescent="0.25">
      <c r="A22" s="33">
        <v>18</v>
      </c>
      <c r="B22" s="120" t="s">
        <v>118</v>
      </c>
      <c r="C22" s="121">
        <v>74.099999999999994</v>
      </c>
      <c r="D22" s="81">
        <f t="shared" si="0"/>
        <v>33.738191632928476</v>
      </c>
      <c r="E22" s="122"/>
      <c r="F22" s="68">
        <v>14</v>
      </c>
      <c r="G22" s="114" t="s">
        <v>93</v>
      </c>
      <c r="H22" s="33">
        <v>255.2</v>
      </c>
      <c r="I22" s="33">
        <v>427</v>
      </c>
      <c r="J22" s="33">
        <v>7.6</v>
      </c>
      <c r="K22" s="33">
        <v>96.1</v>
      </c>
      <c r="L22" s="71"/>
      <c r="M22" s="99"/>
      <c r="N22" s="33"/>
      <c r="O22" s="116" t="s">
        <v>113</v>
      </c>
      <c r="P22" s="32"/>
      <c r="Q22" s="29"/>
      <c r="R22" s="33"/>
      <c r="S22">
        <f t="shared" si="1"/>
        <v>0</v>
      </c>
    </row>
    <row r="23" spans="1:19" x14ac:dyDescent="0.25">
      <c r="A23" s="68">
        <v>19</v>
      </c>
      <c r="B23" s="33" t="s">
        <v>163</v>
      </c>
      <c r="C23" s="33">
        <v>10.4</v>
      </c>
      <c r="D23" s="81">
        <f t="shared" si="0"/>
        <v>240.38461538461539</v>
      </c>
      <c r="E23" s="123"/>
      <c r="G23" s="114" t="s">
        <v>211</v>
      </c>
      <c r="H23" s="33">
        <v>238</v>
      </c>
      <c r="I23" s="33">
        <v>267</v>
      </c>
      <c r="J23" s="33">
        <v>4</v>
      </c>
      <c r="K23" s="110">
        <v>12.5</v>
      </c>
      <c r="L23" s="71" t="s">
        <v>207</v>
      </c>
      <c r="M23" s="99"/>
      <c r="N23" s="68">
        <v>16</v>
      </c>
      <c r="O23" s="115" t="s">
        <v>116</v>
      </c>
      <c r="P23" s="32"/>
      <c r="Q23" s="29"/>
      <c r="R23" s="33">
        <v>8.3000000000000007</v>
      </c>
      <c r="S23">
        <f t="shared" si="1"/>
        <v>8300</v>
      </c>
    </row>
    <row r="24" spans="1:19" ht="20" thickBot="1" x14ac:dyDescent="0.3">
      <c r="A24" s="33">
        <v>20</v>
      </c>
      <c r="B24" s="33" t="s">
        <v>164</v>
      </c>
      <c r="C24" s="33">
        <v>32.4</v>
      </c>
      <c r="D24" s="81">
        <f t="shared" si="0"/>
        <v>77.160493827160494</v>
      </c>
      <c r="E24" s="99"/>
      <c r="F24" s="68">
        <v>18</v>
      </c>
      <c r="G24" s="124" t="s">
        <v>126</v>
      </c>
      <c r="H24" s="33">
        <v>646.5</v>
      </c>
      <c r="I24" s="33">
        <f>307*2</f>
        <v>614</v>
      </c>
      <c r="J24" s="33">
        <v>8.5</v>
      </c>
      <c r="K24" s="33">
        <v>248.6</v>
      </c>
      <c r="M24" s="99"/>
      <c r="N24" s="68">
        <v>17</v>
      </c>
      <c r="O24" s="125" t="s">
        <v>120</v>
      </c>
      <c r="P24" s="31"/>
      <c r="Q24" s="30"/>
      <c r="R24" s="33">
        <v>4.7</v>
      </c>
      <c r="S24">
        <f t="shared" si="1"/>
        <v>4700</v>
      </c>
    </row>
    <row r="25" spans="1:19" x14ac:dyDescent="0.25">
      <c r="A25" s="68">
        <v>21</v>
      </c>
      <c r="B25" s="126" t="s">
        <v>212</v>
      </c>
      <c r="C25" s="33">
        <v>182.4</v>
      </c>
      <c r="D25" s="127">
        <f t="shared" si="0"/>
        <v>13.706140350877192</v>
      </c>
      <c r="E25" s="99"/>
      <c r="F25" s="80"/>
      <c r="G25" s="124" t="s">
        <v>127</v>
      </c>
      <c r="H25" s="33">
        <v>155.1</v>
      </c>
      <c r="I25" s="33">
        <v>109</v>
      </c>
      <c r="J25" s="33">
        <v>8.6</v>
      </c>
      <c r="K25" s="110">
        <v>36.4</v>
      </c>
      <c r="L25" s="71" t="s">
        <v>207</v>
      </c>
      <c r="M25" s="99"/>
      <c r="N25" s="68" t="s">
        <v>213</v>
      </c>
      <c r="O25" s="128" t="s">
        <v>154</v>
      </c>
      <c r="P25" s="73"/>
      <c r="Q25" s="73"/>
      <c r="R25" s="33">
        <v>4.5999999999999996</v>
      </c>
      <c r="S25">
        <f t="shared" si="1"/>
        <v>4600</v>
      </c>
    </row>
    <row r="26" spans="1:19" x14ac:dyDescent="0.25">
      <c r="A26" s="33">
        <v>22</v>
      </c>
      <c r="B26" s="126" t="s">
        <v>214</v>
      </c>
      <c r="C26" s="33">
        <v>71.5</v>
      </c>
      <c r="D26" s="127">
        <f t="shared" si="0"/>
        <v>34.965034965034967</v>
      </c>
      <c r="E26" s="99"/>
      <c r="F26" s="80"/>
      <c r="G26" s="129" t="s">
        <v>128</v>
      </c>
      <c r="H26" s="33">
        <v>361.7</v>
      </c>
      <c r="I26" s="33">
        <v>330</v>
      </c>
      <c r="J26" s="33">
        <v>2.6</v>
      </c>
      <c r="K26" s="110">
        <v>61.1</v>
      </c>
      <c r="L26" s="71" t="s">
        <v>207</v>
      </c>
      <c r="M26" s="99"/>
      <c r="N26" s="68" t="s">
        <v>215</v>
      </c>
      <c r="O26" s="130" t="s">
        <v>153</v>
      </c>
      <c r="P26" s="131"/>
      <c r="Q26" s="131"/>
      <c r="R26" s="33">
        <v>4.3</v>
      </c>
      <c r="S26">
        <f t="shared" si="1"/>
        <v>4300</v>
      </c>
    </row>
    <row r="27" spans="1:19" x14ac:dyDescent="0.25">
      <c r="A27" s="71"/>
      <c r="B27" s="29"/>
      <c r="C27" s="29"/>
      <c r="D27" s="29"/>
      <c r="E27" s="99"/>
      <c r="F27" s="68">
        <v>15</v>
      </c>
      <c r="G27" s="114" t="s">
        <v>112</v>
      </c>
      <c r="H27" s="33">
        <v>586.70000000000005</v>
      </c>
      <c r="I27" s="33">
        <f>285*2</f>
        <v>570</v>
      </c>
      <c r="J27" s="33">
        <v>8.4</v>
      </c>
      <c r="K27" s="33">
        <v>252.9</v>
      </c>
      <c r="M27" s="99"/>
      <c r="N27" s="68" t="s">
        <v>186</v>
      </c>
      <c r="O27" s="130" t="s">
        <v>151</v>
      </c>
      <c r="P27" s="131"/>
      <c r="Q27" s="131"/>
      <c r="R27" s="33">
        <v>3.3</v>
      </c>
      <c r="S27">
        <f t="shared" si="1"/>
        <v>3299.9999999999995</v>
      </c>
    </row>
    <row r="28" spans="1:19" ht="20" thickBot="1" x14ac:dyDescent="0.3">
      <c r="A28" s="71"/>
      <c r="C28" s="29"/>
      <c r="D28" s="29"/>
      <c r="E28" s="99"/>
      <c r="F28" s="68">
        <v>16</v>
      </c>
      <c r="G28" s="114" t="s">
        <v>115</v>
      </c>
      <c r="H28" s="33">
        <v>348.1</v>
      </c>
      <c r="I28" s="33">
        <v>417</v>
      </c>
      <c r="J28" s="33">
        <v>9.1</v>
      </c>
      <c r="K28" s="33">
        <v>127</v>
      </c>
      <c r="M28" s="99"/>
      <c r="N28" s="68" t="s">
        <v>216</v>
      </c>
      <c r="O28" s="132" t="s">
        <v>152</v>
      </c>
      <c r="P28" s="74"/>
      <c r="Q28" s="74"/>
      <c r="R28" s="33">
        <v>4.3</v>
      </c>
      <c r="S28">
        <f t="shared" si="1"/>
        <v>4300</v>
      </c>
    </row>
    <row r="29" spans="1:19" x14ac:dyDescent="0.25">
      <c r="E29" s="99"/>
      <c r="G29" s="114" t="s">
        <v>217</v>
      </c>
      <c r="H29" s="33">
        <v>43.7</v>
      </c>
      <c r="I29" s="33">
        <v>51.4</v>
      </c>
      <c r="J29" s="33">
        <v>6.9</v>
      </c>
      <c r="K29" s="110">
        <v>19</v>
      </c>
      <c r="L29" s="71" t="s">
        <v>218</v>
      </c>
      <c r="M29" s="99"/>
      <c r="N29" s="68" t="s">
        <v>178</v>
      </c>
      <c r="O29" s="133" t="s">
        <v>171</v>
      </c>
      <c r="R29" s="33">
        <v>4</v>
      </c>
      <c r="S29">
        <f t="shared" si="1"/>
        <v>4000</v>
      </c>
    </row>
    <row r="30" spans="1:19" x14ac:dyDescent="0.25">
      <c r="E30" s="99"/>
      <c r="G30" s="114" t="s">
        <v>219</v>
      </c>
      <c r="H30" s="33">
        <v>70.8</v>
      </c>
      <c r="I30" s="33">
        <v>83.6</v>
      </c>
      <c r="J30" s="33">
        <v>5.6</v>
      </c>
      <c r="K30" s="110">
        <v>15.4</v>
      </c>
      <c r="L30" s="117" t="s">
        <v>218</v>
      </c>
      <c r="M30" s="99"/>
      <c r="N30" s="68"/>
      <c r="O30" s="134" t="s">
        <v>172</v>
      </c>
      <c r="P30" t="s">
        <v>220</v>
      </c>
      <c r="R30" s="135"/>
      <c r="S30">
        <f t="shared" si="1"/>
        <v>0</v>
      </c>
    </row>
    <row r="31" spans="1:19" x14ac:dyDescent="0.25">
      <c r="E31" s="99"/>
      <c r="F31" s="68">
        <v>17</v>
      </c>
      <c r="G31" s="114" t="s">
        <v>119</v>
      </c>
      <c r="H31" s="33">
        <v>424.3</v>
      </c>
      <c r="I31" s="33">
        <f>225*2</f>
        <v>450</v>
      </c>
      <c r="J31" s="33">
        <v>8.1999999999999993</v>
      </c>
      <c r="K31" s="33">
        <v>134.80000000000001</v>
      </c>
      <c r="M31" s="99"/>
      <c r="N31" s="33">
        <v>18</v>
      </c>
      <c r="O31" s="136" t="s">
        <v>221</v>
      </c>
      <c r="R31" s="33">
        <v>22.5</v>
      </c>
      <c r="S31">
        <f t="shared" si="1"/>
        <v>22500</v>
      </c>
    </row>
    <row r="32" spans="1:19" x14ac:dyDescent="0.25">
      <c r="B32" s="2" t="s">
        <v>222</v>
      </c>
      <c r="E32" s="99"/>
      <c r="F32" s="68"/>
      <c r="G32" s="114" t="s">
        <v>223</v>
      </c>
      <c r="H32" s="33">
        <v>726.3</v>
      </c>
      <c r="I32" s="33">
        <v>570</v>
      </c>
      <c r="J32" s="33">
        <v>4.2</v>
      </c>
      <c r="K32" s="110">
        <v>56.8</v>
      </c>
      <c r="L32" s="117" t="s">
        <v>218</v>
      </c>
      <c r="M32" s="99"/>
      <c r="N32" s="33">
        <v>19</v>
      </c>
      <c r="O32" s="136" t="s">
        <v>224</v>
      </c>
      <c r="R32" s="33">
        <v>10.7</v>
      </c>
      <c r="S32">
        <f t="shared" si="1"/>
        <v>10699.999999999998</v>
      </c>
    </row>
    <row r="33" spans="2:15" x14ac:dyDescent="0.25">
      <c r="B33" s="2" t="s">
        <v>225</v>
      </c>
      <c r="E33" s="99"/>
      <c r="F33" s="68"/>
      <c r="G33" s="114" t="s">
        <v>226</v>
      </c>
      <c r="H33" s="33">
        <v>626.20000000000005</v>
      </c>
      <c r="I33" s="33">
        <v>603</v>
      </c>
      <c r="J33" s="33">
        <v>4.2</v>
      </c>
      <c r="K33" s="110">
        <v>50.2</v>
      </c>
      <c r="L33" s="117" t="s">
        <v>218</v>
      </c>
      <c r="M33" s="99"/>
    </row>
    <row r="34" spans="2:15" x14ac:dyDescent="0.25">
      <c r="B34" s="2" t="s">
        <v>227</v>
      </c>
      <c r="E34" s="99"/>
      <c r="F34" s="68"/>
      <c r="G34" s="114" t="s">
        <v>228</v>
      </c>
      <c r="H34" s="33">
        <v>385.2</v>
      </c>
      <c r="I34" s="33">
        <v>479</v>
      </c>
      <c r="J34" s="33">
        <v>7.4</v>
      </c>
      <c r="K34" s="110">
        <v>38.5</v>
      </c>
      <c r="L34" s="117" t="s">
        <v>218</v>
      </c>
      <c r="M34" s="99"/>
    </row>
    <row r="35" spans="2:15" x14ac:dyDescent="0.25">
      <c r="F35" s="68"/>
      <c r="G35" s="114" t="s">
        <v>229</v>
      </c>
      <c r="H35" s="33">
        <v>410.8</v>
      </c>
      <c r="I35" s="33">
        <v>428</v>
      </c>
      <c r="J35" s="33">
        <v>7.1</v>
      </c>
      <c r="K35" s="110">
        <v>12.3</v>
      </c>
      <c r="L35" s="117" t="s">
        <v>218</v>
      </c>
    </row>
    <row r="36" spans="2:15" x14ac:dyDescent="0.25">
      <c r="F36" s="68">
        <v>19</v>
      </c>
      <c r="G36" s="33" t="s">
        <v>230</v>
      </c>
      <c r="H36" s="33">
        <v>60.3</v>
      </c>
      <c r="I36" s="33">
        <v>77.8</v>
      </c>
      <c r="J36" s="33">
        <v>6.3</v>
      </c>
      <c r="K36" s="33">
        <v>7.2</v>
      </c>
      <c r="L36" s="117"/>
    </row>
    <row r="37" spans="2:15" x14ac:dyDescent="0.25">
      <c r="G37" s="33" t="s">
        <v>231</v>
      </c>
      <c r="H37" s="33">
        <v>396.2</v>
      </c>
      <c r="I37" s="33">
        <v>501</v>
      </c>
      <c r="J37" s="33">
        <v>2.8</v>
      </c>
      <c r="K37" s="110">
        <v>25.5</v>
      </c>
      <c r="L37" s="71" t="s">
        <v>207</v>
      </c>
    </row>
    <row r="40" spans="2:15" x14ac:dyDescent="0.25">
      <c r="G40" s="79"/>
      <c r="H40" s="137" t="s">
        <v>169</v>
      </c>
      <c r="I40" s="137"/>
      <c r="J40" s="137"/>
    </row>
    <row r="42" spans="2:15" x14ac:dyDescent="0.25">
      <c r="G42" s="138" t="s">
        <v>232</v>
      </c>
      <c r="H42" s="139"/>
      <c r="I42" s="139"/>
      <c r="J42" s="139"/>
      <c r="K42" s="138"/>
    </row>
    <row r="43" spans="2:15" x14ac:dyDescent="0.25">
      <c r="G43" s="138" t="s">
        <v>233</v>
      </c>
      <c r="H43" s="139"/>
      <c r="I43" s="139"/>
      <c r="J43" s="139"/>
      <c r="K43" s="138"/>
    </row>
    <row r="44" spans="2:15" x14ac:dyDescent="0.25">
      <c r="O44">
        <f>AVERAGE(I5:I37)</f>
        <v>433.0181818181818</v>
      </c>
    </row>
  </sheetData>
  <pageMargins left="0.7" right="0.7" top="0.75" bottom="0.75" header="0.3" footer="0.3"/>
  <pageSetup paperSize="9" scale="48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ECD7E-A8F8-4940-95E4-AC6CA2C72B6D}">
  <dimension ref="A1:D14"/>
  <sheetViews>
    <sheetView workbookViewId="0"/>
    <sheetView tabSelected="1" workbookViewId="1">
      <selection sqref="A1:D14"/>
    </sheetView>
  </sheetViews>
  <sheetFormatPr baseColWidth="10" defaultRowHeight="16" x14ac:dyDescent="0.2"/>
  <cols>
    <col min="1" max="1" width="6.33203125" bestFit="1" customWidth="1"/>
    <col min="2" max="2" width="13.83203125" customWidth="1"/>
    <col min="3" max="3" width="14.5" customWidth="1"/>
    <col min="4" max="4" width="14.6640625" bestFit="1" customWidth="1"/>
  </cols>
  <sheetData>
    <row r="1" spans="1:4" x14ac:dyDescent="0.2">
      <c r="A1" s="180" t="s">
        <v>266</v>
      </c>
      <c r="B1" s="180"/>
      <c r="C1" s="180"/>
      <c r="D1" s="180"/>
    </row>
    <row r="2" spans="1:4" x14ac:dyDescent="0.2">
      <c r="A2" t="s">
        <v>0</v>
      </c>
      <c r="B2" t="s">
        <v>255</v>
      </c>
      <c r="C2" t="s">
        <v>258</v>
      </c>
      <c r="D2" t="s">
        <v>259</v>
      </c>
    </row>
    <row r="3" spans="1:4" x14ac:dyDescent="0.2">
      <c r="A3" t="s">
        <v>182</v>
      </c>
      <c r="B3">
        <v>21</v>
      </c>
      <c r="C3" t="s">
        <v>256</v>
      </c>
      <c r="D3" t="s">
        <v>57</v>
      </c>
    </row>
    <row r="4" spans="1:4" x14ac:dyDescent="0.2">
      <c r="A4" t="s">
        <v>17</v>
      </c>
      <c r="B4">
        <v>17</v>
      </c>
      <c r="C4">
        <v>16</v>
      </c>
      <c r="D4" t="s">
        <v>257</v>
      </c>
    </row>
    <row r="5" spans="1:4" x14ac:dyDescent="0.2">
      <c r="A5" t="s">
        <v>117</v>
      </c>
      <c r="B5">
        <v>18</v>
      </c>
      <c r="C5">
        <v>17</v>
      </c>
      <c r="D5" t="s">
        <v>57</v>
      </c>
    </row>
    <row r="6" spans="1:4" x14ac:dyDescent="0.2">
      <c r="A6" t="s">
        <v>261</v>
      </c>
      <c r="B6">
        <v>3</v>
      </c>
      <c r="C6">
        <v>3.02</v>
      </c>
      <c r="D6" t="s">
        <v>57</v>
      </c>
    </row>
    <row r="7" spans="1:4" x14ac:dyDescent="0.2">
      <c r="A7" t="s">
        <v>13</v>
      </c>
      <c r="B7">
        <v>13</v>
      </c>
      <c r="C7">
        <v>12</v>
      </c>
      <c r="D7">
        <v>13</v>
      </c>
    </row>
    <row r="8" spans="1:4" x14ac:dyDescent="0.2">
      <c r="A8" t="s">
        <v>262</v>
      </c>
      <c r="B8">
        <v>7</v>
      </c>
      <c r="C8">
        <v>6</v>
      </c>
      <c r="D8" t="s">
        <v>57</v>
      </c>
    </row>
    <row r="9" spans="1:4" x14ac:dyDescent="0.2">
      <c r="A9" t="s">
        <v>16</v>
      </c>
      <c r="B9">
        <v>16</v>
      </c>
      <c r="C9">
        <v>15</v>
      </c>
      <c r="D9" t="s">
        <v>57</v>
      </c>
    </row>
    <row r="10" spans="1:4" x14ac:dyDescent="0.2">
      <c r="A10" t="s">
        <v>14</v>
      </c>
      <c r="B10">
        <v>14</v>
      </c>
      <c r="C10">
        <v>14</v>
      </c>
      <c r="D10" t="s">
        <v>57</v>
      </c>
    </row>
    <row r="11" spans="1:4" x14ac:dyDescent="0.2">
      <c r="A11" t="s">
        <v>263</v>
      </c>
      <c r="B11">
        <v>2</v>
      </c>
      <c r="C11">
        <v>2</v>
      </c>
      <c r="D11" t="s">
        <v>57</v>
      </c>
    </row>
    <row r="12" spans="1:4" x14ac:dyDescent="0.2">
      <c r="A12" t="s">
        <v>264</v>
      </c>
      <c r="B12">
        <v>1</v>
      </c>
      <c r="C12">
        <v>1</v>
      </c>
      <c r="D12" t="s">
        <v>57</v>
      </c>
    </row>
    <row r="13" spans="1:4" x14ac:dyDescent="0.2">
      <c r="A13" t="s">
        <v>183</v>
      </c>
      <c r="B13">
        <v>22</v>
      </c>
      <c r="C13" t="s">
        <v>260</v>
      </c>
      <c r="D13" t="s">
        <v>57</v>
      </c>
    </row>
    <row r="14" spans="1:4" x14ac:dyDescent="0.2">
      <c r="A14" t="s">
        <v>265</v>
      </c>
      <c r="B14">
        <v>5</v>
      </c>
      <c r="C14">
        <v>4</v>
      </c>
      <c r="D14" t="s">
        <v>57</v>
      </c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89A92-BFA2-6D4C-BCF4-EB963F55F94A}">
  <sheetPr>
    <pageSetUpPr fitToPage="1"/>
  </sheetPr>
  <dimension ref="A1:N32"/>
  <sheetViews>
    <sheetView topLeftCell="A2" zoomScale="67" workbookViewId="0">
      <selection sqref="A1:I1"/>
    </sheetView>
    <sheetView workbookViewId="1">
      <selection sqref="A1:I1"/>
    </sheetView>
  </sheetViews>
  <sheetFormatPr baseColWidth="10" defaultRowHeight="21" x14ac:dyDescent="0.25"/>
  <cols>
    <col min="1" max="9" width="18.6640625" style="19" customWidth="1"/>
    <col min="10" max="10" width="10.83203125" style="19"/>
    <col min="11" max="11" width="22.6640625" style="19" customWidth="1"/>
    <col min="12" max="12" width="5.6640625" style="19" customWidth="1"/>
    <col min="13" max="16384" width="10.83203125" style="19"/>
  </cols>
  <sheetData>
    <row r="1" spans="1:14" ht="22" thickBot="1" x14ac:dyDescent="0.3">
      <c r="A1" s="171" t="s">
        <v>149</v>
      </c>
      <c r="B1" s="171"/>
      <c r="C1" s="171"/>
      <c r="D1" s="171"/>
      <c r="E1" s="171"/>
      <c r="F1" s="171"/>
      <c r="G1" s="171"/>
      <c r="H1" s="171"/>
      <c r="I1" s="171"/>
      <c r="K1" s="19" t="s">
        <v>150</v>
      </c>
    </row>
    <row r="2" spans="1:14" ht="159" customHeight="1" x14ac:dyDescent="0.3">
      <c r="A2" s="36" t="s">
        <v>33</v>
      </c>
      <c r="B2" s="37" t="s">
        <v>31</v>
      </c>
      <c r="C2" s="38" t="s">
        <v>32</v>
      </c>
      <c r="D2" s="38" t="s">
        <v>32</v>
      </c>
      <c r="E2" s="39" t="s">
        <v>34</v>
      </c>
      <c r="F2" s="37" t="s">
        <v>35</v>
      </c>
      <c r="G2" s="40" t="s">
        <v>36</v>
      </c>
      <c r="H2" s="40" t="s">
        <v>36</v>
      </c>
      <c r="I2" s="41" t="s">
        <v>37</v>
      </c>
      <c r="J2" s="42"/>
      <c r="K2" s="43" t="s">
        <v>154</v>
      </c>
      <c r="L2" s="42"/>
      <c r="M2" s="168" t="s">
        <v>156</v>
      </c>
      <c r="N2" s="168"/>
    </row>
    <row r="3" spans="1:14" ht="100" customHeight="1" x14ac:dyDescent="0.3">
      <c r="A3" s="44" t="s">
        <v>37</v>
      </c>
      <c r="B3" s="45" t="s">
        <v>38</v>
      </c>
      <c r="C3" s="46" t="s">
        <v>39</v>
      </c>
      <c r="D3" s="46" t="s">
        <v>39</v>
      </c>
      <c r="E3" s="46" t="s">
        <v>39</v>
      </c>
      <c r="F3" s="47" t="s">
        <v>40</v>
      </c>
      <c r="G3" s="45" t="s">
        <v>41</v>
      </c>
      <c r="H3" s="48" t="s">
        <v>42</v>
      </c>
      <c r="I3" s="49" t="s">
        <v>43</v>
      </c>
      <c r="J3" s="42"/>
      <c r="K3" s="50" t="s">
        <v>153</v>
      </c>
      <c r="L3" s="42"/>
      <c r="M3" s="169" t="s">
        <v>155</v>
      </c>
      <c r="N3" s="169"/>
    </row>
    <row r="4" spans="1:14" ht="100" x14ac:dyDescent="0.3">
      <c r="A4" s="44" t="s">
        <v>95</v>
      </c>
      <c r="B4" s="45" t="s">
        <v>96</v>
      </c>
      <c r="C4" s="48" t="s">
        <v>97</v>
      </c>
      <c r="D4" s="46" t="s">
        <v>98</v>
      </c>
      <c r="E4" s="47" t="s">
        <v>103</v>
      </c>
      <c r="F4" s="45" t="s">
        <v>104</v>
      </c>
      <c r="G4" s="46" t="s">
        <v>105</v>
      </c>
      <c r="H4" s="51" t="s">
        <v>144</v>
      </c>
      <c r="I4" s="52" t="s">
        <v>144</v>
      </c>
      <c r="J4" s="42"/>
      <c r="K4" s="50" t="s">
        <v>151</v>
      </c>
      <c r="L4" s="42"/>
      <c r="M4" s="170" t="s">
        <v>157</v>
      </c>
      <c r="N4" s="170"/>
    </row>
    <row r="5" spans="1:14" ht="101" thickBot="1" x14ac:dyDescent="0.35">
      <c r="A5" s="53" t="s">
        <v>102</v>
      </c>
      <c r="B5" s="48" t="s">
        <v>101</v>
      </c>
      <c r="C5" s="47" t="s">
        <v>145</v>
      </c>
      <c r="D5" s="45" t="s">
        <v>100</v>
      </c>
      <c r="E5" s="47" t="s">
        <v>146</v>
      </c>
      <c r="F5" s="48" t="s">
        <v>146</v>
      </c>
      <c r="G5" s="45" t="s">
        <v>99</v>
      </c>
      <c r="H5" s="47" t="s">
        <v>147</v>
      </c>
      <c r="I5" s="54" t="s">
        <v>147</v>
      </c>
      <c r="J5" s="42"/>
      <c r="K5" s="55" t="s">
        <v>152</v>
      </c>
      <c r="L5" s="42"/>
      <c r="M5" s="172" t="s">
        <v>158</v>
      </c>
      <c r="N5" s="172"/>
    </row>
    <row r="6" spans="1:14" ht="73" customHeight="1" x14ac:dyDescent="0.3">
      <c r="A6" s="53" t="s">
        <v>86</v>
      </c>
      <c r="B6" s="47" t="s">
        <v>148</v>
      </c>
      <c r="C6" s="48" t="s">
        <v>148</v>
      </c>
      <c r="D6" s="45" t="s">
        <v>87</v>
      </c>
      <c r="E6" s="47" t="s">
        <v>88</v>
      </c>
      <c r="F6" s="48" t="s">
        <v>88</v>
      </c>
      <c r="G6" s="45" t="s">
        <v>89</v>
      </c>
      <c r="H6" s="45" t="s">
        <v>90</v>
      </c>
      <c r="I6" s="56" t="s">
        <v>91</v>
      </c>
      <c r="J6" s="42"/>
      <c r="K6" s="75" t="s">
        <v>174</v>
      </c>
      <c r="L6" s="42"/>
      <c r="M6" s="42"/>
      <c r="N6" s="42"/>
    </row>
    <row r="7" spans="1:14" ht="78" customHeight="1" x14ac:dyDescent="0.3">
      <c r="A7" s="57" t="s">
        <v>91</v>
      </c>
      <c r="B7" s="58" t="s">
        <v>91</v>
      </c>
      <c r="C7" s="47" t="s">
        <v>92</v>
      </c>
      <c r="D7" s="45" t="s">
        <v>93</v>
      </c>
      <c r="E7" s="48" t="s">
        <v>94</v>
      </c>
      <c r="F7" s="58" t="s">
        <v>110</v>
      </c>
      <c r="G7" s="58" t="s">
        <v>110</v>
      </c>
      <c r="H7" s="58" t="s">
        <v>110</v>
      </c>
      <c r="I7" s="59" t="s">
        <v>111</v>
      </c>
      <c r="J7" s="42"/>
      <c r="K7" s="75" t="s">
        <v>174</v>
      </c>
      <c r="L7" s="42"/>
      <c r="M7" s="42"/>
      <c r="N7" s="42"/>
    </row>
    <row r="8" spans="1:14" ht="83" customHeight="1" x14ac:dyDescent="0.3">
      <c r="A8" s="53" t="s">
        <v>112</v>
      </c>
      <c r="B8" s="58" t="s">
        <v>113</v>
      </c>
      <c r="C8" s="58" t="s">
        <v>113</v>
      </c>
      <c r="D8" s="47" t="s">
        <v>114</v>
      </c>
      <c r="E8" s="45" t="s">
        <v>115</v>
      </c>
      <c r="F8" s="46" t="s">
        <v>116</v>
      </c>
      <c r="G8" s="47" t="s">
        <v>118</v>
      </c>
      <c r="H8" s="45" t="s">
        <v>119</v>
      </c>
      <c r="I8" s="49" t="s">
        <v>120</v>
      </c>
      <c r="J8" s="42"/>
      <c r="K8" s="75" t="s">
        <v>175</v>
      </c>
      <c r="L8" s="42"/>
      <c r="M8" s="42"/>
      <c r="N8" s="42"/>
    </row>
    <row r="9" spans="1:14" ht="72" customHeight="1" x14ac:dyDescent="0.3">
      <c r="A9" s="49" t="s">
        <v>120</v>
      </c>
      <c r="B9" s="60" t="s">
        <v>173</v>
      </c>
      <c r="C9" s="60" t="s">
        <v>173</v>
      </c>
      <c r="D9" s="60"/>
      <c r="E9" s="60"/>
      <c r="F9" s="60"/>
      <c r="G9" s="60"/>
      <c r="H9" s="60"/>
      <c r="I9" s="61"/>
      <c r="J9" s="42"/>
      <c r="K9" s="42"/>
      <c r="L9" s="42"/>
      <c r="M9" s="42"/>
      <c r="N9" s="42"/>
    </row>
    <row r="10" spans="1:14" ht="87" customHeight="1" thickBot="1" x14ac:dyDescent="0.35">
      <c r="A10" s="62" t="s">
        <v>165</v>
      </c>
      <c r="B10" s="63"/>
      <c r="C10" s="63"/>
      <c r="D10" s="64" t="s">
        <v>125</v>
      </c>
      <c r="E10" s="65" t="s">
        <v>125</v>
      </c>
      <c r="F10" s="65" t="s">
        <v>125</v>
      </c>
      <c r="G10" s="66" t="s">
        <v>126</v>
      </c>
      <c r="H10" s="65" t="s">
        <v>127</v>
      </c>
      <c r="I10" s="67" t="s">
        <v>128</v>
      </c>
      <c r="J10" s="42"/>
      <c r="K10" s="42"/>
      <c r="L10" s="42"/>
      <c r="M10" s="42"/>
      <c r="N10" s="42"/>
    </row>
    <row r="14" spans="1:14" ht="22" thickBot="1" x14ac:dyDescent="0.3">
      <c r="C14" s="28"/>
    </row>
    <row r="15" spans="1:14" ht="22" thickBot="1" x14ac:dyDescent="0.3">
      <c r="B15" s="20"/>
    </row>
    <row r="16" spans="1:14" ht="22" thickBot="1" x14ac:dyDescent="0.3">
      <c r="B16" s="21"/>
    </row>
    <row r="17" spans="2:2" x14ac:dyDescent="0.25">
      <c r="B17" s="22"/>
    </row>
    <row r="18" spans="2:2" x14ac:dyDescent="0.25">
      <c r="B18" s="23"/>
    </row>
    <row r="19" spans="2:2" x14ac:dyDescent="0.25">
      <c r="B19" s="24"/>
    </row>
    <row r="20" spans="2:2" x14ac:dyDescent="0.25">
      <c r="B20" s="23"/>
    </row>
    <row r="21" spans="2:2" x14ac:dyDescent="0.25">
      <c r="B21" s="24"/>
    </row>
    <row r="22" spans="2:2" x14ac:dyDescent="0.25">
      <c r="B22" s="25"/>
    </row>
    <row r="23" spans="2:2" x14ac:dyDescent="0.25">
      <c r="B23" s="24"/>
    </row>
    <row r="24" spans="2:2" x14ac:dyDescent="0.25">
      <c r="B24" s="24"/>
    </row>
    <row r="25" spans="2:2" x14ac:dyDescent="0.25">
      <c r="B25" s="24"/>
    </row>
    <row r="26" spans="2:2" x14ac:dyDescent="0.25">
      <c r="B26" s="24"/>
    </row>
    <row r="27" spans="2:2" x14ac:dyDescent="0.25">
      <c r="B27" s="24"/>
    </row>
    <row r="28" spans="2:2" x14ac:dyDescent="0.25">
      <c r="B28" s="24"/>
    </row>
    <row r="29" spans="2:2" x14ac:dyDescent="0.25">
      <c r="B29" s="26"/>
    </row>
    <row r="30" spans="2:2" x14ac:dyDescent="0.25">
      <c r="B30" s="24"/>
    </row>
    <row r="31" spans="2:2" x14ac:dyDescent="0.25">
      <c r="B31" s="24"/>
    </row>
    <row r="32" spans="2:2" ht="22" thickBot="1" x14ac:dyDescent="0.3">
      <c r="B32" s="27"/>
    </row>
  </sheetData>
  <mergeCells count="5">
    <mergeCell ref="M2:N2"/>
    <mergeCell ref="M3:N3"/>
    <mergeCell ref="M4:N4"/>
    <mergeCell ref="A1:I1"/>
    <mergeCell ref="M5:N5"/>
  </mergeCells>
  <pageMargins left="0.7" right="0.7" top="0.75" bottom="0.75" header="0.3" footer="0.3"/>
  <pageSetup paperSize="9" scale="54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7E8B5-FAE9-E341-8D92-562442B76729}">
  <dimension ref="A1:Z26"/>
  <sheetViews>
    <sheetView zoomScale="90" workbookViewId="0">
      <pane xSplit="1" topLeftCell="B1" activePane="topRight" state="frozen"/>
      <selection pane="topRight" activeCell="H31" sqref="H31"/>
    </sheetView>
    <sheetView workbookViewId="1"/>
  </sheetViews>
  <sheetFormatPr baseColWidth="10" defaultRowHeight="16" x14ac:dyDescent="0.2"/>
  <cols>
    <col min="1" max="1" width="6.33203125" style="1" bestFit="1" customWidth="1"/>
    <col min="2" max="2" width="9.83203125" style="1" customWidth="1"/>
    <col min="3" max="3" width="21.6640625" style="1" hidden="1" customWidth="1"/>
    <col min="4" max="4" width="11.5" style="1" hidden="1" customWidth="1"/>
    <col min="5" max="5" width="17.33203125" style="1" hidden="1" customWidth="1"/>
    <col min="6" max="6" width="7.33203125" style="1" hidden="1" customWidth="1"/>
    <col min="7" max="7" width="22" style="1" bestFit="1" customWidth="1"/>
    <col min="8" max="8" width="6.83203125" style="1" customWidth="1"/>
    <col min="9" max="9" width="8.83203125" style="1" hidden="1" customWidth="1"/>
    <col min="10" max="10" width="22.33203125" style="1" customWidth="1"/>
    <col min="11" max="11" width="8.6640625" style="1" bestFit="1" customWidth="1"/>
    <col min="12" max="12" width="9.5" style="1" bestFit="1" customWidth="1"/>
    <col min="13" max="13" width="14" style="1" customWidth="1"/>
    <col min="14" max="14" width="23.1640625" style="1" customWidth="1"/>
    <col min="15" max="15" width="8" style="1" hidden="1" customWidth="1"/>
    <col min="16" max="16" width="11.5" style="1" hidden="1" customWidth="1"/>
    <col min="17" max="17" width="9.33203125" style="1" bestFit="1" customWidth="1"/>
    <col min="18" max="18" width="9" style="1" bestFit="1" customWidth="1"/>
    <col min="19" max="19" width="6.6640625" style="1" bestFit="1" customWidth="1"/>
    <col min="20" max="20" width="13.1640625" style="1" bestFit="1" customWidth="1"/>
    <col min="21" max="21" width="13.1640625" style="145" customWidth="1"/>
    <col min="22" max="22" width="34" style="1" bestFit="1" customWidth="1"/>
    <col min="23" max="16384" width="10.83203125" style="1"/>
  </cols>
  <sheetData>
    <row r="1" spans="1:22" x14ac:dyDescent="0.2">
      <c r="A1" s="3" t="s">
        <v>0</v>
      </c>
      <c r="B1" s="3" t="s">
        <v>1</v>
      </c>
      <c r="C1" s="3" t="s">
        <v>29</v>
      </c>
      <c r="D1" s="3" t="s">
        <v>30</v>
      </c>
      <c r="E1" s="3" t="s">
        <v>51</v>
      </c>
      <c r="F1" s="3" t="s">
        <v>44</v>
      </c>
      <c r="G1" s="3" t="s">
        <v>45</v>
      </c>
      <c r="H1" s="3" t="s">
        <v>46</v>
      </c>
      <c r="I1" s="3" t="s">
        <v>47</v>
      </c>
      <c r="J1" s="3" t="s">
        <v>48</v>
      </c>
      <c r="K1" s="3" t="s">
        <v>49</v>
      </c>
      <c r="L1" s="3" t="s">
        <v>50</v>
      </c>
      <c r="M1" s="3" t="s">
        <v>142</v>
      </c>
      <c r="N1" s="3" t="s">
        <v>129</v>
      </c>
      <c r="O1" s="3" t="s">
        <v>179</v>
      </c>
      <c r="P1" s="3" t="s">
        <v>185</v>
      </c>
      <c r="Q1" s="4" t="s">
        <v>234</v>
      </c>
      <c r="R1" s="4" t="s">
        <v>235</v>
      </c>
      <c r="S1" s="4" t="s">
        <v>170</v>
      </c>
      <c r="T1" s="4" t="s">
        <v>236</v>
      </c>
      <c r="U1" s="154" t="s">
        <v>247</v>
      </c>
      <c r="V1" s="4" t="s">
        <v>241</v>
      </c>
    </row>
    <row r="2" spans="1:22" s="142" customFormat="1" ht="15" customHeight="1" x14ac:dyDescent="0.2">
      <c r="A2" s="144" t="s">
        <v>182</v>
      </c>
      <c r="B2" s="144" t="s">
        <v>180</v>
      </c>
      <c r="C2" s="144"/>
      <c r="D2" s="144"/>
      <c r="E2" s="144"/>
      <c r="F2" s="144"/>
      <c r="G2" s="147" t="s">
        <v>251</v>
      </c>
      <c r="H2" s="147"/>
      <c r="I2" s="147"/>
      <c r="J2" s="147" t="s">
        <v>187</v>
      </c>
      <c r="K2" s="144">
        <v>3</v>
      </c>
      <c r="L2" s="144" t="s">
        <v>184</v>
      </c>
      <c r="M2" s="157"/>
      <c r="N2" s="157"/>
      <c r="O2" s="149">
        <v>11.2</v>
      </c>
      <c r="P2" s="150">
        <f>2*1.5*4</f>
        <v>12</v>
      </c>
      <c r="Q2" s="4">
        <v>182.4</v>
      </c>
      <c r="R2" s="4">
        <v>56.8</v>
      </c>
      <c r="S2" s="148">
        <v>4.2</v>
      </c>
      <c r="T2" s="148">
        <v>22.5</v>
      </c>
      <c r="U2" s="148" t="s">
        <v>50</v>
      </c>
      <c r="V2" s="144" t="s">
        <v>242</v>
      </c>
    </row>
    <row r="3" spans="1:22" s="142" customFormat="1" ht="31" customHeight="1" x14ac:dyDescent="0.2">
      <c r="A3" s="144" t="s">
        <v>17</v>
      </c>
      <c r="B3" s="144" t="s">
        <v>107</v>
      </c>
      <c r="C3" s="144"/>
      <c r="D3" s="144"/>
      <c r="E3" s="144"/>
      <c r="F3" s="144" t="s">
        <v>52</v>
      </c>
      <c r="G3" s="147" t="s">
        <v>121</v>
      </c>
      <c r="H3" s="147">
        <v>13</v>
      </c>
      <c r="I3" s="147" t="s">
        <v>54</v>
      </c>
      <c r="J3" s="147" t="s">
        <v>72</v>
      </c>
      <c r="K3" s="144">
        <v>2</v>
      </c>
      <c r="L3" s="144" t="s">
        <v>56</v>
      </c>
      <c r="M3" s="156">
        <v>47328</v>
      </c>
      <c r="N3" s="141"/>
      <c r="O3" s="144">
        <v>8.1</v>
      </c>
      <c r="P3" s="144">
        <f>2*2*3+2^3</f>
        <v>20</v>
      </c>
      <c r="Q3" s="4">
        <v>35.9</v>
      </c>
      <c r="R3" s="4">
        <v>127</v>
      </c>
      <c r="S3" s="147">
        <v>9.1</v>
      </c>
      <c r="T3" s="148">
        <v>8.3000000000000007</v>
      </c>
      <c r="U3" s="148" t="s">
        <v>50</v>
      </c>
      <c r="V3" s="144"/>
    </row>
    <row r="4" spans="1:22" ht="33" customHeight="1" x14ac:dyDescent="0.2">
      <c r="A4" s="144" t="s">
        <v>117</v>
      </c>
      <c r="B4" s="144" t="s">
        <v>80</v>
      </c>
      <c r="C4" s="144"/>
      <c r="D4" s="144"/>
      <c r="E4" s="144"/>
      <c r="F4" s="144" t="s">
        <v>52</v>
      </c>
      <c r="G4" s="147" t="s">
        <v>61</v>
      </c>
      <c r="H4" s="147">
        <v>6</v>
      </c>
      <c r="I4" s="147" t="s">
        <v>54</v>
      </c>
      <c r="J4" s="147" t="s">
        <v>124</v>
      </c>
      <c r="K4" s="144">
        <v>1</v>
      </c>
      <c r="L4" s="144" t="s">
        <v>56</v>
      </c>
      <c r="M4" s="140">
        <v>44011</v>
      </c>
      <c r="N4" s="141"/>
      <c r="O4" s="144">
        <v>14.7</v>
      </c>
      <c r="P4" s="144">
        <f>2*1.5*1.5</f>
        <v>4.5</v>
      </c>
      <c r="Q4" s="4">
        <v>74.099999999999994</v>
      </c>
      <c r="R4" s="4">
        <v>134.80000000000001</v>
      </c>
      <c r="S4" s="148">
        <v>8.1999999999999993</v>
      </c>
      <c r="T4" s="148">
        <v>4.7</v>
      </c>
      <c r="U4" s="148" t="s">
        <v>50</v>
      </c>
      <c r="V4" s="144"/>
    </row>
    <row r="5" spans="1:22" ht="46" customHeight="1" x14ac:dyDescent="0.2">
      <c r="A5" s="144" t="s">
        <v>4</v>
      </c>
      <c r="B5" s="144" t="s">
        <v>20</v>
      </c>
      <c r="C5" s="144" t="s">
        <v>78</v>
      </c>
      <c r="D5" s="144" t="s">
        <v>78</v>
      </c>
      <c r="E5" s="144"/>
      <c r="F5" s="144" t="s">
        <v>52</v>
      </c>
      <c r="G5" s="147" t="s">
        <v>250</v>
      </c>
      <c r="H5" s="147">
        <v>9</v>
      </c>
      <c r="I5" s="147" t="s">
        <v>54</v>
      </c>
      <c r="J5" s="147" t="s">
        <v>249</v>
      </c>
      <c r="K5" s="144">
        <v>1</v>
      </c>
      <c r="L5" s="144" t="s">
        <v>56</v>
      </c>
      <c r="M5" s="140">
        <v>43789</v>
      </c>
      <c r="N5" s="141"/>
      <c r="O5" s="144">
        <v>10</v>
      </c>
      <c r="P5" s="144">
        <f>3*3*2+1.5*1*1*2</f>
        <v>21</v>
      </c>
      <c r="Q5" s="4">
        <v>81.599999999999994</v>
      </c>
      <c r="R5" s="4">
        <v>44.5</v>
      </c>
      <c r="S5" s="148">
        <v>5.8</v>
      </c>
      <c r="T5" s="148">
        <v>4.7</v>
      </c>
      <c r="U5" s="148" t="s">
        <v>50</v>
      </c>
      <c r="V5" s="144"/>
    </row>
    <row r="6" spans="1:22" ht="15" customHeight="1" x14ac:dyDescent="0.2">
      <c r="A6" s="144" t="s">
        <v>13</v>
      </c>
      <c r="B6" s="144" t="s">
        <v>79</v>
      </c>
      <c r="C6" s="144" t="s">
        <v>78</v>
      </c>
      <c r="D6" s="144" t="s">
        <v>78</v>
      </c>
      <c r="E6" s="147" t="s">
        <v>239</v>
      </c>
      <c r="F6" s="144" t="s">
        <v>52</v>
      </c>
      <c r="G6" s="147" t="s">
        <v>62</v>
      </c>
      <c r="H6" s="147">
        <v>10</v>
      </c>
      <c r="I6" s="147" t="s">
        <v>54</v>
      </c>
      <c r="J6" s="147" t="s">
        <v>237</v>
      </c>
      <c r="K6" s="144">
        <v>1</v>
      </c>
      <c r="L6" s="144" t="s">
        <v>56</v>
      </c>
      <c r="M6" s="155">
        <v>44108</v>
      </c>
      <c r="N6" s="141"/>
      <c r="O6" s="144">
        <v>27.5</v>
      </c>
      <c r="P6" s="144">
        <f>1.5^3+2*1.2*1.6</f>
        <v>7.2149999999999999</v>
      </c>
      <c r="Q6" s="4">
        <v>96.7</v>
      </c>
      <c r="R6" s="4">
        <v>236.6</v>
      </c>
      <c r="S6" s="147">
        <v>9.3000000000000007</v>
      </c>
      <c r="T6" s="148">
        <v>3.5</v>
      </c>
      <c r="U6" s="148" t="s">
        <v>50</v>
      </c>
      <c r="V6" s="144"/>
    </row>
    <row r="7" spans="1:22" ht="21" customHeight="1" x14ac:dyDescent="0.2">
      <c r="A7" s="144" t="s">
        <v>7</v>
      </c>
      <c r="B7" s="144" t="s">
        <v>23</v>
      </c>
      <c r="C7" s="144" t="s">
        <v>78</v>
      </c>
      <c r="D7" s="144" t="s">
        <v>78</v>
      </c>
      <c r="E7" s="144"/>
      <c r="F7" s="144" t="s">
        <v>52</v>
      </c>
      <c r="G7" s="147" t="s">
        <v>62</v>
      </c>
      <c r="H7" s="147">
        <v>10</v>
      </c>
      <c r="I7" s="147" t="s">
        <v>54</v>
      </c>
      <c r="J7" s="147" t="s">
        <v>63</v>
      </c>
      <c r="K7" s="144">
        <v>1</v>
      </c>
      <c r="L7" s="144" t="s">
        <v>56</v>
      </c>
      <c r="M7" s="140">
        <v>43887</v>
      </c>
      <c r="N7" s="141"/>
      <c r="O7" s="144">
        <v>26</v>
      </c>
      <c r="P7" s="144">
        <f>2.5*2*1.5</f>
        <v>7.5</v>
      </c>
      <c r="Q7" s="4">
        <v>52.1</v>
      </c>
      <c r="R7" s="4">
        <v>21.6</v>
      </c>
      <c r="S7" s="148">
        <v>8.6999999999999993</v>
      </c>
      <c r="T7" s="148">
        <v>2.7</v>
      </c>
      <c r="U7" s="148" t="s">
        <v>50</v>
      </c>
      <c r="V7" s="144"/>
    </row>
    <row r="8" spans="1:22" ht="32" customHeight="1" x14ac:dyDescent="0.2">
      <c r="A8" s="144" t="s">
        <v>16</v>
      </c>
      <c r="B8" s="144" t="s">
        <v>106</v>
      </c>
      <c r="C8" s="144"/>
      <c r="D8" s="144"/>
      <c r="E8" s="144"/>
      <c r="F8" s="144" t="s">
        <v>52</v>
      </c>
      <c r="G8" s="147" t="s">
        <v>122</v>
      </c>
      <c r="H8" s="147">
        <v>7</v>
      </c>
      <c r="I8" s="147" t="s">
        <v>54</v>
      </c>
      <c r="J8" s="147" t="s">
        <v>123</v>
      </c>
      <c r="K8" s="144">
        <v>2</v>
      </c>
      <c r="L8" s="144" t="s">
        <v>56</v>
      </c>
      <c r="M8" s="140">
        <v>44040</v>
      </c>
      <c r="N8" s="141"/>
      <c r="O8" s="144">
        <v>16</v>
      </c>
      <c r="P8" s="144">
        <f>2*1*1.5</f>
        <v>3</v>
      </c>
      <c r="Q8" s="4">
        <v>64.599999999999994</v>
      </c>
      <c r="R8" s="4">
        <v>252.9</v>
      </c>
      <c r="S8" s="148">
        <v>8.4</v>
      </c>
      <c r="T8" s="148">
        <v>2.6</v>
      </c>
      <c r="U8" s="148" t="s">
        <v>50</v>
      </c>
      <c r="V8" s="144"/>
    </row>
    <row r="9" spans="1:22" ht="30" customHeight="1" x14ac:dyDescent="0.2">
      <c r="A9" s="144" t="s">
        <v>14</v>
      </c>
      <c r="B9" s="144" t="s">
        <v>81</v>
      </c>
      <c r="C9" s="144" t="s">
        <v>78</v>
      </c>
      <c r="D9" s="144" t="s">
        <v>78</v>
      </c>
      <c r="E9" s="147" t="s">
        <v>143</v>
      </c>
      <c r="F9" s="144" t="s">
        <v>52</v>
      </c>
      <c r="G9" s="147" t="s">
        <v>82</v>
      </c>
      <c r="H9" s="147">
        <v>13</v>
      </c>
      <c r="I9" s="147" t="s">
        <v>54</v>
      </c>
      <c r="J9" s="147" t="s">
        <v>83</v>
      </c>
      <c r="K9" s="144">
        <v>3</v>
      </c>
      <c r="L9" s="144" t="s">
        <v>56</v>
      </c>
      <c r="M9" s="140">
        <v>43997</v>
      </c>
      <c r="N9" s="141" t="s">
        <v>84</v>
      </c>
      <c r="O9" s="144">
        <v>8.3000000000000007</v>
      </c>
      <c r="P9" s="144">
        <f>5*5*3</f>
        <v>75</v>
      </c>
      <c r="Q9" s="4">
        <v>101.5</v>
      </c>
      <c r="R9" s="4">
        <v>96.1</v>
      </c>
      <c r="S9" s="148">
        <v>7.6</v>
      </c>
      <c r="T9" s="148">
        <v>1.9</v>
      </c>
      <c r="U9" s="148" t="s">
        <v>50</v>
      </c>
      <c r="V9" s="144"/>
    </row>
    <row r="10" spans="1:22" ht="31" customHeight="1" x14ac:dyDescent="0.2">
      <c r="A10" s="144" t="s">
        <v>3</v>
      </c>
      <c r="B10" s="144" t="s">
        <v>19</v>
      </c>
      <c r="C10" s="144" t="s">
        <v>78</v>
      </c>
      <c r="D10" s="144" t="s">
        <v>78</v>
      </c>
      <c r="E10" s="144"/>
      <c r="F10" s="144" t="s">
        <v>52</v>
      </c>
      <c r="G10" s="147" t="s">
        <v>58</v>
      </c>
      <c r="H10" s="147">
        <v>12</v>
      </c>
      <c r="I10" s="147" t="s">
        <v>54</v>
      </c>
      <c r="J10" s="147" t="s">
        <v>59</v>
      </c>
      <c r="K10" s="144">
        <v>3</v>
      </c>
      <c r="L10" s="144" t="s">
        <v>56</v>
      </c>
      <c r="M10" s="140">
        <v>43878</v>
      </c>
      <c r="N10" s="141"/>
      <c r="O10" s="144">
        <v>30</v>
      </c>
      <c r="P10" s="144">
        <f>10*5*5</f>
        <v>250</v>
      </c>
      <c r="Q10" s="4">
        <v>34.9</v>
      </c>
      <c r="R10" s="4">
        <v>64.8</v>
      </c>
      <c r="S10" s="148">
        <v>6.2</v>
      </c>
      <c r="T10" s="148">
        <v>1.9</v>
      </c>
      <c r="U10" s="148" t="s">
        <v>50</v>
      </c>
      <c r="V10" s="144" t="s">
        <v>248</v>
      </c>
    </row>
    <row r="11" spans="1:22" ht="15" customHeight="1" x14ac:dyDescent="0.2">
      <c r="A11" s="144" t="s">
        <v>2</v>
      </c>
      <c r="B11" s="144" t="s">
        <v>18</v>
      </c>
      <c r="C11" s="144" t="s">
        <v>78</v>
      </c>
      <c r="D11" s="144" t="s">
        <v>78</v>
      </c>
      <c r="E11" s="144"/>
      <c r="F11" s="144" t="s">
        <v>52</v>
      </c>
      <c r="G11" s="147" t="s">
        <v>53</v>
      </c>
      <c r="H11" s="147">
        <v>6</v>
      </c>
      <c r="I11" s="147" t="s">
        <v>54</v>
      </c>
      <c r="J11" s="147" t="s">
        <v>55</v>
      </c>
      <c r="K11" s="144">
        <v>3</v>
      </c>
      <c r="L11" s="144" t="s">
        <v>56</v>
      </c>
      <c r="M11" s="140">
        <v>43880</v>
      </c>
      <c r="N11" s="141"/>
      <c r="O11" s="144">
        <v>34</v>
      </c>
      <c r="P11" s="144">
        <f>5.7*3.2*4.2</f>
        <v>76.608000000000018</v>
      </c>
      <c r="Q11" s="4">
        <v>97.7</v>
      </c>
      <c r="R11" s="4">
        <v>45.1</v>
      </c>
      <c r="S11" s="148">
        <v>8.1999999999999993</v>
      </c>
      <c r="T11" s="148">
        <v>0.9</v>
      </c>
      <c r="U11" s="148" t="s">
        <v>50</v>
      </c>
      <c r="V11" s="144"/>
    </row>
    <row r="12" spans="1:22" ht="15" customHeight="1" x14ac:dyDescent="0.2">
      <c r="A12" s="143" t="s">
        <v>183</v>
      </c>
      <c r="B12" s="143" t="s">
        <v>181</v>
      </c>
      <c r="C12" s="143"/>
      <c r="D12" s="143"/>
      <c r="E12" s="143"/>
      <c r="F12" s="143"/>
      <c r="G12" s="151"/>
      <c r="H12" s="151"/>
      <c r="I12" s="151"/>
      <c r="J12" s="151" t="s">
        <v>188</v>
      </c>
      <c r="K12" s="143"/>
      <c r="L12" s="143" t="s">
        <v>56</v>
      </c>
      <c r="M12" s="160"/>
      <c r="N12" s="160"/>
      <c r="O12" s="143">
        <v>33.299999999999997</v>
      </c>
      <c r="P12" s="143"/>
      <c r="Q12" s="4">
        <v>71.5</v>
      </c>
      <c r="R12" s="4">
        <v>38.5</v>
      </c>
      <c r="S12" s="153">
        <v>7.4</v>
      </c>
      <c r="T12" s="153">
        <v>10.7</v>
      </c>
      <c r="U12" s="148" t="s">
        <v>244</v>
      </c>
      <c r="V12" s="143"/>
    </row>
    <row r="13" spans="1:22" ht="29" customHeight="1" x14ac:dyDescent="0.2">
      <c r="A13" s="143" t="s">
        <v>5</v>
      </c>
      <c r="B13" s="143" t="s">
        <v>21</v>
      </c>
      <c r="C13" s="143"/>
      <c r="D13" s="143"/>
      <c r="E13" s="151" t="s">
        <v>108</v>
      </c>
      <c r="F13" s="143" t="s">
        <v>52</v>
      </c>
      <c r="G13" s="151" t="s">
        <v>58</v>
      </c>
      <c r="H13" s="151">
        <v>8</v>
      </c>
      <c r="I13" s="151" t="s">
        <v>54</v>
      </c>
      <c r="J13" s="151" t="s">
        <v>60</v>
      </c>
      <c r="K13" s="152" t="s">
        <v>57</v>
      </c>
      <c r="L13" s="143" t="s">
        <v>56</v>
      </c>
      <c r="M13" s="158">
        <v>43868</v>
      </c>
      <c r="N13" s="159"/>
      <c r="O13" s="143">
        <v>23</v>
      </c>
      <c r="P13" s="143"/>
      <c r="Q13" s="4">
        <v>67.7</v>
      </c>
      <c r="R13" s="4">
        <v>339.8</v>
      </c>
      <c r="S13" s="153">
        <v>8.5</v>
      </c>
      <c r="T13" s="153">
        <v>0.9</v>
      </c>
      <c r="U13" s="148" t="s">
        <v>244</v>
      </c>
      <c r="V13" s="143"/>
    </row>
    <row r="14" spans="1:22" ht="15" customHeight="1" x14ac:dyDescent="0.2">
      <c r="A14" s="144" t="s">
        <v>17</v>
      </c>
      <c r="B14" s="144" t="s">
        <v>107</v>
      </c>
      <c r="C14" s="144"/>
      <c r="D14" s="144"/>
      <c r="E14" s="144"/>
      <c r="F14" s="144" t="s">
        <v>52</v>
      </c>
      <c r="G14" s="147" t="s">
        <v>121</v>
      </c>
      <c r="H14" s="147">
        <v>13</v>
      </c>
      <c r="I14" s="147" t="s">
        <v>54</v>
      </c>
      <c r="J14" s="147" t="s">
        <v>72</v>
      </c>
      <c r="K14" s="144">
        <v>2</v>
      </c>
      <c r="L14" s="144" t="s">
        <v>56</v>
      </c>
      <c r="M14" s="156">
        <v>47328</v>
      </c>
      <c r="N14" s="141"/>
      <c r="O14" s="144">
        <v>8.1</v>
      </c>
      <c r="P14" s="144">
        <f>2*2*3+2^3</f>
        <v>20</v>
      </c>
      <c r="Q14" s="4">
        <v>35.9</v>
      </c>
      <c r="R14" s="4">
        <v>19</v>
      </c>
      <c r="S14" s="147">
        <v>6.9</v>
      </c>
      <c r="T14" s="148">
        <v>8.3000000000000007</v>
      </c>
      <c r="U14" s="148" t="s">
        <v>246</v>
      </c>
      <c r="V14" s="144"/>
    </row>
    <row r="15" spans="1:22" ht="15" customHeight="1" x14ac:dyDescent="0.2">
      <c r="A15" s="144" t="s">
        <v>13</v>
      </c>
      <c r="B15" s="144" t="s">
        <v>79</v>
      </c>
      <c r="C15" s="144" t="s">
        <v>78</v>
      </c>
      <c r="D15" s="144" t="s">
        <v>78</v>
      </c>
      <c r="E15" s="147" t="s">
        <v>238</v>
      </c>
      <c r="F15" s="144" t="s">
        <v>52</v>
      </c>
      <c r="G15" s="147" t="s">
        <v>62</v>
      </c>
      <c r="H15" s="147">
        <v>10</v>
      </c>
      <c r="I15" s="147" t="s">
        <v>54</v>
      </c>
      <c r="J15" s="147" t="s">
        <v>55</v>
      </c>
      <c r="K15" s="144">
        <v>1</v>
      </c>
      <c r="L15" s="144" t="s">
        <v>56</v>
      </c>
      <c r="M15" s="155">
        <v>43868</v>
      </c>
      <c r="N15" s="141"/>
      <c r="O15" s="144">
        <v>27.5</v>
      </c>
      <c r="P15" s="144">
        <f>1.5^3+2*1.2*1.6</f>
        <v>7.2149999999999999</v>
      </c>
      <c r="Q15" s="4">
        <v>96.7</v>
      </c>
      <c r="R15" s="4">
        <v>18</v>
      </c>
      <c r="S15" s="147">
        <v>7</v>
      </c>
      <c r="T15" s="148">
        <v>3.5</v>
      </c>
      <c r="U15" s="148" t="s">
        <v>246</v>
      </c>
      <c r="V15" s="144"/>
    </row>
    <row r="16" spans="1:22" s="142" customFormat="1" ht="15" customHeight="1" x14ac:dyDescent="0.2">
      <c r="A16" s="144" t="s">
        <v>8</v>
      </c>
      <c r="B16" s="144" t="s">
        <v>24</v>
      </c>
      <c r="C16" s="144" t="s">
        <v>78</v>
      </c>
      <c r="D16" s="144" t="s">
        <v>78</v>
      </c>
      <c r="E16" s="144"/>
      <c r="F16" s="144" t="s">
        <v>52</v>
      </c>
      <c r="G16" s="147" t="s">
        <v>64</v>
      </c>
      <c r="H16" s="147">
        <v>10</v>
      </c>
      <c r="I16" s="147" t="s">
        <v>65</v>
      </c>
      <c r="J16" s="147" t="s">
        <v>66</v>
      </c>
      <c r="K16" s="144">
        <v>3</v>
      </c>
      <c r="L16" s="144" t="s">
        <v>67</v>
      </c>
      <c r="M16" s="140">
        <v>43777</v>
      </c>
      <c r="N16" s="141" t="s">
        <v>68</v>
      </c>
      <c r="O16" s="144"/>
      <c r="P16" s="144"/>
      <c r="Q16" s="4">
        <v>31.3</v>
      </c>
      <c r="R16" s="4">
        <v>252.7</v>
      </c>
      <c r="S16" s="148">
        <v>8.5</v>
      </c>
      <c r="T16" s="144"/>
      <c r="U16" s="148" t="s">
        <v>245</v>
      </c>
      <c r="V16" s="144"/>
    </row>
    <row r="17" spans="1:26" ht="15" customHeight="1" x14ac:dyDescent="0.2">
      <c r="A17" s="144" t="s">
        <v>11</v>
      </c>
      <c r="B17" s="144" t="s">
        <v>27</v>
      </c>
      <c r="C17" s="144" t="s">
        <v>78</v>
      </c>
      <c r="D17" s="144" t="s">
        <v>78</v>
      </c>
      <c r="E17" s="144"/>
      <c r="F17" s="144" t="s">
        <v>52</v>
      </c>
      <c r="G17" s="147" t="s">
        <v>73</v>
      </c>
      <c r="H17" s="147">
        <v>9</v>
      </c>
      <c r="I17" s="147" t="s">
        <v>54</v>
      </c>
      <c r="J17" s="147" t="s">
        <v>74</v>
      </c>
      <c r="K17" s="144">
        <v>3</v>
      </c>
      <c r="L17" s="144" t="s">
        <v>67</v>
      </c>
      <c r="M17" s="140">
        <v>43962</v>
      </c>
      <c r="N17" s="141" t="s">
        <v>75</v>
      </c>
      <c r="O17" s="144"/>
      <c r="P17" s="144"/>
      <c r="Q17" s="4">
        <v>20.7</v>
      </c>
      <c r="R17" s="4">
        <v>256.3</v>
      </c>
      <c r="S17" s="148">
        <v>8.1999999999999993</v>
      </c>
      <c r="T17" s="144"/>
      <c r="U17" s="148" t="s">
        <v>245</v>
      </c>
      <c r="V17" s="144"/>
    </row>
    <row r="18" spans="1:26" ht="15" customHeight="1" x14ac:dyDescent="0.2">
      <c r="A18" s="144" t="s">
        <v>10</v>
      </c>
      <c r="B18" s="144" t="s">
        <v>26</v>
      </c>
      <c r="C18" s="144" t="s">
        <v>78</v>
      </c>
      <c r="D18" s="144" t="s">
        <v>78</v>
      </c>
      <c r="E18" s="144"/>
      <c r="F18" s="144" t="s">
        <v>52</v>
      </c>
      <c r="G18" s="147" t="s">
        <v>71</v>
      </c>
      <c r="H18" s="147">
        <v>12</v>
      </c>
      <c r="I18" s="147" t="s">
        <v>54</v>
      </c>
      <c r="J18" s="147" t="s">
        <v>72</v>
      </c>
      <c r="K18" s="144">
        <v>2</v>
      </c>
      <c r="L18" s="144" t="s">
        <v>67</v>
      </c>
      <c r="M18" s="140">
        <v>43717</v>
      </c>
      <c r="N18" s="141"/>
      <c r="O18" s="144"/>
      <c r="P18" s="144"/>
      <c r="Q18" s="4">
        <v>120.1</v>
      </c>
      <c r="R18" s="4">
        <v>144</v>
      </c>
      <c r="S18" s="148">
        <v>7.8</v>
      </c>
      <c r="T18" s="144"/>
      <c r="U18" s="148" t="s">
        <v>245</v>
      </c>
      <c r="V18" s="144"/>
    </row>
    <row r="19" spans="1:26" ht="15" customHeight="1" x14ac:dyDescent="0.2">
      <c r="A19" s="161" t="s">
        <v>178</v>
      </c>
      <c r="B19" s="161"/>
      <c r="C19" s="161"/>
      <c r="D19" s="161"/>
      <c r="E19" s="161"/>
      <c r="F19" s="161"/>
      <c r="G19" s="162"/>
      <c r="H19" s="162"/>
      <c r="I19" s="162"/>
      <c r="J19" s="162" t="s">
        <v>193</v>
      </c>
      <c r="K19" s="161"/>
      <c r="L19" s="161" t="s">
        <v>56</v>
      </c>
      <c r="M19" s="163"/>
      <c r="N19" s="163"/>
      <c r="O19" s="161"/>
      <c r="P19" s="161"/>
      <c r="Q19" s="161">
        <v>10.4</v>
      </c>
      <c r="R19" s="161">
        <v>7.2</v>
      </c>
      <c r="S19" s="164">
        <v>6.3</v>
      </c>
      <c r="T19" s="164">
        <v>4</v>
      </c>
      <c r="U19" s="164"/>
      <c r="V19" s="161"/>
    </row>
    <row r="20" spans="1:26" ht="32" customHeight="1" x14ac:dyDescent="0.2">
      <c r="A20" s="161" t="s">
        <v>6</v>
      </c>
      <c r="B20" s="161" t="s">
        <v>22</v>
      </c>
      <c r="C20" s="161" t="s">
        <v>78</v>
      </c>
      <c r="D20" s="161" t="s">
        <v>78</v>
      </c>
      <c r="E20" s="161"/>
      <c r="F20" s="161" t="s">
        <v>52</v>
      </c>
      <c r="G20" s="162" t="s">
        <v>61</v>
      </c>
      <c r="H20" s="162">
        <v>11</v>
      </c>
      <c r="I20" s="162" t="s">
        <v>54</v>
      </c>
      <c r="J20" s="162" t="s">
        <v>252</v>
      </c>
      <c r="K20" s="165" t="s">
        <v>57</v>
      </c>
      <c r="L20" s="161" t="s">
        <v>56</v>
      </c>
      <c r="M20" s="166">
        <v>43836</v>
      </c>
      <c r="N20" s="167"/>
      <c r="O20" s="161">
        <v>14</v>
      </c>
      <c r="P20" s="161">
        <f>0.5^3+2*2*2+0.2^3*3+0.3^3+0.3^3+1*1*1</f>
        <v>9.2029999999999976</v>
      </c>
      <c r="Q20" s="161">
        <v>49.3</v>
      </c>
      <c r="R20" s="161">
        <v>15.7</v>
      </c>
      <c r="S20" s="164">
        <v>7.5</v>
      </c>
      <c r="T20" s="164">
        <v>0.1</v>
      </c>
      <c r="U20" s="164"/>
      <c r="V20" s="161"/>
    </row>
    <row r="21" spans="1:26" ht="15" customHeight="1" x14ac:dyDescent="0.2">
      <c r="A21" s="161" t="s">
        <v>9</v>
      </c>
      <c r="B21" s="161" t="s">
        <v>25</v>
      </c>
      <c r="C21" s="161"/>
      <c r="D21" s="161"/>
      <c r="E21" s="161"/>
      <c r="F21" s="161" t="s">
        <v>52</v>
      </c>
      <c r="G21" s="162" t="s">
        <v>69</v>
      </c>
      <c r="H21" s="162">
        <v>12</v>
      </c>
      <c r="I21" s="162" t="s">
        <v>54</v>
      </c>
      <c r="J21" s="162" t="s">
        <v>55</v>
      </c>
      <c r="K21" s="161">
        <v>2</v>
      </c>
      <c r="L21" s="161" t="s">
        <v>67</v>
      </c>
      <c r="M21" s="166">
        <v>43719</v>
      </c>
      <c r="N21" s="167" t="s">
        <v>70</v>
      </c>
      <c r="O21" s="161"/>
      <c r="P21" s="161"/>
      <c r="Q21" s="161">
        <v>38.4</v>
      </c>
      <c r="R21" s="161">
        <v>37.4</v>
      </c>
      <c r="S21" s="164">
        <v>5.7</v>
      </c>
      <c r="T21" s="161"/>
      <c r="U21" s="164"/>
      <c r="V21" s="161"/>
    </row>
    <row r="22" spans="1:26" ht="15" customHeight="1" x14ac:dyDescent="0.2">
      <c r="A22" s="161" t="s">
        <v>12</v>
      </c>
      <c r="B22" s="161" t="s">
        <v>28</v>
      </c>
      <c r="C22" s="161"/>
      <c r="D22" s="161"/>
      <c r="E22" s="161"/>
      <c r="F22" s="161" t="s">
        <v>52</v>
      </c>
      <c r="G22" s="162" t="s">
        <v>76</v>
      </c>
      <c r="H22" s="162">
        <v>10</v>
      </c>
      <c r="I22" s="162" t="s">
        <v>65</v>
      </c>
      <c r="J22" s="162" t="s">
        <v>77</v>
      </c>
      <c r="K22" s="161">
        <v>2</v>
      </c>
      <c r="L22" s="161" t="s">
        <v>67</v>
      </c>
      <c r="M22" s="166">
        <v>43739</v>
      </c>
      <c r="N22" s="167"/>
      <c r="O22" s="161"/>
      <c r="P22" s="161"/>
      <c r="Q22" s="161">
        <v>21.2</v>
      </c>
      <c r="R22" s="161">
        <v>165.5</v>
      </c>
      <c r="S22" s="164">
        <v>4.0999999999999996</v>
      </c>
      <c r="T22" s="161"/>
      <c r="U22" s="164"/>
      <c r="V22" s="161"/>
    </row>
    <row r="23" spans="1:26" ht="15" customHeight="1" x14ac:dyDescent="0.2">
      <c r="A23" s="161" t="s">
        <v>15</v>
      </c>
      <c r="B23" s="161" t="s">
        <v>85</v>
      </c>
      <c r="C23" s="161" t="s">
        <v>78</v>
      </c>
      <c r="D23" s="161" t="s">
        <v>78</v>
      </c>
      <c r="E23" s="161" t="s">
        <v>109</v>
      </c>
      <c r="F23" s="161" t="s">
        <v>52</v>
      </c>
      <c r="G23" s="162" t="s">
        <v>130</v>
      </c>
      <c r="H23" s="162"/>
      <c r="I23" s="162" t="s">
        <v>65</v>
      </c>
      <c r="J23" s="162" t="s">
        <v>131</v>
      </c>
      <c r="K23" s="165" t="s">
        <v>57</v>
      </c>
      <c r="L23" s="161" t="s">
        <v>56</v>
      </c>
      <c r="M23" s="166">
        <v>43991</v>
      </c>
      <c r="N23" s="167" t="s">
        <v>138</v>
      </c>
      <c r="O23" s="161">
        <v>10.6</v>
      </c>
      <c r="P23" s="161">
        <f>1^3</f>
        <v>1</v>
      </c>
      <c r="Q23" s="161"/>
      <c r="R23" s="161"/>
      <c r="S23" s="161">
        <v>8.5</v>
      </c>
      <c r="T23" s="161">
        <v>4.5999999999999996</v>
      </c>
      <c r="U23" s="164"/>
      <c r="V23" s="161"/>
    </row>
    <row r="24" spans="1:26" s="2" customFormat="1" x14ac:dyDescent="0.2">
      <c r="U24" s="146"/>
    </row>
    <row r="25" spans="1:26" x14ac:dyDescent="0.2">
      <c r="W25" s="1" t="s">
        <v>196</v>
      </c>
      <c r="X25" s="1" t="s">
        <v>192</v>
      </c>
      <c r="Y25" s="1" t="s">
        <v>240</v>
      </c>
      <c r="Z25" s="1" t="s">
        <v>243</v>
      </c>
    </row>
    <row r="26" spans="1:26" x14ac:dyDescent="0.2">
      <c r="S26"/>
      <c r="T26"/>
      <c r="W26" s="1">
        <f>COUNTIF(U:U,"cfDNA")</f>
        <v>10</v>
      </c>
      <c r="X26" s="1">
        <f>COUNTIF(U:U,"cfDNA - benign")</f>
        <v>2</v>
      </c>
      <c r="Y26" s="1">
        <f>COUNTIF(U:U,"Repeat dog")</f>
        <v>2</v>
      </c>
      <c r="Z26" s="1">
        <f>COUNTA(Table1[Include in])</f>
        <v>17</v>
      </c>
    </row>
  </sheetData>
  <conditionalFormatting sqref="S2:S23">
    <cfRule type="cellIs" dxfId="2" priority="2" operator="greaterThanOrEqual">
      <formula>7</formula>
    </cfRule>
    <cfRule type="cellIs" dxfId="1" priority="3" operator="lessThan">
      <formula>7</formula>
    </cfRule>
  </conditionalFormatting>
  <conditionalFormatting sqref="T1:T23">
    <cfRule type="cellIs" dxfId="0" priority="1" operator="greaterThan">
      <formula>0</formula>
    </cfRule>
  </conditionalFormatting>
  <pageMargins left="0.7" right="0.7" top="0.75" bottom="0.75" header="0.3" footer="0.3"/>
  <pageSetup paperSize="9" fitToWidth="0" fitToHeight="0" orientation="portrait" horizontalDpi="0" verticalDpi="0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7F88A-549A-9A40-B7EE-A033305E2FBA}">
  <dimension ref="A1:C27"/>
  <sheetViews>
    <sheetView workbookViewId="0">
      <selection sqref="A1:C27"/>
    </sheetView>
    <sheetView workbookViewId="1"/>
  </sheetViews>
  <sheetFormatPr baseColWidth="10" defaultRowHeight="16" x14ac:dyDescent="0.2"/>
  <cols>
    <col min="1" max="1" width="21.5" bestFit="1" customWidth="1"/>
  </cols>
  <sheetData>
    <row r="1" spans="1:3" x14ac:dyDescent="0.2">
      <c r="A1" s="82" t="s">
        <v>189</v>
      </c>
      <c r="B1" s="83" t="s">
        <v>190</v>
      </c>
      <c r="C1" s="84"/>
    </row>
    <row r="2" spans="1:3" x14ac:dyDescent="0.2">
      <c r="A2" s="85" t="s">
        <v>191</v>
      </c>
      <c r="B2" s="86">
        <f>COUNTIF('List of samples'!J:J,"*arcinoma*")</f>
        <v>17</v>
      </c>
    </row>
    <row r="3" spans="1:3" x14ac:dyDescent="0.2">
      <c r="A3" s="85" t="s">
        <v>192</v>
      </c>
      <c r="B3" s="86">
        <f>COUNTIF('List of samples'!J:J,"*adenoma*")</f>
        <v>2</v>
      </c>
    </row>
    <row r="4" spans="1:3" x14ac:dyDescent="0.2">
      <c r="A4" s="85" t="s">
        <v>131</v>
      </c>
      <c r="B4" s="86">
        <f>COUNTIF('List of samples'!J:J,"*arcinosarcoma")</f>
        <v>1</v>
      </c>
    </row>
    <row r="5" spans="1:3" x14ac:dyDescent="0.2">
      <c r="A5" s="85" t="s">
        <v>193</v>
      </c>
      <c r="B5" s="86">
        <f>COUNTIF('List of samples'!J:J,"SCC")</f>
        <v>1</v>
      </c>
    </row>
    <row r="6" spans="1:3" ht="17" thickBot="1" x14ac:dyDescent="0.25">
      <c r="A6" s="87" t="s">
        <v>194</v>
      </c>
      <c r="B6" s="88">
        <f>SUM(B2:B5)</f>
        <v>21</v>
      </c>
    </row>
    <row r="7" spans="1:3" ht="17" thickBot="1" x14ac:dyDescent="0.25">
      <c r="A7" s="2"/>
      <c r="B7" s="2"/>
    </row>
    <row r="8" spans="1:3" x14ac:dyDescent="0.2">
      <c r="A8" s="82" t="s">
        <v>50</v>
      </c>
      <c r="B8" s="83" t="s">
        <v>190</v>
      </c>
    </row>
    <row r="9" spans="1:3" x14ac:dyDescent="0.2">
      <c r="A9" s="85" t="s">
        <v>192</v>
      </c>
      <c r="B9" s="86">
        <f>COUNTIFS('List of samples'!L:L,"yes",'List of samples'!J:J,"*adenoma*")</f>
        <v>2</v>
      </c>
    </row>
    <row r="10" spans="1:3" x14ac:dyDescent="0.2">
      <c r="A10" s="85" t="s">
        <v>131</v>
      </c>
      <c r="B10" s="86">
        <f>COUNTIFS('List of samples'!J:J,"*arcinosarcoma",'List of samples'!L:L,"yes")</f>
        <v>1</v>
      </c>
    </row>
    <row r="11" spans="1:3" x14ac:dyDescent="0.2">
      <c r="A11" s="85" t="s">
        <v>191</v>
      </c>
      <c r="B11" s="86">
        <f>COUNTIFS('List of samples'!L:L,"yes",'List of samples'!J:J,"*arcinoma*")-COUNTIF('List of samples'!U:U,"Repeat Dog")</f>
        <v>10</v>
      </c>
    </row>
    <row r="12" spans="1:3" x14ac:dyDescent="0.2">
      <c r="A12" s="85" t="s">
        <v>193</v>
      </c>
      <c r="B12" s="86">
        <f>COUNTIFS('List of samples'!L:L,"yes",'List of samples'!J:J,"SCC")</f>
        <v>1</v>
      </c>
    </row>
    <row r="13" spans="1:3" ht="17" thickBot="1" x14ac:dyDescent="0.25">
      <c r="A13" s="87" t="s">
        <v>194</v>
      </c>
      <c r="B13" s="88">
        <f>SUM(B9:B12)</f>
        <v>14</v>
      </c>
    </row>
    <row r="14" spans="1:3" ht="17" thickBot="1" x14ac:dyDescent="0.25">
      <c r="A14" s="2"/>
      <c r="B14" s="2"/>
    </row>
    <row r="15" spans="1:3" x14ac:dyDescent="0.2">
      <c r="A15" s="82" t="s">
        <v>195</v>
      </c>
      <c r="B15" s="83" t="s">
        <v>190</v>
      </c>
    </row>
    <row r="16" spans="1:3" x14ac:dyDescent="0.2">
      <c r="A16" s="85" t="s">
        <v>191</v>
      </c>
      <c r="B16" s="86">
        <f>COUNTIFS('List of samples'!J:J,"*arcinoma*",'List of samples'!S:S,"&gt;=7")</f>
        <v>11</v>
      </c>
    </row>
    <row r="17" spans="1:3" x14ac:dyDescent="0.2">
      <c r="A17" s="85" t="s">
        <v>192</v>
      </c>
      <c r="B17" s="86">
        <f>COUNTIFS('List of samples'!J:J,"*adenoma*",'List of samples'!S:S,"&gt;=7")</f>
        <v>2</v>
      </c>
    </row>
    <row r="18" spans="1:3" x14ac:dyDescent="0.2">
      <c r="A18" s="85" t="s">
        <v>131</v>
      </c>
      <c r="B18" s="86">
        <f>COUNTIFS('List of samples'!J:J,"*arcinosarcoma",'List of samples'!S:S,"&gt;=7")</f>
        <v>1</v>
      </c>
    </row>
    <row r="19" spans="1:3" x14ac:dyDescent="0.2">
      <c r="A19" s="85" t="s">
        <v>193</v>
      </c>
      <c r="B19" s="86">
        <f>COUNTIFS('List of samples'!J:J,"SCC",'List of samples'!S:S,"&gt;=7")</f>
        <v>0</v>
      </c>
    </row>
    <row r="20" spans="1:3" ht="17" thickBot="1" x14ac:dyDescent="0.25">
      <c r="A20" s="87" t="s">
        <v>194</v>
      </c>
      <c r="B20" s="88">
        <f>SUM(B16:B19)</f>
        <v>14</v>
      </c>
    </row>
    <row r="21" spans="1:3" ht="17" thickBot="1" x14ac:dyDescent="0.25"/>
    <row r="22" spans="1:3" ht="17" thickBot="1" x14ac:dyDescent="0.25">
      <c r="A22" s="89" t="s">
        <v>253</v>
      </c>
      <c r="B22" s="90">
        <f>COUNTIF('List of samples'!J:J,"*carci*")</f>
        <v>18</v>
      </c>
    </row>
    <row r="23" spans="1:3" ht="17" thickBot="1" x14ac:dyDescent="0.25"/>
    <row r="24" spans="1:3" x14ac:dyDescent="0.2">
      <c r="A24" s="82" t="s">
        <v>197</v>
      </c>
      <c r="B24" s="83" t="s">
        <v>190</v>
      </c>
      <c r="C24" s="91" t="s">
        <v>50</v>
      </c>
    </row>
    <row r="25" spans="1:3" x14ac:dyDescent="0.2">
      <c r="A25" s="85" t="s">
        <v>198</v>
      </c>
      <c r="B25" s="86">
        <f>COUNTIF('List of samples'!K:K,1)</f>
        <v>5</v>
      </c>
      <c r="C25" s="86">
        <f>COUNTIFS('List of samples'!K:K,1,'List of samples'!L:L,"Yes")</f>
        <v>5</v>
      </c>
    </row>
    <row r="26" spans="1:3" x14ac:dyDescent="0.2">
      <c r="A26" s="85" t="s">
        <v>199</v>
      </c>
      <c r="B26" s="86">
        <f>COUNTIF('List of samples'!K:K,2)</f>
        <v>6</v>
      </c>
      <c r="C26" s="86">
        <f>COUNTIFS('List of samples'!K:K,2,'List of samples'!L:L,"Yes")</f>
        <v>3</v>
      </c>
    </row>
    <row r="27" spans="1:3" ht="17" thickBot="1" x14ac:dyDescent="0.25">
      <c r="A27" s="92" t="s">
        <v>200</v>
      </c>
      <c r="B27" s="93">
        <f>COUNTIF('List of samples'!K:K,3)</f>
        <v>6</v>
      </c>
      <c r="C27" s="93">
        <f>COUNTIFS('List of samples'!K:K,3,'List of samples'!L:L,"Yes")</f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9B0EE-E057-8C45-A535-39CDBB228639}">
  <dimension ref="A1:L13"/>
  <sheetViews>
    <sheetView workbookViewId="0">
      <selection sqref="A1:B1"/>
    </sheetView>
    <sheetView workbookViewId="1">
      <selection sqref="A1:B1"/>
    </sheetView>
  </sheetViews>
  <sheetFormatPr baseColWidth="10" defaultRowHeight="16" x14ac:dyDescent="0.2"/>
  <cols>
    <col min="1" max="1" width="16" bestFit="1" customWidth="1"/>
    <col min="2" max="2" width="18.83203125" bestFit="1" customWidth="1"/>
    <col min="3" max="3" width="3.83203125" bestFit="1" customWidth="1"/>
    <col min="4" max="4" width="4.5" customWidth="1"/>
    <col min="5" max="5" width="3.83203125" bestFit="1" customWidth="1"/>
    <col min="7" max="7" width="5.5" customWidth="1"/>
  </cols>
  <sheetData>
    <row r="1" spans="1:12" ht="26" x14ac:dyDescent="0.3">
      <c r="A1" s="177" t="s">
        <v>132</v>
      </c>
      <c r="B1" s="178"/>
      <c r="C1" s="5"/>
      <c r="D1" s="5"/>
      <c r="E1" s="5"/>
      <c r="F1" s="5"/>
      <c r="G1" s="5"/>
      <c r="H1" s="5"/>
      <c r="I1" s="5"/>
      <c r="J1" s="5"/>
      <c r="K1" s="5"/>
      <c r="L1" s="6"/>
    </row>
    <row r="2" spans="1:12" ht="27" thickBot="1" x14ac:dyDescent="0.35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9"/>
    </row>
    <row r="3" spans="1:12" ht="26" customHeight="1" x14ac:dyDescent="0.3">
      <c r="A3" s="10"/>
      <c r="B3" s="11" t="s">
        <v>139</v>
      </c>
      <c r="C3" s="12"/>
      <c r="D3" s="8"/>
      <c r="E3" s="173" t="s">
        <v>140</v>
      </c>
      <c r="F3" s="173"/>
      <c r="G3" s="173"/>
      <c r="H3" s="8"/>
      <c r="I3" s="8"/>
      <c r="J3" s="8"/>
      <c r="K3" s="8"/>
      <c r="L3" s="9"/>
    </row>
    <row r="4" spans="1:12" ht="26" x14ac:dyDescent="0.3">
      <c r="A4" s="10"/>
      <c r="B4" s="7" t="s">
        <v>133</v>
      </c>
      <c r="C4" s="13" t="s">
        <v>135</v>
      </c>
      <c r="D4" s="8"/>
      <c r="E4" s="179" t="s">
        <v>141</v>
      </c>
      <c r="F4" s="179"/>
      <c r="G4" s="8"/>
      <c r="H4" s="8"/>
      <c r="I4" s="8"/>
      <c r="J4" s="8"/>
      <c r="K4" s="8"/>
      <c r="L4" s="9"/>
    </row>
    <row r="5" spans="1:12" ht="27" thickBot="1" x14ac:dyDescent="0.35">
      <c r="A5" s="10"/>
      <c r="B5" s="14" t="s">
        <v>134</v>
      </c>
      <c r="C5" s="15"/>
      <c r="D5" s="8"/>
      <c r="E5" s="179"/>
      <c r="F5" s="179"/>
      <c r="G5" s="8"/>
      <c r="H5" s="8"/>
      <c r="I5" s="8"/>
      <c r="J5" s="8"/>
      <c r="K5" s="8"/>
      <c r="L5" s="9"/>
    </row>
    <row r="6" spans="1:12" ht="16" customHeight="1" x14ac:dyDescent="0.2">
      <c r="A6" s="10"/>
      <c r="B6" s="8"/>
      <c r="C6" s="8"/>
      <c r="D6" s="8"/>
      <c r="E6" s="174" t="s">
        <v>137</v>
      </c>
      <c r="F6" s="174"/>
      <c r="G6" s="174"/>
      <c r="H6" s="8"/>
      <c r="I6" s="8"/>
      <c r="J6" s="8"/>
      <c r="K6" s="8"/>
      <c r="L6" s="9"/>
    </row>
    <row r="7" spans="1:12" ht="16" customHeight="1" x14ac:dyDescent="0.2">
      <c r="A7" s="10"/>
      <c r="B7" s="8"/>
      <c r="C7" s="8"/>
      <c r="D7" s="8"/>
      <c r="E7" s="174"/>
      <c r="F7" s="174"/>
      <c r="G7" s="174"/>
      <c r="H7" s="8"/>
      <c r="I7" s="8"/>
      <c r="J7" s="8"/>
      <c r="K7" s="8"/>
      <c r="L7" s="9"/>
    </row>
    <row r="8" spans="1:12" ht="16" customHeight="1" x14ac:dyDescent="0.2">
      <c r="A8" s="175" t="s">
        <v>136</v>
      </c>
      <c r="B8" s="8"/>
      <c r="C8" s="8"/>
      <c r="D8" s="16"/>
      <c r="E8" s="174"/>
      <c r="F8" s="174"/>
      <c r="G8" s="174"/>
      <c r="H8" s="8"/>
      <c r="I8" s="8"/>
      <c r="J8" s="8"/>
      <c r="K8" s="8"/>
      <c r="L8" s="9"/>
    </row>
    <row r="9" spans="1:12" ht="16" customHeight="1" x14ac:dyDescent="0.2">
      <c r="A9" s="175"/>
      <c r="B9" s="8"/>
      <c r="C9" s="8"/>
      <c r="D9" s="16"/>
      <c r="E9" s="174"/>
      <c r="F9" s="174"/>
      <c r="G9" s="174"/>
      <c r="H9" s="8"/>
      <c r="I9" s="8"/>
      <c r="J9" s="8"/>
      <c r="K9" s="8"/>
      <c r="L9" s="9"/>
    </row>
    <row r="10" spans="1:12" ht="16" customHeight="1" x14ac:dyDescent="0.2">
      <c r="A10" s="175"/>
      <c r="B10" s="8"/>
      <c r="C10" s="8"/>
      <c r="D10" s="16"/>
      <c r="E10" s="8"/>
      <c r="F10" s="8"/>
      <c r="G10" s="8"/>
      <c r="H10" s="8"/>
      <c r="I10" s="8"/>
      <c r="J10" s="8"/>
      <c r="K10" s="8"/>
      <c r="L10" s="9"/>
    </row>
    <row r="11" spans="1:12" ht="21" x14ac:dyDescent="0.2">
      <c r="A11" s="175"/>
      <c r="B11" s="8"/>
      <c r="C11" s="8"/>
      <c r="D11" s="16"/>
      <c r="E11" s="8"/>
      <c r="F11" s="8"/>
      <c r="G11" s="8"/>
      <c r="H11" s="8"/>
      <c r="I11" s="8"/>
      <c r="J11" s="8"/>
      <c r="K11" s="8"/>
      <c r="L11" s="9"/>
    </row>
    <row r="12" spans="1:12" ht="16" customHeight="1" x14ac:dyDescent="0.2">
      <c r="A12" s="175"/>
      <c r="B12" s="8"/>
      <c r="C12" s="8"/>
      <c r="D12" s="8"/>
      <c r="E12" s="8"/>
      <c r="F12" s="8"/>
      <c r="G12" s="8"/>
      <c r="H12" s="8"/>
      <c r="I12" s="8"/>
      <c r="J12" s="8"/>
      <c r="K12" s="8"/>
      <c r="L12" s="9"/>
    </row>
    <row r="13" spans="1:12" ht="17" thickBot="1" x14ac:dyDescent="0.25">
      <c r="A13" s="176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8"/>
    </row>
  </sheetData>
  <mergeCells count="5">
    <mergeCell ref="E3:G3"/>
    <mergeCell ref="E6:G9"/>
    <mergeCell ref="A8:A13"/>
    <mergeCell ref="A1:B1"/>
    <mergeCell ref="E4:F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arbetsblad</vt:lpstr>
      <vt:lpstr>For sequencing</vt:lpstr>
      <vt:lpstr>Box</vt:lpstr>
      <vt:lpstr>List of samples</vt:lpstr>
      <vt:lpstr>Summary</vt:lpstr>
      <vt:lpstr>Label guide</vt:lpstr>
      <vt:lpstr>arbetsblad!Print_Area</vt:lpstr>
      <vt:lpstr>Box!Print_Area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Emilie Søborg Agger</dc:creator>
  <cp:lastModifiedBy>Sophie Emilie Søborg Agger</cp:lastModifiedBy>
  <cp:lastPrinted>2020-08-17T05:08:03Z</cp:lastPrinted>
  <dcterms:created xsi:type="dcterms:W3CDTF">2020-07-28T12:52:40Z</dcterms:created>
  <dcterms:modified xsi:type="dcterms:W3CDTF">2020-12-01T12:21:37Z</dcterms:modified>
</cp:coreProperties>
</file>