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qc305/Documents/PhD/Klinisk/"/>
    </mc:Choice>
  </mc:AlternateContent>
  <xr:revisionPtr revIDLastSave="0" documentId="13_ncr:1_{0C4F02E8-9283-9746-97FF-9D7124ABB051}" xr6:coauthVersionLast="36" xr6:coauthVersionMax="36" xr10:uidLastSave="{00000000-0000-0000-0000-000000000000}"/>
  <bookViews>
    <workbookView xWindow="0" yWindow="0" windowWidth="28800" windowHeight="18000" activeTab="2" xr2:uid="{F960420D-8791-9D44-A32F-49D1F7E6781B}"/>
  </bookViews>
  <sheets>
    <sheet name="Box" sheetId="1" r:id="rId1"/>
    <sheet name="arbetsblad" sheetId="4" r:id="rId2"/>
    <sheet name="List of samples" sheetId="2" r:id="rId3"/>
    <sheet name="Label guide" sheetId="3" r:id="rId4"/>
    <sheet name="Sæt" sheetId="5" r:id="rId5"/>
  </sheets>
  <definedNames>
    <definedName name="B">Sæt!$B$1:$B$10</definedName>
    <definedName name="_xlnm.Print_Area" localSheetId="1">arbetsblad!$A$2:$P$29</definedName>
    <definedName name="_xlnm.Print_Area" localSheetId="0">Box!$A$1:$N$11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5" i="2"/>
  <c r="R14" i="2"/>
  <c r="R16" i="2"/>
  <c r="R19" i="2"/>
  <c r="R17" i="2"/>
  <c r="R20" i="2"/>
  <c r="R18" i="2"/>
  <c r="R2" i="2"/>
  <c r="Q10" i="2"/>
  <c r="Q11" i="2"/>
  <c r="Q15" i="2"/>
  <c r="Q12" i="2"/>
  <c r="Q9" i="2"/>
  <c r="Q19" i="2"/>
  <c r="Q13" i="2"/>
  <c r="Q14" i="2"/>
  <c r="Q20" i="2"/>
  <c r="Q16" i="2"/>
  <c r="Q18" i="2"/>
  <c r="Q17" i="2"/>
  <c r="H12" i="5" l="1"/>
  <c r="L9" i="4" l="1"/>
  <c r="L10" i="4"/>
  <c r="L11" i="4"/>
  <c r="L12" i="4"/>
  <c r="L13" i="4"/>
  <c r="L14" i="4"/>
  <c r="L15" i="4"/>
  <c r="L16" i="4"/>
  <c r="L17" i="4"/>
  <c r="L18" i="4"/>
  <c r="L19" i="4"/>
  <c r="L21" i="4"/>
  <c r="L22" i="4"/>
  <c r="L23" i="4"/>
  <c r="L20" i="4"/>
  <c r="L24" i="4"/>
  <c r="L6" i="4"/>
  <c r="L5" i="4"/>
  <c r="D6" i="4"/>
  <c r="D7" i="4"/>
  <c r="D8" i="4"/>
  <c r="D9" i="4"/>
  <c r="D10" i="4"/>
  <c r="D11" i="4"/>
  <c r="D12" i="4"/>
  <c r="D13" i="4"/>
  <c r="D14" i="4"/>
  <c r="D15" i="4"/>
  <c r="D16" i="4"/>
  <c r="D17" i="4"/>
  <c r="D19" i="4"/>
  <c r="D20" i="4"/>
  <c r="D21" i="4"/>
  <c r="D22" i="4"/>
  <c r="D23" i="4"/>
  <c r="D24" i="4"/>
  <c r="D25" i="4"/>
  <c r="D5" i="4"/>
  <c r="H13" i="5" l="1"/>
  <c r="H5" i="5"/>
  <c r="H3" i="5"/>
  <c r="H4" i="5"/>
  <c r="H15" i="5"/>
  <c r="H18" i="5"/>
  <c r="H17" i="5"/>
  <c r="H16" i="5"/>
  <c r="H19" i="5"/>
  <c r="H11" i="5"/>
  <c r="H10" i="5"/>
  <c r="H6" i="5"/>
  <c r="H7" i="5"/>
  <c r="H2" i="5"/>
  <c r="H8" i="5"/>
  <c r="H14" i="5"/>
  <c r="H9" i="5"/>
  <c r="I20" i="4" l="1"/>
  <c r="I23" i="4"/>
  <c r="I21" i="4"/>
  <c r="I17" i="4"/>
  <c r="I16" i="4"/>
  <c r="I15" i="4"/>
  <c r="I14" i="4"/>
  <c r="I12" i="4"/>
  <c r="I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Sophie Emilie Søborg Agger</author>
  </authors>
  <commentList>
    <comment ref="Q1" authorId="0" shapeId="0" xr:uid="{FCB511AA-8697-3648-B5DD-754B137607FA}">
      <text>
        <r>
          <rPr>
            <b/>
            <sz val="10"/>
            <color rgb="FF000000"/>
            <rFont val="Tahoma"/>
            <family val="2"/>
          </rPr>
          <t>Sophie Emilie Søborg Agger: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for mal så kun de mal og for ben så al beign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Sophie Emilie Søborg Agger</author>
  </authors>
  <commentList>
    <comment ref="J3" authorId="0" shapeId="0" xr:uid="{6E654C9E-D7FD-B24C-BAAB-AC56A41D42E9}">
      <text>
        <r>
          <rPr>
            <b/>
            <sz val="10"/>
            <color rgb="FF000000"/>
            <rFont val="Tahoma"/>
            <family val="2"/>
          </rPr>
          <t>Sophie Emilie Søborg Agger: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afrundes til 2.5</t>
        </r>
      </text>
    </comment>
  </commentList>
</comments>
</file>

<file path=xl/sharedStrings.xml><?xml version="1.0" encoding="utf-8"?>
<sst xmlns="http://schemas.openxmlformats.org/spreadsheetml/2006/main" count="489" uniqueCount="219">
  <si>
    <t>ID</t>
  </si>
  <si>
    <t>Navn</t>
  </si>
  <si>
    <t>SSA01</t>
  </si>
  <si>
    <t>SSA02</t>
  </si>
  <si>
    <t>SSA03</t>
  </si>
  <si>
    <t>SSA04</t>
  </si>
  <si>
    <t>SSA05</t>
  </si>
  <si>
    <t>SSA06</t>
  </si>
  <si>
    <t>SSA07</t>
  </si>
  <si>
    <t>SSA08</t>
  </si>
  <si>
    <t>SSA09</t>
  </si>
  <si>
    <t>SSA10</t>
  </si>
  <si>
    <t>SSA11</t>
  </si>
  <si>
    <t>SSA12</t>
  </si>
  <si>
    <t>SSA13</t>
  </si>
  <si>
    <t>SSA14</t>
  </si>
  <si>
    <t>SSA15</t>
  </si>
  <si>
    <t>SSA16</t>
  </si>
  <si>
    <t>Topper</t>
  </si>
  <si>
    <t>Silja</t>
  </si>
  <si>
    <t>Tullamore</t>
  </si>
  <si>
    <t>Ellie</t>
  </si>
  <si>
    <t>Chili</t>
  </si>
  <si>
    <t>Hope</t>
  </si>
  <si>
    <t>Alma</t>
  </si>
  <si>
    <t>Wanda</t>
  </si>
  <si>
    <t>Maddie</t>
  </si>
  <si>
    <t>Bella</t>
  </si>
  <si>
    <t>Alice</t>
  </si>
  <si>
    <t>Complete set in folder</t>
  </si>
  <si>
    <t>Complete set in P drive</t>
  </si>
  <si>
    <t>SSA01
Tumor
19/02/20</t>
  </si>
  <si>
    <t>SSA01
cfDNA
19/02/20</t>
  </si>
  <si>
    <t>SSA01
Buffycoat
19/02/20</t>
  </si>
  <si>
    <t>SSA02
Buffycoat
17/02/20</t>
  </si>
  <si>
    <t>SSA02
Tumor
17/02/20</t>
  </si>
  <si>
    <t>SSA02
cfDNA
17/02/20</t>
  </si>
  <si>
    <t>SSA03
Buffycoat
20/11/19</t>
  </si>
  <si>
    <t>SSA03
Tumor
20/11/19</t>
  </si>
  <si>
    <t>SSA03
cfDNA
20/11/19</t>
  </si>
  <si>
    <t>SSA04
Buffycoat
07/02/20</t>
  </si>
  <si>
    <t>SSA04
Tumor 1
07/02/20</t>
  </si>
  <si>
    <t>SSA04
Tumor 2
07/02/20</t>
  </si>
  <si>
    <t>SSA04
cfDNA
07/02/20</t>
  </si>
  <si>
    <t>Sex</t>
  </si>
  <si>
    <t>Breed</t>
  </si>
  <si>
    <t>Age</t>
  </si>
  <si>
    <t>Status</t>
  </si>
  <si>
    <t>Diagnosis</t>
  </si>
  <si>
    <t>Grade</t>
  </si>
  <si>
    <t>cfDNA</t>
  </si>
  <si>
    <t>Notes</t>
  </si>
  <si>
    <t>Female</t>
  </si>
  <si>
    <t>Boxer</t>
  </si>
  <si>
    <t>Alive</t>
  </si>
  <si>
    <t>Simple carcinoma</t>
  </si>
  <si>
    <t>Yes</t>
  </si>
  <si>
    <t>-</t>
  </si>
  <si>
    <t>Kleiner Münsterländer</t>
  </si>
  <si>
    <t>Solid adenocarcinoma</t>
  </si>
  <si>
    <t>Cocker spaniel/Poodle mix</t>
  </si>
  <si>
    <t>Complex adenocarcinoma/solid adenocarcinoma/benign mixed</t>
  </si>
  <si>
    <t>Complex adenoma</t>
  </si>
  <si>
    <t>Cocker spaniel</t>
  </si>
  <si>
    <t>Mixed mammary tumor/Complex adenoma</t>
  </si>
  <si>
    <t>Labrador</t>
  </si>
  <si>
    <t>Complex adenocarcinomas</t>
  </si>
  <si>
    <t>Large mix</t>
  </si>
  <si>
    <t>Dead</t>
  </si>
  <si>
    <t>Solid carcinoma</t>
  </si>
  <si>
    <t>No</t>
  </si>
  <si>
    <t>Also lymphoma</t>
  </si>
  <si>
    <t>WHWT</t>
  </si>
  <si>
    <t>Also (primary) lung nodule</t>
  </si>
  <si>
    <t>Border Collie</t>
  </si>
  <si>
    <t>Complex carcinoma</t>
  </si>
  <si>
    <t>Labrador mix</t>
  </si>
  <si>
    <t>High grade mammary carcinoma</t>
  </si>
  <si>
    <t>Grade set as high</t>
  </si>
  <si>
    <t>Golden Retriever</t>
  </si>
  <si>
    <t>Papillary carcinoma</t>
  </si>
  <si>
    <t>v</t>
  </si>
  <si>
    <t>Molly-Jens</t>
  </si>
  <si>
    <t>Molly-Birk</t>
  </si>
  <si>
    <t>Tulle</t>
  </si>
  <si>
    <t>Danish/swedish farmdog</t>
  </si>
  <si>
    <t>Carcinoma Grade 3</t>
  </si>
  <si>
    <t>Infected mmt</t>
  </si>
  <si>
    <t>Olivia</t>
  </si>
  <si>
    <t>Complex carcinoma 
Simple carcinoma</t>
  </si>
  <si>
    <t>04/10/2020
07/02/2020</t>
  </si>
  <si>
    <t>SSA10
Tumor
11/5/20</t>
  </si>
  <si>
    <t>SSA11
Tumor
1/10/19</t>
  </si>
  <si>
    <t>SSA12
Buffycoat
04/10/19</t>
  </si>
  <si>
    <t>SSA12
Tumor 1
04/10/19</t>
  </si>
  <si>
    <t>SSA12
Tumor 2
7/2/20</t>
  </si>
  <si>
    <t>SSA12
cfDNA 
04/10/19</t>
  </si>
  <si>
    <t>SSA13
Buffycoat
15/6/20</t>
  </si>
  <si>
    <t>SSA13
Tumor 1
15/6/20</t>
  </si>
  <si>
    <t>SSA13
Tumor 2
15/6/20</t>
  </si>
  <si>
    <t>SSA05
Buffycoat
07/02/20</t>
  </si>
  <si>
    <t>SSA05
Tumor 1
07/02/20</t>
  </si>
  <si>
    <t>SSA05
Tumor 2
07/02/20</t>
  </si>
  <si>
    <t>SSA05
cfDNA
07/02/20</t>
  </si>
  <si>
    <t>SSA09
Tumor
09/09/20</t>
  </si>
  <si>
    <t>SSA08
Tumor
11/09/20</t>
  </si>
  <si>
    <t>SSA07
Tumor 2
08/11/19</t>
  </si>
  <si>
    <t>SSA07
Tumor 1
08/11/19</t>
  </si>
  <si>
    <t>SSA06
Buffycoat
26/02/20</t>
  </si>
  <si>
    <t>SSA06
Tumor
26/02/20</t>
  </si>
  <si>
    <t>SSA06
cfDNA
26/02/20</t>
  </si>
  <si>
    <t>Alba</t>
  </si>
  <si>
    <t>Trille</t>
  </si>
  <si>
    <t>T1=M3sin-lateral
T2=M3sin-med</t>
  </si>
  <si>
    <t>T1=04/10/2019
T2=07/02/2020</t>
  </si>
  <si>
    <t>Tumor 2=T5 journal</t>
  </si>
  <si>
    <t>SSA13
cfDNA
15/6/20</t>
  </si>
  <si>
    <t>SSA15
Buffycoat
28/7/20</t>
  </si>
  <si>
    <t>SSA15
Tumor
28/7/20</t>
  </si>
  <si>
    <t>SSA15
cfDNA
28/7/20</t>
  </si>
  <si>
    <t>SSA16
Buffycoat
29/7/20</t>
  </si>
  <si>
    <t>SSA16
Tumor
29/7/20</t>
  </si>
  <si>
    <t>SSA16
cfDNA
29/7/20</t>
  </si>
  <si>
    <t>SSA17</t>
  </si>
  <si>
    <t>SSA17
Buffycoat
29/6/20</t>
  </si>
  <si>
    <t>SSA17
Tumor
29/6/20</t>
  </si>
  <si>
    <t>SSA17
cfDNA
29/6/20</t>
  </si>
  <si>
    <t>Japanese Spitz</t>
  </si>
  <si>
    <t>English springer spanel</t>
  </si>
  <si>
    <t>Ductal carcinoma</t>
  </si>
  <si>
    <t>Complex Carcinoma</t>
  </si>
  <si>
    <t>SSA14
Buffycoat
5/6/20</t>
  </si>
  <si>
    <t>SSA14
Tumor 1
5/6/20</t>
  </si>
  <si>
    <t>SSA14
Tumor 2
5/6/20</t>
  </si>
  <si>
    <t>SSA14
Tumor 3
5/6/20</t>
  </si>
  <si>
    <t>Notes2</t>
  </si>
  <si>
    <t>Jack russel</t>
  </si>
  <si>
    <t>Carcinosarcoma</t>
  </si>
  <si>
    <t>Naming of samples</t>
  </si>
  <si>
    <t>Sample type</t>
  </si>
  <si>
    <t>Date</t>
  </si>
  <si>
    <t>🅈</t>
  </si>
  <si>
    <r>
      <rPr>
        <b/>
        <sz val="16"/>
        <color theme="9" tint="-0.249977111117893"/>
        <rFont val="Calibri"/>
        <family val="2"/>
        <scheme val="minor"/>
      </rPr>
      <t>Sample type:</t>
    </r>
    <r>
      <rPr>
        <sz val="16"/>
        <color theme="9" tint="-0.249977111117893"/>
        <rFont val="Calibri"/>
        <family val="2"/>
        <scheme val="minor"/>
      </rPr>
      <t xml:space="preserve">
Buffy(coat)
Whole blood
Tumor Z
cfDNA</t>
    </r>
  </si>
  <si>
    <r>
      <rPr>
        <b/>
        <sz val="16"/>
        <color theme="1"/>
        <rFont val="Calibri"/>
        <family val="2"/>
        <scheme val="minor"/>
      </rPr>
      <t>Date:</t>
    </r>
    <r>
      <rPr>
        <sz val="16"/>
        <color theme="1"/>
        <rFont val="Calibri"/>
        <family val="2"/>
        <scheme val="minor"/>
      </rPr>
      <t xml:space="preserve">
dd/mm/yy</t>
    </r>
  </si>
  <si>
    <t>Also metastatic mct</t>
  </si>
  <si>
    <t>ID: SSA X</t>
  </si>
  <si>
    <t>X: Number 1-17</t>
  </si>
  <si>
    <t xml:space="preserve"> 🄽 : Normal 
 🅃 : Tumor</t>
  </si>
  <si>
    <t>Sample date</t>
  </si>
  <si>
    <t>T1=Tumor-wall
T2=Tumor-center</t>
  </si>
  <si>
    <t>SSA07
Whole Blood
08/11/19</t>
  </si>
  <si>
    <t>SSA08
Whole Blood
11/09/20</t>
  </si>
  <si>
    <t>SSA09
Whole Blood
09/09/20</t>
  </si>
  <si>
    <t>SSA10
Whole Blood
11/5/20</t>
  </si>
  <si>
    <t>SSA11
Whole Blood
1/10/19</t>
  </si>
  <si>
    <t>Box</t>
  </si>
  <si>
    <t>Tube</t>
  </si>
  <si>
    <t>SSA14
cfDNA - streck
microcentrifuge
5/6/20</t>
  </si>
  <si>
    <t>SSA14
cfDNA - edta
microcentrifuge
5/6/20</t>
  </si>
  <si>
    <t>SSA14
cfDNA - edta
cryotube
5/6/20</t>
  </si>
  <si>
    <t>SSA14
cfDNA - streck
cryotube
5/6/20</t>
  </si>
  <si>
    <t>DNA and RNA extraction
-----------------------------------------
Fast allprep kit</t>
  </si>
  <si>
    <t>DNA extraction
-----------------------------------------
Whatever kit you prefer</t>
  </si>
  <si>
    <t>cfDNA extraction
----------------------------------------- 
minElute ccfDNA kit</t>
  </si>
  <si>
    <t>Do nothing
---------------------------
Duplicates</t>
  </si>
  <si>
    <t>Nucelospin</t>
  </si>
  <si>
    <t>ng/µl</t>
  </si>
  <si>
    <t>minElute ccDNA</t>
  </si>
  <si>
    <t>AllPrep RNA/DNA</t>
  </si>
  <si>
    <t>Tora buffy coat</t>
  </si>
  <si>
    <t>Topper buffy coat</t>
  </si>
  <si>
    <t>Tora Tumor 29/5/20</t>
  </si>
  <si>
    <t>Buffy Coat Tora</t>
  </si>
  <si>
    <t>RNA nanodrop</t>
  </si>
  <si>
    <t>RNA conc tapestation</t>
  </si>
  <si>
    <t>DNA nanodrop</t>
  </si>
  <si>
    <t>conc som står på röret är conc från tapestation</t>
  </si>
  <si>
    <t>RIN</t>
  </si>
  <si>
    <t>var blod i röret ?!</t>
  </si>
  <si>
    <t>Tora cfDNA</t>
  </si>
  <si>
    <t>Topper cfDNA</t>
  </si>
  <si>
    <t>Tora tumor 29/5/20</t>
  </si>
  <si>
    <t>Tora cfDNA 29/5/20</t>
  </si>
  <si>
    <t>Topp cfDNA 2/7/20</t>
  </si>
  <si>
    <t>working nummber on tubes</t>
  </si>
  <si>
    <t>2020-08-19/20</t>
  </si>
  <si>
    <t>Normal</t>
  </si>
  <si>
    <t>Tumor</t>
  </si>
  <si>
    <t>Tora</t>
  </si>
  <si>
    <t>All</t>
  </si>
  <si>
    <t>Full set</t>
  </si>
  <si>
    <t>Malign</t>
  </si>
  <si>
    <t>Squamous cell carcinoma</t>
  </si>
  <si>
    <t>Total amoun</t>
  </si>
  <si>
    <t>Enough for pcr-free</t>
  </si>
  <si>
    <t>y/n</t>
  </si>
  <si>
    <t>n/y</t>
  </si>
  <si>
    <t>y/?</t>
  </si>
  <si>
    <t>y/y</t>
  </si>
  <si>
    <t>n/n</t>
  </si>
  <si>
    <t>µg</t>
  </si>
  <si>
    <t>Name</t>
  </si>
  <si>
    <t>Molly JB</t>
  </si>
  <si>
    <t>Molly Birk</t>
  </si>
  <si>
    <t>N/A</t>
  </si>
  <si>
    <t>Probably enough</t>
  </si>
  <si>
    <t>Enough</t>
  </si>
  <si>
    <t>Not enough</t>
  </si>
  <si>
    <t>Vægt</t>
  </si>
  <si>
    <t>Perla</t>
  </si>
  <si>
    <t>cfconc</t>
  </si>
  <si>
    <t>bambi</t>
  </si>
  <si>
    <t>SSA18</t>
  </si>
  <si>
    <t>SSA19</t>
  </si>
  <si>
    <t>yes</t>
  </si>
  <si>
    <t>Str tumor</t>
  </si>
  <si>
    <t>conc/relativ tumor str</t>
  </si>
  <si>
    <t>cfDNA st konc familiedyrsfond</t>
  </si>
  <si>
    <t>low-cov seq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</si>
</sst>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2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6"/>
      <color rgb="FFC00000"/>
      <name val="Calibri"/>
      <family val="2"/>
      <scheme val="minor"/>
    </font>
    <font>
      <sz val="20"/>
      <color rgb="FFC0000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EFA00"/>
        <bgColor indexed="64"/>
      </patternFill>
    </fill>
    <fill>
      <patternFill patternType="solid">
        <fgColor rgb="FFFFC7CE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rgb="FF8EA9DC"/>
      </top>
      <bottom style="thin">
        <color rgb="FF8EA9DC"/>
      </bottom>
      <diagonal/>
    </border>
    <border>
      <left style="thin">
        <color theme="0"/>
      </left>
      <right/>
      <top style="thin">
        <color rgb="FF8EA9DC"/>
      </top>
      <bottom style="thin">
        <color rgb="FF8EA9DC"/>
      </bottom>
      <diagonal/>
    </border>
    <border>
      <left style="thin">
        <color theme="0"/>
      </left>
      <right style="thin">
        <color theme="0"/>
      </right>
      <top style="thin">
        <color rgb="FF8EA9DC"/>
      </top>
      <bottom/>
      <diagonal/>
    </border>
    <border>
      <left style="thin">
        <color theme="0"/>
      </left>
      <right/>
      <top style="thin">
        <color rgb="FF8EA9DC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7">
    <xf numFmtId="0" fontId="0" fillId="0" borderId="0"/>
    <xf numFmtId="0" fontId="18" fillId="10" borderId="0" applyNumberFormat="0" applyBorder="0" applyAlignment="0" applyProtection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1" fillId="14" borderId="44" applyNumberFormat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</cellStyleXfs>
  <cellXfs count="194">
    <xf numFmtId="0" fontId="0" fillId="0" borderId="0" xfId="0"/>
    <xf numFmtId="0" fontId="0" fillId="0" borderId="0" xfId="0" applyFill="1"/>
    <xf numFmtId="0" fontId="0" fillId="2" borderId="0" xfId="0" applyFill="1"/>
    <xf numFmtId="0" fontId="3" fillId="0" borderId="0" xfId="0" applyFont="1"/>
    <xf numFmtId="49" fontId="0" fillId="0" borderId="0" xfId="0" applyNumberFormat="1" applyFill="1"/>
    <xf numFmtId="14" fontId="0" fillId="0" borderId="16" xfId="0" applyNumberFormat="1" applyFont="1" applyFill="1" applyBorder="1" applyAlignment="1">
      <alignment vertical="center"/>
    </xf>
    <xf numFmtId="14" fontId="1" fillId="0" borderId="16" xfId="0" applyNumberFormat="1" applyFont="1" applyFill="1" applyBorder="1" applyAlignment="1">
      <alignment vertical="center"/>
    </xf>
    <xf numFmtId="0" fontId="0" fillId="0" borderId="16" xfId="0" applyFont="1" applyFill="1" applyBorder="1" applyAlignment="1">
      <alignment horizontal="right" vertical="center" wrapText="1"/>
    </xf>
    <xf numFmtId="14" fontId="2" fillId="0" borderId="16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17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0" fillId="0" borderId="0" xfId="0" applyBorder="1" applyAlignment="1">
      <alignment wrapText="1"/>
    </xf>
    <xf numFmtId="14" fontId="0" fillId="0" borderId="18" xfId="0" applyNumberFormat="1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3" borderId="20" xfId="0" applyFill="1" applyBorder="1"/>
    <xf numFmtId="0" fontId="0" fillId="3" borderId="11" xfId="0" applyFill="1" applyBorder="1"/>
    <xf numFmtId="0" fontId="4" fillId="3" borderId="12" xfId="0" applyFont="1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2" xfId="0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9" fillId="3" borderId="13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5" fillId="3" borderId="0" xfId="0" applyFont="1" applyFill="1" applyBorder="1" applyAlignment="1">
      <alignment horizontal="left" vertical="top" wrapText="1"/>
    </xf>
    <xf numFmtId="0" fontId="0" fillId="3" borderId="21" xfId="0" applyFill="1" applyBorder="1"/>
    <xf numFmtId="0" fontId="0" fillId="3" borderId="15" xfId="0" applyFill="1" applyBorder="1"/>
    <xf numFmtId="0" fontId="0" fillId="0" borderId="0" xfId="0" applyBorder="1" applyAlignment="1">
      <alignment horizontal="right"/>
    </xf>
    <xf numFmtId="0" fontId="11" fillId="0" borderId="0" xfId="0" applyFont="1"/>
    <xf numFmtId="0" fontId="11" fillId="4" borderId="2" xfId="0" applyFont="1" applyFill="1" applyBorder="1" applyAlignment="1">
      <alignment wrapText="1"/>
    </xf>
    <xf numFmtId="0" fontId="11" fillId="4" borderId="3" xfId="0" applyFont="1" applyFill="1" applyBorder="1" applyAlignment="1">
      <alignment wrapText="1"/>
    </xf>
    <xf numFmtId="0" fontId="11" fillId="4" borderId="4" xfId="0" applyFont="1" applyFill="1" applyBorder="1" applyAlignment="1">
      <alignment wrapText="1"/>
    </xf>
    <xf numFmtId="0" fontId="11" fillId="4" borderId="5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1" fillId="4" borderId="6" xfId="0" applyFont="1" applyFill="1" applyBorder="1" applyAlignment="1">
      <alignment wrapText="1"/>
    </xf>
    <xf numFmtId="0" fontId="12" fillId="4" borderId="9" xfId="0" applyFont="1" applyFill="1" applyBorder="1" applyAlignment="1">
      <alignment wrapText="1"/>
    </xf>
    <xf numFmtId="0" fontId="13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3" fillId="6" borderId="23" xfId="0" applyFont="1" applyFill="1" applyBorder="1" applyAlignment="1"/>
    <xf numFmtId="0" fontId="13" fillId="6" borderId="22" xfId="0" applyFont="1" applyFill="1" applyBorder="1" applyAlignment="1"/>
    <xf numFmtId="0" fontId="0" fillId="0" borderId="21" xfId="0" applyBorder="1" applyAlignment="1">
      <alignment horizontal="center"/>
    </xf>
    <xf numFmtId="0" fontId="15" fillId="6" borderId="25" xfId="0" applyFont="1" applyFill="1" applyBorder="1" applyAlignment="1"/>
    <xf numFmtId="0" fontId="14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6" borderId="26" xfId="0" applyFont="1" applyFill="1" applyBorder="1" applyAlignment="1"/>
    <xf numFmtId="0" fontId="13" fillId="6" borderId="26" xfId="0" applyFont="1" applyFill="1" applyBorder="1" applyAlignment="1"/>
    <xf numFmtId="0" fontId="13" fillId="5" borderId="26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0" fontId="13" fillId="6" borderId="29" xfId="0" applyFont="1" applyFill="1" applyBorder="1" applyAlignment="1"/>
    <xf numFmtId="0" fontId="15" fillId="4" borderId="28" xfId="0" applyFont="1" applyFill="1" applyBorder="1" applyAlignment="1">
      <alignment horizontal="center"/>
    </xf>
    <xf numFmtId="0" fontId="13" fillId="6" borderId="30" xfId="0" applyFont="1" applyFill="1" applyBorder="1" applyAlignment="1"/>
    <xf numFmtId="0" fontId="15" fillId="6" borderId="30" xfId="0" applyFont="1" applyFill="1" applyBorder="1" applyAlignment="1"/>
    <xf numFmtId="0" fontId="15" fillId="6" borderId="32" xfId="0" applyFont="1" applyFill="1" applyBorder="1" applyAlignment="1"/>
    <xf numFmtId="0" fontId="16" fillId="4" borderId="2" xfId="0" applyFont="1" applyFill="1" applyBorder="1" applyAlignment="1">
      <alignment wrapText="1"/>
    </xf>
    <xf numFmtId="0" fontId="16" fillId="5" borderId="3" xfId="0" applyFont="1" applyFill="1" applyBorder="1" applyAlignment="1">
      <alignment wrapText="1"/>
    </xf>
    <xf numFmtId="0" fontId="17" fillId="6" borderId="3" xfId="0" applyFont="1" applyFill="1" applyBorder="1" applyAlignment="1">
      <alignment wrapText="1"/>
    </xf>
    <xf numFmtId="0" fontId="16" fillId="4" borderId="3" xfId="0" applyFont="1" applyFill="1" applyBorder="1" applyAlignment="1">
      <alignment wrapText="1"/>
    </xf>
    <xf numFmtId="0" fontId="16" fillId="6" borderId="3" xfId="0" applyFont="1" applyFill="1" applyBorder="1" applyAlignment="1">
      <alignment wrapText="1"/>
    </xf>
    <xf numFmtId="0" fontId="16" fillId="4" borderId="4" xfId="0" applyFont="1" applyFill="1" applyBorder="1" applyAlignment="1">
      <alignment wrapText="1"/>
    </xf>
    <xf numFmtId="0" fontId="16" fillId="0" borderId="0" xfId="0" applyFont="1"/>
    <xf numFmtId="0" fontId="16" fillId="6" borderId="22" xfId="0" applyFont="1" applyFill="1" applyBorder="1" applyAlignment="1">
      <alignment wrapText="1"/>
    </xf>
    <xf numFmtId="0" fontId="16" fillId="4" borderId="5" xfId="0" applyFont="1" applyFill="1" applyBorder="1" applyAlignment="1">
      <alignment wrapText="1"/>
    </xf>
    <xf numFmtId="0" fontId="16" fillId="5" borderId="1" xfId="0" applyFont="1" applyFill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6" fillId="4" borderId="1" xfId="0" applyFont="1" applyFill="1" applyBorder="1" applyAlignment="1">
      <alignment wrapText="1"/>
    </xf>
    <xf numFmtId="0" fontId="16" fillId="3" borderId="1" xfId="0" applyFont="1" applyFill="1" applyBorder="1" applyAlignment="1">
      <alignment wrapText="1"/>
    </xf>
    <xf numFmtId="0" fontId="17" fillId="6" borderId="6" xfId="0" applyFont="1" applyFill="1" applyBorder="1" applyAlignment="1">
      <alignment wrapText="1"/>
    </xf>
    <xf numFmtId="0" fontId="16" fillId="6" borderId="23" xfId="0" applyFont="1" applyFill="1" applyBorder="1" applyAlignment="1">
      <alignment wrapText="1"/>
    </xf>
    <xf numFmtId="0" fontId="17" fillId="4" borderId="1" xfId="0" applyFont="1" applyFill="1" applyBorder="1" applyAlignment="1">
      <alignment wrapText="1"/>
    </xf>
    <xf numFmtId="0" fontId="17" fillId="3" borderId="6" xfId="0" applyFont="1" applyFill="1" applyBorder="1" applyAlignment="1">
      <alignment wrapText="1"/>
    </xf>
    <xf numFmtId="0" fontId="16" fillId="5" borderId="5" xfId="0" applyFont="1" applyFill="1" applyBorder="1" applyAlignment="1">
      <alignment wrapText="1"/>
    </xf>
    <xf numFmtId="0" fontId="16" fillId="3" borderId="6" xfId="0" applyFont="1" applyFill="1" applyBorder="1" applyAlignment="1">
      <alignment wrapText="1"/>
    </xf>
    <xf numFmtId="0" fontId="16" fillId="6" borderId="24" xfId="0" applyFont="1" applyFill="1" applyBorder="1" applyAlignment="1">
      <alignment wrapText="1"/>
    </xf>
    <xf numFmtId="0" fontId="16" fillId="6" borderId="6" xfId="0" applyFont="1" applyFill="1" applyBorder="1" applyAlignment="1">
      <alignment wrapText="1"/>
    </xf>
    <xf numFmtId="0" fontId="16" fillId="6" borderId="5" xfId="0" applyFont="1" applyFill="1" applyBorder="1" applyAlignment="1">
      <alignment wrapText="1"/>
    </xf>
    <xf numFmtId="0" fontId="16" fillId="6" borderId="1" xfId="0" applyFont="1" applyFill="1" applyBorder="1" applyAlignment="1">
      <alignment wrapText="1"/>
    </xf>
    <xf numFmtId="0" fontId="16" fillId="4" borderId="6" xfId="0" applyFont="1" applyFill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6" xfId="0" applyFont="1" applyBorder="1" applyAlignment="1">
      <alignment wrapText="1"/>
    </xf>
    <xf numFmtId="0" fontId="17" fillId="0" borderId="8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7" fillId="4" borderId="9" xfId="0" applyFont="1" applyFill="1" applyBorder="1" applyAlignment="1">
      <alignment wrapText="1"/>
    </xf>
    <xf numFmtId="0" fontId="17" fillId="3" borderId="9" xfId="0" applyFont="1" applyFill="1" applyBorder="1" applyAlignment="1">
      <alignment wrapText="1"/>
    </xf>
    <xf numFmtId="0" fontId="17" fillId="5" borderId="9" xfId="0" applyFont="1" applyFill="1" applyBorder="1" applyAlignment="1">
      <alignment wrapText="1"/>
    </xf>
    <xf numFmtId="0" fontId="17" fillId="3" borderId="7" xfId="0" applyFont="1" applyFill="1" applyBorder="1" applyAlignment="1">
      <alignment wrapText="1"/>
    </xf>
    <xf numFmtId="0" fontId="13" fillId="0" borderId="26" xfId="0" applyFont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0" fillId="6" borderId="2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6" borderId="1" xfId="0" applyFont="1" applyFill="1" applyBorder="1" applyAlignment="1"/>
    <xf numFmtId="0" fontId="16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13" fillId="0" borderId="1" xfId="0" applyFont="1" applyFill="1" applyBorder="1" applyAlignment="1">
      <alignment horizontal="center"/>
    </xf>
    <xf numFmtId="14" fontId="13" fillId="8" borderId="0" xfId="0" applyNumberFormat="1" applyFont="1" applyFill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9" borderId="0" xfId="0" applyFill="1"/>
    <xf numFmtId="0" fontId="3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3" fillId="9" borderId="1" xfId="0" applyFont="1" applyFill="1" applyBorder="1" applyAlignment="1">
      <alignment wrapText="1"/>
    </xf>
    <xf numFmtId="0" fontId="13" fillId="8" borderId="0" xfId="0" applyFont="1" applyFill="1" applyBorder="1" applyAlignment="1">
      <alignment horizontal="center" wrapText="1"/>
    </xf>
    <xf numFmtId="0" fontId="0" fillId="0" borderId="20" xfId="0" applyBorder="1"/>
    <xf numFmtId="0" fontId="0" fillId="0" borderId="22" xfId="0" applyBorder="1"/>
    <xf numFmtId="0" fontId="0" fillId="0" borderId="1" xfId="0" applyBorder="1"/>
    <xf numFmtId="0" fontId="0" fillId="0" borderId="3" xfId="0" applyBorder="1"/>
    <xf numFmtId="0" fontId="0" fillId="0" borderId="9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0" xfId="0" applyBorder="1"/>
    <xf numFmtId="0" fontId="0" fillId="0" borderId="26" xfId="0" applyBorder="1"/>
    <xf numFmtId="0" fontId="0" fillId="0" borderId="25" xfId="0" applyBorder="1"/>
    <xf numFmtId="0" fontId="0" fillId="0" borderId="42" xfId="0" applyBorder="1"/>
    <xf numFmtId="0" fontId="0" fillId="0" borderId="43" xfId="0" applyBorder="1"/>
    <xf numFmtId="0" fontId="0" fillId="11" borderId="22" xfId="0" applyFill="1" applyBorder="1"/>
    <xf numFmtId="0" fontId="18" fillId="10" borderId="1" xfId="1" applyBorder="1"/>
    <xf numFmtId="0" fontId="0" fillId="0" borderId="12" xfId="0" applyBorder="1"/>
    <xf numFmtId="0" fontId="0" fillId="0" borderId="14" xfId="0" applyBorder="1"/>
    <xf numFmtId="0" fontId="0" fillId="0" borderId="11" xfId="0" applyBorder="1"/>
    <xf numFmtId="0" fontId="0" fillId="0" borderId="10" xfId="0" applyBorder="1"/>
    <xf numFmtId="0" fontId="20" fillId="13" borderId="0" xfId="3"/>
    <xf numFmtId="0" fontId="18" fillId="10" borderId="0" xfId="1"/>
    <xf numFmtId="0" fontId="21" fillId="14" borderId="44" xfId="4"/>
    <xf numFmtId="164" fontId="13" fillId="0" borderId="0" xfId="0" applyNumberFormat="1" applyFont="1" applyBorder="1" applyAlignment="1">
      <alignment horizontal="center"/>
    </xf>
    <xf numFmtId="164" fontId="13" fillId="0" borderId="33" xfId="0" applyNumberFormat="1" applyFont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0" fontId="13" fillId="15" borderId="34" xfId="0" applyFont="1" applyFill="1" applyBorder="1" applyAlignment="1">
      <alignment horizontal="center"/>
    </xf>
    <xf numFmtId="0" fontId="13" fillId="15" borderId="33" xfId="0" applyFont="1" applyFill="1" applyBorder="1" applyAlignment="1">
      <alignment horizontal="center"/>
    </xf>
    <xf numFmtId="164" fontId="13" fillId="15" borderId="33" xfId="0" applyNumberFormat="1" applyFont="1" applyFill="1" applyBorder="1" applyAlignment="1">
      <alignment horizontal="center"/>
    </xf>
    <xf numFmtId="0" fontId="13" fillId="15" borderId="32" xfId="0" applyFont="1" applyFill="1" applyBorder="1" applyAlignment="1">
      <alignment horizontal="center"/>
    </xf>
    <xf numFmtId="164" fontId="13" fillId="15" borderId="0" xfId="0" applyNumberFormat="1" applyFont="1" applyFill="1" applyBorder="1" applyAlignment="1">
      <alignment horizontal="center"/>
    </xf>
    <xf numFmtId="0" fontId="13" fillId="15" borderId="31" xfId="0" applyFont="1" applyFill="1" applyBorder="1" applyAlignment="1">
      <alignment horizontal="center"/>
    </xf>
    <xf numFmtId="0" fontId="13" fillId="15" borderId="30" xfId="0" applyFont="1" applyFill="1" applyBorder="1" applyAlignment="1">
      <alignment horizontal="center"/>
    </xf>
    <xf numFmtId="0" fontId="13" fillId="15" borderId="26" xfId="0" applyFont="1" applyFill="1" applyBorder="1" applyAlignment="1">
      <alignment horizontal="center"/>
    </xf>
    <xf numFmtId="0" fontId="0" fillId="15" borderId="0" xfId="0" applyFill="1"/>
    <xf numFmtId="0" fontId="13" fillId="15" borderId="28" xfId="0" applyFont="1" applyFill="1" applyBorder="1" applyAlignment="1">
      <alignment horizontal="center"/>
    </xf>
    <xf numFmtId="0" fontId="13" fillId="15" borderId="29" xfId="0" applyFont="1" applyFill="1" applyBorder="1" applyAlignment="1">
      <alignment horizontal="center"/>
    </xf>
    <xf numFmtId="0" fontId="13" fillId="15" borderId="36" xfId="0" applyFont="1" applyFill="1" applyBorder="1" applyAlignment="1">
      <alignment horizontal="center"/>
    </xf>
    <xf numFmtId="0" fontId="13" fillId="15" borderId="35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164" fontId="13" fillId="0" borderId="33" xfId="0" applyNumberFormat="1" applyFont="1" applyFill="1" applyBorder="1" applyAlignment="1">
      <alignment horizontal="center"/>
    </xf>
    <xf numFmtId="0" fontId="15" fillId="0" borderId="37" xfId="0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/>
    </xf>
    <xf numFmtId="0" fontId="19" fillId="12" borderId="0" xfId="2"/>
    <xf numFmtId="0" fontId="18" fillId="10" borderId="42" xfId="1" applyBorder="1"/>
    <xf numFmtId="0" fontId="20" fillId="13" borderId="42" xfId="3" applyBorder="1"/>
    <xf numFmtId="0" fontId="19" fillId="12" borderId="42" xfId="2" applyBorder="1"/>
    <xf numFmtId="0" fontId="0" fillId="0" borderId="21" xfId="0" applyBorder="1"/>
    <xf numFmtId="0" fontId="24" fillId="5" borderId="45" xfId="5" applyFill="1" applyBorder="1"/>
    <xf numFmtId="0" fontId="24" fillId="5" borderId="46" xfId="5" applyFill="1" applyBorder="1"/>
    <xf numFmtId="0" fontId="24" fillId="5" borderId="47" xfId="5" applyFill="1" applyBorder="1"/>
    <xf numFmtId="0" fontId="24" fillId="6" borderId="46" xfId="6" applyFill="1" applyBorder="1"/>
    <xf numFmtId="0" fontId="20" fillId="13" borderId="43" xfId="3" applyBorder="1"/>
    <xf numFmtId="0" fontId="18" fillId="10" borderId="41" xfId="1" applyBorder="1"/>
    <xf numFmtId="0" fontId="0" fillId="0" borderId="11" xfId="0" applyFill="1" applyBorder="1"/>
    <xf numFmtId="0" fontId="0" fillId="0" borderId="45" xfId="0" applyFont="1" applyFill="1" applyBorder="1"/>
    <xf numFmtId="0" fontId="0" fillId="0" borderId="46" xfId="0" applyFont="1" applyFill="1" applyBorder="1"/>
    <xf numFmtId="0" fontId="0" fillId="0" borderId="47" xfId="0" applyFont="1" applyFill="1" applyBorder="1"/>
    <xf numFmtId="0" fontId="19" fillId="12" borderId="41" xfId="2" applyBorder="1"/>
    <xf numFmtId="49" fontId="0" fillId="0" borderId="16" xfId="0" applyNumberFormat="1" applyFill="1" applyBorder="1"/>
    <xf numFmtId="49" fontId="0" fillId="0" borderId="17" xfId="0" applyNumberFormat="1" applyFill="1" applyBorder="1"/>
    <xf numFmtId="0" fontId="0" fillId="0" borderId="0" xfId="0" applyNumberFormat="1" applyFill="1" applyBorder="1"/>
    <xf numFmtId="0" fontId="0" fillId="0" borderId="0" xfId="0" applyNumberFormat="1" applyFill="1"/>
    <xf numFmtId="2" fontId="0" fillId="0" borderId="0" xfId="0" applyNumberFormat="1" applyFill="1"/>
    <xf numFmtId="14" fontId="1" fillId="0" borderId="18" xfId="0" applyNumberFormat="1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6" fillId="4" borderId="0" xfId="0" applyFont="1" applyFill="1" applyBorder="1" applyAlignment="1">
      <alignment wrapText="1"/>
    </xf>
    <xf numFmtId="0" fontId="16" fillId="5" borderId="0" xfId="0" applyFont="1" applyFill="1" applyBorder="1" applyAlignment="1">
      <alignment wrapText="1"/>
    </xf>
    <xf numFmtId="0" fontId="17" fillId="6" borderId="0" xfId="0" applyFont="1" applyFill="1" applyBorder="1" applyAlignment="1">
      <alignment horizontal="left" wrapText="1"/>
    </xf>
    <xf numFmtId="0" fontId="11" fillId="0" borderId="21" xfId="0" applyFont="1" applyBorder="1" applyAlignment="1">
      <alignment horizontal="center"/>
    </xf>
    <xf numFmtId="0" fontId="16" fillId="3" borderId="0" xfId="0" applyFont="1" applyFill="1" applyAlignment="1">
      <alignment horizontal="left" wrapText="1"/>
    </xf>
    <xf numFmtId="0" fontId="6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 vertical="top" wrapText="1"/>
    </xf>
    <xf numFmtId="0" fontId="7" fillId="3" borderId="12" xfId="0" applyFont="1" applyFill="1" applyBorder="1" applyAlignment="1">
      <alignment horizontal="left" wrapText="1"/>
    </xf>
    <xf numFmtId="0" fontId="7" fillId="3" borderId="14" xfId="0" applyFont="1" applyFill="1" applyBorder="1" applyAlignment="1">
      <alignment horizontal="left" wrapText="1"/>
    </xf>
    <xf numFmtId="0" fontId="4" fillId="3" borderId="10" xfId="0" applyFont="1" applyFill="1" applyBorder="1" applyAlignment="1">
      <alignment horizontal="left"/>
    </xf>
    <xf numFmtId="0" fontId="4" fillId="3" borderId="2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 vertical="top" wrapText="1"/>
    </xf>
  </cellXfs>
  <cellStyles count="7">
    <cellStyle name="20% - Accent1" xfId="5" builtinId="30"/>
    <cellStyle name="20% - Accent2" xfId="6" builtinId="34"/>
    <cellStyle name="Bad" xfId="1" builtinId="27"/>
    <cellStyle name="Calculation" xfId="4" builtinId="22"/>
    <cellStyle name="Good" xfId="2" builtinId="26"/>
    <cellStyle name="Neutral" xfId="3" builtinId="28"/>
    <cellStyle name="Normal" xfId="0" builtinId="0"/>
  </cellStyles>
  <dxfs count="25"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/>
        <top style="thin">
          <color rgb="FF8EA9DC"/>
        </top>
        <bottom style="thin">
          <color rgb="FF8EA9DC"/>
        </bottom>
        <vertical style="thin">
          <color theme="0"/>
        </vertical>
        <horizontal style="thin">
          <color rgb="FF8EA9DC"/>
        </horizontal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rgb="FF8EA9DC"/>
        </top>
        <bottom style="thin">
          <color rgb="FF8EA9DC"/>
        </bottom>
        <vertical style="thin">
          <color theme="0"/>
        </vertical>
        <horizontal style="thin">
          <color rgb="FF8EA9DC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EFA00"/>
      <color rgb="FF8EA9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177800</xdr:colOff>
      <xdr:row>2</xdr:row>
      <xdr:rowOff>12700</xdr:rowOff>
    </xdr:from>
    <xdr:to>
      <xdr:col>10</xdr:col>
      <xdr:colOff>596900</xdr:colOff>
      <xdr:row>6</xdr:row>
      <xdr:rowOff>115711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39A7B2-8FA4-5447-8230-0E44A890A3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00" t="42424" r="10227" b="18519"/>
        <a:stretch/>
      </xdr:blipFill>
      <xdr:spPr>
        <a:xfrm>
          <a:off x="5003800" y="685800"/>
          <a:ext cx="2895600" cy="1309511"/>
        </a:xfrm>
        <a:prstGeom prst="rect">
          <a:avLst/>
        </a:prstGeom>
      </xdr:spPr>
    </xdr:pic>
    <xdr:clientData/>
  </xdr:twoCellAnchor>
  <xdr:twoCellAnchor>
    <xdr:from>
      <xdr:col>1</xdr:col>
      <xdr:colOff>1257300</xdr:colOff>
      <xdr:row>2</xdr:row>
      <xdr:rowOff>177800</xdr:rowOff>
    </xdr:from>
    <xdr:to>
      <xdr:col>4</xdr:col>
      <xdr:colOff>0</xdr:colOff>
      <xdr:row>2</xdr:row>
      <xdr:rowOff>190500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786ADA2-B7F0-E448-A5D1-CE4939344405}"/>
            </a:ext>
          </a:extLst>
        </xdr:cNvPr>
        <xdr:cNvCxnSpPr/>
      </xdr:nvCxnSpPr>
      <xdr:spPr>
        <a:xfrm flipH="1" flipV="1">
          <a:off x="3429000" y="850900"/>
          <a:ext cx="25908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393700</xdr:colOff>
      <xdr:row>3</xdr:row>
      <xdr:rowOff>203200</xdr:rowOff>
    </xdr:from>
    <xdr:to>
      <xdr:col>1</xdr:col>
      <xdr:colOff>25400</xdr:colOff>
      <xdr:row>7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C264743-0750-AC4E-98D8-9A1B86902B38}"/>
            </a:ext>
          </a:extLst>
        </xdr:cNvPr>
        <xdr:cNvCxnSpPr/>
      </xdr:nvCxnSpPr>
      <xdr:spPr>
        <a:xfrm flipV="1">
          <a:off x="3505200" y="876300"/>
          <a:ext cx="533400" cy="87630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584200</xdr:colOff>
      <xdr:row>4</xdr:row>
      <xdr:rowOff>215900</xdr:rowOff>
    </xdr:from>
    <xdr:to>
      <xdr:col>4</xdr:col>
      <xdr:colOff>25400</xdr:colOff>
      <xdr:row>6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CF25036-86BC-5E40-95A2-0BCBB1259113}"/>
            </a:ext>
          </a:extLst>
        </xdr:cNvPr>
        <xdr:cNvCxnSpPr/>
      </xdr:nvCxnSpPr>
      <xdr:spPr>
        <a:xfrm flipH="1" flipV="1">
          <a:off x="2755900" y="1549400"/>
          <a:ext cx="32893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3</xdr:row>
      <xdr:rowOff>177800</xdr:rowOff>
    </xdr:from>
    <xdr:to>
      <xdr:col>3</xdr:col>
      <xdr:colOff>1422400</xdr:colOff>
      <xdr:row>3</xdr:row>
      <xdr:rowOff>177800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13448E6-5C28-8240-AA02-C929FB378D8D}"/>
            </a:ext>
          </a:extLst>
        </xdr:cNvPr>
        <xdr:cNvCxnSpPr/>
      </xdr:nvCxnSpPr>
      <xdr:spPr>
        <a:xfrm flipH="1">
          <a:off x="3873500" y="1181100"/>
          <a:ext cx="2133600" cy="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6F339-3343-3440-B83F-9D96FDDB1FAD}" name="Table1" displayName="Table1" ref="A1:R20" totalsRowShown="0" tableBorderDxfId="22">
  <autoFilter ref="A1:R20" xr:uid="{AB140B1C-EDFA-DD4C-A91D-F4BD256B1BF9}"/>
  <sortState ref="A2:R20">
    <sortCondition descending="1" ref="R1:R20"/>
  </sortState>
  <tableColumns count="18">
    <tableColumn id="1" xr3:uid="{6224A1F1-7AE3-4C47-B35D-FC522F209BCB}" name="ID"/>
    <tableColumn id="2" xr3:uid="{0CA3AB0E-26D6-4B4D-A7FA-7939C6E20555}" name="Navn"/>
    <tableColumn id="4" xr3:uid="{C3913214-B448-6D49-BC6D-7B3FA842922E}" name="Complete set in folder"/>
    <tableColumn id="5" xr3:uid="{49315ED3-7AE9-EE42-B432-DECBEA5E36FD}" name="Complete set in P drive"/>
    <tableColumn id="6" xr3:uid="{909AC997-7892-5347-9BCF-AEADF0964310}" name="Notes"/>
    <tableColumn id="7" xr3:uid="{F8ACF910-56A0-FE4C-BF58-BC6CE7E898EB}" name="Sex"/>
    <tableColumn id="8" xr3:uid="{1906B9CB-F2E5-7C4C-9DA0-576B7D64F3D3}" name="Breed"/>
    <tableColumn id="9" xr3:uid="{E825FB5B-4F3B-A043-8555-8C8D905E538D}" name="Age"/>
    <tableColumn id="10" xr3:uid="{4B583636-232A-D048-A6C6-615C6434442C}" name="Status"/>
    <tableColumn id="11" xr3:uid="{6F54445A-6FB3-8E48-92D2-B0E198E76D57}" name="Diagnosis"/>
    <tableColumn id="12" xr3:uid="{2F603FAD-CC9F-3B4D-BEA5-364939DC961A}" name="Grade"/>
    <tableColumn id="13" xr3:uid="{4102FA63-3E7C-BC4F-A9AF-7A5BF266460A}" name="cfDNA"/>
    <tableColumn id="14" xr3:uid="{5F817813-A873-4C4D-ADB3-989E467F56C2}" name="Sample date" dataDxfId="21"/>
    <tableColumn id="22" xr3:uid="{5601E604-9450-BA48-B1AC-36D5B2A38D70}" name="Notes2" dataDxfId="20"/>
    <tableColumn id="3" xr3:uid="{14864916-2714-EC4D-AD9C-4B32D43F4FEC}" name="Vægt" dataDxfId="19"/>
    <tableColumn id="15" xr3:uid="{DAA1D2CE-53F9-514C-A3E9-90AC3B705383}" name="cfconc"/>
    <tableColumn id="16" xr3:uid="{1B14F55D-FEA9-7244-ABBC-47C56C32EBFE}" name="Str tumor"/>
    <tableColumn id="17" xr3:uid="{62280584-4276-F342-9DEE-EB85B2F2FF30}" name="conc/relativ tumor str" dataDxfId="18">
      <calculatedColumnFormula>Table1[[#This Row],[cfconc]]/(Table1[[#This Row],[Str tumor]]/Table1[[#This Row],[Vægt]])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7015F3-3CA5-D54F-8658-9F640A1E3844}" name="Table2" displayName="Table2" ref="C1:M19" totalsRowShown="0" tableBorderDxfId="9">
  <autoFilter ref="C1:M19" xr:uid="{8E0FD02E-1483-ED41-938C-F8EC133C2B5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89064EB-CAAC-A14C-AFB6-2529AFA312FA}" name="ID" dataDxfId="8"/>
    <tableColumn id="2" xr3:uid="{FA6B1028-6E5C-1D44-9415-11C55204B6E5}" name="Normal" dataDxfId="7"/>
    <tableColumn id="3" xr3:uid="{C4D4E59E-6617-2145-8E8A-2B947F47C94E}" name="Tumor" dataDxfId="6"/>
    <tableColumn id="4" xr3:uid="{262B3A2B-AC89-464E-8B7A-38FA40690838}" name="RIN" dataDxfId="5"/>
    <tableColumn id="5" xr3:uid="{996E10E0-8F79-AE48-93C7-1E23F883B86C}" name="cfDNA" dataDxfId="4"/>
    <tableColumn id="6" xr3:uid="{0F02A162-92E5-DE4F-A6F5-B82E0CB9031E}" name="All" dataDxfId="3">
      <calculatedColumnFormula>IF(D2="No","No",
IF(E2="No","No",
IF(F2&lt;7,"No",
IF(G2="No","No","Yes"
))))</calculatedColumnFormula>
    </tableColumn>
    <tableColumn id="7" xr3:uid="{CF27FB8F-3C3E-9545-B1A2-71FFF086026B}" name="Full set"/>
    <tableColumn id="8" xr3:uid="{D13FB077-CE18-F240-BDF1-1E2AFF64FE19}" name="Enough for pcr-free" dataDxfId="2" dataCellStyle="Bad"/>
    <tableColumn id="9" xr3:uid="{4BF90F7B-F9EF-634E-A1F1-E9D265F1EFE6}" name="Malign" dataDxfId="1" dataCellStyle="20% - Accent1"/>
    <tableColumn id="10" xr3:uid="{D4256DC4-957C-9142-B4E9-BCAD7B6F79DD}" name="Diagnosis" dataDxfId="0"/>
    <tableColumn id="11" xr3:uid="{494B940A-55FB-EA4C-8AEC-D9843C6FBA98}" name="Grade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9A92-BFA2-6D4C-BCF4-EB963F55F94A}">
  <sheetPr>
    <pageSetUpPr fitToPage="1"/>
  </sheetPr>
  <dimension ref="A1:N32"/>
  <sheetViews>
    <sheetView zoomScale="65" zoomScaleNormal="90" workbookViewId="0">
      <selection activeCell="K8" sqref="K8"/>
    </sheetView>
  </sheetViews>
  <sheetFormatPr baseColWidth="10" defaultRowHeight="21" x14ac:dyDescent="0.25"/>
  <cols>
    <col min="1" max="9" width="18.6640625" style="31" customWidth="1"/>
    <col min="10" max="10" width="10.83203125" style="31"/>
    <col min="11" max="11" width="22.6640625" style="31" customWidth="1"/>
    <col min="12" max="12" width="5.6640625" style="31" customWidth="1"/>
    <col min="13" max="16384" width="10.83203125" style="31"/>
  </cols>
  <sheetData>
    <row r="1" spans="1:14" ht="22" thickBot="1" x14ac:dyDescent="0.3">
      <c r="A1" s="185" t="s">
        <v>155</v>
      </c>
      <c r="B1" s="185"/>
      <c r="C1" s="185"/>
      <c r="D1" s="185"/>
      <c r="E1" s="185"/>
      <c r="F1" s="185"/>
      <c r="G1" s="185"/>
      <c r="H1" s="185"/>
      <c r="I1" s="185"/>
      <c r="K1" s="31" t="s">
        <v>156</v>
      </c>
    </row>
    <row r="2" spans="1:14" ht="159" customHeight="1" x14ac:dyDescent="0.3">
      <c r="A2" s="60" t="s">
        <v>33</v>
      </c>
      <c r="B2" s="61" t="s">
        <v>31</v>
      </c>
      <c r="C2" s="62" t="s">
        <v>32</v>
      </c>
      <c r="D2" s="62" t="s">
        <v>32</v>
      </c>
      <c r="E2" s="63" t="s">
        <v>34</v>
      </c>
      <c r="F2" s="61" t="s">
        <v>35</v>
      </c>
      <c r="G2" s="64" t="s">
        <v>36</v>
      </c>
      <c r="H2" s="64" t="s">
        <v>36</v>
      </c>
      <c r="I2" s="65" t="s">
        <v>37</v>
      </c>
      <c r="J2" s="66"/>
      <c r="K2" s="67" t="s">
        <v>160</v>
      </c>
      <c r="L2" s="66"/>
      <c r="M2" s="182" t="s">
        <v>162</v>
      </c>
      <c r="N2" s="182"/>
    </row>
    <row r="3" spans="1:14" ht="100" customHeight="1" x14ac:dyDescent="0.3">
      <c r="A3" s="68" t="s">
        <v>37</v>
      </c>
      <c r="B3" s="69" t="s">
        <v>38</v>
      </c>
      <c r="C3" s="70" t="s">
        <v>39</v>
      </c>
      <c r="D3" s="70" t="s">
        <v>39</v>
      </c>
      <c r="E3" s="70" t="s">
        <v>39</v>
      </c>
      <c r="F3" s="71" t="s">
        <v>40</v>
      </c>
      <c r="G3" s="69" t="s">
        <v>41</v>
      </c>
      <c r="H3" s="72" t="s">
        <v>42</v>
      </c>
      <c r="I3" s="73" t="s">
        <v>43</v>
      </c>
      <c r="J3" s="66"/>
      <c r="K3" s="74" t="s">
        <v>159</v>
      </c>
      <c r="L3" s="66"/>
      <c r="M3" s="183" t="s">
        <v>161</v>
      </c>
      <c r="N3" s="183"/>
    </row>
    <row r="4" spans="1:14" ht="100" x14ac:dyDescent="0.3">
      <c r="A4" s="68" t="s">
        <v>100</v>
      </c>
      <c r="B4" s="69" t="s">
        <v>101</v>
      </c>
      <c r="C4" s="72" t="s">
        <v>102</v>
      </c>
      <c r="D4" s="70" t="s">
        <v>103</v>
      </c>
      <c r="E4" s="71" t="s">
        <v>108</v>
      </c>
      <c r="F4" s="69" t="s">
        <v>109</v>
      </c>
      <c r="G4" s="70" t="s">
        <v>110</v>
      </c>
      <c r="H4" s="75" t="s">
        <v>150</v>
      </c>
      <c r="I4" s="76" t="s">
        <v>150</v>
      </c>
      <c r="J4" s="66"/>
      <c r="K4" s="74" t="s">
        <v>157</v>
      </c>
      <c r="L4" s="66"/>
      <c r="M4" s="184" t="s">
        <v>163</v>
      </c>
      <c r="N4" s="184"/>
    </row>
    <row r="5" spans="1:14" ht="101" thickBot="1" x14ac:dyDescent="0.35">
      <c r="A5" s="77" t="s">
        <v>107</v>
      </c>
      <c r="B5" s="72" t="s">
        <v>106</v>
      </c>
      <c r="C5" s="71" t="s">
        <v>151</v>
      </c>
      <c r="D5" s="69" t="s">
        <v>105</v>
      </c>
      <c r="E5" s="71" t="s">
        <v>152</v>
      </c>
      <c r="F5" s="72" t="s">
        <v>152</v>
      </c>
      <c r="G5" s="69" t="s">
        <v>104</v>
      </c>
      <c r="H5" s="71" t="s">
        <v>153</v>
      </c>
      <c r="I5" s="78" t="s">
        <v>153</v>
      </c>
      <c r="J5" s="66"/>
      <c r="K5" s="79" t="s">
        <v>158</v>
      </c>
      <c r="L5" s="66"/>
      <c r="M5" s="186" t="s">
        <v>164</v>
      </c>
      <c r="N5" s="186"/>
    </row>
    <row r="6" spans="1:14" ht="73" customHeight="1" x14ac:dyDescent="0.3">
      <c r="A6" s="77" t="s">
        <v>91</v>
      </c>
      <c r="B6" s="71" t="s">
        <v>154</v>
      </c>
      <c r="C6" s="72" t="s">
        <v>154</v>
      </c>
      <c r="D6" s="69" t="s">
        <v>92</v>
      </c>
      <c r="E6" s="71" t="s">
        <v>93</v>
      </c>
      <c r="F6" s="72" t="s">
        <v>93</v>
      </c>
      <c r="G6" s="69" t="s">
        <v>94</v>
      </c>
      <c r="H6" s="69" t="s">
        <v>95</v>
      </c>
      <c r="I6" s="80" t="s">
        <v>96</v>
      </c>
      <c r="J6" s="66"/>
      <c r="K6" s="104" t="s">
        <v>182</v>
      </c>
      <c r="L6" s="66"/>
      <c r="M6" s="66"/>
      <c r="N6" s="66"/>
    </row>
    <row r="7" spans="1:14" ht="78" customHeight="1" x14ac:dyDescent="0.3">
      <c r="A7" s="81" t="s">
        <v>96</v>
      </c>
      <c r="B7" s="82" t="s">
        <v>96</v>
      </c>
      <c r="C7" s="71" t="s">
        <v>97</v>
      </c>
      <c r="D7" s="69" t="s">
        <v>98</v>
      </c>
      <c r="E7" s="72" t="s">
        <v>99</v>
      </c>
      <c r="F7" s="82" t="s">
        <v>116</v>
      </c>
      <c r="G7" s="82" t="s">
        <v>116</v>
      </c>
      <c r="H7" s="82" t="s">
        <v>116</v>
      </c>
      <c r="I7" s="83" t="s">
        <v>117</v>
      </c>
      <c r="J7" s="66"/>
      <c r="K7" s="104" t="s">
        <v>182</v>
      </c>
      <c r="L7" s="66"/>
      <c r="M7" s="66"/>
      <c r="N7" s="66"/>
    </row>
    <row r="8" spans="1:14" ht="83" customHeight="1" x14ac:dyDescent="0.3">
      <c r="A8" s="77" t="s">
        <v>118</v>
      </c>
      <c r="B8" s="82" t="s">
        <v>119</v>
      </c>
      <c r="C8" s="82" t="s">
        <v>119</v>
      </c>
      <c r="D8" s="71" t="s">
        <v>120</v>
      </c>
      <c r="E8" s="69" t="s">
        <v>121</v>
      </c>
      <c r="F8" s="70" t="s">
        <v>122</v>
      </c>
      <c r="G8" s="71" t="s">
        <v>124</v>
      </c>
      <c r="H8" s="69" t="s">
        <v>125</v>
      </c>
      <c r="I8" s="73" t="s">
        <v>126</v>
      </c>
      <c r="J8" s="66"/>
      <c r="K8" s="104" t="s">
        <v>183</v>
      </c>
      <c r="L8" s="66"/>
      <c r="M8" s="66"/>
      <c r="N8" s="66"/>
    </row>
    <row r="9" spans="1:14" ht="72" customHeight="1" x14ac:dyDescent="0.3">
      <c r="A9" s="73" t="s">
        <v>126</v>
      </c>
      <c r="B9" s="84" t="s">
        <v>181</v>
      </c>
      <c r="C9" s="84" t="s">
        <v>181</v>
      </c>
      <c r="D9" s="84"/>
      <c r="E9" s="84"/>
      <c r="F9" s="84"/>
      <c r="G9" s="84"/>
      <c r="H9" s="84"/>
      <c r="I9" s="85"/>
      <c r="J9" s="66"/>
      <c r="K9" s="66"/>
      <c r="L9" s="66"/>
      <c r="M9" s="66"/>
      <c r="N9" s="66"/>
    </row>
    <row r="10" spans="1:14" ht="87" customHeight="1" thickBot="1" x14ac:dyDescent="0.35">
      <c r="A10" s="86" t="s">
        <v>172</v>
      </c>
      <c r="B10" s="87"/>
      <c r="C10" s="87"/>
      <c r="D10" s="88" t="s">
        <v>131</v>
      </c>
      <c r="E10" s="89" t="s">
        <v>131</v>
      </c>
      <c r="F10" s="89" t="s">
        <v>131</v>
      </c>
      <c r="G10" s="90" t="s">
        <v>132</v>
      </c>
      <c r="H10" s="89" t="s">
        <v>133</v>
      </c>
      <c r="I10" s="91" t="s">
        <v>134</v>
      </c>
      <c r="J10" s="66"/>
      <c r="K10" s="66"/>
      <c r="L10" s="66"/>
      <c r="M10" s="66"/>
      <c r="N10" s="66"/>
    </row>
    <row r="14" spans="1:14" ht="22" thickBot="1" x14ac:dyDescent="0.3">
      <c r="C14" s="40"/>
    </row>
    <row r="15" spans="1:14" ht="22" thickBot="1" x14ac:dyDescent="0.3">
      <c r="B15" s="32"/>
    </row>
    <row r="16" spans="1:14" ht="22" thickBot="1" x14ac:dyDescent="0.3">
      <c r="B16" s="33"/>
    </row>
    <row r="17" spans="2:2" x14ac:dyDescent="0.25">
      <c r="B17" s="34"/>
    </row>
    <row r="18" spans="2:2" x14ac:dyDescent="0.25">
      <c r="B18" s="35"/>
    </row>
    <row r="19" spans="2:2" x14ac:dyDescent="0.25">
      <c r="B19" s="36"/>
    </row>
    <row r="20" spans="2:2" x14ac:dyDescent="0.25">
      <c r="B20" s="35"/>
    </row>
    <row r="21" spans="2:2" x14ac:dyDescent="0.25">
      <c r="B21" s="36"/>
    </row>
    <row r="22" spans="2:2" x14ac:dyDescent="0.25">
      <c r="B22" s="37"/>
    </row>
    <row r="23" spans="2:2" x14ac:dyDescent="0.25">
      <c r="B23" s="36"/>
    </row>
    <row r="24" spans="2:2" x14ac:dyDescent="0.25">
      <c r="B24" s="36"/>
    </row>
    <row r="25" spans="2:2" x14ac:dyDescent="0.25">
      <c r="B25" s="36"/>
    </row>
    <row r="26" spans="2:2" x14ac:dyDescent="0.25">
      <c r="B26" s="36"/>
    </row>
    <row r="27" spans="2:2" x14ac:dyDescent="0.25">
      <c r="B27" s="36"/>
    </row>
    <row r="28" spans="2:2" x14ac:dyDescent="0.25">
      <c r="B28" s="36"/>
    </row>
    <row r="29" spans="2:2" x14ac:dyDescent="0.25">
      <c r="B29" s="38"/>
    </row>
    <row r="30" spans="2:2" x14ac:dyDescent="0.25">
      <c r="B30" s="36"/>
    </row>
    <row r="31" spans="2:2" x14ac:dyDescent="0.25">
      <c r="B31" s="36"/>
    </row>
    <row r="32" spans="2:2" ht="22" thickBot="1" x14ac:dyDescent="0.3">
      <c r="B32" s="39"/>
    </row>
  </sheetData>
  <mergeCells count="5">
    <mergeCell ref="M2:N2"/>
    <mergeCell ref="M3:N3"/>
    <mergeCell ref="M4:N4"/>
    <mergeCell ref="A1:I1"/>
    <mergeCell ref="M5:N5"/>
  </mergeCells>
  <pageMargins left="0.7" right="0.7" top="0.75" bottom="0.75" header="0.3" footer="0.3"/>
  <pageSetup paperSize="9" scale="5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EC8C-3E25-9C46-BE57-91E65987FA8B}">
  <sheetPr>
    <pageSetUpPr fitToPage="1"/>
  </sheetPr>
  <dimension ref="A3:R30"/>
  <sheetViews>
    <sheetView topLeftCell="H1" zoomScaleNormal="100" workbookViewId="0">
      <selection activeCell="D23" sqref="D23"/>
    </sheetView>
  </sheetViews>
  <sheetFormatPr baseColWidth="10" defaultRowHeight="16" x14ac:dyDescent="0.2"/>
  <cols>
    <col min="2" max="2" width="31.1640625" customWidth="1"/>
    <col min="3" max="3" width="12.83203125" customWidth="1"/>
    <col min="4" max="4" width="11.5" bestFit="1" customWidth="1"/>
    <col min="5" max="5" width="6.6640625" customWidth="1"/>
    <col min="7" max="7" width="26.5" customWidth="1"/>
    <col min="9" max="10" width="12.33203125" customWidth="1"/>
    <col min="11" max="12" width="10.83203125" customWidth="1"/>
    <col min="13" max="13" width="6.33203125" customWidth="1"/>
    <col min="15" max="15" width="25" customWidth="1"/>
  </cols>
  <sheetData>
    <row r="3" spans="1:18" ht="60" x14ac:dyDescent="0.25">
      <c r="A3" s="105" t="s">
        <v>184</v>
      </c>
      <c r="B3" s="94">
        <v>44060</v>
      </c>
      <c r="D3" t="s">
        <v>193</v>
      </c>
      <c r="E3" s="107"/>
      <c r="F3" s="105" t="s">
        <v>184</v>
      </c>
      <c r="G3" s="95" t="s">
        <v>185</v>
      </c>
      <c r="H3" s="96" t="s">
        <v>173</v>
      </c>
      <c r="I3" s="114" t="s">
        <v>174</v>
      </c>
      <c r="K3" s="96" t="s">
        <v>175</v>
      </c>
      <c r="L3" t="s">
        <v>193</v>
      </c>
      <c r="M3" s="115"/>
      <c r="N3" s="105" t="s">
        <v>184</v>
      </c>
    </row>
    <row r="4" spans="1:18" ht="20" x14ac:dyDescent="0.25">
      <c r="A4" s="48"/>
      <c r="B4" s="49" t="s">
        <v>165</v>
      </c>
      <c r="C4" s="49" t="s">
        <v>166</v>
      </c>
      <c r="D4" s="102" t="s">
        <v>200</v>
      </c>
      <c r="E4" s="108"/>
      <c r="F4" s="48"/>
      <c r="G4" s="49" t="s">
        <v>168</v>
      </c>
      <c r="H4" s="49" t="s">
        <v>166</v>
      </c>
      <c r="I4" s="49" t="s">
        <v>166</v>
      </c>
      <c r="J4" s="96" t="s">
        <v>177</v>
      </c>
      <c r="K4" s="49" t="s">
        <v>166</v>
      </c>
      <c r="L4" s="102" t="s">
        <v>200</v>
      </c>
      <c r="M4" s="108"/>
      <c r="N4" s="48"/>
      <c r="O4" s="49" t="s">
        <v>167</v>
      </c>
      <c r="Q4" s="41"/>
      <c r="R4" s="49" t="s">
        <v>166</v>
      </c>
    </row>
    <row r="5" spans="1:18" ht="20" thickBot="1" x14ac:dyDescent="0.3">
      <c r="A5" s="140">
        <v>1</v>
      </c>
      <c r="B5" s="141" t="s">
        <v>33</v>
      </c>
      <c r="C5" s="142">
        <v>97.7</v>
      </c>
      <c r="D5" s="143">
        <f>C5*50/1000</f>
        <v>4.8849999999999998</v>
      </c>
      <c r="E5" s="142"/>
      <c r="F5" s="140">
        <v>1</v>
      </c>
      <c r="G5" s="144" t="s">
        <v>31</v>
      </c>
      <c r="H5" s="140">
        <v>179.3</v>
      </c>
      <c r="I5" s="140">
        <v>234</v>
      </c>
      <c r="J5" s="140">
        <v>8.1999999999999993</v>
      </c>
      <c r="K5" s="140">
        <v>45.1</v>
      </c>
      <c r="L5" s="145">
        <f>K5*50/1000</f>
        <v>2.2549999999999999</v>
      </c>
      <c r="M5" s="108"/>
      <c r="N5" s="49">
        <v>1</v>
      </c>
      <c r="O5" s="59" t="s">
        <v>32</v>
      </c>
      <c r="P5" s="101"/>
      <c r="Q5" s="41"/>
      <c r="R5" s="100"/>
    </row>
    <row r="6" spans="1:18" ht="20" thickBot="1" x14ac:dyDescent="0.3">
      <c r="A6" s="140">
        <v>2</v>
      </c>
      <c r="B6" s="146" t="s">
        <v>34</v>
      </c>
      <c r="C6" s="140">
        <v>34.9</v>
      </c>
      <c r="D6" s="143">
        <f t="shared" ref="D6:D17" si="0">C6*50/1000</f>
        <v>1.7450000000000001</v>
      </c>
      <c r="E6" s="140"/>
      <c r="F6" s="140">
        <v>2</v>
      </c>
      <c r="G6" s="147" t="s">
        <v>35</v>
      </c>
      <c r="H6" s="140">
        <v>202</v>
      </c>
      <c r="I6" s="140">
        <v>310</v>
      </c>
      <c r="J6" s="140">
        <v>6.2</v>
      </c>
      <c r="K6" s="140">
        <v>64.8</v>
      </c>
      <c r="L6" s="145">
        <f>K6*50/1000</f>
        <v>3.24</v>
      </c>
      <c r="M6" s="108"/>
      <c r="N6" s="49">
        <v>2</v>
      </c>
      <c r="O6" s="58" t="s">
        <v>32</v>
      </c>
      <c r="P6" s="101"/>
      <c r="Q6" s="41"/>
      <c r="R6" s="100"/>
    </row>
    <row r="7" spans="1:18" ht="20" thickBot="1" x14ac:dyDescent="0.3">
      <c r="A7" s="140">
        <v>3</v>
      </c>
      <c r="B7" s="146" t="s">
        <v>37</v>
      </c>
      <c r="C7" s="140">
        <v>81.599999999999994</v>
      </c>
      <c r="D7" s="143">
        <f t="shared" si="0"/>
        <v>4.0799999999999992</v>
      </c>
      <c r="E7" s="140"/>
      <c r="F7" s="140">
        <v>3</v>
      </c>
      <c r="G7" s="148" t="s">
        <v>38</v>
      </c>
      <c r="H7" s="149"/>
      <c r="I7" s="140" t="s">
        <v>178</v>
      </c>
      <c r="J7" s="140"/>
      <c r="K7" s="140"/>
      <c r="L7" s="145"/>
      <c r="M7" s="108"/>
      <c r="N7" s="49">
        <v>3</v>
      </c>
      <c r="O7" s="57" t="s">
        <v>36</v>
      </c>
      <c r="P7" s="101"/>
      <c r="Q7" s="41"/>
      <c r="R7" s="100"/>
    </row>
    <row r="8" spans="1:18" ht="19" x14ac:dyDescent="0.25">
      <c r="A8" s="140">
        <v>4</v>
      </c>
      <c r="B8" s="150" t="s">
        <v>37</v>
      </c>
      <c r="C8" s="140">
        <v>55.1</v>
      </c>
      <c r="D8" s="143">
        <f t="shared" si="0"/>
        <v>2.7549999999999999</v>
      </c>
      <c r="E8" s="140"/>
      <c r="F8" s="149"/>
      <c r="G8" s="149"/>
      <c r="H8" s="149"/>
      <c r="I8" s="149"/>
      <c r="J8" s="149"/>
      <c r="K8" s="149"/>
      <c r="L8" s="149"/>
      <c r="M8" s="108"/>
      <c r="N8" s="49">
        <v>4</v>
      </c>
      <c r="O8" s="57" t="s">
        <v>36</v>
      </c>
      <c r="P8" s="101"/>
      <c r="Q8" s="41"/>
      <c r="R8" s="100"/>
    </row>
    <row r="9" spans="1:18" ht="19" x14ac:dyDescent="0.25">
      <c r="A9" s="140">
        <v>5</v>
      </c>
      <c r="B9" s="150" t="s">
        <v>40</v>
      </c>
      <c r="C9" s="140">
        <v>67.7</v>
      </c>
      <c r="D9" s="143">
        <f t="shared" si="0"/>
        <v>3.3849999999999998</v>
      </c>
      <c r="E9" s="140"/>
      <c r="F9" s="140">
        <v>4</v>
      </c>
      <c r="G9" s="148" t="s">
        <v>41</v>
      </c>
      <c r="H9" s="140">
        <v>644.5</v>
      </c>
      <c r="I9" s="140">
        <f>219*3</f>
        <v>657</v>
      </c>
      <c r="J9" s="140">
        <v>8.5</v>
      </c>
      <c r="K9" s="140">
        <v>339.8</v>
      </c>
      <c r="L9" s="145">
        <f t="shared" ref="L9:L24" si="1">K9*50/1000</f>
        <v>16.989999999999998</v>
      </c>
      <c r="M9" s="108"/>
      <c r="N9" s="49">
        <v>5</v>
      </c>
      <c r="O9" s="50" t="s">
        <v>39</v>
      </c>
      <c r="P9" s="101"/>
      <c r="Q9" s="41"/>
      <c r="R9" s="100"/>
    </row>
    <row r="10" spans="1:18" ht="19" x14ac:dyDescent="0.25">
      <c r="A10" s="140">
        <v>6</v>
      </c>
      <c r="B10" s="150" t="s">
        <v>100</v>
      </c>
      <c r="C10" s="140">
        <v>49.3</v>
      </c>
      <c r="D10" s="143">
        <f t="shared" si="0"/>
        <v>2.4649999999999999</v>
      </c>
      <c r="E10" s="140"/>
      <c r="F10" s="140">
        <v>5</v>
      </c>
      <c r="G10" s="148" t="s">
        <v>101</v>
      </c>
      <c r="H10" s="140">
        <v>287.89999999999998</v>
      </c>
      <c r="I10" s="140">
        <v>388</v>
      </c>
      <c r="J10" s="140">
        <v>8.8000000000000007</v>
      </c>
      <c r="K10" s="140">
        <v>69.900000000000006</v>
      </c>
      <c r="L10" s="145">
        <f t="shared" si="1"/>
        <v>3.4950000000000006</v>
      </c>
      <c r="M10" s="108"/>
      <c r="N10" s="49">
        <v>6</v>
      </c>
      <c r="O10" s="50" t="s">
        <v>39</v>
      </c>
      <c r="P10" s="101"/>
      <c r="Q10" s="41"/>
      <c r="R10" s="100"/>
    </row>
    <row r="11" spans="1:18" ht="19" x14ac:dyDescent="0.25">
      <c r="A11" s="49">
        <v>7</v>
      </c>
      <c r="B11" s="53" t="s">
        <v>108</v>
      </c>
      <c r="C11" s="49">
        <v>52.1</v>
      </c>
      <c r="D11" s="139">
        <f t="shared" si="0"/>
        <v>2.605</v>
      </c>
      <c r="E11" s="109"/>
      <c r="F11" s="49">
        <v>6</v>
      </c>
      <c r="G11" s="52" t="s">
        <v>109</v>
      </c>
      <c r="H11" s="49">
        <v>136.69999999999999</v>
      </c>
      <c r="I11" s="49">
        <v>133</v>
      </c>
      <c r="J11" s="49">
        <v>8.6999999999999993</v>
      </c>
      <c r="K11" s="49">
        <v>21.6</v>
      </c>
      <c r="L11" s="138">
        <f t="shared" si="1"/>
        <v>1.08</v>
      </c>
      <c r="M11" s="108"/>
      <c r="N11" s="49">
        <v>7</v>
      </c>
      <c r="O11" s="50" t="s">
        <v>39</v>
      </c>
      <c r="P11" s="101"/>
      <c r="Q11" s="41"/>
      <c r="R11" s="100"/>
    </row>
    <row r="12" spans="1:18" ht="19" x14ac:dyDescent="0.25">
      <c r="A12" s="49">
        <v>8</v>
      </c>
      <c r="B12" s="56" t="s">
        <v>150</v>
      </c>
      <c r="C12" s="49">
        <v>31.3</v>
      </c>
      <c r="D12" s="139">
        <f t="shared" si="0"/>
        <v>1.5649999999999999</v>
      </c>
      <c r="E12" s="109"/>
      <c r="F12" s="49">
        <v>7</v>
      </c>
      <c r="G12" s="54" t="s">
        <v>107</v>
      </c>
      <c r="H12" s="49">
        <v>1192.9000000000001</v>
      </c>
      <c r="I12" s="49">
        <f>95.4*5</f>
        <v>477</v>
      </c>
      <c r="J12" s="49">
        <v>8.5</v>
      </c>
      <c r="K12" s="49">
        <v>252.7</v>
      </c>
      <c r="L12" s="138">
        <f t="shared" si="1"/>
        <v>12.635</v>
      </c>
      <c r="M12" s="108"/>
      <c r="N12" s="49">
        <v>8</v>
      </c>
      <c r="O12" s="50" t="s">
        <v>43</v>
      </c>
      <c r="P12" s="101"/>
      <c r="Q12" s="41"/>
      <c r="R12" s="100"/>
    </row>
    <row r="13" spans="1:18" ht="19" x14ac:dyDescent="0.25">
      <c r="A13" s="49">
        <v>9</v>
      </c>
      <c r="B13" s="53" t="s">
        <v>151</v>
      </c>
      <c r="C13" s="49">
        <v>38.4</v>
      </c>
      <c r="D13" s="139">
        <f t="shared" si="0"/>
        <v>1.92</v>
      </c>
      <c r="E13" s="109"/>
      <c r="F13" s="49">
        <v>8</v>
      </c>
      <c r="G13" s="52" t="s">
        <v>105</v>
      </c>
      <c r="H13" s="49">
        <v>360.2</v>
      </c>
      <c r="I13" s="49">
        <v>262</v>
      </c>
      <c r="J13" s="49">
        <v>5.7</v>
      </c>
      <c r="K13" s="49">
        <v>37.4</v>
      </c>
      <c r="L13" s="138">
        <f t="shared" si="1"/>
        <v>1.87</v>
      </c>
      <c r="M13" s="108"/>
      <c r="N13" s="49">
        <v>9</v>
      </c>
      <c r="O13" s="50" t="s">
        <v>103</v>
      </c>
      <c r="P13" s="101"/>
      <c r="Q13" s="41"/>
      <c r="R13" s="100"/>
    </row>
    <row r="14" spans="1:18" ht="19" x14ac:dyDescent="0.25">
      <c r="A14" s="49">
        <v>10</v>
      </c>
      <c r="B14" s="53" t="s">
        <v>152</v>
      </c>
      <c r="C14" s="49">
        <v>120.1</v>
      </c>
      <c r="D14" s="139">
        <f t="shared" si="0"/>
        <v>6.0049999999999999</v>
      </c>
      <c r="E14" s="109"/>
      <c r="F14" s="49">
        <v>9</v>
      </c>
      <c r="G14" s="52" t="s">
        <v>104</v>
      </c>
      <c r="H14" s="49">
        <v>652.4</v>
      </c>
      <c r="I14" s="49">
        <f>124*3</f>
        <v>372</v>
      </c>
      <c r="J14" s="49">
        <v>7.8</v>
      </c>
      <c r="K14" s="49">
        <v>144</v>
      </c>
      <c r="L14" s="138">
        <f t="shared" si="1"/>
        <v>7.2</v>
      </c>
      <c r="M14" s="108"/>
      <c r="N14" s="49">
        <v>10</v>
      </c>
      <c r="O14" s="50" t="s">
        <v>110</v>
      </c>
      <c r="P14" s="101"/>
      <c r="Q14" s="41"/>
      <c r="R14" s="100"/>
    </row>
    <row r="15" spans="1:18" ht="19" x14ac:dyDescent="0.25">
      <c r="A15" s="49">
        <v>11</v>
      </c>
      <c r="B15" s="53" t="s">
        <v>153</v>
      </c>
      <c r="C15" s="49">
        <v>20.7</v>
      </c>
      <c r="D15" s="139">
        <f t="shared" si="0"/>
        <v>1.0349999999999999</v>
      </c>
      <c r="E15" s="109"/>
      <c r="F15" s="49">
        <v>10</v>
      </c>
      <c r="G15" s="54" t="s">
        <v>91</v>
      </c>
      <c r="H15" s="49">
        <v>720.3</v>
      </c>
      <c r="I15" s="49">
        <f>217*3</f>
        <v>651</v>
      </c>
      <c r="J15" s="49">
        <v>8.1999999999999993</v>
      </c>
      <c r="K15" s="49">
        <v>256.3</v>
      </c>
      <c r="L15" s="138">
        <f t="shared" si="1"/>
        <v>12.815</v>
      </c>
      <c r="M15" s="108"/>
      <c r="N15" s="49">
        <v>11</v>
      </c>
      <c r="O15" s="51" t="s">
        <v>96</v>
      </c>
      <c r="P15" s="101"/>
      <c r="Q15" s="41"/>
      <c r="R15" s="100"/>
    </row>
    <row r="16" spans="1:18" ht="19" x14ac:dyDescent="0.25">
      <c r="A16" s="49">
        <v>12</v>
      </c>
      <c r="B16" s="53" t="s">
        <v>154</v>
      </c>
      <c r="C16" s="49">
        <v>21.2</v>
      </c>
      <c r="D16" s="139">
        <f t="shared" si="0"/>
        <v>1.06</v>
      </c>
      <c r="E16" s="109"/>
      <c r="F16" s="49">
        <v>11</v>
      </c>
      <c r="G16" s="52" t="s">
        <v>92</v>
      </c>
      <c r="H16" s="49">
        <v>1331</v>
      </c>
      <c r="I16" s="49">
        <f>305*5</f>
        <v>1525</v>
      </c>
      <c r="J16" s="49">
        <v>4.0999999999999996</v>
      </c>
      <c r="K16" s="49">
        <v>165.5</v>
      </c>
      <c r="L16" s="138">
        <f t="shared" si="1"/>
        <v>8.2750000000000004</v>
      </c>
      <c r="M16" s="108"/>
      <c r="N16" s="49">
        <v>12</v>
      </c>
      <c r="O16" s="55" t="s">
        <v>96</v>
      </c>
      <c r="P16" s="101"/>
      <c r="Q16" s="41"/>
      <c r="R16" s="100"/>
    </row>
    <row r="17" spans="1:18" ht="19" x14ac:dyDescent="0.25">
      <c r="A17" s="49">
        <v>13</v>
      </c>
      <c r="B17" s="150" t="s">
        <v>93</v>
      </c>
      <c r="C17" s="140">
        <v>96.7</v>
      </c>
      <c r="D17" s="143">
        <f t="shared" si="0"/>
        <v>4.835</v>
      </c>
      <c r="E17" s="140"/>
      <c r="F17" s="140">
        <v>12</v>
      </c>
      <c r="G17" s="148" t="s">
        <v>94</v>
      </c>
      <c r="H17" s="140">
        <v>714</v>
      </c>
      <c r="I17" s="140">
        <f>236*3</f>
        <v>708</v>
      </c>
      <c r="J17" s="140">
        <v>9.3000000000000007</v>
      </c>
      <c r="K17" s="140">
        <v>236.6</v>
      </c>
      <c r="L17" s="145">
        <f t="shared" si="1"/>
        <v>11.83</v>
      </c>
      <c r="M17" s="108"/>
      <c r="N17" s="49">
        <v>13</v>
      </c>
      <c r="O17" s="51" t="s">
        <v>96</v>
      </c>
      <c r="P17" s="101"/>
      <c r="Q17" s="41"/>
      <c r="R17" s="100"/>
    </row>
    <row r="18" spans="1:18" ht="19" x14ac:dyDescent="0.25">
      <c r="B18" s="149"/>
      <c r="C18" s="149"/>
      <c r="D18" s="149"/>
      <c r="E18" s="140"/>
      <c r="F18" s="140">
        <v>13</v>
      </c>
      <c r="G18" s="148" t="s">
        <v>95</v>
      </c>
      <c r="H18" s="140">
        <v>32.6</v>
      </c>
      <c r="I18" s="140">
        <v>44.8</v>
      </c>
      <c r="J18" s="140">
        <v>7</v>
      </c>
      <c r="K18" s="140">
        <v>18</v>
      </c>
      <c r="L18" s="145">
        <f t="shared" si="1"/>
        <v>0.9</v>
      </c>
      <c r="M18" s="108"/>
      <c r="N18" s="49">
        <v>14</v>
      </c>
      <c r="O18" s="51" t="s">
        <v>116</v>
      </c>
      <c r="P18" s="101"/>
      <c r="Q18" s="41"/>
      <c r="R18" s="100"/>
    </row>
    <row r="19" spans="1:18" ht="19" x14ac:dyDescent="0.25">
      <c r="A19" s="49">
        <v>14</v>
      </c>
      <c r="B19" s="150" t="s">
        <v>97</v>
      </c>
      <c r="C19" s="140">
        <v>101.5</v>
      </c>
      <c r="D19" s="143">
        <f t="shared" ref="D19:D25" si="2">C19*50/1000</f>
        <v>5.0750000000000002</v>
      </c>
      <c r="E19" s="140"/>
      <c r="F19" s="140">
        <v>14</v>
      </c>
      <c r="G19" s="148" t="s">
        <v>98</v>
      </c>
      <c r="H19" s="140">
        <v>255.2</v>
      </c>
      <c r="I19" s="140">
        <v>427</v>
      </c>
      <c r="J19" s="140">
        <v>7.6</v>
      </c>
      <c r="K19" s="140">
        <v>96.1</v>
      </c>
      <c r="L19" s="145">
        <f t="shared" si="1"/>
        <v>4.8049999999999997</v>
      </c>
      <c r="M19" s="108"/>
      <c r="N19" s="106">
        <v>15</v>
      </c>
      <c r="O19" s="51" t="s">
        <v>116</v>
      </c>
      <c r="P19" s="101"/>
      <c r="Q19" s="41"/>
      <c r="R19" s="100"/>
    </row>
    <row r="20" spans="1:18" ht="20" thickBot="1" x14ac:dyDescent="0.3">
      <c r="A20" s="93">
        <v>15</v>
      </c>
      <c r="B20" s="155" t="s">
        <v>131</v>
      </c>
      <c r="C20" s="106">
        <v>82.2</v>
      </c>
      <c r="D20" s="156">
        <f t="shared" si="2"/>
        <v>4.1100000000000003</v>
      </c>
      <c r="E20" s="106"/>
      <c r="F20" s="106">
        <v>18</v>
      </c>
      <c r="G20" s="157" t="s">
        <v>132</v>
      </c>
      <c r="H20" s="106">
        <v>646.5</v>
      </c>
      <c r="I20" s="106">
        <f>307*2</f>
        <v>614</v>
      </c>
      <c r="J20" s="106">
        <v>8.5</v>
      </c>
      <c r="K20" s="106">
        <v>248.6</v>
      </c>
      <c r="L20" s="158">
        <f>K20*50/1000</f>
        <v>12.43</v>
      </c>
      <c r="M20" s="108"/>
      <c r="N20" s="49">
        <v>16</v>
      </c>
      <c r="O20" s="51" t="s">
        <v>116</v>
      </c>
      <c r="P20" s="101"/>
      <c r="Q20" s="41"/>
      <c r="R20" s="100"/>
    </row>
    <row r="21" spans="1:18" ht="19" x14ac:dyDescent="0.25">
      <c r="A21" s="49">
        <v>16</v>
      </c>
      <c r="B21" s="150" t="s">
        <v>117</v>
      </c>
      <c r="C21" s="140">
        <v>64.599999999999994</v>
      </c>
      <c r="D21" s="143">
        <f t="shared" si="2"/>
        <v>3.2299999999999995</v>
      </c>
      <c r="E21" s="140"/>
      <c r="F21" s="140">
        <v>15</v>
      </c>
      <c r="G21" s="151" t="s">
        <v>118</v>
      </c>
      <c r="H21" s="140">
        <v>586.70000000000005</v>
      </c>
      <c r="I21" s="140">
        <f>285*2</f>
        <v>570</v>
      </c>
      <c r="J21" s="140">
        <v>8.4</v>
      </c>
      <c r="K21" s="140">
        <v>252.9</v>
      </c>
      <c r="L21" s="145">
        <f t="shared" si="1"/>
        <v>12.645</v>
      </c>
      <c r="M21" s="108"/>
      <c r="N21" s="49">
        <v>17</v>
      </c>
      <c r="O21" s="51" t="s">
        <v>119</v>
      </c>
      <c r="P21" s="101"/>
      <c r="Q21" s="41"/>
      <c r="R21" s="100"/>
    </row>
    <row r="22" spans="1:18" ht="19" x14ac:dyDescent="0.25">
      <c r="A22" s="49">
        <v>17</v>
      </c>
      <c r="B22" s="150" t="s">
        <v>120</v>
      </c>
      <c r="C22" s="140">
        <v>35.9</v>
      </c>
      <c r="D22" s="143">
        <f t="shared" si="2"/>
        <v>1.7949999999999999</v>
      </c>
      <c r="E22" s="152"/>
      <c r="F22" s="140">
        <v>16</v>
      </c>
      <c r="G22" s="148" t="s">
        <v>121</v>
      </c>
      <c r="H22" s="140">
        <v>348.1</v>
      </c>
      <c r="I22" s="140">
        <v>417</v>
      </c>
      <c r="J22" s="140">
        <v>9.1</v>
      </c>
      <c r="K22" s="140">
        <v>127</v>
      </c>
      <c r="L22" s="145">
        <f t="shared" si="1"/>
        <v>6.35</v>
      </c>
      <c r="M22" s="108"/>
      <c r="N22" s="49">
        <v>18</v>
      </c>
      <c r="O22" s="51" t="s">
        <v>119</v>
      </c>
      <c r="P22" s="101"/>
      <c r="Q22" s="41"/>
      <c r="R22" s="100"/>
    </row>
    <row r="23" spans="1:18" ht="19" x14ac:dyDescent="0.25">
      <c r="A23" s="49">
        <v>18</v>
      </c>
      <c r="B23" s="153" t="s">
        <v>124</v>
      </c>
      <c r="C23" s="152">
        <v>74.099999999999994</v>
      </c>
      <c r="D23" s="143">
        <f t="shared" si="2"/>
        <v>3.7049999999999996</v>
      </c>
      <c r="E23" s="148"/>
      <c r="F23" s="140">
        <v>17</v>
      </c>
      <c r="G23" s="148" t="s">
        <v>125</v>
      </c>
      <c r="H23" s="140">
        <v>424.3</v>
      </c>
      <c r="I23" s="140">
        <f>225*2</f>
        <v>450</v>
      </c>
      <c r="J23" s="140">
        <v>8.1999999999999993</v>
      </c>
      <c r="K23" s="140">
        <v>134.80000000000001</v>
      </c>
      <c r="L23" s="145">
        <f t="shared" si="1"/>
        <v>6.7400000000000011</v>
      </c>
      <c r="M23" s="108"/>
      <c r="N23" s="92">
        <v>19</v>
      </c>
      <c r="O23" s="50" t="s">
        <v>122</v>
      </c>
      <c r="P23" s="101"/>
      <c r="Q23" s="41"/>
      <c r="R23" s="100"/>
    </row>
    <row r="24" spans="1:18" ht="20" thickBot="1" x14ac:dyDescent="0.3">
      <c r="A24" s="92">
        <v>19</v>
      </c>
      <c r="B24" s="140" t="s">
        <v>169</v>
      </c>
      <c r="C24" s="140">
        <v>10.4</v>
      </c>
      <c r="D24" s="143">
        <f t="shared" si="2"/>
        <v>0.52</v>
      </c>
      <c r="E24" s="154"/>
      <c r="F24" s="148">
        <v>19</v>
      </c>
      <c r="G24" s="140" t="s">
        <v>171</v>
      </c>
      <c r="H24" s="140">
        <v>60.3</v>
      </c>
      <c r="I24" s="140">
        <v>77.8</v>
      </c>
      <c r="J24" s="140">
        <v>6.3</v>
      </c>
      <c r="K24" s="140">
        <v>7.9</v>
      </c>
      <c r="L24" s="145">
        <f t="shared" si="1"/>
        <v>0.39500000000000002</v>
      </c>
      <c r="M24" s="108"/>
      <c r="N24" s="92">
        <v>20</v>
      </c>
      <c r="O24" s="46" t="s">
        <v>126</v>
      </c>
      <c r="P24" s="47"/>
      <c r="Q24" s="45"/>
      <c r="R24" s="100"/>
    </row>
    <row r="25" spans="1:18" ht="19" x14ac:dyDescent="0.25">
      <c r="A25" s="49">
        <v>20</v>
      </c>
      <c r="B25" s="49" t="s">
        <v>170</v>
      </c>
      <c r="C25" s="49">
        <v>32.4</v>
      </c>
      <c r="D25" s="139">
        <f t="shared" si="2"/>
        <v>1.62</v>
      </c>
      <c r="E25" s="41"/>
      <c r="F25" s="41"/>
      <c r="G25" s="42"/>
      <c r="H25" s="41"/>
      <c r="I25" s="41"/>
      <c r="J25" s="41"/>
      <c r="M25" s="108"/>
      <c r="N25" s="92">
        <v>21</v>
      </c>
      <c r="O25" s="44" t="s">
        <v>160</v>
      </c>
      <c r="P25" s="98"/>
      <c r="Q25" s="97"/>
      <c r="R25" s="100"/>
    </row>
    <row r="26" spans="1:18" ht="19" x14ac:dyDescent="0.25">
      <c r="A26" s="102"/>
      <c r="B26" s="41"/>
      <c r="C26" s="41"/>
      <c r="D26" s="41"/>
      <c r="E26" s="41"/>
      <c r="F26" s="110"/>
      <c r="G26" s="111"/>
      <c r="H26" s="112" t="s">
        <v>176</v>
      </c>
      <c r="I26" s="113"/>
      <c r="J26" s="113"/>
      <c r="M26" s="108"/>
      <c r="N26" s="92">
        <v>22</v>
      </c>
      <c r="O26" s="43" t="s">
        <v>159</v>
      </c>
      <c r="P26" s="98"/>
      <c r="Q26" s="98"/>
      <c r="R26" s="100"/>
    </row>
    <row r="27" spans="1:18" ht="19" x14ac:dyDescent="0.25">
      <c r="A27" s="102"/>
      <c r="B27" s="41"/>
      <c r="C27" s="41"/>
      <c r="D27" s="41"/>
      <c r="E27" s="41"/>
      <c r="F27" s="41"/>
      <c r="G27" s="42"/>
      <c r="H27" s="41"/>
      <c r="I27" s="41"/>
      <c r="J27" s="41"/>
      <c r="M27" s="108"/>
      <c r="N27" s="92">
        <v>23</v>
      </c>
      <c r="O27" s="43" t="s">
        <v>157</v>
      </c>
      <c r="P27" s="98"/>
      <c r="Q27" s="98"/>
      <c r="R27" s="100"/>
    </row>
    <row r="28" spans="1:18" ht="20" thickBot="1" x14ac:dyDescent="0.3">
      <c r="A28" s="102"/>
      <c r="C28" s="41"/>
      <c r="D28" s="41"/>
      <c r="E28" s="41"/>
      <c r="F28" s="41"/>
      <c r="G28" s="42"/>
      <c r="H28" s="41"/>
      <c r="I28" s="41"/>
      <c r="J28" s="41"/>
      <c r="M28" s="108"/>
      <c r="N28" s="92">
        <v>24</v>
      </c>
      <c r="O28" s="43" t="s">
        <v>158</v>
      </c>
      <c r="P28" s="99"/>
      <c r="Q28" s="99"/>
      <c r="R28" s="100"/>
    </row>
    <row r="29" spans="1:18" ht="19" x14ac:dyDescent="0.25">
      <c r="M29" s="108"/>
      <c r="N29" s="92">
        <v>25</v>
      </c>
      <c r="O29" s="103" t="s">
        <v>179</v>
      </c>
    </row>
    <row r="30" spans="1:18" ht="19" x14ac:dyDescent="0.25">
      <c r="M30" s="108"/>
      <c r="N30" s="92">
        <v>26</v>
      </c>
      <c r="O30" s="103" t="s">
        <v>180</v>
      </c>
    </row>
  </sheetData>
  <conditionalFormatting sqref="J5:J7 J9:J23">
    <cfRule type="cellIs" dxfId="24" priority="2" operator="lessThan">
      <formula>7</formula>
    </cfRule>
  </conditionalFormatting>
  <conditionalFormatting sqref="L5:L7 L9:L24 D5:D17 D19:D25">
    <cfRule type="cellIs" dxfId="23" priority="1" operator="lessThan">
      <formula>2.5</formula>
    </cfRule>
  </conditionalFormatting>
  <pageMargins left="0.7" right="0.7" top="0.75" bottom="0.75" header="0.3" footer="0.3"/>
  <pageSetup paperSize="9" scale="61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E8B5-FAE9-E341-8D92-562442B76729}">
  <dimension ref="A1:U27"/>
  <sheetViews>
    <sheetView tabSelected="1" workbookViewId="0">
      <selection activeCell="J29" sqref="J29"/>
    </sheetView>
  </sheetViews>
  <sheetFormatPr baseColWidth="10" defaultRowHeight="16" x14ac:dyDescent="0.2"/>
  <cols>
    <col min="1" max="1" width="6.5" style="1" bestFit="1" customWidth="1"/>
    <col min="2" max="2" width="10" style="1" bestFit="1" customWidth="1"/>
    <col min="3" max="3" width="21.6640625" style="1" hidden="1" customWidth="1"/>
    <col min="4" max="4" width="11.5" style="1" hidden="1" customWidth="1"/>
    <col min="5" max="5" width="18" style="1" bestFit="1" customWidth="1"/>
    <col min="6" max="6" width="7.33203125" style="1" bestFit="1" customWidth="1"/>
    <col min="7" max="7" width="23.6640625" style="1" bestFit="1" customWidth="1"/>
    <col min="8" max="8" width="6.83203125" style="1" bestFit="1" customWidth="1"/>
    <col min="9" max="9" width="8.83203125" style="1" bestFit="1" customWidth="1"/>
    <col min="10" max="10" width="55" style="1" bestFit="1" customWidth="1"/>
    <col min="11" max="11" width="8.6640625" style="1" bestFit="1" customWidth="1"/>
    <col min="12" max="12" width="9" style="1" bestFit="1" customWidth="1"/>
    <col min="13" max="13" width="14.33203125" style="1" bestFit="1" customWidth="1"/>
    <col min="14" max="14" width="24" style="1" bestFit="1" customWidth="1"/>
    <col min="15" max="17" width="13.33203125" style="1" bestFit="1" customWidth="1"/>
    <col min="18" max="20" width="14.5" style="1" bestFit="1" customWidth="1"/>
    <col min="21" max="21" width="24" style="1" bestFit="1" customWidth="1"/>
    <col min="22" max="16384" width="10.83203125" style="1"/>
  </cols>
  <sheetData>
    <row r="1" spans="1:18" x14ac:dyDescent="0.2">
      <c r="A1" s="9" t="s">
        <v>0</v>
      </c>
      <c r="B1" s="9" t="s">
        <v>1</v>
      </c>
      <c r="C1" s="9" t="s">
        <v>29</v>
      </c>
      <c r="D1" s="9" t="s">
        <v>30</v>
      </c>
      <c r="E1" s="9" t="s">
        <v>51</v>
      </c>
      <c r="F1" s="9" t="s">
        <v>44</v>
      </c>
      <c r="G1" s="9" t="s">
        <v>45</v>
      </c>
      <c r="H1" s="9" t="s">
        <v>46</v>
      </c>
      <c r="I1" s="9" t="s">
        <v>47</v>
      </c>
      <c r="J1" s="9" t="s">
        <v>48</v>
      </c>
      <c r="K1" s="9" t="s">
        <v>49</v>
      </c>
      <c r="L1" s="9" t="s">
        <v>50</v>
      </c>
      <c r="M1" s="9" t="s">
        <v>148</v>
      </c>
      <c r="N1" s="9" t="s">
        <v>135</v>
      </c>
      <c r="O1" t="s">
        <v>208</v>
      </c>
      <c r="P1" t="s">
        <v>210</v>
      </c>
      <c r="Q1" t="s">
        <v>215</v>
      </c>
      <c r="R1" s="1" t="s">
        <v>216</v>
      </c>
    </row>
    <row r="2" spans="1:18" s="2" customFormat="1" x14ac:dyDescent="0.2">
      <c r="A2" s="9" t="s">
        <v>9</v>
      </c>
      <c r="B2" s="9" t="s">
        <v>25</v>
      </c>
      <c r="C2" s="9"/>
      <c r="D2" s="9"/>
      <c r="E2" s="9"/>
      <c r="F2" s="9" t="s">
        <v>52</v>
      </c>
      <c r="G2" s="9" t="s">
        <v>72</v>
      </c>
      <c r="H2" s="9">
        <v>12</v>
      </c>
      <c r="I2" s="9" t="s">
        <v>54</v>
      </c>
      <c r="J2" s="9" t="s">
        <v>55</v>
      </c>
      <c r="K2" s="9">
        <v>2</v>
      </c>
      <c r="L2" s="9" t="s">
        <v>70</v>
      </c>
      <c r="M2" s="5">
        <v>43719</v>
      </c>
      <c r="N2" s="11" t="s">
        <v>73</v>
      </c>
      <c r="O2" s="1"/>
      <c r="P2"/>
      <c r="Q2"/>
      <c r="R2" s="2" t="e">
        <f>Table1[[#This Row],[cfconc]]/(Table1[[#This Row],[Str tumor]]/Table1[[#This Row],[Vægt]])</f>
        <v>#DIV/0!</v>
      </c>
    </row>
    <row r="3" spans="1:18" s="2" customFormat="1" x14ac:dyDescent="0.2">
      <c r="A3" s="9" t="s">
        <v>10</v>
      </c>
      <c r="B3" s="9" t="s">
        <v>26</v>
      </c>
      <c r="C3" s="9" t="s">
        <v>81</v>
      </c>
      <c r="D3" s="9" t="s">
        <v>81</v>
      </c>
      <c r="E3" s="9"/>
      <c r="F3" s="9" t="s">
        <v>52</v>
      </c>
      <c r="G3" s="9" t="s">
        <v>74</v>
      </c>
      <c r="H3" s="9">
        <v>12</v>
      </c>
      <c r="I3" s="9" t="s">
        <v>54</v>
      </c>
      <c r="J3" s="9" t="s">
        <v>75</v>
      </c>
      <c r="K3" s="9">
        <v>2</v>
      </c>
      <c r="L3" s="9" t="s">
        <v>70</v>
      </c>
      <c r="M3" s="5">
        <v>43717</v>
      </c>
      <c r="N3" s="11"/>
      <c r="O3" s="1"/>
      <c r="P3"/>
      <c r="Q3"/>
      <c r="R3" s="2" t="e">
        <f>Table1[[#This Row],[cfconc]]/(Table1[[#This Row],[Str tumor]]/Table1[[#This Row],[Vægt]])</f>
        <v>#DIV/0!</v>
      </c>
    </row>
    <row r="4" spans="1:18" s="2" customFormat="1" x14ac:dyDescent="0.2">
      <c r="A4" s="9" t="s">
        <v>12</v>
      </c>
      <c r="B4" s="9" t="s">
        <v>28</v>
      </c>
      <c r="C4" s="9"/>
      <c r="D4" s="9"/>
      <c r="E4" s="9"/>
      <c r="F4" s="9" t="s">
        <v>52</v>
      </c>
      <c r="G4" s="9" t="s">
        <v>79</v>
      </c>
      <c r="H4" s="9">
        <v>10</v>
      </c>
      <c r="I4" s="9" t="s">
        <v>68</v>
      </c>
      <c r="J4" s="9" t="s">
        <v>80</v>
      </c>
      <c r="K4" s="9">
        <v>2</v>
      </c>
      <c r="L4" s="9" t="s">
        <v>70</v>
      </c>
      <c r="M4" s="5">
        <v>43739</v>
      </c>
      <c r="N4" s="11"/>
      <c r="O4" s="1"/>
      <c r="P4"/>
      <c r="Q4"/>
      <c r="R4" s="2" t="e">
        <f>Table1[[#This Row],[cfconc]]/(Table1[[#This Row],[Str tumor]]/Table1[[#This Row],[Vægt]])</f>
        <v>#DIV/0!</v>
      </c>
    </row>
    <row r="5" spans="1:18" x14ac:dyDescent="0.2">
      <c r="A5" s="9" t="s">
        <v>8</v>
      </c>
      <c r="B5" s="9" t="s">
        <v>24</v>
      </c>
      <c r="C5" s="9" t="s">
        <v>81</v>
      </c>
      <c r="D5" s="9" t="s">
        <v>81</v>
      </c>
      <c r="E5" s="9"/>
      <c r="F5" s="9" t="s">
        <v>52</v>
      </c>
      <c r="G5" s="9" t="s">
        <v>67</v>
      </c>
      <c r="H5" s="9">
        <v>10</v>
      </c>
      <c r="I5" s="9" t="s">
        <v>68</v>
      </c>
      <c r="J5" s="9" t="s">
        <v>69</v>
      </c>
      <c r="K5" s="9">
        <v>3</v>
      </c>
      <c r="L5" s="9" t="s">
        <v>70</v>
      </c>
      <c r="M5" s="5">
        <v>43777</v>
      </c>
      <c r="N5" s="11" t="s">
        <v>71</v>
      </c>
      <c r="P5"/>
      <c r="Q5"/>
      <c r="R5" s="2" t="e">
        <f>Table1[[#This Row],[cfconc]]/(Table1[[#This Row],[Str tumor]]/Table1[[#This Row],[Vægt]])</f>
        <v>#DIV/0!</v>
      </c>
    </row>
    <row r="6" spans="1:18" s="2" customFormat="1" x14ac:dyDescent="0.2">
      <c r="A6" s="9" t="s">
        <v>11</v>
      </c>
      <c r="B6" s="9" t="s">
        <v>27</v>
      </c>
      <c r="C6" s="9" t="s">
        <v>81</v>
      </c>
      <c r="D6" s="9" t="s">
        <v>81</v>
      </c>
      <c r="E6" s="9"/>
      <c r="F6" s="9" t="s">
        <v>52</v>
      </c>
      <c r="G6" s="9" t="s">
        <v>76</v>
      </c>
      <c r="H6" s="9">
        <v>9</v>
      </c>
      <c r="I6" s="9" t="s">
        <v>54</v>
      </c>
      <c r="J6" s="9" t="s">
        <v>77</v>
      </c>
      <c r="K6" s="9">
        <v>3</v>
      </c>
      <c r="L6" s="9" t="s">
        <v>70</v>
      </c>
      <c r="M6" s="5">
        <v>43962</v>
      </c>
      <c r="N6" s="11" t="s">
        <v>78</v>
      </c>
      <c r="O6" s="1"/>
      <c r="P6"/>
      <c r="Q6"/>
      <c r="R6" s="2" t="e">
        <f>Table1[[#This Row],[cfconc]]/(Table1[[#This Row],[Str tumor]]/Table1[[#This Row],[Vægt]])</f>
        <v>#DIV/0!</v>
      </c>
    </row>
    <row r="7" spans="1:18" s="2" customFormat="1" ht="34" x14ac:dyDescent="0.2">
      <c r="A7" s="9" t="s">
        <v>5</v>
      </c>
      <c r="B7" s="9" t="s">
        <v>21</v>
      </c>
      <c r="C7" s="9"/>
      <c r="D7" s="9"/>
      <c r="E7" s="13" t="s">
        <v>113</v>
      </c>
      <c r="F7" s="9" t="s">
        <v>52</v>
      </c>
      <c r="G7" s="9" t="s">
        <v>58</v>
      </c>
      <c r="H7" s="9">
        <v>8</v>
      </c>
      <c r="I7" s="9" t="s">
        <v>54</v>
      </c>
      <c r="J7" s="9" t="s">
        <v>62</v>
      </c>
      <c r="K7" s="30" t="s">
        <v>57</v>
      </c>
      <c r="L7" s="9" t="s">
        <v>56</v>
      </c>
      <c r="M7" s="6">
        <v>43868</v>
      </c>
      <c r="N7" s="12"/>
      <c r="O7" s="1">
        <v>23</v>
      </c>
      <c r="P7">
        <v>0.9</v>
      </c>
      <c r="Q7" s="1"/>
      <c r="R7" s="2" t="e">
        <f>Table1[[#This Row],[cfconc]]/(Table1[[#This Row],[Str tumor]]/Table1[[#This Row],[Vægt]])</f>
        <v>#DIV/0!</v>
      </c>
    </row>
    <row r="8" spans="1:18" s="2" customFormat="1" x14ac:dyDescent="0.2">
      <c r="A8" s="10" t="s">
        <v>213</v>
      </c>
      <c r="B8" s="10" t="s">
        <v>211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75"/>
      <c r="N8" s="176"/>
      <c r="O8" s="10">
        <v>33.299999999999997</v>
      </c>
      <c r="P8" s="1">
        <v>10.7</v>
      </c>
      <c r="Q8" s="1"/>
      <c r="R8" s="2" t="e">
        <f>Table1[[#This Row],[cfconc]]/(Table1[[#This Row],[Str tumor]]/Table1[[#This Row],[Vægt]])</f>
        <v>#DIV/0!</v>
      </c>
    </row>
    <row r="9" spans="1:18" s="2" customFormat="1" x14ac:dyDescent="0.2">
      <c r="A9" s="9" t="s">
        <v>15</v>
      </c>
      <c r="B9" s="9" t="s">
        <v>88</v>
      </c>
      <c r="C9" s="9" t="s">
        <v>81</v>
      </c>
      <c r="D9" s="9" t="s">
        <v>81</v>
      </c>
      <c r="E9" s="9" t="s">
        <v>115</v>
      </c>
      <c r="F9" s="9" t="s">
        <v>52</v>
      </c>
      <c r="G9" s="9" t="s">
        <v>136</v>
      </c>
      <c r="H9" s="9"/>
      <c r="I9" s="9" t="s">
        <v>68</v>
      </c>
      <c r="J9" s="9" t="s">
        <v>137</v>
      </c>
      <c r="K9" s="30" t="s">
        <v>57</v>
      </c>
      <c r="L9" s="9" t="s">
        <v>56</v>
      </c>
      <c r="M9" s="5">
        <v>43991</v>
      </c>
      <c r="N9" s="11" t="s">
        <v>144</v>
      </c>
      <c r="O9" s="1">
        <v>10.6</v>
      </c>
      <c r="P9">
        <v>4.3</v>
      </c>
      <c r="Q9">
        <f>1^3</f>
        <v>1</v>
      </c>
      <c r="R9" s="2">
        <f>Table1[[#This Row],[cfconc]]/(Table1[[#This Row],[Str tumor]]/Table1[[#This Row],[Vægt]])</f>
        <v>45.58</v>
      </c>
    </row>
    <row r="10" spans="1:18" s="2" customFormat="1" x14ac:dyDescent="0.2">
      <c r="A10" s="10" t="s">
        <v>212</v>
      </c>
      <c r="B10" s="10" t="s">
        <v>209</v>
      </c>
      <c r="C10" s="10"/>
      <c r="D10" s="10"/>
      <c r="E10" s="10"/>
      <c r="F10" s="10"/>
      <c r="G10" s="10"/>
      <c r="H10" s="10"/>
      <c r="I10" s="10"/>
      <c r="J10" s="10"/>
      <c r="K10" s="10">
        <v>3</v>
      </c>
      <c r="L10" s="10" t="s">
        <v>214</v>
      </c>
      <c r="M10" s="175"/>
      <c r="N10" s="176"/>
      <c r="O10" s="177">
        <v>11.2</v>
      </c>
      <c r="P10" s="178">
        <v>22.5</v>
      </c>
      <c r="Q10" s="179">
        <f>2*1.5*4</f>
        <v>12</v>
      </c>
      <c r="R10" s="2">
        <f>Table1[[#This Row],[cfconc]]/(Table1[[#This Row],[Str tumor]]/Table1[[#This Row],[Vægt]])</f>
        <v>21</v>
      </c>
    </row>
    <row r="11" spans="1:18" s="2" customFormat="1" x14ac:dyDescent="0.2">
      <c r="A11" s="9" t="s">
        <v>123</v>
      </c>
      <c r="B11" s="9" t="s">
        <v>83</v>
      </c>
      <c r="C11" s="9"/>
      <c r="D11" s="9"/>
      <c r="E11" s="10"/>
      <c r="F11" s="9" t="s">
        <v>52</v>
      </c>
      <c r="G11" s="9" t="s">
        <v>63</v>
      </c>
      <c r="H11" s="9">
        <v>6</v>
      </c>
      <c r="I11" s="9" t="s">
        <v>54</v>
      </c>
      <c r="J11" s="9" t="s">
        <v>130</v>
      </c>
      <c r="K11" s="9">
        <v>1</v>
      </c>
      <c r="L11" s="9" t="s">
        <v>56</v>
      </c>
      <c r="M11" s="5">
        <v>44011</v>
      </c>
      <c r="N11" s="11"/>
      <c r="O11" s="1">
        <v>14.7</v>
      </c>
      <c r="P11">
        <v>4.7</v>
      </c>
      <c r="Q11">
        <f>2*1.5*1.5</f>
        <v>4.5</v>
      </c>
      <c r="R11" s="2">
        <f>Table1[[#This Row],[cfconc]]/(Table1[[#This Row],[Str tumor]]/Table1[[#This Row],[Vægt]])</f>
        <v>15.353333333333333</v>
      </c>
    </row>
    <row r="12" spans="1:18" s="2" customFormat="1" x14ac:dyDescent="0.2">
      <c r="A12" s="9" t="s">
        <v>16</v>
      </c>
      <c r="B12" s="9" t="s">
        <v>111</v>
      </c>
      <c r="C12" s="9"/>
      <c r="D12" s="9"/>
      <c r="E12" s="10"/>
      <c r="F12" s="9" t="s">
        <v>52</v>
      </c>
      <c r="G12" s="9" t="s">
        <v>128</v>
      </c>
      <c r="H12" s="9">
        <v>7</v>
      </c>
      <c r="I12" s="9" t="s">
        <v>54</v>
      </c>
      <c r="J12" s="9" t="s">
        <v>129</v>
      </c>
      <c r="K12" s="9">
        <v>2</v>
      </c>
      <c r="L12" s="9" t="s">
        <v>56</v>
      </c>
      <c r="M12" s="5">
        <v>44040</v>
      </c>
      <c r="N12" s="11"/>
      <c r="O12" s="1">
        <v>16</v>
      </c>
      <c r="P12">
        <v>2.6</v>
      </c>
      <c r="Q12">
        <f>2*1*1.5</f>
        <v>3</v>
      </c>
      <c r="R12" s="2">
        <f>Table1[[#This Row],[cfconc]]/(Table1[[#This Row],[Str tumor]]/Table1[[#This Row],[Vægt]])</f>
        <v>13.866666666666667</v>
      </c>
    </row>
    <row r="13" spans="1:18" s="2" customFormat="1" ht="34" x14ac:dyDescent="0.2">
      <c r="A13" s="9" t="s">
        <v>13</v>
      </c>
      <c r="B13" s="9" t="s">
        <v>82</v>
      </c>
      <c r="C13" s="9" t="s">
        <v>81</v>
      </c>
      <c r="D13" s="9" t="s">
        <v>81</v>
      </c>
      <c r="E13" s="13" t="s">
        <v>114</v>
      </c>
      <c r="F13" s="9" t="s">
        <v>52</v>
      </c>
      <c r="G13" s="9" t="s">
        <v>65</v>
      </c>
      <c r="H13" s="9">
        <v>10</v>
      </c>
      <c r="I13" s="9" t="s">
        <v>54</v>
      </c>
      <c r="J13" s="9" t="s">
        <v>89</v>
      </c>
      <c r="K13" s="9">
        <v>1</v>
      </c>
      <c r="L13" s="9" t="s">
        <v>56</v>
      </c>
      <c r="M13" s="7" t="s">
        <v>90</v>
      </c>
      <c r="N13" s="11"/>
      <c r="O13" s="1">
        <v>27.5</v>
      </c>
      <c r="P13">
        <v>3.5</v>
      </c>
      <c r="Q13">
        <f>1.5^3+2*1.2*1.6</f>
        <v>7.2149999999999999</v>
      </c>
      <c r="R13" s="2">
        <f>Table1[[#This Row],[cfconc]]/(Table1[[#This Row],[Str tumor]]/Table1[[#This Row],[Vægt]])</f>
        <v>13.340263340263341</v>
      </c>
    </row>
    <row r="14" spans="1:18" s="2" customFormat="1" x14ac:dyDescent="0.2">
      <c r="A14" s="9" t="s">
        <v>7</v>
      </c>
      <c r="B14" s="9" t="s">
        <v>23</v>
      </c>
      <c r="C14" s="9" t="s">
        <v>81</v>
      </c>
      <c r="D14" s="9" t="s">
        <v>81</v>
      </c>
      <c r="E14" s="9"/>
      <c r="F14" s="9" t="s">
        <v>52</v>
      </c>
      <c r="G14" s="9" t="s">
        <v>65</v>
      </c>
      <c r="H14" s="9">
        <v>10</v>
      </c>
      <c r="I14" s="9" t="s">
        <v>54</v>
      </c>
      <c r="J14" s="9" t="s">
        <v>66</v>
      </c>
      <c r="K14" s="9">
        <v>1</v>
      </c>
      <c r="L14" s="9" t="s">
        <v>56</v>
      </c>
      <c r="M14" s="5">
        <v>43887</v>
      </c>
      <c r="N14" s="11"/>
      <c r="O14" s="1">
        <v>26</v>
      </c>
      <c r="P14">
        <v>2.7</v>
      </c>
      <c r="Q14">
        <f>2.5*2*1.5</f>
        <v>7.5</v>
      </c>
      <c r="R14" s="2">
        <f>Table1[[#This Row],[cfconc]]/(Table1[[#This Row],[Str tumor]]/Table1[[#This Row],[Vægt]])</f>
        <v>9.3600000000000012</v>
      </c>
    </row>
    <row r="15" spans="1:18" s="2" customFormat="1" x14ac:dyDescent="0.2">
      <c r="A15" s="9" t="s">
        <v>17</v>
      </c>
      <c r="B15" s="9" t="s">
        <v>112</v>
      </c>
      <c r="C15" s="9"/>
      <c r="D15" s="9"/>
      <c r="E15" s="10"/>
      <c r="F15" s="9" t="s">
        <v>52</v>
      </c>
      <c r="G15" s="9" t="s">
        <v>127</v>
      </c>
      <c r="H15" s="9">
        <v>13</v>
      </c>
      <c r="I15" s="9" t="s">
        <v>54</v>
      </c>
      <c r="J15" s="9" t="s">
        <v>75</v>
      </c>
      <c r="K15" s="9">
        <v>2</v>
      </c>
      <c r="L15" s="9" t="s">
        <v>56</v>
      </c>
      <c r="M15" s="8">
        <v>47328</v>
      </c>
      <c r="N15" s="11"/>
      <c r="O15" s="1">
        <v>8.1</v>
      </c>
      <c r="P15">
        <v>8.3000000000000007</v>
      </c>
      <c r="Q15">
        <f>2*2*3+2^3</f>
        <v>20</v>
      </c>
      <c r="R15" s="2">
        <f>Table1[[#This Row],[cfconc]]/(Table1[[#This Row],[Str tumor]]/Table1[[#This Row],[Vægt]])</f>
        <v>3.3614999999999999</v>
      </c>
    </row>
    <row r="16" spans="1:18" x14ac:dyDescent="0.2">
      <c r="A16" s="9" t="s">
        <v>4</v>
      </c>
      <c r="B16" s="9" t="s">
        <v>20</v>
      </c>
      <c r="C16" s="9" t="s">
        <v>81</v>
      </c>
      <c r="D16" s="9" t="s">
        <v>81</v>
      </c>
      <c r="E16" s="9"/>
      <c r="F16" s="9" t="s">
        <v>52</v>
      </c>
      <c r="G16" s="9" t="s">
        <v>60</v>
      </c>
      <c r="H16" s="9">
        <v>9</v>
      </c>
      <c r="I16" s="9" t="s">
        <v>54</v>
      </c>
      <c r="J16" s="9" t="s">
        <v>61</v>
      </c>
      <c r="K16" s="9">
        <v>1</v>
      </c>
      <c r="L16" s="9" t="s">
        <v>56</v>
      </c>
      <c r="M16" s="5">
        <v>43789</v>
      </c>
      <c r="N16" s="11"/>
      <c r="O16" s="1">
        <v>10</v>
      </c>
      <c r="P16">
        <v>4.7</v>
      </c>
      <c r="Q16">
        <f>3*3*2+1.5*1*1*2</f>
        <v>21</v>
      </c>
      <c r="R16" s="2">
        <f>Table1[[#This Row],[cfconc]]/(Table1[[#This Row],[Str tumor]]/Table1[[#This Row],[Vægt]])</f>
        <v>2.2380952380952381</v>
      </c>
    </row>
    <row r="17" spans="1:21" x14ac:dyDescent="0.2">
      <c r="A17" s="9" t="s">
        <v>2</v>
      </c>
      <c r="B17" s="9" t="s">
        <v>18</v>
      </c>
      <c r="C17" s="9" t="s">
        <v>81</v>
      </c>
      <c r="D17" s="9" t="s">
        <v>81</v>
      </c>
      <c r="E17" s="9"/>
      <c r="F17" s="9" t="s">
        <v>52</v>
      </c>
      <c r="G17" s="9" t="s">
        <v>53</v>
      </c>
      <c r="H17" s="9">
        <v>6</v>
      </c>
      <c r="I17" s="9" t="s">
        <v>54</v>
      </c>
      <c r="J17" s="9" t="s">
        <v>55</v>
      </c>
      <c r="K17" s="9">
        <v>3</v>
      </c>
      <c r="L17" s="9" t="s">
        <v>56</v>
      </c>
      <c r="M17" s="5">
        <v>43880</v>
      </c>
      <c r="N17" s="11"/>
      <c r="O17" s="1">
        <v>34</v>
      </c>
      <c r="P17">
        <v>0.9</v>
      </c>
      <c r="Q17">
        <f>5.7*3.2*4.2</f>
        <v>76.608000000000018</v>
      </c>
      <c r="R17" s="2">
        <f>Table1[[#This Row],[cfconc]]/(Table1[[#This Row],[Str tumor]]/Table1[[#This Row],[Vægt]])</f>
        <v>0.39943609022556381</v>
      </c>
    </row>
    <row r="18" spans="1:21" x14ac:dyDescent="0.2">
      <c r="A18" s="9" t="s">
        <v>3</v>
      </c>
      <c r="B18" s="9" t="s">
        <v>19</v>
      </c>
      <c r="C18" s="9" t="s">
        <v>81</v>
      </c>
      <c r="D18" s="9" t="s">
        <v>81</v>
      </c>
      <c r="E18" s="9"/>
      <c r="F18" s="9" t="s">
        <v>52</v>
      </c>
      <c r="G18" s="9" t="s">
        <v>58</v>
      </c>
      <c r="H18" s="9">
        <v>12</v>
      </c>
      <c r="I18" s="9" t="s">
        <v>54</v>
      </c>
      <c r="J18" s="9" t="s">
        <v>59</v>
      </c>
      <c r="K18" s="9">
        <v>3</v>
      </c>
      <c r="L18" s="9" t="s">
        <v>56</v>
      </c>
      <c r="M18" s="14">
        <v>43878</v>
      </c>
      <c r="N18" s="15"/>
      <c r="O18" s="1">
        <v>30</v>
      </c>
      <c r="P18">
        <v>1.9</v>
      </c>
      <c r="Q18">
        <f>10*5*5</f>
        <v>250</v>
      </c>
      <c r="R18" s="2">
        <f>Table1[[#This Row],[cfconc]]/(Table1[[#This Row],[Str tumor]]/Table1[[#This Row],[Vægt]])</f>
        <v>0.22799999999999998</v>
      </c>
    </row>
    <row r="19" spans="1:21" ht="17" customHeight="1" x14ac:dyDescent="0.2">
      <c r="A19" s="9" t="s">
        <v>14</v>
      </c>
      <c r="B19" s="9" t="s">
        <v>84</v>
      </c>
      <c r="C19" s="9" t="s">
        <v>81</v>
      </c>
      <c r="D19" s="9" t="s">
        <v>81</v>
      </c>
      <c r="E19" s="13" t="s">
        <v>149</v>
      </c>
      <c r="F19" s="9" t="s">
        <v>52</v>
      </c>
      <c r="G19" s="9" t="s">
        <v>85</v>
      </c>
      <c r="H19" s="9">
        <v>13</v>
      </c>
      <c r="I19" s="9" t="s">
        <v>54</v>
      </c>
      <c r="J19" s="9" t="s">
        <v>86</v>
      </c>
      <c r="K19" s="9">
        <v>3</v>
      </c>
      <c r="L19" s="9" t="s">
        <v>56</v>
      </c>
      <c r="M19" s="14">
        <v>43997</v>
      </c>
      <c r="N19" s="15" t="s">
        <v>87</v>
      </c>
      <c r="O19" s="1">
        <v>8.3000000000000007</v>
      </c>
      <c r="P19">
        <v>1.9</v>
      </c>
      <c r="Q19">
        <f>5*5*3</f>
        <v>75</v>
      </c>
      <c r="R19" s="2">
        <f>Table1[[#This Row],[cfconc]]/(Table1[[#This Row],[Str tumor]]/Table1[[#This Row],[Vægt]])</f>
        <v>0.21026666666666669</v>
      </c>
      <c r="S19" s="4"/>
      <c r="T19" s="4"/>
      <c r="U19" s="4"/>
    </row>
    <row r="20" spans="1:21" x14ac:dyDescent="0.2">
      <c r="A20" s="9" t="s">
        <v>6</v>
      </c>
      <c r="B20" s="9" t="s">
        <v>22</v>
      </c>
      <c r="C20" s="9" t="s">
        <v>81</v>
      </c>
      <c r="D20" s="9" t="s">
        <v>81</v>
      </c>
      <c r="E20" s="9"/>
      <c r="F20" s="9" t="s">
        <v>52</v>
      </c>
      <c r="G20" s="9" t="s">
        <v>63</v>
      </c>
      <c r="H20" s="9">
        <v>11</v>
      </c>
      <c r="I20" s="9" t="s">
        <v>54</v>
      </c>
      <c r="J20" s="9" t="s">
        <v>64</v>
      </c>
      <c r="K20" s="30" t="s">
        <v>57</v>
      </c>
      <c r="L20" s="9" t="s">
        <v>56</v>
      </c>
      <c r="M20" s="180">
        <v>43836</v>
      </c>
      <c r="N20" s="181"/>
      <c r="O20" s="1">
        <v>14</v>
      </c>
      <c r="P20">
        <v>0.1</v>
      </c>
      <c r="Q20">
        <f>0.5^3+2*2*2+0.2^3*3+0.3^3+0.3^3+1*1*1</f>
        <v>9.2029999999999976</v>
      </c>
      <c r="R20" s="2">
        <f>Table1[[#This Row],[cfconc]]/(Table1[[#This Row],[Str tumor]]/Table1[[#This Row],[Vægt]])</f>
        <v>0.1521243072911008</v>
      </c>
    </row>
    <row r="22" spans="1:21" s="3" customFormat="1" x14ac:dyDescent="0.2"/>
    <row r="25" spans="1:21" x14ac:dyDescent="0.2">
      <c r="R25" s="1" t="s">
        <v>217</v>
      </c>
    </row>
    <row r="27" spans="1:21" x14ac:dyDescent="0.2">
      <c r="R27" s="1" t="s">
        <v>218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B0EE-E057-8C45-A535-39CDBB228639}">
  <dimension ref="A1:L13"/>
  <sheetViews>
    <sheetView workbookViewId="0">
      <selection activeCell="G19" sqref="G19"/>
    </sheetView>
  </sheetViews>
  <sheetFormatPr baseColWidth="10" defaultRowHeight="16" x14ac:dyDescent="0.2"/>
  <cols>
    <col min="1" max="1" width="16" bestFit="1" customWidth="1"/>
    <col min="2" max="2" width="18.83203125" bestFit="1" customWidth="1"/>
    <col min="3" max="3" width="3.83203125" bestFit="1" customWidth="1"/>
    <col min="4" max="4" width="4.5" customWidth="1"/>
    <col min="5" max="5" width="3.83203125" bestFit="1" customWidth="1"/>
    <col min="7" max="7" width="5.5" customWidth="1"/>
  </cols>
  <sheetData>
    <row r="1" spans="1:12" ht="26" x14ac:dyDescent="0.3">
      <c r="A1" s="191" t="s">
        <v>138</v>
      </c>
      <c r="B1" s="192"/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ht="27" thickBot="1" x14ac:dyDescent="0.3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1:12" ht="26" customHeight="1" x14ac:dyDescent="0.3">
      <c r="A3" s="21"/>
      <c r="B3" s="22" t="s">
        <v>145</v>
      </c>
      <c r="C3" s="23"/>
      <c r="D3" s="19"/>
      <c r="E3" s="187" t="s">
        <v>146</v>
      </c>
      <c r="F3" s="187"/>
      <c r="G3" s="187"/>
      <c r="H3" s="19"/>
      <c r="I3" s="19"/>
      <c r="J3" s="19"/>
      <c r="K3" s="19"/>
      <c r="L3" s="20"/>
    </row>
    <row r="4" spans="1:12" ht="26" x14ac:dyDescent="0.3">
      <c r="A4" s="21"/>
      <c r="B4" s="18" t="s">
        <v>139</v>
      </c>
      <c r="C4" s="24" t="s">
        <v>141</v>
      </c>
      <c r="D4" s="19"/>
      <c r="E4" s="193" t="s">
        <v>147</v>
      </c>
      <c r="F4" s="193"/>
      <c r="G4" s="19"/>
      <c r="H4" s="19"/>
      <c r="I4" s="19"/>
      <c r="J4" s="19"/>
      <c r="K4" s="19"/>
      <c r="L4" s="20"/>
    </row>
    <row r="5" spans="1:12" ht="27" thickBot="1" x14ac:dyDescent="0.35">
      <c r="A5" s="21"/>
      <c r="B5" s="25" t="s">
        <v>140</v>
      </c>
      <c r="C5" s="26"/>
      <c r="D5" s="19"/>
      <c r="E5" s="193"/>
      <c r="F5" s="193"/>
      <c r="G5" s="19"/>
      <c r="H5" s="19"/>
      <c r="I5" s="19"/>
      <c r="J5" s="19"/>
      <c r="K5" s="19"/>
      <c r="L5" s="20"/>
    </row>
    <row r="6" spans="1:12" ht="16" customHeight="1" x14ac:dyDescent="0.2">
      <c r="A6" s="21"/>
      <c r="B6" s="19"/>
      <c r="C6" s="19"/>
      <c r="D6" s="19"/>
      <c r="E6" s="188" t="s">
        <v>143</v>
      </c>
      <c r="F6" s="188"/>
      <c r="G6" s="188"/>
      <c r="H6" s="19"/>
      <c r="I6" s="19"/>
      <c r="J6" s="19"/>
      <c r="K6" s="19"/>
      <c r="L6" s="20"/>
    </row>
    <row r="7" spans="1:12" ht="16" customHeight="1" x14ac:dyDescent="0.2">
      <c r="A7" s="21"/>
      <c r="B7" s="19"/>
      <c r="C7" s="19"/>
      <c r="D7" s="19"/>
      <c r="E7" s="188"/>
      <c r="F7" s="188"/>
      <c r="G7" s="188"/>
      <c r="H7" s="19"/>
      <c r="I7" s="19"/>
      <c r="J7" s="19"/>
      <c r="K7" s="19"/>
      <c r="L7" s="20"/>
    </row>
    <row r="8" spans="1:12" ht="16" customHeight="1" x14ac:dyDescent="0.2">
      <c r="A8" s="189" t="s">
        <v>142</v>
      </c>
      <c r="B8" s="19"/>
      <c r="C8" s="19"/>
      <c r="D8" s="27"/>
      <c r="E8" s="188"/>
      <c r="F8" s="188"/>
      <c r="G8" s="188"/>
      <c r="H8" s="19"/>
      <c r="I8" s="19"/>
      <c r="J8" s="19"/>
      <c r="K8" s="19"/>
      <c r="L8" s="20"/>
    </row>
    <row r="9" spans="1:12" ht="16" customHeight="1" x14ac:dyDescent="0.2">
      <c r="A9" s="189"/>
      <c r="B9" s="19"/>
      <c r="C9" s="19"/>
      <c r="D9" s="27"/>
      <c r="E9" s="188"/>
      <c r="F9" s="188"/>
      <c r="G9" s="188"/>
      <c r="H9" s="19"/>
      <c r="I9" s="19"/>
      <c r="J9" s="19"/>
      <c r="K9" s="19"/>
      <c r="L9" s="20"/>
    </row>
    <row r="10" spans="1:12" ht="16" customHeight="1" x14ac:dyDescent="0.2">
      <c r="A10" s="189"/>
      <c r="B10" s="19"/>
      <c r="C10" s="19"/>
      <c r="D10" s="27"/>
      <c r="E10" s="19"/>
      <c r="F10" s="19"/>
      <c r="G10" s="19"/>
      <c r="H10" s="19"/>
      <c r="I10" s="19"/>
      <c r="J10" s="19"/>
      <c r="K10" s="19"/>
      <c r="L10" s="20"/>
    </row>
    <row r="11" spans="1:12" ht="21" x14ac:dyDescent="0.2">
      <c r="A11" s="189"/>
      <c r="B11" s="19"/>
      <c r="C11" s="19"/>
      <c r="D11" s="27"/>
      <c r="E11" s="19"/>
      <c r="F11" s="19"/>
      <c r="G11" s="19"/>
      <c r="H11" s="19"/>
      <c r="I11" s="19"/>
      <c r="J11" s="19"/>
      <c r="K11" s="19"/>
      <c r="L11" s="20"/>
    </row>
    <row r="12" spans="1:12" ht="16" customHeight="1" x14ac:dyDescent="0.2">
      <c r="A12" s="18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spans="1:12" ht="17" thickBot="1" x14ac:dyDescent="0.25">
      <c r="A13" s="190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</row>
  </sheetData>
  <mergeCells count="5">
    <mergeCell ref="E3:G3"/>
    <mergeCell ref="E6:G9"/>
    <mergeCell ref="A8:A13"/>
    <mergeCell ref="A1:B1"/>
    <mergeCell ref="E4: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FEF3-A234-CA49-8C4E-398C21C01638}">
  <dimension ref="A1:O28"/>
  <sheetViews>
    <sheetView zoomScale="90" workbookViewId="0">
      <selection activeCell="A6" sqref="A6:XFD6"/>
    </sheetView>
  </sheetViews>
  <sheetFormatPr baseColWidth="10" defaultRowHeight="16" x14ac:dyDescent="0.2"/>
  <cols>
    <col min="1" max="1" width="3.1640625" customWidth="1"/>
    <col min="2" max="2" width="9.5" customWidth="1"/>
    <col min="3" max="3" width="6.33203125" bestFit="1" customWidth="1"/>
    <col min="4" max="4" width="9.6640625" customWidth="1"/>
    <col min="5" max="5" width="8.83203125" customWidth="1"/>
    <col min="6" max="6" width="6.5" customWidth="1"/>
    <col min="7" max="7" width="8.6640625" customWidth="1"/>
    <col min="8" max="8" width="5.6640625" customWidth="1"/>
    <col min="9" max="9" width="7.1640625" bestFit="1" customWidth="1"/>
    <col min="10" max="10" width="19.33203125" customWidth="1"/>
    <col min="12" max="12" width="54" bestFit="1" customWidth="1"/>
    <col min="15" max="15" width="14.6640625" bestFit="1" customWidth="1"/>
  </cols>
  <sheetData>
    <row r="1" spans="1:15" ht="17" thickBot="1" x14ac:dyDescent="0.25">
      <c r="B1" t="s">
        <v>201</v>
      </c>
      <c r="C1" s="170" t="s">
        <v>0</v>
      </c>
      <c r="D1" s="116" t="s">
        <v>186</v>
      </c>
      <c r="E1" s="116" t="s">
        <v>187</v>
      </c>
      <c r="F1" s="116" t="s">
        <v>177</v>
      </c>
      <c r="G1" s="116" t="s">
        <v>50</v>
      </c>
      <c r="H1" s="129" t="s">
        <v>189</v>
      </c>
      <c r="I1" t="s">
        <v>190</v>
      </c>
      <c r="J1" s="117" t="s">
        <v>194</v>
      </c>
      <c r="K1" s="133" t="s">
        <v>191</v>
      </c>
      <c r="L1" s="134" t="s">
        <v>48</v>
      </c>
      <c r="M1" s="116" t="s">
        <v>49</v>
      </c>
      <c r="O1" s="159" t="s">
        <v>206</v>
      </c>
    </row>
    <row r="2" spans="1:15" x14ac:dyDescent="0.2">
      <c r="A2">
        <v>1</v>
      </c>
      <c r="B2" s="174" t="s">
        <v>112</v>
      </c>
      <c r="C2" s="171" t="s">
        <v>17</v>
      </c>
      <c r="D2" s="121">
        <v>1.8</v>
      </c>
      <c r="E2" s="119">
        <v>6.4</v>
      </c>
      <c r="F2" s="119">
        <v>9.1</v>
      </c>
      <c r="G2" s="124" t="s">
        <v>56</v>
      </c>
      <c r="H2" s="127" t="str">
        <f t="shared" ref="H2:H11" si="0">IF(D2="No","No",
IF(E2="No","No",
IF(F2&lt;7,"No",
IF(G2="No","No","Yes"
))))</f>
        <v>Yes</v>
      </c>
      <c r="I2">
        <v>10</v>
      </c>
      <c r="J2" s="169" t="s">
        <v>196</v>
      </c>
      <c r="K2" s="164" t="s">
        <v>56</v>
      </c>
      <c r="L2" s="131" t="s">
        <v>75</v>
      </c>
      <c r="M2" s="9">
        <v>2</v>
      </c>
      <c r="O2" s="135" t="s">
        <v>205</v>
      </c>
    </row>
    <row r="3" spans="1:15" x14ac:dyDescent="0.2">
      <c r="A3">
        <v>2</v>
      </c>
      <c r="B3" s="162" t="s">
        <v>22</v>
      </c>
      <c r="C3" s="172" t="s">
        <v>6</v>
      </c>
      <c r="D3" s="122">
        <v>2.5</v>
      </c>
      <c r="E3" s="118">
        <v>3.5</v>
      </c>
      <c r="F3" s="118">
        <v>8.8000000000000007</v>
      </c>
      <c r="G3" s="125" t="s">
        <v>56</v>
      </c>
      <c r="H3" s="127" t="str">
        <f t="shared" si="0"/>
        <v>Yes</v>
      </c>
      <c r="J3" s="162" t="s">
        <v>196</v>
      </c>
      <c r="K3" s="167" t="s">
        <v>70</v>
      </c>
      <c r="L3" s="131" t="s">
        <v>64</v>
      </c>
      <c r="M3" s="9" t="s">
        <v>57</v>
      </c>
      <c r="O3" s="136" t="s">
        <v>207</v>
      </c>
    </row>
    <row r="4" spans="1:15" x14ac:dyDescent="0.2">
      <c r="A4">
        <v>3</v>
      </c>
      <c r="B4" s="162" t="s">
        <v>23</v>
      </c>
      <c r="C4" s="172" t="s">
        <v>7</v>
      </c>
      <c r="D4" s="122">
        <v>2.6</v>
      </c>
      <c r="E4" s="118">
        <v>1</v>
      </c>
      <c r="F4" s="118">
        <v>8.6999999999999993</v>
      </c>
      <c r="G4" s="125" t="s">
        <v>56</v>
      </c>
      <c r="H4" s="127" t="str">
        <f t="shared" si="0"/>
        <v>Yes</v>
      </c>
      <c r="J4" s="160" t="s">
        <v>195</v>
      </c>
      <c r="K4" s="165" t="s">
        <v>56</v>
      </c>
      <c r="L4" s="131" t="s">
        <v>66</v>
      </c>
      <c r="M4" s="9">
        <v>1</v>
      </c>
    </row>
    <row r="5" spans="1:15" x14ac:dyDescent="0.2">
      <c r="A5">
        <v>4</v>
      </c>
      <c r="B5" s="127" t="s">
        <v>21</v>
      </c>
      <c r="C5" s="172" t="s">
        <v>5</v>
      </c>
      <c r="D5" s="122">
        <v>3.4</v>
      </c>
      <c r="E5" s="118">
        <v>17</v>
      </c>
      <c r="F5" s="118">
        <v>8.5</v>
      </c>
      <c r="G5" s="125" t="s">
        <v>56</v>
      </c>
      <c r="H5" s="127" t="str">
        <f t="shared" si="0"/>
        <v>Yes</v>
      </c>
      <c r="J5" s="162" t="s">
        <v>198</v>
      </c>
      <c r="K5" s="167" t="s">
        <v>70</v>
      </c>
      <c r="L5" s="131" t="s">
        <v>62</v>
      </c>
      <c r="M5" s="9" t="s">
        <v>57</v>
      </c>
    </row>
    <row r="6" spans="1:15" hidden="1" x14ac:dyDescent="0.2">
      <c r="A6">
        <v>5</v>
      </c>
      <c r="B6" s="127" t="s">
        <v>88</v>
      </c>
      <c r="C6" s="172" t="s">
        <v>15</v>
      </c>
      <c r="D6" s="122">
        <v>4.0999999999999996</v>
      </c>
      <c r="E6" s="118">
        <v>12.4</v>
      </c>
      <c r="F6" s="118">
        <v>8.5</v>
      </c>
      <c r="G6" s="125" t="s">
        <v>56</v>
      </c>
      <c r="H6" s="127" t="str">
        <f t="shared" si="0"/>
        <v>Yes</v>
      </c>
      <c r="J6" s="162" t="s">
        <v>198</v>
      </c>
      <c r="K6" s="165" t="s">
        <v>56</v>
      </c>
      <c r="L6" s="131" t="s">
        <v>137</v>
      </c>
      <c r="M6" s="9" t="s">
        <v>57</v>
      </c>
    </row>
    <row r="7" spans="1:15" x14ac:dyDescent="0.2">
      <c r="A7">
        <v>6</v>
      </c>
      <c r="B7" s="127" t="s">
        <v>111</v>
      </c>
      <c r="C7" s="172" t="s">
        <v>16</v>
      </c>
      <c r="D7" s="122">
        <v>3.2</v>
      </c>
      <c r="E7" s="118">
        <v>12.6</v>
      </c>
      <c r="F7" s="118">
        <v>8.4</v>
      </c>
      <c r="G7" s="125" t="s">
        <v>56</v>
      </c>
      <c r="H7" s="127" t="str">
        <f t="shared" si="0"/>
        <v>Yes</v>
      </c>
      <c r="J7" s="162" t="s">
        <v>198</v>
      </c>
      <c r="K7" s="165" t="s">
        <v>56</v>
      </c>
      <c r="L7" s="131" t="s">
        <v>129</v>
      </c>
      <c r="M7" s="9">
        <v>2</v>
      </c>
    </row>
    <row r="8" spans="1:15" x14ac:dyDescent="0.2">
      <c r="A8">
        <v>7</v>
      </c>
      <c r="B8" s="127" t="s">
        <v>203</v>
      </c>
      <c r="C8" s="172" t="s">
        <v>123</v>
      </c>
      <c r="D8" s="122">
        <v>3.7</v>
      </c>
      <c r="E8" s="118">
        <v>6.7</v>
      </c>
      <c r="F8" s="118">
        <v>8.1999999999999993</v>
      </c>
      <c r="G8" s="125" t="s">
        <v>56</v>
      </c>
      <c r="H8" s="127" t="str">
        <f t="shared" si="0"/>
        <v>Yes</v>
      </c>
      <c r="J8" s="162" t="s">
        <v>198</v>
      </c>
      <c r="K8" s="165" t="s">
        <v>56</v>
      </c>
      <c r="L8" s="131" t="s">
        <v>130</v>
      </c>
      <c r="M8" s="9">
        <v>1</v>
      </c>
    </row>
    <row r="9" spans="1:15" x14ac:dyDescent="0.2">
      <c r="A9">
        <v>8</v>
      </c>
      <c r="B9" s="162" t="s">
        <v>18</v>
      </c>
      <c r="C9" s="172" t="s">
        <v>2</v>
      </c>
      <c r="D9" s="122">
        <v>4.9000000000000004</v>
      </c>
      <c r="E9" s="118">
        <v>2.2999999999999998</v>
      </c>
      <c r="F9" s="118">
        <v>8.1999999999999993</v>
      </c>
      <c r="G9" s="125" t="s">
        <v>56</v>
      </c>
      <c r="H9" s="127" t="str">
        <f t="shared" si="0"/>
        <v>Yes</v>
      </c>
      <c r="J9" s="161" t="s">
        <v>195</v>
      </c>
      <c r="K9" s="165" t="s">
        <v>56</v>
      </c>
      <c r="L9" s="131" t="s">
        <v>55</v>
      </c>
      <c r="M9" s="9">
        <v>3</v>
      </c>
    </row>
    <row r="10" spans="1:15" x14ac:dyDescent="0.2">
      <c r="A10">
        <v>9</v>
      </c>
      <c r="B10" s="127" t="s">
        <v>84</v>
      </c>
      <c r="C10" s="172" t="s">
        <v>14</v>
      </c>
      <c r="D10" s="122">
        <v>5.0999999999999996</v>
      </c>
      <c r="E10" s="118">
        <v>4.8</v>
      </c>
      <c r="F10" s="118">
        <v>7.6</v>
      </c>
      <c r="G10" s="125" t="s">
        <v>56</v>
      </c>
      <c r="H10" s="127" t="str">
        <f t="shared" si="0"/>
        <v>Yes</v>
      </c>
      <c r="J10" s="162" t="s">
        <v>198</v>
      </c>
      <c r="K10" s="165" t="s">
        <v>56</v>
      </c>
      <c r="L10" s="131" t="s">
        <v>86</v>
      </c>
      <c r="M10" s="9">
        <v>3</v>
      </c>
    </row>
    <row r="11" spans="1:15" x14ac:dyDescent="0.2">
      <c r="A11">
        <v>10</v>
      </c>
      <c r="B11" s="162" t="s">
        <v>202</v>
      </c>
      <c r="C11" s="172" t="s">
        <v>13</v>
      </c>
      <c r="D11" s="122">
        <v>4.8</v>
      </c>
      <c r="E11" s="118">
        <v>11.8</v>
      </c>
      <c r="F11" s="118">
        <v>7</v>
      </c>
      <c r="G11" s="125" t="s">
        <v>56</v>
      </c>
      <c r="H11" s="127" t="str">
        <f t="shared" si="0"/>
        <v>Yes</v>
      </c>
      <c r="J11" s="162" t="s">
        <v>198</v>
      </c>
      <c r="K11" s="165" t="s">
        <v>56</v>
      </c>
      <c r="L11" s="131" t="s">
        <v>89</v>
      </c>
      <c r="M11" s="9">
        <v>1</v>
      </c>
    </row>
    <row r="12" spans="1:15" x14ac:dyDescent="0.2">
      <c r="A12">
        <v>11</v>
      </c>
      <c r="B12" s="127" t="s">
        <v>20</v>
      </c>
      <c r="C12" s="172" t="s">
        <v>4</v>
      </c>
      <c r="D12" s="122">
        <v>4.0999999999999996</v>
      </c>
      <c r="E12" s="118" t="s">
        <v>204</v>
      </c>
      <c r="F12" s="130" t="s">
        <v>204</v>
      </c>
      <c r="G12" s="125" t="s">
        <v>56</v>
      </c>
      <c r="H12" s="127" t="str">
        <f>IF(D12="N/A","No",
IF(E12="N/A","No",
IF(F12&lt;7,"N/A",
IF(G12="N/A","No","Yes"
))))</f>
        <v>No</v>
      </c>
      <c r="J12" s="127" t="s">
        <v>197</v>
      </c>
      <c r="K12" s="165" t="s">
        <v>56</v>
      </c>
      <c r="L12" s="131" t="s">
        <v>61</v>
      </c>
      <c r="M12" s="9">
        <v>1</v>
      </c>
    </row>
    <row r="13" spans="1:15" x14ac:dyDescent="0.2">
      <c r="A13">
        <v>12</v>
      </c>
      <c r="B13" s="162" t="s">
        <v>19</v>
      </c>
      <c r="C13" s="172" t="s">
        <v>3</v>
      </c>
      <c r="D13" s="122">
        <v>1.7</v>
      </c>
      <c r="E13" s="118">
        <v>3.2</v>
      </c>
      <c r="F13" s="118">
        <v>6.2</v>
      </c>
      <c r="G13" s="125" t="s">
        <v>56</v>
      </c>
      <c r="H13" s="127" t="str">
        <f t="shared" ref="H13:H19" si="1">IF(D13="No","No",
IF(E13="No","No",
IF(F13&lt;7,"No",
IF(G13="No","No","Yes"
))))</f>
        <v>No</v>
      </c>
      <c r="J13" s="160" t="s">
        <v>196</v>
      </c>
      <c r="K13" s="165" t="s">
        <v>56</v>
      </c>
      <c r="L13" s="131" t="s">
        <v>59</v>
      </c>
      <c r="M13" s="9">
        <v>3</v>
      </c>
    </row>
    <row r="14" spans="1:15" x14ac:dyDescent="0.2">
      <c r="A14">
        <v>13</v>
      </c>
      <c r="B14" s="127" t="s">
        <v>188</v>
      </c>
      <c r="C14" s="172" t="s">
        <v>188</v>
      </c>
      <c r="D14" s="122">
        <v>0.5</v>
      </c>
      <c r="E14" s="118">
        <v>0.4</v>
      </c>
      <c r="F14" s="118">
        <v>6.3</v>
      </c>
      <c r="G14" s="125" t="s">
        <v>56</v>
      </c>
      <c r="H14" s="127" t="str">
        <f t="shared" si="1"/>
        <v>No</v>
      </c>
      <c r="J14" s="160" t="s">
        <v>199</v>
      </c>
      <c r="K14" s="165" t="s">
        <v>56</v>
      </c>
      <c r="L14" s="131" t="s">
        <v>192</v>
      </c>
      <c r="M14" s="9"/>
    </row>
    <row r="15" spans="1:15" x14ac:dyDescent="0.2">
      <c r="A15">
        <v>14</v>
      </c>
      <c r="B15" s="127" t="s">
        <v>24</v>
      </c>
      <c r="C15" s="172" t="s">
        <v>8</v>
      </c>
      <c r="D15" s="122">
        <v>1.6</v>
      </c>
      <c r="E15" s="118">
        <v>12.6</v>
      </c>
      <c r="F15" s="118">
        <v>8.5</v>
      </c>
      <c r="G15" s="125" t="s">
        <v>70</v>
      </c>
      <c r="H15" s="127" t="str">
        <f t="shared" si="1"/>
        <v>No</v>
      </c>
      <c r="J15" s="161" t="s">
        <v>196</v>
      </c>
      <c r="K15" s="165" t="s">
        <v>56</v>
      </c>
      <c r="L15" s="131" t="s">
        <v>69</v>
      </c>
      <c r="M15" s="9">
        <v>3</v>
      </c>
    </row>
    <row r="16" spans="1:15" x14ac:dyDescent="0.2">
      <c r="A16">
        <v>15</v>
      </c>
      <c r="B16" s="127" t="s">
        <v>27</v>
      </c>
      <c r="C16" s="172" t="s">
        <v>11</v>
      </c>
      <c r="D16" s="122">
        <v>1</v>
      </c>
      <c r="E16" s="118">
        <v>12.8</v>
      </c>
      <c r="F16" s="118">
        <v>8.1999999999999993</v>
      </c>
      <c r="G16" s="125" t="s">
        <v>70</v>
      </c>
      <c r="H16" s="127" t="str">
        <f t="shared" si="1"/>
        <v>No</v>
      </c>
      <c r="J16" s="161" t="s">
        <v>196</v>
      </c>
      <c r="K16" s="165" t="s">
        <v>56</v>
      </c>
      <c r="L16" s="131" t="s">
        <v>77</v>
      </c>
      <c r="M16" s="9">
        <v>3</v>
      </c>
    </row>
    <row r="17" spans="1:13" x14ac:dyDescent="0.2">
      <c r="A17">
        <v>16</v>
      </c>
      <c r="B17" s="127" t="s">
        <v>26</v>
      </c>
      <c r="C17" s="172" t="s">
        <v>10</v>
      </c>
      <c r="D17" s="122">
        <v>6</v>
      </c>
      <c r="E17" s="118">
        <v>7.2</v>
      </c>
      <c r="F17" s="118">
        <v>7.8</v>
      </c>
      <c r="G17" s="125" t="s">
        <v>70</v>
      </c>
      <c r="H17" s="127" t="str">
        <f t="shared" si="1"/>
        <v>No</v>
      </c>
      <c r="J17" s="162" t="s">
        <v>198</v>
      </c>
      <c r="K17" s="165" t="s">
        <v>56</v>
      </c>
      <c r="L17" s="131" t="s">
        <v>75</v>
      </c>
      <c r="M17" s="9">
        <v>2</v>
      </c>
    </row>
    <row r="18" spans="1:13" x14ac:dyDescent="0.2">
      <c r="A18">
        <v>17</v>
      </c>
      <c r="B18" s="127" t="s">
        <v>25</v>
      </c>
      <c r="C18" s="172" t="s">
        <v>9</v>
      </c>
      <c r="D18" s="122">
        <v>19</v>
      </c>
      <c r="E18" s="118">
        <v>1.9</v>
      </c>
      <c r="F18" s="118">
        <v>5.7</v>
      </c>
      <c r="G18" s="125" t="s">
        <v>70</v>
      </c>
      <c r="H18" s="127" t="str">
        <f t="shared" si="1"/>
        <v>No</v>
      </c>
      <c r="J18" s="160" t="s">
        <v>199</v>
      </c>
      <c r="K18" s="165" t="s">
        <v>56</v>
      </c>
      <c r="L18" s="131" t="s">
        <v>55</v>
      </c>
      <c r="M18" s="9">
        <v>2</v>
      </c>
    </row>
    <row r="19" spans="1:13" ht="17" thickBot="1" x14ac:dyDescent="0.25">
      <c r="A19">
        <v>18</v>
      </c>
      <c r="B19" s="128" t="s">
        <v>28</v>
      </c>
      <c r="C19" s="173" t="s">
        <v>12</v>
      </c>
      <c r="D19" s="123">
        <v>1</v>
      </c>
      <c r="E19" s="120">
        <v>8.3000000000000007</v>
      </c>
      <c r="F19" s="120">
        <v>4.0999999999999996</v>
      </c>
      <c r="G19" s="126" t="s">
        <v>70</v>
      </c>
      <c r="H19" s="127" t="str">
        <f t="shared" si="1"/>
        <v>No</v>
      </c>
      <c r="J19" s="168" t="s">
        <v>196</v>
      </c>
      <c r="K19" s="166" t="s">
        <v>56</v>
      </c>
      <c r="L19" s="132" t="s">
        <v>80</v>
      </c>
      <c r="M19" s="163">
        <v>2</v>
      </c>
    </row>
    <row r="28" spans="1:13" x14ac:dyDescent="0.2">
      <c r="L28" s="137"/>
    </row>
  </sheetData>
  <sortState ref="B2:M19">
    <sortCondition descending="1" ref="G2:G19"/>
    <sortCondition descending="1" ref="H2:H19"/>
    <sortCondition descending="1" ref="F2:F19"/>
    <sortCondition descending="1" ref="E2:E19"/>
    <sortCondition descending="1" ref="D2:D19"/>
  </sortState>
  <conditionalFormatting sqref="F2:F19">
    <cfRule type="cellIs" dxfId="17" priority="6" operator="lessThan">
      <formula>7</formula>
    </cfRule>
    <cfRule type="cellIs" dxfId="16" priority="7" operator="greaterThanOrEqual">
      <formula>7</formula>
    </cfRule>
  </conditionalFormatting>
  <conditionalFormatting sqref="D2:F19">
    <cfRule type="containsText" dxfId="15" priority="1" operator="containsText" text="N/A">
      <formula>NOT(ISERROR(SEARCH("N/A",D2)))</formula>
    </cfRule>
  </conditionalFormatting>
  <conditionalFormatting sqref="D2:E19">
    <cfRule type="cellIs" dxfId="14" priority="2" operator="lessThan">
      <formula>2</formula>
    </cfRule>
    <cfRule type="cellIs" dxfId="13" priority="3" operator="greaterThanOrEqual">
      <formula>2.5</formula>
    </cfRule>
    <cfRule type="cellIs" dxfId="12" priority="4" operator="between">
      <formula>2</formula>
      <formula>2.5</formula>
    </cfRule>
  </conditionalFormatting>
  <conditionalFormatting sqref="G2:H19">
    <cfRule type="cellIs" dxfId="11" priority="9" operator="equal">
      <formula>"Yes"</formula>
    </cfRule>
    <cfRule type="cellIs" dxfId="10" priority="14" operator="equal">
      <formula>"No"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Box</vt:lpstr>
      <vt:lpstr>arbetsblad</vt:lpstr>
      <vt:lpstr>List of samples</vt:lpstr>
      <vt:lpstr>Label guide</vt:lpstr>
      <vt:lpstr>Sæt</vt:lpstr>
      <vt:lpstr>B</vt:lpstr>
      <vt:lpstr>arbetsblad!Print_Area</vt:lpstr>
      <vt:lpstr>Box!Print_Area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Emilie Søborg Agger</dc:creator>
  <cp:lastModifiedBy>Sophie Emilie Søborg Agger</cp:lastModifiedBy>
  <cp:lastPrinted>2020-08-17T05:08:03Z</cp:lastPrinted>
  <dcterms:created xsi:type="dcterms:W3CDTF">2020-07-28T12:52:40Z</dcterms:created>
  <dcterms:modified xsi:type="dcterms:W3CDTF">2020-10-26T13:36:25Z</dcterms:modified>
</cp:coreProperties>
</file>