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x" sheetId="1" r:id="rId1"/>
  </sheets>
  <definedNames>
    <definedName name="BoardQty" localSheetId="0">'frx'!$H$1</definedName>
    <definedName name="PURCHASE_DESCRIPTION" localSheetId="0">'frx'!$H$47</definedName>
    <definedName name="TotalCost" localSheetId="0">'frx'!$H$3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$0.56      $5.58
    50   $0.47     $23.49
   100   $0.38     $38.26</t>
        </r>
      </text>
    </comment>
    <comment ref="N7" authorId="0">
      <text>
        <r>
          <rPr>
            <sz val="8"/>
            <color indexed="81"/>
            <rFont val="Tahoma"/>
            <family val="2"/>
          </rPr>
          <t>Desc: TANTALUM CAP 22000000 PF 10%
Footprint: 2312 (6032 Metric)
Size: 0.236" L x 0.126" W (6.00mm x 3.20mm)
Tolerance: ±10%
Value: 22 µF 
Voltage: 25 V</t>
        </r>
      </text>
    </comment>
    <comment ref="O7" authorId="0">
      <text>
        <r>
          <rPr>
            <sz val="8"/>
            <color indexed="81"/>
            <rFont val="Tahoma"/>
            <family val="2"/>
          </rPr>
          <t>4631 In Stock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$0.44      $4.40
   100   $0.35     $35.40
   500   $0.28    $137.50
  1000   $0.24    $239.00
  2500   $0.22    $560.00
 10000   $0.21  $2,060.00
 50000   $0.20 $10,250.00</t>
        </r>
      </text>
    </comment>
    <comment ref="T7" authorId="0">
      <text>
        <r>
          <rPr>
            <sz val="8"/>
            <color indexed="81"/>
            <rFont val="Tahoma"/>
            <family val="2"/>
          </rPr>
          <t>Desc: Tantalum Capacitors - Solid SMD 22uF 25volt 10% C Case Molded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$0.68
   500   $0.01      $2.57
  1000   $0.00      $4.04
  2500   $0.00      $9.20
  5000   $0.00     $16.90</t>
        </r>
      </text>
    </comment>
    <comment ref="N8" authorId="0">
      <text>
        <r>
          <rPr>
            <sz val="8"/>
            <color indexed="81"/>
            <rFont val="Tahoma"/>
            <family val="2"/>
          </rPr>
          <t>Desc: CAP CER 0.1UF 10V X7R 0402
Footprint: 0402 (1005 Metric)
Size: 0.039" L x 0.020" W (1.00mm x 0.50mm)
Temp_coeff: X7R
Tolerance: ±10%
Value: 0.1 µF 
Voltage: 10V</t>
        </r>
      </text>
    </comment>
    <comment ref="O8" authorId="0">
      <text>
        <r>
          <rPr>
            <sz val="8"/>
            <color indexed="81"/>
            <rFont val="Tahoma"/>
            <family val="2"/>
          </rPr>
          <t>728721 In Stock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$0.07
   100   $0.01      $0.60
  1000   $0.00      $4.00
 10000   $0.00     $20.00</t>
        </r>
      </text>
    </comment>
    <comment ref="T8" authorId="0">
      <text>
        <r>
          <rPr>
            <sz val="8"/>
            <color indexed="81"/>
            <rFont val="Tahoma"/>
            <family val="2"/>
          </rPr>
          <t>Desc: Multilayer Ceramic Capacitors MLCC - SMD/SMT 100nF+/-10% 10V X7R 0402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$0.12      $1.22
    50   $0.07      $3.65
   100   $0.06      $5.74
   500   $0.04     $21.21
  1000   $0.04     $35.11
  2500   $0.03     $81.70
  5000   $0.03    $149.50</t>
        </r>
      </text>
    </comment>
    <comment ref="N9" authorId="0">
      <text>
        <r>
          <rPr>
            <sz val="8"/>
            <color indexed="81"/>
            <rFont val="Tahoma"/>
            <family val="2"/>
          </rPr>
          <t>Desc: CAP CER 1.6PF 50V C0G/NP0 0402
Footprint: 0402 (1005 Metric)
Size: 0.039" L x 0.020" W (1.00mm x 0.50mm)
Temp_coeff: C0G, NP0
Tolerance: ±0.05pF
Value: 1.6 pF 
Voltage: 50V</t>
        </r>
      </text>
    </comment>
    <comment ref="O9" authorId="0">
      <text>
        <r>
          <rPr>
            <sz val="8"/>
            <color indexed="81"/>
            <rFont val="Tahoma"/>
            <family val="2"/>
          </rPr>
          <t>18005 In Stock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$0.07      $0.73
   100   $0.04      $4.30
  1000   $0.03     $32.00
  2500   $0.03     $70.00
 10000   $0.02    $240.00
 20000   $0.02    $460.00
 50000   $0.02  $1,050.00
100000   $0.02  $1,800.00</t>
        </r>
      </text>
    </comment>
    <comment ref="T9" authorId="0">
      <text>
        <r>
          <rPr>
            <sz val="8"/>
            <color indexed="81"/>
            <rFont val="Tahoma"/>
            <family val="2"/>
          </rPr>
          <t>Desc: Multilayer Ceramic Capacitors MLCC - SMD/SMT 1.6 pF 50 VDC 0.05 pF 0402 C0G (NP0)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$0.12      $1.22
    50   $0.07      $3.65
   100   $0.06      $5.74
   500   $0.04     $21.21
  1000   $0.04     $35.11
  2500   $0.03     $81.70
  5000   $0.03    $149.50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CAP CER 2.5PF 50V C0G/NP0 0402
Footprint: 0402 (1005 Metric)
Size: 0.039" L x 0.020" W (1.00mm x 0.50mm)
Temp_coeff: C0G, NP0
Tolerance: ±0.05pF
Value: 2.5 pF 
Voltage: 50V</t>
        </r>
      </text>
    </comment>
    <comment ref="O10" authorId="0">
      <text>
        <r>
          <rPr>
            <sz val="8"/>
            <color indexed="81"/>
            <rFont val="Tahoma"/>
            <family val="2"/>
          </rPr>
          <t>11756 In Stock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$0.07      $0.73
   100   $0.04      $4.30
  1000   $0.03     $32.00
  2500   $0.03     $75.00
 10000   $0.03    $270.00
 20000   $0.02    $460.00
 50000   $0.02  $1,050.00
100000   $0.02  $1,800.00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Desc: Multilayer Ceramic Capacitors MLCC - SMD/SMT 2.5 pF 50 VDC 0.05 pF 0402 C0G (NP0)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$0.14      $1.40
    50   $0.09      $4.43
   100   $0.07      $7.09
   500   $0.05     $25.60
  1000   $0.05     $45.30
  2500   $0.04    $108.33
  5000   $0.04    $196.95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CAP CER 100PF 25V C0G/NP0 0402
Footprint: 0402 (1005 Metric)
Size: 0.039" L x 0.020" W (1.00mm x 0.50mm)
Temp_coeff: C0G, NP0
Tolerance: ±5%
Value: 100 pF 
Voltage: 25V</t>
        </r>
      </text>
    </comment>
    <comment ref="O11" authorId="0">
      <text>
        <r>
          <rPr>
            <sz val="8"/>
            <color indexed="81"/>
            <rFont val="Tahoma"/>
            <family val="2"/>
          </rPr>
          <t>26765 In Stock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$0.09      $0.89
   100   $0.05      $5.20
  1000   $0.05     $46.00
  2500   $0.04    $100.00
 10000   $0.04    $380.00
 20000   $0.03    $680.00
 50000   $0.03  $1,550.00
100000   $0.03  $2,600.00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Desc: Multilayer Ceramic Capacitors MLCC - SMD/SMT 25V 100pF C0G 0402 5%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$0.85
   100   $0.01      $1.32
   500   $0.01      $4.95
  1000   $0.01      $7.78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CAP CER 1UF 25V X5R 0603
Footprint: 0603 (1608 Metric)
Size: 0.063" L x 0.031" W (1.60mm x 0.80mm)
Temp_coeff: X5R
Tolerance: ±10%
Value: 1 µF 
Voltage: 25V</t>
        </r>
      </text>
    </comment>
    <comment ref="O12" authorId="0">
      <text>
        <r>
          <rPr>
            <sz val="8"/>
            <color indexed="81"/>
            <rFont val="Tahoma"/>
            <family val="2"/>
          </rPr>
          <t>420187 In Stock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$1.00
  1000   $0.01      $8.00
  4000   $0.01     $24.00
  8000   $0.01     $40.00
 48000   $0.00    $192.00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Desc: Multilayer Ceramic Capacitors MLCC - SMD/SMT 1uF+/-10% 25V X5R 16 0603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$0.73
    50   $0.04      $2.18
   100   $0.03      $3.43
   500   $0.03     $12.67
  1000   $0.02     $20.98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CAP CER 1200PF 50V C0G/NP0 0603
Footprint: 0603 (1608 Metric)
Size: 0.063" L x 0.031" W (1.60mm x 0.80mm)
Temp_coeff: C0G, NP0
Tolerance: ±5%
Value: 1200 pF 
Voltage: 50V</t>
        </r>
      </text>
    </comment>
    <comment ref="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$0.04      $0.44
   100   $0.02      $2.30
  1000   $0.02     $19.00
  4000   $0.01     $52.00
  8000   $0.01     $96.00
 24000   $0.01    $264.00
100000   $0.01  $1,000.00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Desc: Multilayer Ceramic Capacitors MLCC - SMD/SMT 1200 pF 50 VDC 5% 0603 C0G (NP0) AEC-Q200</t>
        </r>
      </text>
    </comment>
    <comment ref="I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7500   $0.08    $597.00
 15000   $0.07  $1,032.60
 37500   $0.07  $2,533.12
 52500   $0.06  $2,936.32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TVS DIODE 11VWM 18.2VC DO214AC
Footprint: DO-214AC, SMA</t>
        </r>
      </text>
    </comment>
    <comment ref="O14" authorId="0">
      <text>
        <r>
          <rPr>
            <sz val="8"/>
            <color indexed="81"/>
            <rFont val="Tahoma"/>
            <family val="2"/>
          </rPr>
          <t>8893 In Stock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$0.24      $2.37
   100   $0.11     $10.60
  1000   $0.07     $74.00
  5000   $0.07    $360.00
100000   $0.07  $7,000.00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Desc: ESD Protection Diodes / TVS Diodes 11volts 5uA 22 Amps Uni-Dir</t>
        </r>
      </text>
    </comment>
    <comment ref="U1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$19.00     $19.00
  5000   $8.50 $42,500.00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 5   $1.35      $6.73
    10   $1.26     $12.59
    50   $1.04     $52.09
   100   $0.87     $86.81
   250   $0.85    $211.61
   500   $0.72    $358.11
  1000   $0.63    $629.40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PTC RESET FUSE 24V 500MA 1206
Footprint: 1206 (3216 Metric), Concave
Size: 0.126" L x 0.065" W (3.20mm x 1.65mm)</t>
        </r>
      </text>
    </comment>
    <comment ref="O16" authorId="0">
      <text>
        <r>
          <rPr>
            <sz val="8"/>
            <color indexed="81"/>
            <rFont val="Tahoma"/>
            <family val="2"/>
          </rPr>
          <t>22020 In Stock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$1.26     $12.60
    25   $1.05     $26.25
   100   $0.87     $86.90
   250   $0.85    $211.75
   500   $0.72    $358.50
  1000   $0.68    $682.00
  3000   $0.68  $2,046.00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Desc: Resettable Fuses - PPTC 24V   .5A-HD    100A    MAX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$0.68
    25   $0.06      $1.54
    50   $0.06      $2.78
   100   $0.04      $4.08
   250   $0.03      $7.42
   500   $0.03     $13.60
  1000   $0.02     $23.48
  5000   $0.02     $92.70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FERRITE BEAD 10 OHM 0402 1LN
Footprint: 0402 (1005 Metric)
Size: 0.039" L x 0.022" W (1.00mm x 0.55mm)</t>
        </r>
      </text>
    </comment>
    <comment ref="O17" authorId="0">
      <text>
        <r>
          <rPr>
            <sz val="8"/>
            <color indexed="81"/>
            <rFont val="Tahoma"/>
            <family val="2"/>
          </rPr>
          <t>67077 In Stock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100   $0.03      $3.00
   500   $0.03     $13.50
  1000   $0.02     $24.00
  2500   $0.02     $47.50
 10000   $0.02    $160.00
 50000   $0.01    $750.00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Desc: Ferrite Beads 10 OHM 25% Alternate Sizing Guide Below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$1.01     $10.06
   100   $0.83     $82.88
   500   $0.75    $376.71
  1000   $0.65    $651.49
  5000   $0.56  $2,792.10
 10000   $0.53  $5,318.30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CONN HEADER VERT 8POS 2.54MM</t>
        </r>
      </text>
    </comment>
    <comment ref="O19" authorId="0">
      <text>
        <r>
          <rPr>
            <sz val="8"/>
            <color indexed="81"/>
            <rFont val="Tahoma"/>
            <family val="2"/>
          </rPr>
          <t>48 In Stock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$5.80      $5.80
    10   $5.03     $50.30
   100   $4.79    $479.00
   250   $3.54    $885.00
   500   $3.49  $1,745.00
  1000   $3.45  $3,450.00
  2500   $3.44  $8,600.00</t>
        </r>
      </text>
    </comment>
    <comment ref="T19" authorId="0">
      <text>
        <r>
          <rPr>
            <sz val="8"/>
            <color indexed="81"/>
            <rFont val="Tahoma"/>
            <family val="2"/>
          </rPr>
          <t>Desc: RF Connectors / Coaxial Connectors STRAIGHT PCB PLUG TH LIMITED DETENT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$34.99     $34.99
    25  $33.24    $831.00
    50  $31.49  $1,574.50
   100  $30.09  $3,009.00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SMP Male Limited Detent Connecto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$1.26
    25   $0.12      $2.89
    50   $0.10      $5.10
   100   $0.09      $8.92
   250   $0.08     $21.24
   500   $0.08     $39.94
  1000   $0.06     $61.18
  2500   $0.06    $144.45</t>
        </r>
      </text>
    </comment>
    <comment ref="N21" authorId="0">
      <text>
        <r>
          <rPr>
            <sz val="8"/>
            <color indexed="81"/>
            <rFont val="Tahoma"/>
            <family val="2"/>
          </rPr>
          <t xml:space="preserve">Desc: FIXED IND 82NH 130MA 2.24OHM SMD
Footprint: 0402 (1005 Metric)
Size: 0.039" L x 0.020" W (1.00mm x 0.50mm)
Tolerance: ±2%
Value: 82 nH </t>
        </r>
      </text>
    </comment>
    <comment ref="O21" authorId="0">
      <text>
        <r>
          <rPr>
            <sz val="8"/>
            <color indexed="81"/>
            <rFont val="Tahoma"/>
            <family val="2"/>
          </rPr>
          <t>7240 In Stock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$1.02
   100   $0.08      $7.60
  1000   $0.06     $62.00
  2500   $0.06    $145.00
 10000   $0.05    $520.00
 20000   $0.05  $1,000.00
 50000   $0.05  $2,400.00
100000   $0.05  $4,600.00</t>
        </r>
      </text>
    </comment>
    <comment ref="T21" authorId="0">
      <text>
        <r>
          <rPr>
            <sz val="8"/>
            <color indexed="81"/>
            <rFont val="Tahoma"/>
            <family val="2"/>
          </rPr>
          <t>Desc: RF Inductors - SMD 82   NH   2%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$1.26
    25   $0.12      $2.89
    50   $0.10      $5.10
   100   $0.09      $8.92
   250   $0.08     $21.24
   500   $0.08     $39.94
  1000   $0.06     $61.18
  2500   $0.06    $144.45</t>
        </r>
      </text>
    </comment>
    <comment ref="N22" authorId="0">
      <text>
        <r>
          <rPr>
            <sz val="8"/>
            <color indexed="81"/>
            <rFont val="Tahoma"/>
            <family val="2"/>
          </rPr>
          <t xml:space="preserve">Desc: FIXED IND 8.2NH 540MA 0.14OHM SM
Footprint: 0402 (1005 Metric)
Size: 0.039" L x 0.024" W (1.00mm x 0.60mm)
Tolerance: ±2%
Value: 8.2 nH </t>
        </r>
      </text>
    </comment>
    <comment ref="O22" authorId="0">
      <text>
        <r>
          <rPr>
            <sz val="8"/>
            <color indexed="81"/>
            <rFont val="Tahoma"/>
            <family val="2"/>
          </rPr>
          <t>61008 In Stock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$1.02
   100   $0.08      $8.00
  1000   $0.06     $62.00
  2500   $0.06    $145.00
 10000   $0.05    $510.00
 20000   $0.05    $960.00
100000   $0.05  $4,600.00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Desc: RF Inductors - SMD 8.2  NH   2%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$1.83
    25   $0.17      $4.20
    50   $0.15      $7.42
   100   $0.13     $12.98
   250   $0.12     $30.90
   500   $0.12     $58.09
  1000   $0.09     $88.99
  2500   $0.08    $210.12</t>
        </r>
      </text>
    </comment>
    <comment ref="N23" authorId="0">
      <text>
        <r>
          <rPr>
            <sz val="8"/>
            <color indexed="81"/>
            <rFont val="Tahoma"/>
            <family val="2"/>
          </rPr>
          <t xml:space="preserve">Desc: FIXED IND 5.9NH 1.77A 0.04OHM SM
Footprint: 0402 (1005 Metric)
Size: 0.039" L x 0.024" W (1.00mm x 0.60mm)
Tolerance: ±0.1nH
Value: 5.9 nH </t>
        </r>
      </text>
    </comment>
    <comment ref="O23" authorId="0">
      <text>
        <r>
          <rPr>
            <sz val="8"/>
            <color indexed="81"/>
            <rFont val="Tahoma"/>
            <family val="2"/>
          </rPr>
          <t>9662 In Stock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$1.49
   100   $0.12     $11.70
  1000   $0.09     $89.00
  2500   $0.09    $212.50
 10000   $0.07    $750.00
 20000   $0.07  $1,380.00
 50000   $0.07  $3,400.00
100000   $0.07  $6,700.00</t>
        </r>
      </text>
    </comment>
    <comment ref="T23" authorId="0">
      <text>
        <r>
          <rPr>
            <sz val="8"/>
            <color indexed="81"/>
            <rFont val="Tahoma"/>
            <family val="2"/>
          </rPr>
          <t>Desc: RF Inductors - SMD 5.9  NH  +-.1NH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$0.01      $0.65
   100   $0.01      $1.07
   500   $0.01      $3.57
  1000   $0.01      $6.10
  5000   $0.00     $21.90</t>
        </r>
      </text>
    </comment>
    <comment ref="N24" authorId="0">
      <text>
        <r>
          <rPr>
            <sz val="8"/>
            <color indexed="81"/>
            <rFont val="Tahoma"/>
            <family val="2"/>
          </rPr>
          <t xml:space="preserve">Desc: RES 5.1 OHM 1% 1/16W 0402
Footprint: 0402 (1005 Metric)
Power: 0.063W, 1/16W
Size: 0.039" L x 0.020" W (1.00mm x 0.50mm)
Temp_coeff: ±200ppm/°C
Tolerance: ±1%
Value: 5.1 Ohms </t>
        </r>
      </text>
    </comment>
    <comment ref="O24" authorId="0">
      <text>
        <r>
          <rPr>
            <sz val="8"/>
            <color indexed="81"/>
            <rFont val="Tahoma"/>
            <family val="2"/>
          </rPr>
          <t>61874 In Stock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$0.13
   100   $0.01      $0.80
  1000   $0.01      $6.00
  2500   $0.01     $12.50
 10000   $0.00     $40.00
 50000   $0.00    $150.00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Desc: Thick Film Resistors - SMD 5.1 Ohms 62.5mW 0402 1%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25" authorId="0">
      <text>
        <r>
          <rPr>
            <sz val="8"/>
            <color indexed="81"/>
            <rFont val="Tahoma"/>
            <family val="2"/>
          </rPr>
          <t xml:space="preserve">Desc: RES 10K OHM 1% 1/16W 0402
Footprint: 0402 (1005 Metric)
Power: 0.063W, 1/16W
Size: 0.039" L x 0.020" W (1.00mm x 0.50mm)
Temp_coeff: ±100ppm/°C
Tolerance: ±1%
Value: 10 kOhms </t>
        </r>
      </text>
    </comment>
    <comment ref="O25" authorId="0">
      <text>
        <r>
          <rPr>
            <sz val="8"/>
            <color indexed="81"/>
            <rFont val="Tahoma"/>
            <family val="2"/>
          </rPr>
          <t>2867707 In Stock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Desc: Thick Film Resistors - SMD 10 kOhms 62.5mW 0402 1%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 25   $0.01      $0.21
    50   $0.01      $0.32
   100   $0.00      $0.45
   250   $0.00      $0.91
   500   $0.00      $1.45
  1000   $0.00      $2.14
  5000   $0.00      $7.70</t>
        </r>
      </text>
    </comment>
    <comment ref="N26" authorId="0">
      <text>
        <r>
          <rPr>
            <sz val="8"/>
            <color indexed="81"/>
            <rFont val="Tahoma"/>
            <family val="2"/>
          </rPr>
          <t xml:space="preserve">Desc: RES 0 OHM JUMPER 1/16W 0402
Footprint: 0402 (1005 Metric)
Power: -
Size: 0.039" L x 0.020" W (1.00mm x 0.50mm)
Temp_coeff: -
Tolerance: Jumper
Value: 0 Ohms </t>
        </r>
      </text>
    </comment>
    <comment ref="O26" authorId="0">
      <text>
        <r>
          <rPr>
            <sz val="8"/>
            <color indexed="81"/>
            <rFont val="Tahoma"/>
            <family val="2"/>
          </rPr>
          <t>2380402 In Stock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$0.07
   100   $0.00      $0.30
  2500   $0.00      $5.00
 10000   $0.00     $20.00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Desc: Thick Film Resistors - SMD 0 Ohms 62.5mW 0402 1%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$0.31
   100   $0.01      $0.51
   500   $0.00      $1.72
  1000   $0.00      $2.93
  5000   $0.00     $10.45</t>
        </r>
      </text>
    </comment>
    <comment ref="N27" authorId="0">
      <text>
        <r>
          <rPr>
            <sz val="8"/>
            <color indexed="81"/>
            <rFont val="Tahoma"/>
            <family val="2"/>
          </rPr>
          <t xml:space="preserve">Desc: RES 5.6K OHM 1% 1/16W 0402
Footprint: 0402 (1005 Metric)
Power: 0.063W, 1/16W
Size: 0.039" L x 0.020" W (1.00mm x 0.50mm)
Temp_coeff: ±100ppm/°C
Tolerance: ±1%
Value: 5.6 kOhms </t>
        </r>
      </text>
    </comment>
    <comment ref="O27" authorId="0">
      <text>
        <r>
          <rPr>
            <sz val="8"/>
            <color indexed="81"/>
            <rFont val="Tahoma"/>
            <family val="2"/>
          </rPr>
          <t>596644 In Stock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$0.07
   100   $0.00      $0.40
  1000   $0.00      $3.00
 10000   $0.00     $20.00</t>
        </r>
      </text>
    </comment>
    <comment ref="T27" authorId="0">
      <text>
        <r>
          <rPr>
            <sz val="8"/>
            <color indexed="81"/>
            <rFont val="Tahoma"/>
            <family val="2"/>
          </rPr>
          <t>Desc: Thick Film Resistors - SMD 5.6 kOhms 62.5mW 0402 1%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28" authorId="0">
      <text>
        <r>
          <rPr>
            <sz val="8"/>
            <color indexed="81"/>
            <rFont val="Tahoma"/>
            <family val="2"/>
          </rPr>
          <t xml:space="preserve">Desc: RES 3.6K OHM 1% 1/16W 0402
Footprint: 0402 (1005 Metric)
Power: 0.063W, 1/16W
Size: 0.039" L x 0.020" W (1.00mm x 0.50mm)
Temp_coeff: ±100ppm/°C
Tolerance: ±1%
Value: 3.6 kOhms </t>
        </r>
      </text>
    </comment>
    <comment ref="O28" authorId="0">
      <text>
        <r>
          <rPr>
            <sz val="8"/>
            <color indexed="81"/>
            <rFont val="Tahoma"/>
            <family val="2"/>
          </rPr>
          <t>73039 In Stock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
 50000   $0.00     $50.00</t>
        </r>
      </text>
    </comment>
    <comment ref="T28" authorId="0">
      <text>
        <r>
          <rPr>
            <sz val="8"/>
            <color indexed="81"/>
            <rFont val="Tahoma"/>
            <family val="2"/>
          </rPr>
          <t>Desc: Thick Film Resistors - SMD 3.6 kOhms 62.5mW 040 2 1%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29" authorId="0">
      <text>
        <r>
          <rPr>
            <sz val="8"/>
            <color indexed="81"/>
            <rFont val="Tahoma"/>
            <family val="2"/>
          </rPr>
          <t xml:space="preserve">Desc: RES 1K OHM 1% 1/16W 0402
Footprint: 0402 (1005 Metric)
Power: 0.063W, 1/16W
Size: 0.039" L x 0.020" W (1.00mm x 0.50mm)
Temp_coeff: ±100ppm/°C
Tolerance: ±1%
Value: 1 kOhms </t>
        </r>
      </text>
    </comment>
    <comment ref="O29" authorId="0">
      <text>
        <r>
          <rPr>
            <sz val="8"/>
            <color indexed="81"/>
            <rFont val="Tahoma"/>
            <family val="2"/>
          </rPr>
          <t>4360957 In Stock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29" authorId="0">
      <text>
        <r>
          <rPr>
            <sz val="8"/>
            <color indexed="81"/>
            <rFont val="Tahoma"/>
            <family val="2"/>
          </rPr>
          <t>Desc: Thick Film Resistors - SMD 1 kOhms 62.5mW 0402 1%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0" authorId="0">
      <text>
        <r>
          <rPr>
            <sz val="8"/>
            <color indexed="81"/>
            <rFont val="Tahoma"/>
            <family val="2"/>
          </rPr>
          <t xml:space="preserve">Desc: RES 62 OHM 1% 1/16W 0402
Footprint: 0402 (1005 Metric)
Power: 0.063W, 1/16W
Size: 0.039" L x 0.020" W (1.00mm x 0.50mm)
Temp_coeff: ±100ppm/°C
Tolerance: ±1%
Value: 62 Ohms </t>
        </r>
      </text>
    </comment>
    <comment ref="O30" authorId="0">
      <text>
        <r>
          <rPr>
            <sz val="8"/>
            <color indexed="81"/>
            <rFont val="Tahoma"/>
            <family val="2"/>
          </rPr>
          <t>184726 In Stock</t>
        </r>
      </text>
    </comment>
    <comment ref="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Desc: Thick Film Resistors - SMD 62 Ohms 62.5mW 0402 1%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1" authorId="0">
      <text>
        <r>
          <rPr>
            <sz val="8"/>
            <color indexed="81"/>
            <rFont val="Tahoma"/>
            <family val="2"/>
          </rPr>
          <t xml:space="preserve">Desc: RES 270 OHM 1% 1/16W 0402
Footprint: 0402 (1005 Metric)
Power: 0.063W, 1/16W
Size: 0.039" L x 0.020" W (1.00mm x 0.50mm)
Temp_coeff: ±100ppm/°C
Tolerance: ±1%
Value: 270 Ohms </t>
        </r>
      </text>
    </comment>
    <comment ref="O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Desc: Thick Film Resistors - SMD 270 Ohms 62.5mW 0402 1%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$0.01      $0.67
   100   $0.01      $1.12
   500   $0.01      $3.79
  1000   $0.01      $6.51
  5000   $0.00     $23.65</t>
        </r>
      </text>
    </comment>
    <comment ref="N32" authorId="0">
      <text>
        <r>
          <rPr>
            <sz val="8"/>
            <color indexed="81"/>
            <rFont val="Tahoma"/>
            <family val="2"/>
          </rPr>
          <t xml:space="preserve">Desc: RES SMD 5.1 OHM 5% 1/10W 0402
Footprint: 0402 (1005 Metric)
Power: 0.1W, 1/10W
Size: 0.039" L x 0.020" W (1.00mm x 0.50mm)
Temp_coeff: -100/ +600ppm/°C
Tolerance: ±5%
Value: 5.1 Ohms </t>
        </r>
      </text>
    </comment>
    <comment ref="O32" authorId="0">
      <text>
        <r>
          <rPr>
            <sz val="8"/>
            <color indexed="81"/>
            <rFont val="Tahoma"/>
            <family val="2"/>
          </rPr>
          <t>222686 In Stock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100   $0.01      $0.80
  1000   $0.01      $7.00
  2500   $0.01     $12.50
 10000   $0.00     $30.00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Desc: Thick Film Resistors - SMD 0402 5.1ohms 5% Tol AEC-Q200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3" authorId="0">
      <text>
        <r>
          <rPr>
            <sz val="8"/>
            <color indexed="81"/>
            <rFont val="Tahoma"/>
            <family val="2"/>
          </rPr>
          <t xml:space="preserve">Desc: RES 82K OHM 1% 1/16W 0402
Footprint: 0402 (1005 Metric)
Power: 0.063W, 1/16W
Size: 0.039" L x 0.020" W (1.00mm x 0.50mm)
Temp_coeff: ±100ppm/°C
Tolerance: ±1%
Value: 82 kOhms </t>
        </r>
      </text>
    </comment>
    <comment ref="O33" authorId="0">
      <text>
        <r>
          <rPr>
            <sz val="8"/>
            <color indexed="81"/>
            <rFont val="Tahoma"/>
            <family val="2"/>
          </rPr>
          <t>483794 In Stock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3" authorId="0">
      <text>
        <r>
          <rPr>
            <sz val="8"/>
            <color indexed="81"/>
            <rFont val="Tahoma"/>
            <family val="2"/>
          </rPr>
          <t>Desc: Thick Film Resistors - SMD 82 kOhms 62.5mW 0402 1%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$0.15
    50   $0.01      $0.44
   100   $0.01      $0.73
   500   $0.00      $2.44
  1000   $0.00      $4.17
  5000   $0.00     $14.85</t>
        </r>
      </text>
    </comment>
    <comment ref="N34" authorId="0">
      <text>
        <r>
          <rPr>
            <sz val="8"/>
            <color indexed="81"/>
            <rFont val="Tahoma"/>
            <family val="2"/>
          </rPr>
          <t xml:space="preserve">Desc: RES 24K OHM 1% 1/16W 0402
Footprint: 0402 (1005 Metric)
Power: 0.063W, 1/16W
Size: 0.039" L x 0.020" W (1.00mm x 0.50mm)
Temp_coeff: ±100ppm/°C
Tolerance: ±1%
Value: 24 kOhms </t>
        </r>
      </text>
    </comment>
    <comment ref="O34" authorId="0">
      <text>
        <r>
          <rPr>
            <sz val="8"/>
            <color indexed="81"/>
            <rFont val="Tahoma"/>
            <family val="2"/>
          </rPr>
          <t>121544 In Stock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$0.09
   100   $0.01      $0.50
  2500   $0.00      $7.50
 10000   $0.00     $20.00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Desc: Thick Film Resistors - SMD 24 kOhms 62.5mW 0402 1%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$3.33      $3.33
    10   $3.17     $31.75
    20   $3.02     $60.48
    50   $2.90    $145.20
   100   $2.77    $277.20
   200   $2.54    $508.80
   500   $2.40  $1,200.00</t>
        </r>
      </text>
    </comment>
    <comment ref="N35" authorId="0">
      <text>
        <r>
          <rPr>
            <sz val="8"/>
            <color indexed="81"/>
            <rFont val="Tahoma"/>
            <family val="2"/>
          </rPr>
          <t>Desc: IC AMP CATV 40MHZ-2.6GHZ SOT89
Footprint: TO-243AA
Frequency: 40MHz ~ 2.6GHz</t>
        </r>
      </text>
    </comment>
    <comment ref="O35" authorId="0">
      <text>
        <r>
          <rPr>
            <sz val="8"/>
            <color indexed="81"/>
            <rFont val="Tahoma"/>
            <family val="2"/>
          </rPr>
          <t>1275 In Stock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$3.02      $3.02
    50   $2.90    $145.00
   100   $2.77    $277.00
   200   $2.54    $508.00
   500   $2.40  $1,200.00
  1000   $2.17  $2,170.00
  2000   $2.03  $4,060.00</t>
        </r>
      </text>
    </comment>
    <comment ref="T35" authorId="0">
      <text>
        <r>
          <rPr>
            <sz val="8"/>
            <color indexed="81"/>
            <rFont val="Tahoma"/>
            <family val="2"/>
          </rPr>
          <t>Desc: RF Amplifier ML AMPL / SURF MT/ 2.5GHZ RoHS</t>
        </r>
      </text>
    </comment>
    <comment ref="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$6.38      $6.38
     5   $5.38     $26.89
    10   $5.00     $49.97
    25   $4.53    $113.36
    50   $4.21    $210.69
   100   $3.92    $391.60
   500   $3.30  $1,651.83
  1000   $3.07  $3,070.55</t>
        </r>
      </text>
    </comment>
    <comment ref="N36" authorId="0">
      <text>
        <r>
          <rPr>
            <sz val="8"/>
            <color indexed="81"/>
            <rFont val="Tahoma"/>
            <family val="2"/>
          </rPr>
          <t>Desc: TEMPERATURE SENSOR
Footprint: 6-WDFN Exposed Pad</t>
        </r>
      </text>
    </comment>
    <comment ref="O36" authorId="0">
      <text>
        <r>
          <rPr>
            <sz val="8"/>
            <color indexed="81"/>
            <rFont val="Tahoma"/>
            <family val="2"/>
          </rPr>
          <t>5398 In Stock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$6.31      $6.31
    10   $4.42     $44.20
   100   $4.05    $405.00
   250   $3.89    $972.50
   500   $3.58  $1,790.00
  1000   $3.42  $3,420.00
  3000   $3.27  $9,810.00</t>
        </r>
      </text>
    </comment>
    <comment ref="T36" authorId="0">
      <text>
        <r>
          <rPr>
            <sz val="8"/>
            <color indexed="81"/>
            <rFont val="Tahoma"/>
            <family val="2"/>
          </rPr>
          <t>Desc: Board Mount Temperature Sensors 0.1°C digital temperature sensor, 48-bit EEPROM, PT100/PT1000 RTD replacement 6-WSON -55 to 150</t>
        </r>
      </text>
    </comment>
    <comment ref="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$12.49     $12.49
    10   $8.80     $88.04
    25   $7.85    $196.37
   100   $6.79    $679.40
   250   $6.28  $1,570.07
   500   $5.97  $2,983.75</t>
        </r>
      </text>
    </comment>
    <comment ref="N37" authorId="0">
      <text>
        <r>
          <rPr>
            <sz val="8"/>
            <color indexed="81"/>
            <rFont val="Tahoma"/>
            <family val="2"/>
          </rPr>
          <t>Desc: IC RF DETECT 50HZ-6GHZ 16LFCSP
Footprint: 16-WQFN Exposed Pad, CSP
Frequency: 50Hz ~ 6GHz</t>
        </r>
      </text>
    </comment>
    <comment ref="O37" authorId="0">
      <text>
        <r>
          <rPr>
            <sz val="8"/>
            <color indexed="81"/>
            <rFont val="Tahoma"/>
            <family val="2"/>
          </rPr>
          <t>1504 In Stock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$11.03     $11.03
    10   $8.60     $86.00
    25   $7.72    $193.00
   100   $6.71    $671.00
   250   $6.29  $1,572.50
   500   $5.97  $2,985.00
  1500   $5.97  $8,955.00</t>
        </r>
      </text>
    </comment>
    <comment ref="T37" authorId="0">
      <text>
        <r>
          <rPr>
            <sz val="8"/>
            <color indexed="81"/>
            <rFont val="Tahoma"/>
            <family val="2"/>
          </rPr>
          <t>Desc: RF Detector 50 Hz TO 6 GHz 50 dB TruPwr  Detector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$2.83      $2.83
    10   $2.54     $25.43
    25   $2.40     $59.97
   100   $2.04    $204.37
   250   $1.92    $479.75
   500   $1.68    $839.56
  1000   $1.39  $1,391.28</t>
        </r>
      </text>
    </comment>
    <comment ref="N38" authorId="0">
      <text>
        <r>
          <rPr>
            <sz val="8"/>
            <color indexed="81"/>
            <rFont val="Tahoma"/>
            <family val="2"/>
          </rPr>
          <t>Desc: -5-V TO 110-V, BIDIRECTIONAL, 1.
Footprint: SOT-23-8 Thin, TSOT-23-8</t>
        </r>
      </text>
    </comment>
    <comment ref="O38" authorId="0">
      <text>
        <r>
          <rPr>
            <sz val="8"/>
            <color indexed="81"/>
            <rFont val="Tahoma"/>
            <family val="2"/>
          </rPr>
          <t>2449 In Stock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$2.69      $2.69
    10   $2.41     $24.10
   100   $1.94    $194.00
   250   $1.82    $455.00
   500   $1.59    $795.00
  1000   $1.32  $1,320.00
  3000   $1.23  $3,690.00
  6000   $1.18  $7,080.00
  9000   $1.14 $10,260.00</t>
        </r>
      </text>
    </comment>
    <comment ref="T38" authorId="0">
      <text>
        <r>
          <rPr>
            <sz val="8"/>
            <color indexed="81"/>
            <rFont val="Tahoma"/>
            <family val="2"/>
          </rPr>
          <t>Desc: Current Sense Amplifiers -5-V to 110-V, bidirectional, 1.1-MHz 8-V/us high-precision current sense amplifier 8-SOT-23-THIN -40 to 125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$0.94      $9.45
    25   $0.90     $22.41
   100   $0.74     $73.65
   250   $0.69    $172.11
   500   $0.61    $304.20
  1000   $0.56    $563.75</t>
        </r>
      </text>
    </comment>
    <comment ref="N39" authorId="0">
      <text>
        <r>
          <rPr>
            <sz val="8"/>
            <color indexed="81"/>
            <rFont val="Tahoma"/>
            <family val="2"/>
          </rPr>
          <t>Desc: IC XPNDR 400KHZ I2C SMBUS 16VQFN
Footprint: 16-VFQFN Exposed Pad</t>
        </r>
      </text>
    </comment>
    <comment ref="O39" authorId="0">
      <text>
        <r>
          <rPr>
            <sz val="8"/>
            <color indexed="81"/>
            <rFont val="Tahoma"/>
            <family val="2"/>
          </rPr>
          <t>54237 In Stock</t>
        </r>
      </text>
    </comment>
    <comment ref="Q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$0.74      $7.42
   100   $0.63     $63.10
   500   $0.58    $291.00
  1000   $0.56    $564.00
  3000   $0.55  $1,653.00
  6000   $0.55  $3,282.00
  9000   $0.55  $4,905.00</t>
        </r>
      </text>
    </comment>
    <comment ref="T39" authorId="0">
      <text>
        <r>
          <rPr>
            <sz val="8"/>
            <color indexed="81"/>
            <rFont val="Tahoma"/>
            <family val="2"/>
          </rPr>
          <t>Desc: Interface - I/O Expanders Lo-Vltg 8B I2C &amp; SMBus I/O Expander</t>
        </r>
      </text>
    </comment>
    <comment ref="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$6.84      $6.84
    10   $6.27     $62.66
    25   $5.70    $142.41
    80   $5.13    $410.14
   230   $4.70  $1,080.89
   490   $4.27  $2,093.43
   980   $3.85  $3,768.17</t>
        </r>
      </text>
    </comment>
    <comment ref="N40" authorId="0">
      <text>
        <r>
          <rPr>
            <sz val="8"/>
            <color indexed="81"/>
            <rFont val="Tahoma"/>
            <family val="2"/>
          </rPr>
          <t>Desc: 7-BIT 0.25DB DIGITAL STEP ATTENU
Footprint: 24-WFQFN Exposed Pad
Power: -</t>
        </r>
      </text>
    </comment>
    <comment ref="O40" authorId="0">
      <text>
        <r>
          <rPr>
            <sz val="8"/>
            <color indexed="81"/>
            <rFont val="Tahoma"/>
            <family val="2"/>
          </rPr>
          <t>4470 In Stock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$6.84      $6.84
    10   $6.27     $62.70
    25   $5.13    $128.25
   100   $4.70    $470.00
   490   $3.91  $1,915.90
   980   $3.84  $3,763.20</t>
        </r>
      </text>
    </comment>
    <comment ref="T40" authorId="0">
      <text>
        <r>
          <rPr>
            <sz val="8"/>
            <color indexed="81"/>
            <rFont val="Tahoma"/>
            <family val="2"/>
          </rPr>
          <t>Desc: Attenuators F1958 DSA</t>
        </r>
      </text>
    </comment>
    <comment ref="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$9.49
    25   $0.90     $22.51
   100   $0.74     $73.97
   250   $0.69    $172.88
   500   $0.61    $305.55
  1000   $0.57    $566.25</t>
        </r>
      </text>
    </comment>
    <comment ref="N41" authorId="0">
      <text>
        <r>
          <rPr>
            <sz val="8"/>
            <color indexed="81"/>
            <rFont val="Tahoma"/>
            <family val="2"/>
          </rPr>
          <t>Desc: IC REG LIN POS ADJ 500MA 6WSON
Footprint: 6-WDFN Exposed Pad</t>
        </r>
      </text>
    </comment>
    <comment ref="O41" authorId="0">
      <text>
        <r>
          <rPr>
            <sz val="8"/>
            <color indexed="81"/>
            <rFont val="Tahoma"/>
            <family val="2"/>
          </rPr>
          <t>3473 In Stock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$1.29     $12.90
   100   $0.98     $98.30
   500   $0.87    $434.50
  1000   $0.69    $686.00
  3000   $0.64  $1,920.00
  6000   $0.61  $3,648.00
  9000   $0.58  $5,265.00</t>
        </r>
      </text>
    </comment>
    <comment ref="T41" authorId="0">
      <text>
        <r>
          <rPr>
            <sz val="8"/>
            <color indexed="81"/>
            <rFont val="Tahoma"/>
            <family val="2"/>
          </rPr>
          <t>Desc: LDO Voltage Regulators 500-mA, 18-V, ultra-low-IQ, high-accuracy, adjustable low-dropout voltage regulator with power good 6-WSON -40 to 125</t>
        </r>
      </text>
    </comment>
    <comment ref="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$0.39      $3.91
    25   $0.33      $8.14
   100   $0.25     $25.06
   250   $0.21     $53.41
   500   $0.19     $95.49
  1000   $0.17    $172.03</t>
        </r>
      </text>
    </comment>
    <comment ref="N42" authorId="0">
      <text>
        <r>
          <rPr>
            <sz val="8"/>
            <color indexed="81"/>
            <rFont val="Tahoma"/>
            <family val="2"/>
          </rPr>
          <t>Desc: IC REG LINEAR 3.3V 200MA SOT23-5
Footprint: SC-74A, SOT-753</t>
        </r>
      </text>
    </comment>
    <comment ref="O42" authorId="0">
      <text>
        <r>
          <rPr>
            <sz val="8"/>
            <color indexed="81"/>
            <rFont val="Tahoma"/>
            <family val="2"/>
          </rPr>
          <t>25109 In Stock</t>
        </r>
      </text>
    </comment>
    <comment ref="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$0.32      $3.24
   100   $0.19     $19.10
  1000   $0.16    $157.00
  3000   $0.13    $387.00
  9000   $0.12  $1,071.00
 45000   $0.11  $4,815.00
 99000   $0.11 $10,494.00</t>
        </r>
      </text>
    </comment>
    <comment ref="T42" authorId="0">
      <text>
        <r>
          <rPr>
            <sz val="8"/>
            <color indexed="81"/>
            <rFont val="Tahoma"/>
            <family val="2"/>
          </rPr>
          <t>Desc: LDO Voltage Regulators 200mA 3.3V Hi PSRR</t>
        </r>
      </text>
    </comment>
    <comment ref="K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$4.42      $4.42
    10   $3.97     $39.66
    25   $3.75     $93.74
   100   $3.25    $324.97
   250   $3.08    $770.76
   500   $2.77  $1,383.20
  1000   $2.33  $2,333.10</t>
        </r>
      </text>
    </comment>
    <comment ref="N43" authorId="0">
      <text>
        <r>
          <rPr>
            <sz val="8"/>
            <color indexed="81"/>
            <rFont val="Tahoma"/>
            <family val="2"/>
          </rPr>
          <t>Desc: IC ADC 12BIT SAR 16WQFN
Footprint: 16-WFQFN Exposed Pad</t>
        </r>
      </text>
    </comment>
    <comment ref="O43" authorId="0">
      <text>
        <r>
          <rPr>
            <sz val="8"/>
            <color indexed="81"/>
            <rFont val="Tahoma"/>
            <family val="2"/>
          </rPr>
          <t>15530 In Stock</t>
        </r>
      </text>
    </comment>
    <comment ref="Q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$4.41      $4.41
    10   $3.96     $39.60
   100   $3.24    $324.00
   250   $3.08    $770.00
   500   $2.76  $1,380.00
  1000   $2.33  $2,330.00
  3000   $2.21  $6,630.00</t>
        </r>
      </text>
    </comment>
    <comment ref="T43" authorId="0">
      <text>
        <r>
          <rPr>
            <sz val="8"/>
            <color indexed="81"/>
            <rFont val="Tahoma"/>
            <family val="2"/>
          </rPr>
          <t>Desc: Analog to Digital Converters - ADC Small 8-channel 12-bit analog-to-digital converter (ADC) with I2C interface and GPIOs 16-WQFN -40 to 85</t>
        </r>
      </text>
    </comment>
    <comment ref="K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$0.31      $3.13
    25   $0.28      $6.99
   100   $0.24     $23.75
   250   $0.21     $53.67
   500   $0.20     $99.91
  1000   $0.19    $186.76</t>
        </r>
      </text>
    </comment>
    <comment ref="N44" authorId="0">
      <text>
        <r>
          <rPr>
            <sz val="8"/>
            <color indexed="81"/>
            <rFont val="Tahoma"/>
            <family val="2"/>
          </rPr>
          <t>Desc: RF ATTENUATOR 3DB 50OHM 0805
Footprint: 0805 (2012 Metric)
Power: 100mW</t>
        </r>
      </text>
    </comment>
    <comment ref="O44" authorId="0">
      <text>
        <r>
          <rPr>
            <sz val="8"/>
            <color indexed="81"/>
            <rFont val="Tahoma"/>
            <family val="2"/>
          </rPr>
          <t>16743 In Stock</t>
        </r>
      </text>
    </comment>
    <comment ref="Q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$0.27      $2.74
   100   $0.21     $21.10
   500   $0.19     $95.50
  1000   $0.17    $166.00
  5000   $0.14    $715.00
 10000   $0.14  $1,370.00
 25000   $0.13  $3,300.00
 50000   $0.13  $6,400.00</t>
        </r>
      </text>
    </comment>
    <comment ref="T44" authorId="0">
      <text>
        <r>
          <rPr>
            <sz val="8"/>
            <color indexed="81"/>
            <rFont val="Tahoma"/>
            <family val="2"/>
          </rPr>
          <t>Desc: Attenuators 3dB 50ohm</t>
        </r>
      </text>
    </comment>
    <comment ref="G4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<sst xmlns="http://schemas.openxmlformats.org/spreadsheetml/2006/main" count="383" uniqueCount="251">
  <si>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</si>
  <si>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</si>
  <si>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</si>
  <si>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</si>
  <si>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</si>
  <si>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</si>
  <si>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</si>
  <si>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</si>
  <si>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</si>
  <si>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</t>
  </si>
  <si>
    <t>22u</t>
  </si>
  <si>
    <t>Polarized capacitor</t>
  </si>
  <si>
    <t>CP_EIA-6032-28_Kemet-C</t>
  </si>
  <si>
    <t>293D226X9025C2TE3</t>
  </si>
  <si>
    <t>C2,C5,C6,C8-C10,C15,C18-C21,C24,C28,C33,C36</t>
  </si>
  <si>
    <t>100n</t>
  </si>
  <si>
    <t>Unpolarized capacitor</t>
  </si>
  <si>
    <t>C_0402_1005Metric</t>
  </si>
  <si>
    <t>CL05B104KP5NNNC</t>
  </si>
  <si>
    <t>C3,C23</t>
  </si>
  <si>
    <t>1.6p</t>
  </si>
  <si>
    <t>GJM1555C1H1R6WB01D</t>
  </si>
  <si>
    <t>C4</t>
  </si>
  <si>
    <t>2.5p</t>
  </si>
  <si>
    <t>GJM1555C1H2R5WB01D</t>
  </si>
  <si>
    <t>C11-C14,C16,C17,C22,C25-C27,C29,C30,C35,C37-C39</t>
  </si>
  <si>
    <t>100p</t>
  </si>
  <si>
    <t>CBR04C101J3GAC</t>
  </si>
  <si>
    <t>C31,C32,C40</t>
  </si>
  <si>
    <t>1u</t>
  </si>
  <si>
    <t>C_0603_1608Metric</t>
  </si>
  <si>
    <t>CL10A105KA8NNNC</t>
  </si>
  <si>
    <t>C34</t>
  </si>
  <si>
    <t>1.2n</t>
  </si>
  <si>
    <t>GCM1885C1H122JA16D</t>
  </si>
  <si>
    <t>D1</t>
  </si>
  <si>
    <t>18.2V</t>
  </si>
  <si>
    <t>Zener diode</t>
  </si>
  <si>
    <t>D_SMA</t>
  </si>
  <si>
    <t>SMAJ11A</t>
  </si>
  <si>
    <t>D3</t>
  </si>
  <si>
    <t>Photodiode</t>
  </si>
  <si>
    <t>MountedPD</t>
  </si>
  <si>
    <t>PPDA-S</t>
  </si>
  <si>
    <t>F1</t>
  </si>
  <si>
    <t>1A trip</t>
  </si>
  <si>
    <t>Resettable fuse, polymeric positive temperature coefficient</t>
  </si>
  <si>
    <t>Fuse_1206_3216Metric</t>
  </si>
  <si>
    <t>1206L050/24WR</t>
  </si>
  <si>
    <t>FB1-FB4</t>
  </si>
  <si>
    <t>BLM15PG100SN1D</t>
  </si>
  <si>
    <t>Ferrite bead, small symbol</t>
  </si>
  <si>
    <t>L_0402_1005Metric</t>
  </si>
  <si>
    <t>J1</t>
  </si>
  <si>
    <t>8-pin header</t>
  </si>
  <si>
    <t>CONN HEADER VERT 8POS 2.54MM</t>
  </si>
  <si>
    <t>HeaderThru8p</t>
  </si>
  <si>
    <t>9-146261-0-04</t>
  </si>
  <si>
    <t>J2</t>
  </si>
  <si>
    <t>Conn_Coaxial</t>
  </si>
  <si>
    <t>coaxial connector (BNC, SMA, SMB, SMC, Cinch/RCA, LEMO, ...)</t>
  </si>
  <si>
    <t>SMP_MSLD_PCT_19</t>
  </si>
  <si>
    <t>J3</t>
  </si>
  <si>
    <t>SMP_EdgeMount_PE44482</t>
  </si>
  <si>
    <t>PE44482</t>
  </si>
  <si>
    <t>L1,L5,L7,L8</t>
  </si>
  <si>
    <t>82n</t>
  </si>
  <si>
    <t>Inductor</t>
  </si>
  <si>
    <t>LQW15AN82NG00D</t>
  </si>
  <si>
    <t>L2,L4</t>
  </si>
  <si>
    <t>8.2n</t>
  </si>
  <si>
    <t>LQW15AN8N2G00D</t>
  </si>
  <si>
    <t>L3</t>
  </si>
  <si>
    <t>5.9n</t>
  </si>
  <si>
    <t>LQW15AN5N9B80D</t>
  </si>
  <si>
    <t>R1,R20</t>
  </si>
  <si>
    <t>5.1</t>
  </si>
  <si>
    <t>Resistor</t>
  </si>
  <si>
    <t>R_0402_1005Metric</t>
  </si>
  <si>
    <t>RC0402FR-075R1L</t>
  </si>
  <si>
    <t>R2,R18,R19,R22-R26</t>
  </si>
  <si>
    <t>10k</t>
  </si>
  <si>
    <t>RC0402FR-0710KL</t>
  </si>
  <si>
    <t>R4</t>
  </si>
  <si>
    <t>0</t>
  </si>
  <si>
    <t>RC0402FR-070RL</t>
  </si>
  <si>
    <t>R6,R11</t>
  </si>
  <si>
    <t>5.6k</t>
  </si>
  <si>
    <t>RC0402FR-075K6L</t>
  </si>
  <si>
    <t>R7,R8,R10</t>
  </si>
  <si>
    <t>3.6k</t>
  </si>
  <si>
    <t>RC0402FR-073K6L</t>
  </si>
  <si>
    <t>R9,R21</t>
  </si>
  <si>
    <t>1k</t>
  </si>
  <si>
    <t>RC0402FR-071KL</t>
  </si>
  <si>
    <t>R12</t>
  </si>
  <si>
    <t>62</t>
  </si>
  <si>
    <t>RC0402FR-0762RL</t>
  </si>
  <si>
    <t>R13</t>
  </si>
  <si>
    <t>270</t>
  </si>
  <si>
    <t>RC0402FR-07270RL</t>
  </si>
  <si>
    <t>R14,R15</t>
  </si>
  <si>
    <t>ERJ-2GEJ5R1X</t>
  </si>
  <si>
    <t>R16</t>
  </si>
  <si>
    <t>82k</t>
  </si>
  <si>
    <t>RC0402FR-0782KL</t>
  </si>
  <si>
    <t>R17</t>
  </si>
  <si>
    <t>24k</t>
  </si>
  <si>
    <t>RC0402FR-0724KL</t>
  </si>
  <si>
    <t>U1,U5,U9</t>
  </si>
  <si>
    <t>PGA-105+</t>
  </si>
  <si>
    <t>40 MHz to 2.6 GHz low-noise amplifier</t>
  </si>
  <si>
    <t>SOT89-HighTemp</t>
  </si>
  <si>
    <t>U2</t>
  </si>
  <si>
    <t>TMP117</t>
  </si>
  <si>
    <t>Digital Temperature Sensor with I2C/SMBus Interface, 16 bits, +/-0.3° C, one-shot conversion, alert, nist traceable, EEPROM, WSON</t>
  </si>
  <si>
    <t>WSON-6-1EP_2x2mm_P0.65mm_EP1x1.6mm</t>
  </si>
  <si>
    <t>TMP117AIDRVR</t>
  </si>
  <si>
    <t>U4</t>
  </si>
  <si>
    <t>AD8363</t>
  </si>
  <si>
    <t>50 Hz to 6 GHz 50 dB TruPwr™ Detector</t>
  </si>
  <si>
    <t>Analog_LFCSP-16-1EP_4x4mm_P0.65mm_EP2.35x2.35mm_ThermalVias</t>
  </si>
  <si>
    <t>AD8363ACPZ-R7</t>
  </si>
  <si>
    <t>U6</t>
  </si>
  <si>
    <t>INA296B4</t>
  </si>
  <si>
    <t>–5 V to 110 V, Bidirectional, 1.1 MHz, 8 V/μs, Ultra-Precise Current Sense Amplifier, SOT-23-8, G=100</t>
  </si>
  <si>
    <t>SOT-23-8</t>
  </si>
  <si>
    <t>INA296B4IDDFR</t>
  </si>
  <si>
    <t>U7</t>
  </si>
  <si>
    <t>TCA6408A</t>
  </si>
  <si>
    <t>TCA6408A Low-Voltage 8-Bit I2C and SMBus I/O Expander With Interrupt Output, Reset, and Configuration Registers</t>
  </si>
  <si>
    <t>QFN-16-1EP_3x3mm_P0.5mm_EP1.45x1.45mm</t>
  </si>
  <si>
    <t>TCA6408ARGTR</t>
  </si>
  <si>
    <t>U8</t>
  </si>
  <si>
    <t>F1958</t>
  </si>
  <si>
    <t>7-Bit 0.25dB Digital Step Attenuator 1MHz to 6GHz</t>
  </si>
  <si>
    <t>TQFN-24-1EP_4x4mm_P0.5mm_EP2.6x2.6mm_ThermalVias</t>
  </si>
  <si>
    <t>F1958NBGK</t>
  </si>
  <si>
    <t>U10</t>
  </si>
  <si>
    <t>TPS7A26</t>
  </si>
  <si>
    <t>500-mA, 18-V, Ultra-Low IQ, Low-Dropout Linear Voltage Regulator With Power-Good</t>
  </si>
  <si>
    <t>TPS7A2601DRVR</t>
  </si>
  <si>
    <t>U12</t>
  </si>
  <si>
    <t>TPS79333-EP</t>
  </si>
  <si>
    <t>200mA UltraLow-Noise, High-Precision, Fast RF, Low Drop-out Voltage Regulator, Fixed Output 3.3V, SOT-23</t>
  </si>
  <si>
    <t>SOT-23-5</t>
  </si>
  <si>
    <t>TPS79333DBVR</t>
  </si>
  <si>
    <t>U13</t>
  </si>
  <si>
    <t>TLA2528</t>
  </si>
  <si>
    <t>Analog to Digital Converters - ADC Small 8-channel 12-bit analog-to-digital converter (ADC) with I2C interface and GPIOs 16-WQFN -40 to 85</t>
  </si>
  <si>
    <t>WQFN-16-1EP_3x3mm_P0.5mm_EP1.68x1.68mm_LargeThermalVias</t>
  </si>
  <si>
    <t>TLA2528IRTER</t>
  </si>
  <si>
    <t>U14,U15</t>
  </si>
  <si>
    <t>PAT1220-C-3DB</t>
  </si>
  <si>
    <t>10GHz RF Attenuator, 50ohm Matched Impedance, 3dB Attenuation, PAT1220</t>
  </si>
  <si>
    <t>RF_Attenuator_Susumu_PAT1220</t>
  </si>
  <si>
    <t>PAT1220-C-3DB-T5</t>
  </si>
  <si>
    <t>Digi-Key</t>
  </si>
  <si>
    <t>Avail</t>
  </si>
  <si>
    <t>Purch</t>
  </si>
  <si>
    <t>MOQ</t>
  </si>
  <si>
    <t>Cat#</t>
  </si>
  <si>
    <t>718-293D226X9025C2TE3CT-ND</t>
  </si>
  <si>
    <t>1276-1002-1-ND</t>
  </si>
  <si>
    <t>490-11200-1-ND</t>
  </si>
  <si>
    <t>490-11208-1-ND</t>
  </si>
  <si>
    <t>399-17684-1-ND</t>
  </si>
  <si>
    <t>1276-1102-1-ND</t>
  </si>
  <si>
    <t>490-13298-1-ND</t>
  </si>
  <si>
    <t>1801-SMAJ11ATR-ND</t>
  </si>
  <si>
    <t>NonStk</t>
  </si>
  <si>
    <t>18-1206L050/24WRCT-ND</t>
  </si>
  <si>
    <t>490-5976-1-ND</t>
  </si>
  <si>
    <t>A34268-04-ND</t>
  </si>
  <si>
    <t>3985-PE44482-ND</t>
  </si>
  <si>
    <t>490-6848-1-ND</t>
  </si>
  <si>
    <t>490-6849-1-ND</t>
  </si>
  <si>
    <t>490-7663-1-ND</t>
  </si>
  <si>
    <t>YAG3370CT-ND</t>
  </si>
  <si>
    <t>311-10.0KLRCT-ND</t>
  </si>
  <si>
    <t>311-0.0LRCT-ND</t>
  </si>
  <si>
    <t>311-5.6KLRCT-ND</t>
  </si>
  <si>
    <t>311-3.6KLRCT-ND</t>
  </si>
  <si>
    <t>311-1.00KLRCT-ND</t>
  </si>
  <si>
    <t>311-62.0LRCT-ND</t>
  </si>
  <si>
    <t>311-270LRCT-ND</t>
  </si>
  <si>
    <t>P5.1JCT-ND</t>
  </si>
  <si>
    <t>311-82.0KLRCT-ND</t>
  </si>
  <si>
    <t>311-24KLRCT-ND</t>
  </si>
  <si>
    <t>3157-PGA-105+CT-ND</t>
  </si>
  <si>
    <t>296-51834-1-ND</t>
  </si>
  <si>
    <t>505-AD8363ACPZ-R7CT-ND</t>
  </si>
  <si>
    <t>296-INA296B4IDDFRCT-ND</t>
  </si>
  <si>
    <t>296-24825-1-ND</t>
  </si>
  <si>
    <t>800-3902-ND</t>
  </si>
  <si>
    <t>296-TPS7A2601DRVRCT-ND</t>
  </si>
  <si>
    <t>296-12961-1-ND</t>
  </si>
  <si>
    <t>296-TLA2528IRTERCT-ND</t>
  </si>
  <si>
    <t>PAT123CT-ND</t>
  </si>
  <si>
    <t>Buy here</t>
  </si>
  <si>
    <t>Mouser</t>
  </si>
  <si>
    <t>74-293D226X9025C2TE3</t>
  </si>
  <si>
    <t>187-CL05B104KP5NNNC</t>
  </si>
  <si>
    <t>81-GJM1555C1H1R6WB1D</t>
  </si>
  <si>
    <t>81-GJM1555C1H2R5WB1D</t>
  </si>
  <si>
    <t>80-CBR04C101J3GAC</t>
  </si>
  <si>
    <t>187-CL10A105KA8NNNC</t>
  </si>
  <si>
    <t>81-GCM1885C1H122JA6D</t>
  </si>
  <si>
    <t>652-SMAJ11A</t>
  </si>
  <si>
    <t>576-1206L050/24WR</t>
  </si>
  <si>
    <t>81-BLM15PG100SN1D</t>
  </si>
  <si>
    <t>523-SMP-MSLD-PCT-19</t>
  </si>
  <si>
    <t>81-LQW15AN82NG00D</t>
  </si>
  <si>
    <t>81-LQW15AN8N2G00D</t>
  </si>
  <si>
    <t>81-LQW15AN5N9B80D</t>
  </si>
  <si>
    <t>603-RC0402FR-075R1L</t>
  </si>
  <si>
    <t>603-RC0402FR-0710KL</t>
  </si>
  <si>
    <t>603-RC0402FR-070RL</t>
  </si>
  <si>
    <t>603-RC0402FR-075K6L</t>
  </si>
  <si>
    <t>603-RC0402FR-073K6L</t>
  </si>
  <si>
    <t>603-RC0402FR-071KL</t>
  </si>
  <si>
    <t>603-RC0402FR-0762RL</t>
  </si>
  <si>
    <t>603-RC0402FR-07270RL</t>
  </si>
  <si>
    <t>667-ERJ-2GEJ5R1X</t>
  </si>
  <si>
    <t>603-RC0402FR-0782KL</t>
  </si>
  <si>
    <t>603-RC0402FR-0724KL</t>
  </si>
  <si>
    <t>139-PGA-105</t>
  </si>
  <si>
    <t>595-TMP117AIDRVR</t>
  </si>
  <si>
    <t>584-AD8363ACPZ-R7</t>
  </si>
  <si>
    <t>595-INA296B4IDDFR</t>
  </si>
  <si>
    <t>595-TCA6408ARGTR</t>
  </si>
  <si>
    <t>972-F1958NBGK</t>
  </si>
  <si>
    <t>595-TPS7A2601DRVR</t>
  </si>
  <si>
    <t>595-TPS79333DBVR</t>
  </si>
  <si>
    <t>595-TLA2528IRTER</t>
  </si>
  <si>
    <t>754-PAT1220C-3DBT5</t>
  </si>
  <si>
    <t>Local</t>
  </si>
  <si>
    <t>Total Purchase:</t>
  </si>
  <si>
    <t>Purchase description:</t>
  </si>
  <si>
    <t>Prj:</t>
  </si>
  <si>
    <t>FRX schematic</t>
  </si>
  <si>
    <t>Co.:</t>
  </si>
  <si>
    <t>Caltech</t>
  </si>
  <si>
    <t>Prj date:</t>
  </si>
  <si>
    <t>2024-09-09T11:35:32-0700</t>
  </si>
  <si>
    <t>Board Qty:</t>
  </si>
  <si>
    <t>Total Cost:</t>
  </si>
  <si>
    <t>Unit Cost:</t>
  </si>
  <si>
    <t>$ date:</t>
  </si>
  <si>
    <t>2024-09-09 11:35:38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</si>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</sst>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40002/293d.pdf" TargetMode="External"/><Relationship Id="rId2" Type="http://schemas.openxmlformats.org/officeDocument/2006/relationships/hyperlink" Target="https://www.digikey.com/en/products/detail/vishay-sprague/293D226X9025C2TE3/13587252" TargetMode="External"/><Relationship Id="rId3" Type="http://schemas.openxmlformats.org/officeDocument/2006/relationships/hyperlink" Target="https://www.mouser.com/ProductDetail/Vishay-Sprague/293D226X9025C2TE3?qs=dG4nGvFc7P9WRSkI1DdLhQ%3D%3D" TargetMode="External"/><Relationship Id="rId4" Type="http://schemas.openxmlformats.org/officeDocument/2006/relationships/hyperlink" Target="https://mm.digikey.com/Volume0/opasdata/d220001/medias/docus/609/CL05B104KP5NNNC_Spec.pdf" TargetMode="External"/><Relationship Id="rId5" Type="http://schemas.openxmlformats.org/officeDocument/2006/relationships/hyperlink" Target="https://www.digikey.com/en/products/detail/samsung-electro-mechanics/CL05B104KP5NNNC/3886660" TargetMode="External"/><Relationship Id="rId6" Type="http://schemas.openxmlformats.org/officeDocument/2006/relationships/hyperlink" Target="https://www.mouser.com/ProductDetail/Samsung-Electro-Mechanics/CL05B104KP5NNNC?qs=349EhDEZ59qDkVTTBSSSxw%3D%3D" TargetMode="External"/><Relationship Id="rId7" Type="http://schemas.openxmlformats.org/officeDocument/2006/relationships/hyperlink" Target="https://search.murata.co.jp/Ceramy/image/img/A01X/G101/ENG/GJM1555C1H1R6WB01-01.pdf" TargetMode="External"/><Relationship Id="rId8" Type="http://schemas.openxmlformats.org/officeDocument/2006/relationships/hyperlink" Target="https://www.digikey.com/en/products/detail/murata-electronics/GJM1555C1H1R6WB01D/2592895" TargetMode="External"/><Relationship Id="rId9" Type="http://schemas.openxmlformats.org/officeDocument/2006/relationships/hyperlink" Target="https://www.mouser.com/ProductDetail/Murata-Electronics/GJM1555C1H1R6WB01D?qs=YLLXL5qGyDsI1GZiQ7h4Jg%3D%3D" TargetMode="External"/><Relationship Id="rId10" Type="http://schemas.openxmlformats.org/officeDocument/2006/relationships/hyperlink" Target="https://search.murata.co.jp/Ceramy/image/img/A01X/G101/ENG/GJM1555C1H2R5WB01-01.pdf" TargetMode="External"/><Relationship Id="rId11" Type="http://schemas.openxmlformats.org/officeDocument/2006/relationships/hyperlink" Target="https://www.digikey.com/en/products/detail/murata-electronics/GJM1555C1H2R5WB01D/2592932" TargetMode="External"/><Relationship Id="rId12" Type="http://schemas.openxmlformats.org/officeDocument/2006/relationships/hyperlink" Target="https://www.mouser.com/ProductDetail/Murata-Electronics/GJM1555C1H2R5WB01D?qs=YLLXL5qGyDsQS1ywU%252Boupg%3D%3D" TargetMode="External"/><Relationship Id="rId13" Type="http://schemas.openxmlformats.org/officeDocument/2006/relationships/hyperlink" Target="https://search.kemet.com/download/datasheet/CBR04C101J3GAC" TargetMode="External"/><Relationship Id="rId14" Type="http://schemas.openxmlformats.org/officeDocument/2006/relationships/hyperlink" Target="https://www.digikey.com/en/products/detail/kemet/CBR04C101J3GAC/8572519" TargetMode="External"/><Relationship Id="rId15" Type="http://schemas.openxmlformats.org/officeDocument/2006/relationships/hyperlink" Target="https://www.mouser.com/ProductDetail/KEMET/CBR04C101J3GAC?qs=kpVq%2FgIAs50lnV8B4851AQ%3D%3D" TargetMode="External"/><Relationship Id="rId16" Type="http://schemas.openxmlformats.org/officeDocument/2006/relationships/hyperlink" Target="https://mm.digikey.com/Volume0/opasdata/d220001/medias/docus/609/CL10A105KA8NNNC_Spec.pdf" TargetMode="External"/><Relationship Id="rId17" Type="http://schemas.openxmlformats.org/officeDocument/2006/relationships/hyperlink" Target="https://www.digikey.com/en/products/detail/samsung-electro-mechanics/CL10A105KA8NNNC/3886760" TargetMode="External"/><Relationship Id="rId18" Type="http://schemas.openxmlformats.org/officeDocument/2006/relationships/hyperlink" Target="https://www.mouser.com/ProductDetail/Samsung-Electro-Mechanics/CL10A105KA8NNNC?qs=hqM3L16%252BxldY%252BnK4KzDJVg%3D%3D" TargetMode="External"/><Relationship Id="rId19" Type="http://schemas.openxmlformats.org/officeDocument/2006/relationships/hyperlink" Target="https://search.murata.co.jp/Ceramy/image/img/A01X/G101/ENG/GCM1885C1H122JA16-01.pdf" TargetMode="External"/><Relationship Id="rId20" Type="http://schemas.openxmlformats.org/officeDocument/2006/relationships/hyperlink" Target="https://www.digikey.com/en/products/detail/murata-electronics/GCM1885C1H122JA16D/2591388" TargetMode="External"/><Relationship Id="rId21" Type="http://schemas.openxmlformats.org/officeDocument/2006/relationships/hyperlink" Target="https://www.mouser.com/ProductDetail/Murata-Electronics/GCM1885C1H122JA16D?qs=bGEzvQhTDnYxstxcw3DBhw%3D%3D" TargetMode="External"/><Relationship Id="rId22" Type="http://schemas.openxmlformats.org/officeDocument/2006/relationships/hyperlink" Target="https://www.digikey.com/en/products/detail/taiwan-semiconductor-corporation/SMAJ11A/7368887" TargetMode="External"/><Relationship Id="rId23" Type="http://schemas.openxmlformats.org/officeDocument/2006/relationships/hyperlink" Target="https://www.mouser.com/ProductDetail/Bourns/SMAJ11A?qs=A3H9pljuJ8QMPKHM1Ug4Uw%3D%3D" TargetMode="External"/><Relationship Id="rId24" Type="http://schemas.openxmlformats.org/officeDocument/2006/relationships/hyperlink" Target="https://www.agxtech.com/PDF/PPDA+R5.6.pdf" TargetMode="External"/><Relationship Id="rId25" Type="http://schemas.openxmlformats.org/officeDocument/2006/relationships/hyperlink" Target="https://www.littelfuse.com/media?resourcetype=datasheets&amp;itemid=2b6a1515-d4ee-4c83-8bd4-152b4901b8f5&amp;filename=littelfuse_ptc_1206l_datasheet.pdf" TargetMode="External"/><Relationship Id="rId26" Type="http://schemas.openxmlformats.org/officeDocument/2006/relationships/hyperlink" Target="https://www.digikey.com/en/products/detail/littelfuse-inc/1206L050-24WR/6346988" TargetMode="External"/><Relationship Id="rId27" Type="http://schemas.openxmlformats.org/officeDocument/2006/relationships/hyperlink" Target="https://www.mouser.com/ProductDetail/Littelfuse/1206L050-24WR?qs=WCqcIsGl7aJGEgttmdZCow%3D%3D" TargetMode="External"/><Relationship Id="rId28" Type="http://schemas.openxmlformats.org/officeDocument/2006/relationships/hyperlink" Target="https://www.murata.com/en-us/products/productdata/8796740059166/ENFA0018.pdf" TargetMode="External"/><Relationship Id="rId29" Type="http://schemas.openxmlformats.org/officeDocument/2006/relationships/hyperlink" Target="https://www.digikey.com/en/products/detail/murata-electronics/BLM15PG100SN1D/2587980" TargetMode="External"/><Relationship Id="rId30" Type="http://schemas.openxmlformats.org/officeDocument/2006/relationships/hyperlink" Target="https://www.mouser.com/ProductDetail/Murata-Electronics/BLM15PG100SN1D?qs=0VEDk56ETTrLVflDr2xKIA%3D%3D" TargetMode="External"/><Relationship Id="rId31" Type="http://schemas.openxmlformats.org/officeDocument/2006/relationships/hyperlink" Target="https://www.te.com/commerce/DocumentDelivery/DDEController?Action=srchrtrv&amp;DocNm=146261&amp;DocType=Customer+Drawing&amp;DocLang=English" TargetMode="External"/><Relationship Id="rId32" Type="http://schemas.openxmlformats.org/officeDocument/2006/relationships/hyperlink" Target="https://www.digikey.com/en/products/detail/te-connectivity-amp-connectors/9-146261-0-04/1126301" TargetMode="External"/><Relationship Id="rId33" Type="http://schemas.openxmlformats.org/officeDocument/2006/relationships/hyperlink" Target="https://www.mouser.com/datasheet/2/18/1/SMP-MSLD-PCT-19-1879979.pdf" TargetMode="External"/><Relationship Id="rId34" Type="http://schemas.openxmlformats.org/officeDocument/2006/relationships/hyperlink" Target="https://www.mouser.com/ProductDetail/Amphenol-RF/SMP-MSLD-PCT-19?qs=W%2FMpXkg%252BdQ7fm2NGZokl4g%3D%3D" TargetMode="External"/><Relationship Id="rId35" Type="http://schemas.openxmlformats.org/officeDocument/2006/relationships/hyperlink" Target="https://www.pasternack.com/images/ProductPDF/PE44482.pdf" TargetMode="External"/><Relationship Id="rId36" Type="http://schemas.openxmlformats.org/officeDocument/2006/relationships/hyperlink" Target="https://www.digikey.com/en/products/detail/pasternack/PE44482/21345571" TargetMode="External"/><Relationship Id="rId37" Type="http://schemas.openxmlformats.org/officeDocument/2006/relationships/hyperlink" Target="https://search.murata.co.jp/Ceramy/image/img/P02/JELF243A-0050.pdf" TargetMode="External"/><Relationship Id="rId38" Type="http://schemas.openxmlformats.org/officeDocument/2006/relationships/hyperlink" Target="https://www.digikey.com/en/products/detail/murata-electronics/LQW15AN82NG00D/2594960" TargetMode="External"/><Relationship Id="rId39" Type="http://schemas.openxmlformats.org/officeDocument/2006/relationships/hyperlink" Target="https://www.mouser.com/ProductDetail/Murata-Electronics/LQW15AN82NG00D?qs=ekRhxRASFoOmIuPoZ9s8%252BQ%3D%3D" TargetMode="External"/><Relationship Id="rId40" Type="http://schemas.openxmlformats.org/officeDocument/2006/relationships/hyperlink" Target="https://search.murata.co.jp/Ceramy/image/img/P02/JELF243A-0050.pdf" TargetMode="External"/><Relationship Id="rId41" Type="http://schemas.openxmlformats.org/officeDocument/2006/relationships/hyperlink" Target="https://www.digikey.com/en/products/detail/murata-electronics/LQW15AN8N2G00D/2594961" TargetMode="External"/><Relationship Id="rId42" Type="http://schemas.openxmlformats.org/officeDocument/2006/relationships/hyperlink" Target="https://www.mouser.com/ProductDetail/Murata-Electronics/LQW15AN8N2G00D?qs=REqFmfCFF5c0Hz%2FMb1KRXg%3D%3D" TargetMode="External"/><Relationship Id="rId43" Type="http://schemas.openxmlformats.org/officeDocument/2006/relationships/hyperlink" Target="https://search.murata.co.jp/Ceramy/image/img/P02/JELF243A-0050.pdf" TargetMode="External"/><Relationship Id="rId44" Type="http://schemas.openxmlformats.org/officeDocument/2006/relationships/hyperlink" Target="https://www.digikey.com/en/products/detail/murata-electronics/LQW15AN5N9B80D/4292376" TargetMode="External"/><Relationship Id="rId45" Type="http://schemas.openxmlformats.org/officeDocument/2006/relationships/hyperlink" Target="https://www.mouser.com/ProductDetail/Murata-Electronics/LQW15AN5N9B80D?qs=F2r4PX9PQ5%2FLq51d2z3g7g%3D%3D" TargetMode="External"/><Relationship Id="rId46" Type="http://schemas.openxmlformats.org/officeDocument/2006/relationships/hyperlink" Target="https://www.yageo.com/upload/media/product/products/datasheet/rchip/PYu-RC_Group_51_RoHS_L_12.pdf" TargetMode="External"/><Relationship Id="rId47" Type="http://schemas.openxmlformats.org/officeDocument/2006/relationships/hyperlink" Target="https://www.digikey.com/en/products/detail/yageo/RC0402FR-075R1L/5917722" TargetMode="External"/><Relationship Id="rId48" Type="http://schemas.openxmlformats.org/officeDocument/2006/relationships/hyperlink" Target="https://www.mouser.com/ProductDetail/YAGEO/RC0402FR-075R1L?qs=beCmh%2FXShNcKHNb5Mim9zw%3D%3D" TargetMode="External"/><Relationship Id="rId49" Type="http://schemas.openxmlformats.org/officeDocument/2006/relationships/hyperlink" Target="https://www.yageo.com/upload/media/product/products/datasheet/rchip/PYu-RC_Group_51_RoHS_L_12.pdf" TargetMode="External"/><Relationship Id="rId50" Type="http://schemas.openxmlformats.org/officeDocument/2006/relationships/hyperlink" Target="https://www.digikey.com/en/products/detail/yageo/RC0402FR-0710KL/726523" TargetMode="External"/><Relationship Id="rId51" Type="http://schemas.openxmlformats.org/officeDocument/2006/relationships/hyperlink" Target="https://www.mouser.com/ProductDetail/YAGEO/RC0402FR-0710KL?qs=I1mnnYJTTsxUoNwrUsQExA%3D%3D" TargetMode="External"/><Relationship Id="rId52" Type="http://schemas.openxmlformats.org/officeDocument/2006/relationships/hyperlink" Target="https://www.yageo.com/upload/media/product/products/datasheet/rchip/PYu-RC_Group_51_RoHS_L_12.pdf" TargetMode="External"/><Relationship Id="rId53" Type="http://schemas.openxmlformats.org/officeDocument/2006/relationships/hyperlink" Target="https://www.digikey.com/en/products/detail/yageo/RC0402FR-070RL/2827570" TargetMode="External"/><Relationship Id="rId54" Type="http://schemas.openxmlformats.org/officeDocument/2006/relationships/hyperlink" Target="https://www.mouser.com/ProductDetail/YAGEO/RC0402FR-070RL?qs=sxZXDnvRBEhfSy4CZGX2ww%3D%3D" TargetMode="External"/><Relationship Id="rId55" Type="http://schemas.openxmlformats.org/officeDocument/2006/relationships/hyperlink" Target="https://www.yageo.com/upload/media/product/products/datasheet/rchip/PYu-RC_Group_51_RoHS_L_12.pdf" TargetMode="External"/><Relationship Id="rId56" Type="http://schemas.openxmlformats.org/officeDocument/2006/relationships/hyperlink" Target="https://www.digikey.com/en/products/detail/yageo/RC0402FR-075K6L/2827590" TargetMode="External"/><Relationship Id="rId57" Type="http://schemas.openxmlformats.org/officeDocument/2006/relationships/hyperlink" Target="https://www.mouser.com/ProductDetail/YAGEO/RC0402FR-075K6L?qs=Is6ZsIPfHkZGbvQHE6fDOQ%3D%3D" TargetMode="External"/><Relationship Id="rId58" Type="http://schemas.openxmlformats.org/officeDocument/2006/relationships/hyperlink" Target="https://www.yageo.com/upload/media/product/products/datasheet/rchip/PYu-RC_Group_51_RoHS_L_12.pdf" TargetMode="External"/><Relationship Id="rId59" Type="http://schemas.openxmlformats.org/officeDocument/2006/relationships/hyperlink" Target="https://www.digikey.com/en/products/detail/yageo/RC0402FR-073K6L/2827641" TargetMode="External"/><Relationship Id="rId60" Type="http://schemas.openxmlformats.org/officeDocument/2006/relationships/hyperlink" Target="https://www.mouser.com/ProductDetail/YAGEO/RC0402FR-073K6L?qs=V1yeUXFNrkl1X6rzgCf6mg%3D%3D" TargetMode="External"/><Relationship Id="rId61" Type="http://schemas.openxmlformats.org/officeDocument/2006/relationships/hyperlink" Target="https://www.yageo.com/upload/media/product/products/datasheet/rchip/PYu-RC_Group_51_RoHS_L_12.pdf" TargetMode="External"/><Relationship Id="rId62" Type="http://schemas.openxmlformats.org/officeDocument/2006/relationships/hyperlink" Target="https://www.digikey.com/en/products/detail/yageo/RC0402FR-071KL/726513" TargetMode="External"/><Relationship Id="rId63" Type="http://schemas.openxmlformats.org/officeDocument/2006/relationships/hyperlink" Target="https://www.mouser.com/ProductDetail/YAGEO/RC0402FR-071KL?qs=V1yeUXFNrknDEmWLmm5v6g%3D%3D" TargetMode="External"/><Relationship Id="rId64" Type="http://schemas.openxmlformats.org/officeDocument/2006/relationships/hyperlink" Target="https://www.yageo.com/upload/media/product/products/datasheet/rchip/PYu-RC_Group_51_RoHS_L_12.pdf" TargetMode="External"/><Relationship Id="rId65" Type="http://schemas.openxmlformats.org/officeDocument/2006/relationships/hyperlink" Target="https://www.digikey.com/en/products/detail/yageo/RC0402FR-0762RL/726646" TargetMode="External"/><Relationship Id="rId66" Type="http://schemas.openxmlformats.org/officeDocument/2006/relationships/hyperlink" Target="https://www.mouser.com/ProductDetail/YAGEO/RC0402FR-0762RL?qs=Is6ZsIPfHkYXNYG6uRvveA%3D%3D" TargetMode="External"/><Relationship Id="rId67" Type="http://schemas.openxmlformats.org/officeDocument/2006/relationships/hyperlink" Target="https://www.yageo.com/upload/media/product/products/datasheet/rchip/PYu-RC_Group_51_RoHS_L_12.pdf" TargetMode="External"/><Relationship Id="rId68" Type="http://schemas.openxmlformats.org/officeDocument/2006/relationships/hyperlink" Target="https://www.digikey.com/en/products/detail/yageo/RC0402FR-07270RL/2827584" TargetMode="External"/><Relationship Id="rId69" Type="http://schemas.openxmlformats.org/officeDocument/2006/relationships/hyperlink" Target="https://www.mouser.com/ProductDetail/YAGEO/RC0402FR-07270RL?qs=beCmh%2FXShNd6fsxAzpS%2Fyw%3D%3D" TargetMode="External"/><Relationship Id="rId70" Type="http://schemas.openxmlformats.org/officeDocument/2006/relationships/hyperlink" Target="https://api.pim.na.industrial.panasonic.com/file_stream/main/fileversion/1242" TargetMode="External"/><Relationship Id="rId71" Type="http://schemas.openxmlformats.org/officeDocument/2006/relationships/hyperlink" Target="https://www.digikey.com/en/products/detail/panasonic-electronic-components/ERJ-2GEJ5R1X/282087" TargetMode="External"/><Relationship Id="rId72" Type="http://schemas.openxmlformats.org/officeDocument/2006/relationships/hyperlink" Target="https://www.mouser.com/ProductDetail/Panasonic/ERJ-2GEJ5R1X?qs=YMBIwoNQYdW%2FaRSYbHn8kg%3D%3D" TargetMode="External"/><Relationship Id="rId73" Type="http://schemas.openxmlformats.org/officeDocument/2006/relationships/hyperlink" Target="https://www.yageo.com/upload/media/product/products/datasheet/rchip/PYu-RC_Group_51_RoHS_L_12.pdf" TargetMode="External"/><Relationship Id="rId74" Type="http://schemas.openxmlformats.org/officeDocument/2006/relationships/hyperlink" Target="https://www.digikey.com/en/products/detail/yageo/RC0402FR-0782KL/726665" TargetMode="External"/><Relationship Id="rId75" Type="http://schemas.openxmlformats.org/officeDocument/2006/relationships/hyperlink" Target="https://www.mouser.com/ProductDetail/YAGEO/RC0402FR-0782KL?qs=%252B0HKy5qiMX%252BeWGv%2FCX8bvg%3D%3D" TargetMode="External"/><Relationship Id="rId76" Type="http://schemas.openxmlformats.org/officeDocument/2006/relationships/hyperlink" Target="https://www.yageo.com/upload/media/product/products/datasheet/rchip/PYu-RC_Group_51_RoHS_L_12.pdf" TargetMode="External"/><Relationship Id="rId77" Type="http://schemas.openxmlformats.org/officeDocument/2006/relationships/hyperlink" Target="https://www.digikey.com/en/products/detail/yageo/RC0402FR-0724KL/2827581" TargetMode="External"/><Relationship Id="rId78" Type="http://schemas.openxmlformats.org/officeDocument/2006/relationships/hyperlink" Target="https://www.mouser.com/ProductDetail/YAGEO/RC0402FR-0724KL?qs=UOUeRUa%252B8WlRCaiI5Zp6KA%3D%3D" TargetMode="External"/><Relationship Id="rId79" Type="http://schemas.openxmlformats.org/officeDocument/2006/relationships/hyperlink" Target="https://www.minicircuits.com/pdfs/PGA-105+.pdf" TargetMode="External"/><Relationship Id="rId80" Type="http://schemas.openxmlformats.org/officeDocument/2006/relationships/hyperlink" Target="https://www.digikey.com/en/products/detail/mini-circuits/PGA-105/13927567" TargetMode="External"/><Relationship Id="rId81" Type="http://schemas.openxmlformats.org/officeDocument/2006/relationships/hyperlink" Target="https://www.mouser.com/ProductDetail/Mini-Circuits/PGA-105%2b?qs=xZ%2FP%252Ba9zWqZsflWvnT%252BEgA%3D%3D" TargetMode="External"/><Relationship Id="rId82" Type="http://schemas.openxmlformats.org/officeDocument/2006/relationships/hyperlink" Target="https://www.ti.com/lit/ds/symlink/tmp117.pdf" TargetMode="External"/><Relationship Id="rId83" Type="http://schemas.openxmlformats.org/officeDocument/2006/relationships/hyperlink" Target="https://www.digikey.com/en/products/detail/texas-instruments/TMP117AIDRVR/9685284" TargetMode="External"/><Relationship Id="rId84" Type="http://schemas.openxmlformats.org/officeDocument/2006/relationships/hyperlink" Target="https://www.mouser.com/ProductDetail/Texas-Instruments/TMP117AIDRVR?qs=qSfuJ%252Bfl%2Fd6nh9h5HydMXQ%3D%3D" TargetMode="External"/><Relationship Id="rId85" Type="http://schemas.openxmlformats.org/officeDocument/2006/relationships/hyperlink" Target="https://www.analog.com/media/en/technical-documentation/data-sheets/AD8363.pdf" TargetMode="External"/><Relationship Id="rId86" Type="http://schemas.openxmlformats.org/officeDocument/2006/relationships/hyperlink" Target="https://www.digikey.com/en/products/detail/analog-devices-inc/AD8363ACPZ-R7/1979381" TargetMode="External"/><Relationship Id="rId87" Type="http://schemas.openxmlformats.org/officeDocument/2006/relationships/hyperlink" Target="https://www.mouser.com/ProductDetail/Analog-Devices/AD8363ACPZ-R7?qs=%2FtpEQrCGXCzii2aGnejL%252BQ%3D%3D" TargetMode="External"/><Relationship Id="rId88" Type="http://schemas.openxmlformats.org/officeDocument/2006/relationships/hyperlink" Target="https://www.ti.com/lit/ds/symlink/ina296b.pdf" TargetMode="External"/><Relationship Id="rId89" Type="http://schemas.openxmlformats.org/officeDocument/2006/relationships/hyperlink" Target="https://www.digikey.com/en/products/detail/texas-instruments/INA296B4IDDFR/17748294" TargetMode="External"/><Relationship Id="rId90" Type="http://schemas.openxmlformats.org/officeDocument/2006/relationships/hyperlink" Target="https://www.mouser.com/ProductDetail/Texas-Instruments/INA296B4IDDFR?qs=IPgv5n7u5QYjX7ahqknfMw%3D%3D" TargetMode="External"/><Relationship Id="rId91" Type="http://schemas.openxmlformats.org/officeDocument/2006/relationships/hyperlink" Target="https://www.ti.com/lit/ds/symlink/tca6408a.pdf" TargetMode="External"/><Relationship Id="rId92" Type="http://schemas.openxmlformats.org/officeDocument/2006/relationships/hyperlink" Target="https://www.digikey.com/en/products/detail/texas-instruments/TCA6408ARGTR/2094640" TargetMode="External"/><Relationship Id="rId93" Type="http://schemas.openxmlformats.org/officeDocument/2006/relationships/hyperlink" Target="https://www.mouser.com/ProductDetail/Texas-Instruments/TCA6408ARGTR?qs=I4smPnw5um2xBJN3iV2JIg%3D%3D" TargetMode="External"/><Relationship Id="rId94" Type="http://schemas.openxmlformats.org/officeDocument/2006/relationships/hyperlink" Target="https://www.renesas.com/us/en/document/dst/f1958-datasheet?r=456991" TargetMode="External"/><Relationship Id="rId95" Type="http://schemas.openxmlformats.org/officeDocument/2006/relationships/hyperlink" Target="https://www.digikey.com/en/products/detail/renesas-electronics-corporation/F1958NBGK/9603059" TargetMode="External"/><Relationship Id="rId96" Type="http://schemas.openxmlformats.org/officeDocument/2006/relationships/hyperlink" Target="https://www.mouser.com/ProductDetail/Renesas-Electronics/F1958NBGK?qs=lc2O%252BfHJPVbjfYzEkcEk9w%3D%3D" TargetMode="External"/><Relationship Id="rId97" Type="http://schemas.openxmlformats.org/officeDocument/2006/relationships/hyperlink" Target="https://www.ti.com/lit/ds/symlink/tps7a26.pdf?HQS=dis-dk-null-digikeymode-dsf-pf-null-wwe&amp;ts=1697651079181" TargetMode="External"/><Relationship Id="rId98" Type="http://schemas.openxmlformats.org/officeDocument/2006/relationships/hyperlink" Target="https://www.digikey.com/en/products/detail/texas-instruments/TPS7A2601DRVR/10434712" TargetMode="External"/><Relationship Id="rId99" Type="http://schemas.openxmlformats.org/officeDocument/2006/relationships/hyperlink" Target="https://www.mouser.com/ProductDetail/Texas-Instruments/TPS7A2601DRVR?qs=2WXlatMagcHhzhbv1AQhhg%3D%3D" TargetMode="External"/><Relationship Id="rId100" Type="http://schemas.openxmlformats.org/officeDocument/2006/relationships/hyperlink" Target="http://www.ti.com/lit/ds/symlink/tps79333-ep.pdf" TargetMode="External"/><Relationship Id="rId101" Type="http://schemas.openxmlformats.org/officeDocument/2006/relationships/hyperlink" Target="https://www.digikey.com/en/products/detail/texas-instruments/TPS79333DBVR/476150" TargetMode="External"/><Relationship Id="rId102" Type="http://schemas.openxmlformats.org/officeDocument/2006/relationships/hyperlink" Target="https://www.mouser.com/ProductDetail/Texas-Instruments/TPS79333DBVR?qs=nMmhAzRCgdBC3uG8aFwq%2FQ%3D%3D" TargetMode="External"/><Relationship Id="rId103" Type="http://schemas.openxmlformats.org/officeDocument/2006/relationships/hyperlink" Target="https://www.ti.com/lit/ds/symlink/tla2528.pdf" TargetMode="External"/><Relationship Id="rId104" Type="http://schemas.openxmlformats.org/officeDocument/2006/relationships/hyperlink" Target="https://www.digikey.com/en/products/detail/texas-instruments/TLA2528IRTER/12328606" TargetMode="External"/><Relationship Id="rId105" Type="http://schemas.openxmlformats.org/officeDocument/2006/relationships/hyperlink" Target="https://www.mouser.com/ProductDetail/Texas-Instruments/TLA2528IRTER?qs=%252B6g0mu59x7KfRzJN7APgZw%3D%3D" TargetMode="External"/><Relationship Id="rId106" Type="http://schemas.openxmlformats.org/officeDocument/2006/relationships/hyperlink" Target="https://www.susumu.co.jp/common/pdf/n_catalog_partition16_en.pdf" TargetMode="External"/><Relationship Id="rId107" Type="http://schemas.openxmlformats.org/officeDocument/2006/relationships/hyperlink" Target="https://www.digikey.com/en/products/detail/susumu/PAT1220-C-3DB-T5/948834" TargetMode="External"/><Relationship Id="rId108" Type="http://schemas.openxmlformats.org/officeDocument/2006/relationships/hyperlink" Target="https://www.mouser.com/ProductDetail/Susumu/PAT1220-C-3DB-T5?qs=y7y%2FNpWpM9l0UmqBk2xKag%3D%3D" TargetMode="External"/><Relationship Id="rId109" Type="http://schemas.openxmlformats.org/officeDocument/2006/relationships/hyperlink" Target="https://www.digikey.com/ordering/shoppingcart" TargetMode="External"/><Relationship Id="rId110" Type="http://schemas.openxmlformats.org/officeDocument/2006/relationships/hyperlink" Target="https://mouser.com/bom/" TargetMode="External"/><Relationship Id="rId111" Type="http://schemas.openxmlformats.org/officeDocument/2006/relationships/vmlDrawing" Target="../drawings/vmlDrawing1.vml"/><Relationship Id="rId11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25.7109375" customWidth="1"/>
    <col min="2" max="2" width="15.7109375" customWidth="1"/>
    <col min="3" max="4" width="33.7109375" customWidth="1" outlineLevel="2"/>
    <col min="5" max="5" width="19.7109375" customWidth="1" outlineLevel="1"/>
    <col min="6" max="6" width="9.140625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7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1.7109375" customWidth="1" outlineLevel="2"/>
    <col min="21" max="21" width="9.140625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</cols>
  <sheetData>
    <row r="1" spans="1:26">
      <c r="A1" s="1" t="s">
        <v>239</v>
      </c>
      <c r="B1" s="2" t="s">
        <v>240</v>
      </c>
      <c r="G1" s="3" t="s">
        <v>245</v>
      </c>
      <c r="H1" s="3">
        <v>100</v>
      </c>
    </row>
    <row r="2" spans="1:26">
      <c r="A2" s="1" t="s">
        <v>241</v>
      </c>
      <c r="B2" s="2" t="s">
        <v>242</v>
      </c>
      <c r="G2" s="1" t="s">
        <v>247</v>
      </c>
      <c r="H2" s="4">
        <f>TotalCost/BoardQty</f>
        <v>87.9402</v>
      </c>
    </row>
    <row r="3" spans="1:26">
      <c r="A3" s="1" t="s">
        <v>243</v>
      </c>
      <c r="B3" s="2" t="s">
        <v>244</v>
      </c>
      <c r="G3" s="1" t="s">
        <v>246</v>
      </c>
      <c r="H3" s="5">
        <f>SUM(H7:H44)</f>
        <v>8794.016</v>
      </c>
      <c r="M3" s="5">
        <f>SUM(M7:M44)</f>
        <v>6509.495</v>
      </c>
      <c r="N3" s="6" t="str">
        <f>(COUNTA(M7:M44)&amp;" of "&amp;ROWS(M7:M44)&amp;" parts found")</f>
        <v>36 of 38 parts found</v>
      </c>
      <c r="S3" s="5">
        <f>SUM(S7:S44)</f>
        <v>3841.3</v>
      </c>
      <c r="T3" s="6" t="str">
        <f>(COUNTA(S7:S44)&amp;" of "&amp;ROWS(S7:S44)&amp;" parts found")</f>
        <v>35 of 38 parts found</v>
      </c>
      <c r="Y3" s="5">
        <f>SUM(Y7:Y44)</f>
        <v>1900.0</v>
      </c>
      <c r="Z3" s="6" t="str">
        <f>(COUNTA(Y7:Y44)&amp;" of "&amp;ROWS(Y7:Y44)&amp;" parts found")</f>
        <v>1 of 38 parts found</v>
      </c>
    </row>
    <row r="4" spans="1:26">
      <c r="A4" s="1" t="s">
        <v>248</v>
      </c>
      <c r="B4" s="2" t="s">
        <v>249</v>
      </c>
    </row>
    <row r="5" spans="1:26">
      <c r="A5" s="7" t="s">
        <v>0</v>
      </c>
      <c r="B5" s="7"/>
      <c r="C5" s="7"/>
      <c r="D5" s="7"/>
      <c r="E5" s="7"/>
      <c r="F5" s="7"/>
      <c r="G5" s="7"/>
      <c r="H5" s="7"/>
      <c r="I5" s="8" t="s">
        <v>157</v>
      </c>
      <c r="J5" s="8"/>
      <c r="K5" s="8"/>
      <c r="L5" s="8"/>
      <c r="M5" s="8"/>
      <c r="N5" s="8"/>
      <c r="O5" s="9" t="s">
        <v>200</v>
      </c>
      <c r="P5" s="9"/>
      <c r="Q5" s="9"/>
      <c r="R5" s="9"/>
      <c r="S5" s="9"/>
      <c r="T5" s="9"/>
      <c r="U5" s="10" t="s">
        <v>236</v>
      </c>
      <c r="V5" s="10"/>
      <c r="W5" s="10"/>
      <c r="X5" s="10"/>
      <c r="Y5" s="10"/>
      <c r="Z5" s="10"/>
    </row>
    <row r="6" spans="1:26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158</v>
      </c>
      <c r="J6" s="11" t="s">
        <v>159</v>
      </c>
      <c r="K6" s="11" t="s">
        <v>7</v>
      </c>
      <c r="L6" s="11" t="s">
        <v>160</v>
      </c>
      <c r="M6" s="11" t="s">
        <v>8</v>
      </c>
      <c r="N6" s="11" t="s">
        <v>161</v>
      </c>
      <c r="O6" s="11" t="s">
        <v>158</v>
      </c>
      <c r="P6" s="11" t="s">
        <v>159</v>
      </c>
      <c r="Q6" s="11" t="s">
        <v>7</v>
      </c>
      <c r="R6" s="11" t="s">
        <v>160</v>
      </c>
      <c r="S6" s="11" t="s">
        <v>8</v>
      </c>
      <c r="T6" s="11" t="s">
        <v>161</v>
      </c>
      <c r="U6" s="11" t="s">
        <v>158</v>
      </c>
      <c r="V6" s="11" t="s">
        <v>159</v>
      </c>
      <c r="W6" s="11" t="s">
        <v>7</v>
      </c>
      <c r="X6" s="11" t="s">
        <v>160</v>
      </c>
      <c r="Y6" s="11" t="s">
        <v>8</v>
      </c>
      <c r="Z6" s="11" t="s">
        <v>161</v>
      </c>
    </row>
    <row r="7" spans="1:26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>
        <f>CEILING(BoardQty*1.0,1)</f>
        <v>100</v>
      </c>
      <c r="G7" s="13">
        <f>IF(MIN(W7,K7,Q7)&lt;&gt;0,MIN(W7,K7,Q7),"")</f>
        <v>0.354</v>
      </c>
      <c r="H7" s="14">
        <f>IF(AND(ISNUMBER(F7),ISNUMBER(G7)),F7*G7,"")</f>
        <v>35.4</v>
      </c>
      <c r="I7" s="12">
        <v>2523</v>
      </c>
      <c r="J7" s="12"/>
      <c r="K7" s="13">
        <f>IFERROR(IF(OR(J7&gt;=L7,F7&gt;=L7),LOOKUP(IF(J7="",F7,J7),{0,1,10,50,100},{0.0,0.8,0.558,0.4698,0.3826}),"MOQ="&amp;L7),"")</f>
        <v>0.3826</v>
      </c>
      <c r="L7" s="12">
        <v>1</v>
      </c>
      <c r="M7" s="14">
        <f>IFERROR(IF(J7="",F7,J7)*K7,"")</f>
        <v>38.26</v>
      </c>
      <c r="N7" s="12" t="s">
        <v>162</v>
      </c>
      <c r="O7" s="12">
        <v>4631</v>
      </c>
      <c r="P7" s="12"/>
      <c r="Q7" s="13">
        <f>IFERROR(IF(OR(P7&gt;=R7,F7&gt;=R7),LOOKUP(IF(P7="",F7,P7),{0,1,10,100,500,1000,2500,10000,50000},{0.0,0.72,0.44,0.354,0.275,0.239,0.224,0.206,0.205}),"MOQ="&amp;R7),"")</f>
        <v>0.354</v>
      </c>
      <c r="R7" s="12">
        <v>1</v>
      </c>
      <c r="S7" s="14">
        <f>IFERROR(IF(P7="",F7,P7)*Q7,"")</f>
        <v>35.4</v>
      </c>
      <c r="T7" s="12" t="s">
        <v>201</v>
      </c>
    </row>
    <row r="8" spans="1:26" ht="30" customHeight="1">
      <c r="A8" s="12" t="s">
        <v>14</v>
      </c>
      <c r="B8" s="12" t="s">
        <v>15</v>
      </c>
      <c r="C8" s="12" t="s">
        <v>16</v>
      </c>
      <c r="D8" s="12" t="s">
        <v>17</v>
      </c>
      <c r="E8" s="12" t="s">
        <v>18</v>
      </c>
      <c r="F8" s="12">
        <f>CEILING(BoardQty*15.0,1)</f>
        <v>1500</v>
      </c>
      <c r="G8" s="13">
        <f>IF(MIN(W8,K8,Q8)&lt;&gt;0,MIN(W8,K8,Q8),"")</f>
        <v>0.004</v>
      </c>
      <c r="H8" s="14">
        <f>IF(AND(ISNUMBER(F8),ISNUMBER(G8)),F8*G8,"")</f>
        <v>6.0</v>
      </c>
      <c r="I8" s="12">
        <v>31930666</v>
      </c>
      <c r="J8" s="12"/>
      <c r="K8" s="13">
        <f>IFERROR(IF(OR(J8&gt;=L8,F8&gt;=L8),LOOKUP(IF(J8="",F8,J8),{0,1,10,50,100,500,1000,2500,5000},{0.0,0.1,0.015,0.0088,0.0068,0.00514,0.00404,0.00368,0.00338}),"MOQ="&amp;L8),"")</f>
        <v>0.00404</v>
      </c>
      <c r="L8" s="12">
        <v>1</v>
      </c>
      <c r="M8" s="14">
        <f>IFERROR(IF(J8="",F8,J8)*K8,"")</f>
        <v>6.06</v>
      </c>
      <c r="N8" s="12" t="s">
        <v>163</v>
      </c>
      <c r="O8" s="12">
        <v>728721</v>
      </c>
      <c r="P8" s="12"/>
      <c r="Q8" s="13">
        <f>IFERROR(IF(OR(P8&gt;=R8,F8&gt;=R8),LOOKUP(IF(P8="",F8,P8),{0,1,10,100,1000,10000},{0.0,0.1,0.007,0.006,0.004,0.002}),"MOQ="&amp;R8),"")</f>
        <v>0.004</v>
      </c>
      <c r="R8" s="12">
        <v>1</v>
      </c>
      <c r="S8" s="14">
        <f>IFERROR(IF(P8="",F8,P8)*Q8,"")</f>
        <v>6.0</v>
      </c>
      <c r="T8" s="12" t="s">
        <v>202</v>
      </c>
    </row>
    <row r="9" spans="1:26">
      <c r="A9" s="12" t="s">
        <v>19</v>
      </c>
      <c r="B9" s="12" t="s">
        <v>20</v>
      </c>
      <c r="C9" s="12" t="s">
        <v>16</v>
      </c>
      <c r="D9" s="12" t="s">
        <v>17</v>
      </c>
      <c r="E9" s="12" t="s">
        <v>21</v>
      </c>
      <c r="F9" s="12">
        <f>CEILING(BoardQty*2.0,1)</f>
        <v>200</v>
      </c>
      <c r="G9" s="13">
        <f>IF(MIN(W9,K9,Q9)&lt;&gt;0,MIN(W9,K9,Q9),"")</f>
        <v>0.043</v>
      </c>
      <c r="H9" s="14">
        <f>IF(AND(ISNUMBER(F9),ISNUMBER(G9)),F9*G9,"")</f>
        <v>8.6</v>
      </c>
      <c r="I9" s="12">
        <v>26533</v>
      </c>
      <c r="J9" s="12"/>
      <c r="K9" s="13">
        <f>IFERROR(IF(OR(J9&gt;=L9,F9&gt;=L9),LOOKUP(IF(J9="",F9,J9),{0,1,10,50,100,500,1000,2500,5000},{0.0,0.18,0.122,0.073,0.0574,0.04242,0.03511,0.03268,0.0299}),"MOQ="&amp;L9),"")</f>
        <v>0.0574</v>
      </c>
      <c r="L9" s="12">
        <v>1</v>
      </c>
      <c r="M9" s="14">
        <f>IFERROR(IF(J9="",F9,J9)*K9,"")</f>
        <v>11.48</v>
      </c>
      <c r="N9" s="12" t="s">
        <v>164</v>
      </c>
      <c r="O9" s="12">
        <v>18005</v>
      </c>
      <c r="P9" s="12"/>
      <c r="Q9" s="13">
        <f>IFERROR(IF(OR(P9&gt;=R9,F9&gt;=R9),LOOKUP(IF(P9="",F9,P9),{0,1,10,100,1000,2500,10000,20000,50000,100000},{0.0,0.18,0.073,0.043,0.032,0.028,0.024,0.023,0.021,0.018}),"MOQ="&amp;R9),"")</f>
        <v>0.043</v>
      </c>
      <c r="R9" s="12">
        <v>1</v>
      </c>
      <c r="S9" s="14">
        <f>IFERROR(IF(P9="",F9,P9)*Q9,"")</f>
        <v>8.6</v>
      </c>
      <c r="T9" s="12" t="s">
        <v>203</v>
      </c>
    </row>
    <row r="10" spans="1:26">
      <c r="A10" s="12" t="s">
        <v>22</v>
      </c>
      <c r="B10" s="12" t="s">
        <v>23</v>
      </c>
      <c r="C10" s="12" t="s">
        <v>16</v>
      </c>
      <c r="D10" s="12" t="s">
        <v>17</v>
      </c>
      <c r="E10" s="12" t="s">
        <v>24</v>
      </c>
      <c r="F10" s="12">
        <f>CEILING(BoardQty*1.0,1)</f>
        <v>100</v>
      </c>
      <c r="G10" s="13">
        <f>IF(MIN(W10,K10,Q10)&lt;&gt;0,MIN(W10,K10,Q10),"")</f>
        <v>0.043</v>
      </c>
      <c r="H10" s="14">
        <f>IF(AND(ISNUMBER(F10),ISNUMBER(G10)),F10*G10,"")</f>
        <v>4.3</v>
      </c>
      <c r="I10" s="12">
        <v>21841</v>
      </c>
      <c r="J10" s="12"/>
      <c r="K10" s="13">
        <f>IFERROR(IF(OR(J10&gt;=L10,F10&gt;=L10),LOOKUP(IF(J10="",F10,J10),{0,1,10,50,100,500,1000,2500,5000},{0.0,0.18,0.122,0.073,0.0574,0.04242,0.03511,0.03268,0.0299}),"MOQ="&amp;L10),"")</f>
        <v>0.0574</v>
      </c>
      <c r="L10" s="12">
        <v>1</v>
      </c>
      <c r="M10" s="14">
        <f>IFERROR(IF(J10="",F10,J10)*K10,"")</f>
        <v>5.74</v>
      </c>
      <c r="N10" s="12" t="s">
        <v>165</v>
      </c>
      <c r="O10" s="12">
        <v>11756</v>
      </c>
      <c r="P10" s="12"/>
      <c r="Q10" s="13">
        <f>IFERROR(IF(OR(P10&gt;=R10,F10&gt;=R10),LOOKUP(IF(P10="",F10,P10),{0,1,10,100,1000,2500,10000,20000,50000,100000},{0.0,0.18,0.073,0.043,0.032,0.03,0.027,0.023,0.021,0.018}),"MOQ="&amp;R10),"")</f>
        <v>0.043</v>
      </c>
      <c r="R10" s="12">
        <v>1</v>
      </c>
      <c r="S10" s="14">
        <f>IFERROR(IF(P10="",F10,P10)*Q10,"")</f>
        <v>4.3</v>
      </c>
      <c r="T10" s="12" t="s">
        <v>204</v>
      </c>
    </row>
    <row r="11" spans="1:26" ht="30" customHeight="1">
      <c r="A11" s="12" t="s">
        <v>25</v>
      </c>
      <c r="B11" s="12" t="s">
        <v>26</v>
      </c>
      <c r="C11" s="12" t="s">
        <v>16</v>
      </c>
      <c r="D11" s="12" t="s">
        <v>17</v>
      </c>
      <c r="E11" s="12" t="s">
        <v>27</v>
      </c>
      <c r="F11" s="12">
        <f>CEILING(BoardQty*16.0,1)</f>
        <v>1600</v>
      </c>
      <c r="G11" s="13">
        <f>IF(MIN(W11,K11,Q11)&lt;&gt;0,MIN(W11,K11,Q11),"")</f>
        <v>0.0453</v>
      </c>
      <c r="H11" s="14">
        <f>IF(AND(ISNUMBER(F11),ISNUMBER(G11)),F11*G11,"")</f>
        <v>72.48</v>
      </c>
      <c r="I11" s="12">
        <v>20070</v>
      </c>
      <c r="J11" s="12"/>
      <c r="K11" s="13">
        <f>IFERROR(IF(OR(J11&gt;=L11,F11&gt;=L11),LOOKUP(IF(J11="",F11,J11),{0,1,10,50,100,500,1000,2500,5000},{0.0,0.22,0.14,0.0886,0.0709,0.0512,0.0453,0.04333,0.03939}),"MOQ="&amp;L11),"")</f>
        <v>0.0453</v>
      </c>
      <c r="L11" s="12">
        <v>1</v>
      </c>
      <c r="M11" s="14">
        <f>IFERROR(IF(J11="",F11,J11)*K11,"")</f>
        <v>72.48</v>
      </c>
      <c r="N11" s="12" t="s">
        <v>166</v>
      </c>
      <c r="O11" s="12">
        <v>26765</v>
      </c>
      <c r="P11" s="12"/>
      <c r="Q11" s="13">
        <f>IFERROR(IF(OR(P11&gt;=R11,F11&gt;=R11),LOOKUP(IF(P11="",F11,P11),{0,1,10,100,1000,2500,10000,20000,50000,100000},{0.0,0.22,0.089,0.052,0.046,0.04,0.038,0.034,0.031,0.026}),"MOQ="&amp;R11),"")</f>
        <v>0.046</v>
      </c>
      <c r="R11" s="12">
        <v>1</v>
      </c>
      <c r="S11" s="14">
        <f>IFERROR(IF(P11="",F11,P11)*Q11,"")</f>
        <v>73.6</v>
      </c>
      <c r="T11" s="12" t="s">
        <v>205</v>
      </c>
    </row>
    <row r="12" spans="1:26">
      <c r="A12" s="12" t="s">
        <v>28</v>
      </c>
      <c r="B12" s="12" t="s">
        <v>29</v>
      </c>
      <c r="C12" s="12" t="s">
        <v>16</v>
      </c>
      <c r="D12" s="12" t="s">
        <v>30</v>
      </c>
      <c r="E12" s="12" t="s">
        <v>31</v>
      </c>
      <c r="F12" s="12">
        <f>CEILING(BoardQty*3.0,1)</f>
        <v>300</v>
      </c>
      <c r="G12" s="13">
        <f>IF(MIN(W12,K12,Q12)&lt;&gt;0,MIN(W12,K12,Q12),"")</f>
        <v>0.01</v>
      </c>
      <c r="H12" s="14">
        <f>IF(AND(ISNUMBER(F12),ISNUMBER(G12)),F12*G12,"")</f>
        <v>3.0</v>
      </c>
      <c r="I12" s="12">
        <v>1673936</v>
      </c>
      <c r="J12" s="12"/>
      <c r="K12" s="13">
        <f>IFERROR(IF(OR(J12&gt;=L12,F12&gt;=L12),LOOKUP(IF(J12="",F12,J12),{0,1,10,50,100,500,1000},{0.0,0.1,0.03,0.017,0.0132,0.0099,0.00778}),"MOQ="&amp;L12),"")</f>
        <v>0.0132</v>
      </c>
      <c r="L12" s="12">
        <v>1</v>
      </c>
      <c r="M12" s="14">
        <f>IFERROR(IF(J12="",F12,J12)*K12,"")</f>
        <v>3.96</v>
      </c>
      <c r="N12" s="12" t="s">
        <v>167</v>
      </c>
      <c r="O12" s="12">
        <v>420187</v>
      </c>
      <c r="P12" s="12"/>
      <c r="Q12" s="13">
        <f>IFERROR(IF(OR(P12&gt;=R12,F12&gt;=R12),LOOKUP(IF(P12="",F12,P12),{0,1,10,100,1000,4000,8000,48000},{0.0,0.1,0.017,0.01,0.008,0.006,0.005,0.004}),"MOQ="&amp;R12),"")</f>
        <v>0.01</v>
      </c>
      <c r="R12" s="12">
        <v>1</v>
      </c>
      <c r="S12" s="14">
        <f>IFERROR(IF(P12="",F12,P12)*Q12,"")</f>
        <v>3.0</v>
      </c>
      <c r="T12" s="12" t="s">
        <v>206</v>
      </c>
    </row>
    <row r="13" spans="1:26">
      <c r="A13" s="12" t="s">
        <v>32</v>
      </c>
      <c r="B13" s="12" t="s">
        <v>33</v>
      </c>
      <c r="C13" s="12" t="s">
        <v>16</v>
      </c>
      <c r="D13" s="12" t="s">
        <v>30</v>
      </c>
      <c r="E13" s="12" t="s">
        <v>34</v>
      </c>
      <c r="F13" s="12">
        <f>CEILING(BoardQty*1.0,1)</f>
        <v>100</v>
      </c>
      <c r="G13" s="13">
        <f>IF(MIN(W13,K13,Q13)&lt;&gt;0,MIN(W13,K13,Q13),"")</f>
        <v>0.023</v>
      </c>
      <c r="H13" s="14">
        <f>IF(AND(ISNUMBER(F13),ISNUMBER(G13)),F13*G13,"")</f>
        <v>2.3</v>
      </c>
      <c r="I13" s="12">
        <v>167604</v>
      </c>
      <c r="J13" s="12"/>
      <c r="K13" s="13">
        <f>IFERROR(IF(OR(J13&gt;=L13,F13&gt;=L13),LOOKUP(IF(J13="",F13,J13),{0,1,10,50,100,500,1000},{0.0,0.11,0.073,0.0436,0.0343,0.02534,0.02098}),"MOQ="&amp;L13),"")</f>
        <v>0.0343</v>
      </c>
      <c r="L13" s="12">
        <v>1</v>
      </c>
      <c r="M13" s="14">
        <f>IFERROR(IF(J13="",F13,J13)*K13,"")</f>
        <v>3.43</v>
      </c>
      <c r="N13" s="12" t="s">
        <v>168</v>
      </c>
      <c r="O13" s="15" t="s">
        <v>170</v>
      </c>
      <c r="P13" s="12"/>
      <c r="Q13" s="13">
        <f>IFERROR(IF(OR(P13&gt;=R13,F13&gt;=R13),LOOKUP(IF(P13="",F13,P13),{0,1,10,100,1000,4000,8000,24000,100000},{0.0,0.11,0.044,0.023,0.019,0.013,0.012,0.011,0.01}),"MOQ="&amp;R13),"")</f>
        <v>0.023</v>
      </c>
      <c r="R13" s="12">
        <v>1</v>
      </c>
      <c r="S13" s="14">
        <f>IFERROR(IF(P13="",F13,P13)*Q13,"")</f>
        <v>2.3</v>
      </c>
      <c r="T13" s="12" t="s">
        <v>207</v>
      </c>
    </row>
    <row r="14" spans="1:26">
      <c r="A14" s="12" t="s">
        <v>35</v>
      </c>
      <c r="B14" s="12" t="s">
        <v>36</v>
      </c>
      <c r="C14" s="12" t="s">
        <v>37</v>
      </c>
      <c r="D14" s="12" t="s">
        <v>38</v>
      </c>
      <c r="E14" s="12" t="s">
        <v>39</v>
      </c>
      <c r="F14" s="12">
        <f>CEILING(BoardQty*1.0,1)</f>
        <v>100</v>
      </c>
      <c r="G14" s="13">
        <f>IF(MIN(W14,K14,Q14)&lt;&gt;0,MIN(W14,K14,Q14),"")</f>
        <v>0.106</v>
      </c>
      <c r="H14" s="14">
        <f>IF(AND(ISNUMBER(F14),ISNUMBER(G14)),F14*G14,"")</f>
        <v>10.6</v>
      </c>
      <c r="I14" s="15" t="s">
        <v>170</v>
      </c>
      <c r="J14" s="12"/>
      <c r="K14" s="13">
        <f>IFERROR(IF(OR(J14&gt;=L14,F14&gt;=L14),LOOKUP(IF(J14="",F14,J14),{0,1,7500,15000,37500,52500},{0.0,0.0796,0.0796,0.06884,0.06755,0.05593}),"MOQ="&amp;L14),"")</f>
        <v/>
      </c>
      <c r="L14" s="12">
        <v>7500</v>
      </c>
      <c r="M14" s="14">
        <f>IFERROR(IF(J14="",F14,J14)*K14,"")</f>
        <v/>
      </c>
      <c r="N14" s="12" t="s">
        <v>169</v>
      </c>
      <c r="O14" s="12">
        <v>8893</v>
      </c>
      <c r="P14" s="12"/>
      <c r="Q14" s="13">
        <f>IFERROR(IF(OR(P14&gt;=R14,F14&gt;=R14),LOOKUP(IF(P14="",F14,P14),{0,1,10,100,1000,5000,100000},{0.0,0.33,0.237,0.106,0.074,0.072,0.07}),"MOQ="&amp;R14),"")</f>
        <v>0.106</v>
      </c>
      <c r="R14" s="12">
        <v>1</v>
      </c>
      <c r="S14" s="14">
        <f>IFERROR(IF(P14="",F14,P14)*Q14,"")</f>
        <v>10.6</v>
      </c>
      <c r="T14" s="12" t="s">
        <v>208</v>
      </c>
    </row>
    <row r="15" spans="1:26">
      <c r="A15" s="12" t="s">
        <v>40</v>
      </c>
      <c r="B15" s="12" t="s">
        <v>41</v>
      </c>
      <c r="C15" s="12" t="s">
        <v>41</v>
      </c>
      <c r="D15" s="12" t="s">
        <v>42</v>
      </c>
      <c r="E15" s="12" t="s">
        <v>43</v>
      </c>
      <c r="F15" s="12">
        <f>CEILING(BoardQty*1.0,1)</f>
        <v>100</v>
      </c>
      <c r="G15" s="13">
        <f>IF(MIN(W15,K15,Q15)&lt;&gt;0,MIN(W15,K15,Q15),"")</f>
        <v>19.0</v>
      </c>
      <c r="H15" s="14">
        <f>IF(AND(ISNUMBER(F15),ISNUMBER(G15)),F15*G15,"")</f>
        <v>1900.0</v>
      </c>
      <c r="U15" s="15" t="s">
        <v>170</v>
      </c>
      <c r="V15" s="12"/>
      <c r="W15" s="13">
        <f>IFERROR(IF(OR(V15&gt;=X15,F15&gt;=X15),LOOKUP(IF(V15="",F15,V15),{0,1,5000},{0.0,19.0,8.5}),"MOQ="&amp;X15),"")</f>
        <v>19.0</v>
      </c>
      <c r="X15" s="12">
        <v>1</v>
      </c>
      <c r="Y15" s="14">
        <f>IFERROR(IF(V15="",F15,V15)*W15,"")</f>
        <v>1900.0</v>
      </c>
      <c r="Z15" s="12" t="s">
        <v>43</v>
      </c>
    </row>
    <row r="16" spans="1:26" ht="30" customHeight="1">
      <c r="A16" s="12" t="s">
        <v>44</v>
      </c>
      <c r="B16" s="12" t="s">
        <v>45</v>
      </c>
      <c r="C16" s="12" t="s">
        <v>46</v>
      </c>
      <c r="D16" s="12" t="s">
        <v>47</v>
      </c>
      <c r="E16" s="12" t="s">
        <v>48</v>
      </c>
      <c r="F16" s="12">
        <f>CEILING(BoardQty*1.0,1)</f>
        <v>100</v>
      </c>
      <c r="G16" s="13">
        <f>IF(MIN(W16,K16,Q16)&lt;&gt;0,MIN(W16,K16,Q16),"")</f>
        <v>0.8681</v>
      </c>
      <c r="H16" s="14">
        <f>IF(AND(ISNUMBER(F16),ISNUMBER(G16)),F16*G16,"")</f>
        <v>86.81</v>
      </c>
      <c r="I16" s="12">
        <v>4451</v>
      </c>
      <c r="J16" s="12"/>
      <c r="K16" s="13">
        <f>IFERROR(IF(OR(J16&gt;=L16,F16&gt;=L16),LOOKUP(IF(J16="",F16,J16),{0,1,5,10,50,100,250,500,1000},{0.0,1.39,1.346,1.259,1.0418,0.8681,0.84644,0.71622,0.6294}),"MOQ="&amp;L16),"")</f>
        <v>0.8681</v>
      </c>
      <c r="L16" s="12">
        <v>1</v>
      </c>
      <c r="M16" s="14">
        <f>IFERROR(IF(J16="",F16,J16)*K16,"")</f>
        <v>86.81</v>
      </c>
      <c r="N16" s="12" t="s">
        <v>171</v>
      </c>
      <c r="O16" s="12">
        <v>22020</v>
      </c>
      <c r="P16" s="12"/>
      <c r="Q16" s="13">
        <f>IFERROR(IF(OR(P16&gt;=R16,F16&gt;=R16),LOOKUP(IF(P16="",F16,P16),{0,1,10,25,100,250,500,1000,3000},{0.0,1.35,1.26,1.05,0.869,0.847,0.717,0.682,0.682}),"MOQ="&amp;R16),"")</f>
        <v>0.869</v>
      </c>
      <c r="R16" s="12">
        <v>1</v>
      </c>
      <c r="S16" s="14">
        <f>IFERROR(IF(P16="",F16,P16)*Q16,"")</f>
        <v>86.9</v>
      </c>
      <c r="T16" s="12" t="s">
        <v>209</v>
      </c>
    </row>
    <row r="17" spans="1:20">
      <c r="A17" s="12" t="s">
        <v>49</v>
      </c>
      <c r="B17" s="12" t="s">
        <v>50</v>
      </c>
      <c r="C17" s="12" t="s">
        <v>51</v>
      </c>
      <c r="D17" s="12" t="s">
        <v>52</v>
      </c>
      <c r="E17" s="12" t="s">
        <v>50</v>
      </c>
      <c r="F17" s="12">
        <f>CEILING(BoardQty*4.0,1)</f>
        <v>400</v>
      </c>
      <c r="G17" s="13">
        <f>IF(MIN(W17,K17,Q17)&lt;&gt;0,MIN(W17,K17,Q17),"")</f>
        <v>0.02968</v>
      </c>
      <c r="H17" s="14">
        <f>IF(AND(ISNUMBER(F17),ISNUMBER(G17)),F17*G17,"")</f>
        <v>11.872</v>
      </c>
      <c r="I17" s="12">
        <v>315284</v>
      </c>
      <c r="J17" s="12"/>
      <c r="K17" s="13">
        <f>IFERROR(IF(OR(J17&gt;=L17,F17&gt;=L17),LOOKUP(IF(J17="",F17,J17),{0,1,10,25,50,100,250,500,1000,5000},{0.0,0.1,0.068,0.0616,0.0556,0.0408,0.02968,0.0272,0.02348,0.01854}),"MOQ="&amp;L17),"")</f>
        <v>0.02968</v>
      </c>
      <c r="L17" s="12">
        <v>1</v>
      </c>
      <c r="M17" s="14">
        <f>IFERROR(IF(J17="",F17,J17)*K17,"")</f>
        <v>11.872</v>
      </c>
      <c r="N17" s="12" t="s">
        <v>172</v>
      </c>
      <c r="O17" s="12">
        <v>67077</v>
      </c>
      <c r="P17" s="12"/>
      <c r="Q17" s="13">
        <f>IFERROR(IF(OR(P17&gt;=R17,F17&gt;=R17),LOOKUP(IF(P17="",F17,P17),{0,1,10,100,500,1000,2500,10000,50000},{0.0,0.1,0.056,0.03,0.027,0.024,0.019,0.016,0.015}),"MOQ="&amp;R17),"")</f>
        <v>0.03</v>
      </c>
      <c r="R17" s="12">
        <v>1</v>
      </c>
      <c r="S17" s="14">
        <f>IFERROR(IF(P17="",F17,P17)*Q17,"")</f>
        <v>12.0</v>
      </c>
      <c r="T17" s="12" t="s">
        <v>210</v>
      </c>
    </row>
    <row r="18" spans="1:20">
      <c r="A18" s="12" t="s">
        <v>53</v>
      </c>
      <c r="B18" s="12" t="s">
        <v>54</v>
      </c>
      <c r="C18" s="12" t="s">
        <v>55</v>
      </c>
      <c r="D18" s="12" t="s">
        <v>56</v>
      </c>
      <c r="E18" s="12" t="s">
        <v>57</v>
      </c>
      <c r="F18" s="12">
        <f>CEILING(BoardQty*1.0,1)</f>
        <v>100</v>
      </c>
      <c r="G18" s="13">
        <f>IF(MIN(W18,K18,Q18)&lt;&gt;0,MIN(W18,K18,Q18),"")</f>
        <v>0.8288</v>
      </c>
      <c r="H18" s="14">
        <f>IF(AND(ISNUMBER(F18),ISNUMBER(G18)),F18*G18,"")</f>
        <v>82.88</v>
      </c>
      <c r="I18" s="12">
        <v>558</v>
      </c>
      <c r="J18" s="12"/>
      <c r="K18" s="13">
        <f>IFERROR(IF(OR(J18&gt;=L18,F18&gt;=L18),LOOKUP(IF(J18="",F18,J18),{0,1,10,100,500,1000,5000,10000},{0.0,1.05,1.006,0.8288,0.75342,0.65149,0.55842,0.53183}),"MOQ="&amp;L18),"")</f>
        <v>0.8288</v>
      </c>
      <c r="L18" s="12">
        <v>1</v>
      </c>
      <c r="M18" s="14">
        <f>IFERROR(IF(J18="",F18,J18)*K18,"")</f>
        <v>82.88</v>
      </c>
      <c r="N18" s="12" t="s">
        <v>173</v>
      </c>
    </row>
    <row r="19" spans="1:20" ht="30" customHeight="1">
      <c r="A19" s="12" t="s">
        <v>58</v>
      </c>
      <c r="B19" s="12" t="s">
        <v>59</v>
      </c>
      <c r="C19" s="12" t="s">
        <v>60</v>
      </c>
      <c r="D19" s="12" t="s">
        <v>61</v>
      </c>
      <c r="E19" s="12" t="s">
        <v>61</v>
      </c>
      <c r="F19" s="12">
        <f>CEILING(BoardQty*1.0,1)</f>
        <v>100</v>
      </c>
      <c r="G19" s="13">
        <f>IF(MIN(W19,K19,Q19)&lt;&gt;0,MIN(W19,K19,Q19),"")</f>
        <v>4.79</v>
      </c>
      <c r="H19" s="14">
        <f>IF(AND(ISNUMBER(F19),ISNUMBER(G19)),F19*G19,"")</f>
        <v>479.0</v>
      </c>
      <c r="O19" s="12">
        <v>48</v>
      </c>
      <c r="P19" s="12"/>
      <c r="Q19" s="13">
        <f>IFERROR(IF(OR(P19&gt;=R19,F19&gt;=R19),LOOKUP(IF(P19="",F19,P19),{0,1,10,100,250,500,1000,2500},{0.0,5.8,5.03,4.79,3.54,3.49,3.45,3.44}),"MOQ="&amp;R19),"")</f>
        <v>4.79</v>
      </c>
      <c r="R19" s="12">
        <v>1</v>
      </c>
      <c r="S19" s="14">
        <f>IFERROR(IF(P19="",F19,P19)*Q19,"")</f>
        <v>479.0</v>
      </c>
      <c r="T19" s="12" t="s">
        <v>211</v>
      </c>
    </row>
    <row r="20" spans="1:20" ht="30" customHeight="1">
      <c r="A20" s="12" t="s">
        <v>62</v>
      </c>
      <c r="B20" s="12" t="s">
        <v>59</v>
      </c>
      <c r="C20" s="12" t="s">
        <v>60</v>
      </c>
      <c r="D20" s="12" t="s">
        <v>63</v>
      </c>
      <c r="E20" s="12" t="s">
        <v>64</v>
      </c>
      <c r="F20" s="12">
        <f>CEILING(BoardQty*1.0,1)</f>
        <v>100</v>
      </c>
      <c r="G20" s="13">
        <f>IF(MIN(W20,K20,Q20)&lt;&gt;0,MIN(W20,K20,Q20),"")</f>
        <v>30.09</v>
      </c>
      <c r="H20" s="14">
        <f>IF(AND(ISNUMBER(F20),ISNUMBER(G20)),F20*G20,"")</f>
        <v>3009.0</v>
      </c>
      <c r="I20" s="12">
        <v>980</v>
      </c>
      <c r="J20" s="12"/>
      <c r="K20" s="13">
        <f>IFERROR(IF(OR(J20&gt;=L20,F20&gt;=L20),LOOKUP(IF(J20="",F20,J20),{0,1,25,50,100},{0.0,34.99,33.24,31.49,30.09}),"MOQ="&amp;L20),"")</f>
        <v>30.09</v>
      </c>
      <c r="L20" s="12">
        <v>1</v>
      </c>
      <c r="M20" s="14">
        <f>IFERROR(IF(J20="",F20,J20)*K20,"")</f>
        <v>3009.0</v>
      </c>
      <c r="N20" s="12" t="s">
        <v>174</v>
      </c>
    </row>
    <row r="21" spans="1:20">
      <c r="A21" s="12" t="s">
        <v>65</v>
      </c>
      <c r="B21" s="12" t="s">
        <v>66</v>
      </c>
      <c r="C21" s="12" t="s">
        <v>67</v>
      </c>
      <c r="D21" s="12" t="s">
        <v>52</v>
      </c>
      <c r="E21" s="12" t="s">
        <v>68</v>
      </c>
      <c r="F21" s="12">
        <f>CEILING(BoardQty*4.0,1)</f>
        <v>400</v>
      </c>
      <c r="G21" s="13">
        <f>IF(MIN(W21,K21,Q21)&lt;&gt;0,MIN(W21,K21,Q21),"")</f>
        <v>0.076</v>
      </c>
      <c r="H21" s="14">
        <f>IF(AND(ISNUMBER(F21),ISNUMBER(G21)),F21*G21,"")</f>
        <v>30.4</v>
      </c>
      <c r="I21" s="12">
        <v>2600</v>
      </c>
      <c r="J21" s="12"/>
      <c r="K21" s="13">
        <f>IFERROR(IF(OR(J21&gt;=L21,F21&gt;=L21),LOOKUP(IF(J21="",F21,J21),{0,1,10,25,50,100,250,500,1000,2500},{0.0,0.15,0.126,0.1156,0.102,0.0892,0.08496,0.07988,0.06118,0.05778}),"MOQ="&amp;L21),"")</f>
        <v>0.08496</v>
      </c>
      <c r="L21" s="12">
        <v>1</v>
      </c>
      <c r="M21" s="14">
        <f>IFERROR(IF(J21="",F21,J21)*K21,"")</f>
        <v>33.984</v>
      </c>
      <c r="N21" s="12" t="s">
        <v>175</v>
      </c>
      <c r="O21" s="12">
        <v>7240</v>
      </c>
      <c r="P21" s="12"/>
      <c r="Q21" s="13">
        <f>IFERROR(IF(OR(P21&gt;=R21,F21&gt;=R21),LOOKUP(IF(P21="",F21,P21),{0,1,10,100,1000,2500,10000,20000,50000,100000},{0.0,0.15,0.102,0.076,0.062,0.058,0.052,0.05,0.048,0.046}),"MOQ="&amp;R21),"")</f>
        <v>0.076</v>
      </c>
      <c r="R21" s="12">
        <v>1</v>
      </c>
      <c r="S21" s="14">
        <f>IFERROR(IF(P21="",F21,P21)*Q21,"")</f>
        <v>30.4</v>
      </c>
      <c r="T21" s="12" t="s">
        <v>212</v>
      </c>
    </row>
    <row r="22" spans="1:20">
      <c r="A22" s="12" t="s">
        <v>69</v>
      </c>
      <c r="B22" s="12" t="s">
        <v>70</v>
      </c>
      <c r="C22" s="12" t="s">
        <v>67</v>
      </c>
      <c r="D22" s="12" t="s">
        <v>52</v>
      </c>
      <c r="E22" s="12" t="s">
        <v>71</v>
      </c>
      <c r="F22" s="12">
        <f>CEILING(BoardQty*2.0,1)</f>
        <v>200</v>
      </c>
      <c r="G22" s="13">
        <f>IF(MIN(W22,K22,Q22)&lt;&gt;0,MIN(W22,K22,Q22),"")</f>
        <v>0.08</v>
      </c>
      <c r="H22" s="14">
        <f>IF(AND(ISNUMBER(F22),ISNUMBER(G22)),F22*G22,"")</f>
        <v>16.0</v>
      </c>
      <c r="I22" s="12">
        <v>50267</v>
      </c>
      <c r="J22" s="12"/>
      <c r="K22" s="13">
        <f>IFERROR(IF(OR(J22&gt;=L22,F22&gt;=L22),LOOKUP(IF(J22="",F22,J22),{0,1,10,25,50,100,250,500,1000,2500},{0.0,0.15,0.126,0.1156,0.102,0.0892,0.08496,0.07988,0.06118,0.05778}),"MOQ="&amp;L22),"")</f>
        <v>0.0892</v>
      </c>
      <c r="L22" s="12">
        <v>1</v>
      </c>
      <c r="M22" s="14">
        <f>IFERROR(IF(J22="",F22,J22)*K22,"")</f>
        <v>17.84</v>
      </c>
      <c r="N22" s="12" t="s">
        <v>176</v>
      </c>
      <c r="O22" s="12">
        <v>61008</v>
      </c>
      <c r="P22" s="12"/>
      <c r="Q22" s="13">
        <f>IFERROR(IF(OR(P22&gt;=R22,F22&gt;=R22),LOOKUP(IF(P22="",F22,P22),{0,1,10,100,1000,2500,10000,20000,100000},{0.0,0.15,0.102,0.08,0.062,0.058,0.051,0.048,0.046}),"MOQ="&amp;R22),"")</f>
        <v>0.08</v>
      </c>
      <c r="R22" s="12">
        <v>1</v>
      </c>
      <c r="S22" s="14">
        <f>IFERROR(IF(P22="",F22,P22)*Q22,"")</f>
        <v>16.0</v>
      </c>
      <c r="T22" s="12" t="s">
        <v>213</v>
      </c>
    </row>
    <row r="23" spans="1:20">
      <c r="A23" s="12" t="s">
        <v>72</v>
      </c>
      <c r="B23" s="12" t="s">
        <v>73</v>
      </c>
      <c r="C23" s="12" t="s">
        <v>67</v>
      </c>
      <c r="D23" s="12" t="s">
        <v>52</v>
      </c>
      <c r="E23" s="12" t="s">
        <v>74</v>
      </c>
      <c r="F23" s="12">
        <f>CEILING(BoardQty*1.0,1)</f>
        <v>100</v>
      </c>
      <c r="G23" s="13">
        <f>IF(MIN(W23,K23,Q23)&lt;&gt;0,MIN(W23,K23,Q23),"")</f>
        <v>0.117</v>
      </c>
      <c r="H23" s="14">
        <f>IF(AND(ISNUMBER(F23),ISNUMBER(G23)),F23*G23,"")</f>
        <v>11.7</v>
      </c>
      <c r="I23" s="12">
        <v>9585</v>
      </c>
      <c r="J23" s="12"/>
      <c r="K23" s="13">
        <f>IFERROR(IF(OR(J23&gt;=L23,F23&gt;=L23),LOOKUP(IF(J23="",F23,J23),{0,1,10,25,50,100,250,500,1000,2500},{0.0,0.22,0.183,0.168,0.1484,0.1298,0.1236,0.11618,0.08899,0.08405}),"MOQ="&amp;L23),"")</f>
        <v>0.1298</v>
      </c>
      <c r="L23" s="12">
        <v>1</v>
      </c>
      <c r="M23" s="14">
        <f>IFERROR(IF(J23="",F23,J23)*K23,"")</f>
        <v>12.98</v>
      </c>
      <c r="N23" s="12" t="s">
        <v>177</v>
      </c>
      <c r="O23" s="12">
        <v>9662</v>
      </c>
      <c r="P23" s="12"/>
      <c r="Q23" s="13">
        <f>IFERROR(IF(OR(P23&gt;=R23,F23&gt;=R23),LOOKUP(IF(P23="",F23,P23),{0,1,10,100,1000,2500,10000,20000,50000,100000},{0.0,0.22,0.149,0.117,0.089,0.085,0.075,0.069,0.068,0.067}),"MOQ="&amp;R23),"")</f>
        <v>0.117</v>
      </c>
      <c r="R23" s="12">
        <v>1</v>
      </c>
      <c r="S23" s="14">
        <f>IFERROR(IF(P23="",F23,P23)*Q23,"")</f>
        <v>11.7</v>
      </c>
      <c r="T23" s="12" t="s">
        <v>214</v>
      </c>
    </row>
    <row r="24" spans="1:20">
      <c r="A24" s="12" t="s">
        <v>75</v>
      </c>
      <c r="B24" s="12" t="s">
        <v>76</v>
      </c>
      <c r="C24" s="12" t="s">
        <v>77</v>
      </c>
      <c r="D24" s="12" t="s">
        <v>78</v>
      </c>
      <c r="E24" s="12" t="s">
        <v>79</v>
      </c>
      <c r="F24" s="12">
        <f>CEILING(BoardQty*2.0,1)</f>
        <v>200</v>
      </c>
      <c r="G24" s="13">
        <f>IF(MIN(W24,K24,Q24)&lt;&gt;0,MIN(W24,K24,Q24),"")</f>
        <v>0.008</v>
      </c>
      <c r="H24" s="14">
        <f>IF(AND(ISNUMBER(F24),ISNUMBER(G24)),F24*G24,"")</f>
        <v>1.6</v>
      </c>
      <c r="I24" s="12">
        <v>657007</v>
      </c>
      <c r="J24" s="12"/>
      <c r="K24" s="13">
        <f>IFERROR(IF(OR(J24&gt;=L24,F24&gt;=L24),LOOKUP(IF(J24="",F24,J24),{0,1,10,50,100,500,1000,5000},{0.0,0.1,0.021,0.013,0.0107,0.00714,0.0061,0.00438}),"MOQ="&amp;L24),"")</f>
        <v>0.0107</v>
      </c>
      <c r="L24" s="12">
        <v>1</v>
      </c>
      <c r="M24" s="14">
        <f>IFERROR(IF(J24="",F24,J24)*K24,"")</f>
        <v>2.14</v>
      </c>
      <c r="N24" s="12" t="s">
        <v>178</v>
      </c>
      <c r="O24" s="12">
        <v>61874</v>
      </c>
      <c r="P24" s="12"/>
      <c r="Q24" s="13">
        <f>IFERROR(IF(OR(P24&gt;=R24,F24&gt;=R24),LOOKUP(IF(P24="",F24,P24),{0,1,10,100,1000,2500,10000,50000},{0.0,0.1,0.013,0.008,0.006,0.005,0.004,0.003}),"MOQ="&amp;R24),"")</f>
        <v>0.008</v>
      </c>
      <c r="R24" s="12">
        <v>1</v>
      </c>
      <c r="S24" s="14">
        <f>IFERROR(IF(P24="",F24,P24)*Q24,"")</f>
        <v>1.6</v>
      </c>
      <c r="T24" s="12" t="s">
        <v>215</v>
      </c>
    </row>
    <row r="25" spans="1:20">
      <c r="A25" s="12" t="s">
        <v>80</v>
      </c>
      <c r="B25" s="12" t="s">
        <v>81</v>
      </c>
      <c r="C25" s="12" t="s">
        <v>77</v>
      </c>
      <c r="D25" s="12" t="s">
        <v>78</v>
      </c>
      <c r="E25" s="12" t="s">
        <v>82</v>
      </c>
      <c r="F25" s="12">
        <f>CEILING(BoardQty*8.0,1)</f>
        <v>800</v>
      </c>
      <c r="G25" s="13">
        <f>IF(MIN(W25,K25,Q25)&lt;&gt;0,MIN(W25,K25,Q25),"")</f>
        <v>0.00488</v>
      </c>
      <c r="H25" s="14">
        <f>IF(AND(ISNUMBER(F25),ISNUMBER(G25)),F25*G25,"")</f>
        <v>3.904</v>
      </c>
      <c r="I25" s="12">
        <v>8019629</v>
      </c>
      <c r="J25" s="12"/>
      <c r="K25" s="13">
        <f>IFERROR(IF(OR(J25&gt;=L25,F25&gt;=L25),LOOKUP(IF(J25="",F25,J25),{0,1,10,50,100,500,1000,5000},{0.0,0.1,0.015,0.0088,0.0073,0.00488,0.00417,0.00297}),"MOQ="&amp;L25),"")</f>
        <v>0.00488</v>
      </c>
      <c r="L25" s="12">
        <v>1</v>
      </c>
      <c r="M25" s="14">
        <f>IFERROR(IF(J25="",F25,J25)*K25,"")</f>
        <v>3.904</v>
      </c>
      <c r="N25" s="12" t="s">
        <v>179</v>
      </c>
      <c r="O25" s="12">
        <v>2867707</v>
      </c>
      <c r="P25" s="12"/>
      <c r="Q25" s="13">
        <f>IFERROR(IF(OR(P25&gt;=R25,F25&gt;=R25),LOOKUP(IF(P25="",F25,P25),{0,1,10,100,2500,10000},{0.0,0.1,0.009,0.005,0.003,0.002}),"MOQ="&amp;R25),"")</f>
        <v>0.005</v>
      </c>
      <c r="R25" s="12">
        <v>1</v>
      </c>
      <c r="S25" s="14">
        <f>IFERROR(IF(P25="",F25,P25)*Q25,"")</f>
        <v>4.0</v>
      </c>
      <c r="T25" s="12" t="s">
        <v>216</v>
      </c>
    </row>
    <row r="26" spans="1:20">
      <c r="A26" s="12" t="s">
        <v>83</v>
      </c>
      <c r="B26" s="12" t="s">
        <v>84</v>
      </c>
      <c r="C26" s="12" t="s">
        <v>77</v>
      </c>
      <c r="D26" s="12" t="s">
        <v>78</v>
      </c>
      <c r="E26" s="12" t="s">
        <v>85</v>
      </c>
      <c r="F26" s="12">
        <f>CEILING(BoardQty*1.0,1)</f>
        <v>100</v>
      </c>
      <c r="G26" s="13">
        <f>IF(MIN(W26,K26,Q26)&lt;&gt;0,MIN(W26,K26,Q26),"")</f>
        <v>0.003</v>
      </c>
      <c r="H26" s="14">
        <f>IF(AND(ISNUMBER(F26),ISNUMBER(G26)),F26*G26,"")</f>
        <v>0.3</v>
      </c>
      <c r="I26" s="12">
        <v>3554832</v>
      </c>
      <c r="J26" s="12"/>
      <c r="K26" s="13">
        <f>IFERROR(IF(OR(J26&gt;=L26,F26&gt;=L26),LOOKUP(IF(J26="",F26,J26),{0,1,10,25,50,100,250,500,1000,5000},{0.0,0.1,0.011,0.0084,0.0064,0.0045,0.00364,0.0029,0.00214,0.00154}),"MOQ="&amp;L26),"")</f>
        <v>0.0045</v>
      </c>
      <c r="L26" s="12">
        <v>1</v>
      </c>
      <c r="M26" s="14">
        <f>IFERROR(IF(J26="",F26,J26)*K26,"")</f>
        <v>0.45</v>
      </c>
      <c r="N26" s="12" t="s">
        <v>180</v>
      </c>
      <c r="O26" s="12">
        <v>2380402</v>
      </c>
      <c r="P26" s="12"/>
      <c r="Q26" s="13">
        <f>IFERROR(IF(OR(P26&gt;=R26,F26&gt;=R26),LOOKUP(IF(P26="",F26,P26),{0,1,10,100,2500,10000},{0.0,0.1,0.007,0.003,0.002,0.002}),"MOQ="&amp;R26),"")</f>
        <v>0.003</v>
      </c>
      <c r="R26" s="12">
        <v>1</v>
      </c>
      <c r="S26" s="14">
        <f>IFERROR(IF(P26="",F26,P26)*Q26,"")</f>
        <v>0.3</v>
      </c>
      <c r="T26" s="12" t="s">
        <v>217</v>
      </c>
    </row>
    <row r="27" spans="1:20">
      <c r="A27" s="12" t="s">
        <v>86</v>
      </c>
      <c r="B27" s="12" t="s">
        <v>87</v>
      </c>
      <c r="C27" s="12" t="s">
        <v>77</v>
      </c>
      <c r="D27" s="12" t="s">
        <v>78</v>
      </c>
      <c r="E27" s="12" t="s">
        <v>88</v>
      </c>
      <c r="F27" s="12">
        <f>CEILING(BoardQty*2.0,1)</f>
        <v>200</v>
      </c>
      <c r="G27" s="13">
        <f>IF(MIN(W27,K27,Q27)&lt;&gt;0,MIN(W27,K27,Q27),"")</f>
        <v>0.004</v>
      </c>
      <c r="H27" s="14">
        <f>IF(AND(ISNUMBER(F27),ISNUMBER(G27)),F27*G27,"")</f>
        <v>0.8</v>
      </c>
      <c r="I27" s="12">
        <v>3040758</v>
      </c>
      <c r="J27" s="12"/>
      <c r="K27" s="13">
        <f>IFERROR(IF(OR(J27&gt;=L27,F27&gt;=L27),LOOKUP(IF(J27="",F27,J27),{0,1,10,50,100,500,1000,5000},{0.0,0.1,0.01,0.0062,0.0051,0.00344,0.00293,0.00209}),"MOQ="&amp;L27),"")</f>
        <v>0.0051</v>
      </c>
      <c r="L27" s="12">
        <v>1</v>
      </c>
      <c r="M27" s="14">
        <f>IFERROR(IF(J27="",F27,J27)*K27,"")</f>
        <v>1.02</v>
      </c>
      <c r="N27" s="12" t="s">
        <v>181</v>
      </c>
      <c r="O27" s="12">
        <v>596644</v>
      </c>
      <c r="P27" s="12"/>
      <c r="Q27" s="13">
        <f>IFERROR(IF(OR(P27&gt;=R27,F27&gt;=R27),LOOKUP(IF(P27="",F27,P27),{0,1,10,100,1000,10000},{0.0,0.1,0.007,0.004,0.003,0.002}),"MOQ="&amp;R27),"")</f>
        <v>0.004</v>
      </c>
      <c r="R27" s="12">
        <v>1</v>
      </c>
      <c r="S27" s="14">
        <f>IFERROR(IF(P27="",F27,P27)*Q27,"")</f>
        <v>0.8</v>
      </c>
      <c r="T27" s="12" t="s">
        <v>218</v>
      </c>
    </row>
    <row r="28" spans="1:20">
      <c r="A28" s="12" t="s">
        <v>89</v>
      </c>
      <c r="B28" s="12" t="s">
        <v>90</v>
      </c>
      <c r="C28" s="12" t="s">
        <v>77</v>
      </c>
      <c r="D28" s="12" t="s">
        <v>78</v>
      </c>
      <c r="E28" s="12" t="s">
        <v>91</v>
      </c>
      <c r="F28" s="12">
        <f>CEILING(BoardQty*3.0,1)</f>
        <v>300</v>
      </c>
      <c r="G28" s="13">
        <f>IF(MIN(W28,K28,Q28)&lt;&gt;0,MIN(W28,K28,Q28),"")</f>
        <v>0.005</v>
      </c>
      <c r="H28" s="14">
        <f>IF(AND(ISNUMBER(F28),ISNUMBER(G28)),F28*G28,"")</f>
        <v>1.5</v>
      </c>
      <c r="I28" s="12">
        <v>307052</v>
      </c>
      <c r="J28" s="12"/>
      <c r="K28" s="13">
        <f>IFERROR(IF(OR(J28&gt;=L28,F28&gt;=L28),LOOKUP(IF(J28="",F28,J28),{0,1,10,50,100,500,1000,5000},{0.0,0.1,0.015,0.0088,0.0073,0.00488,0.00417,0.00297}),"MOQ="&amp;L28),"")</f>
        <v>0.0073</v>
      </c>
      <c r="L28" s="12">
        <v>1</v>
      </c>
      <c r="M28" s="14">
        <f>IFERROR(IF(J28="",F28,J28)*K28,"")</f>
        <v>2.19</v>
      </c>
      <c r="N28" s="12" t="s">
        <v>182</v>
      </c>
      <c r="O28" s="12">
        <v>73039</v>
      </c>
      <c r="P28" s="12"/>
      <c r="Q28" s="13">
        <f>IFERROR(IF(OR(P28&gt;=R28,F28&gt;=R28),LOOKUP(IF(P28="",F28,P28),{0,1,10,100,2500,10000,50000},{0.0,0.1,0.009,0.005,0.003,0.002,0.001}),"MOQ="&amp;R28),"")</f>
        <v>0.005</v>
      </c>
      <c r="R28" s="12">
        <v>1</v>
      </c>
      <c r="S28" s="14">
        <f>IFERROR(IF(P28="",F28,P28)*Q28,"")</f>
        <v>1.5</v>
      </c>
      <c r="T28" s="12" t="s">
        <v>219</v>
      </c>
    </row>
    <row r="29" spans="1:20">
      <c r="A29" s="12" t="s">
        <v>92</v>
      </c>
      <c r="B29" s="12" t="s">
        <v>93</v>
      </c>
      <c r="C29" s="12" t="s">
        <v>77</v>
      </c>
      <c r="D29" s="12" t="s">
        <v>78</v>
      </c>
      <c r="E29" s="12" t="s">
        <v>94</v>
      </c>
      <c r="F29" s="12">
        <f>CEILING(BoardQty*2.0,1)</f>
        <v>200</v>
      </c>
      <c r="G29" s="13">
        <f>IF(MIN(W29,K29,Q29)&lt;&gt;0,MIN(W29,K29,Q29),"")</f>
        <v>0.005</v>
      </c>
      <c r="H29" s="14">
        <f>IF(AND(ISNUMBER(F29),ISNUMBER(G29)),F29*G29,"")</f>
        <v>1.0</v>
      </c>
      <c r="I29" s="12">
        <v>7567235</v>
      </c>
      <c r="J29" s="12"/>
      <c r="K29" s="13">
        <f>IFERROR(IF(OR(J29&gt;=L29,F29&gt;=L29),LOOKUP(IF(J29="",F29,J29),{0,1,10,50,100,500,1000,5000},{0.0,0.1,0.015,0.0088,0.0073,0.00488,0.00417,0.00297}),"MOQ="&amp;L29),"")</f>
        <v>0.0073</v>
      </c>
      <c r="L29" s="12">
        <v>1</v>
      </c>
      <c r="M29" s="14">
        <f>IFERROR(IF(J29="",F29,J29)*K29,"")</f>
        <v>1.46</v>
      </c>
      <c r="N29" s="12" t="s">
        <v>183</v>
      </c>
      <c r="O29" s="12">
        <v>4360957</v>
      </c>
      <c r="P29" s="12"/>
      <c r="Q29" s="13">
        <f>IFERROR(IF(OR(P29&gt;=R29,F29&gt;=R29),LOOKUP(IF(P29="",F29,P29),{0,1,10,100,2500,10000},{0.0,0.1,0.009,0.005,0.003,0.002}),"MOQ="&amp;R29),"")</f>
        <v>0.005</v>
      </c>
      <c r="R29" s="12">
        <v>1</v>
      </c>
      <c r="S29" s="14">
        <f>IFERROR(IF(P29="",F29,P29)*Q29,"")</f>
        <v>1.0</v>
      </c>
      <c r="T29" s="12" t="s">
        <v>220</v>
      </c>
    </row>
    <row r="30" spans="1:20">
      <c r="A30" s="12" t="s">
        <v>95</v>
      </c>
      <c r="B30" s="12" t="s">
        <v>96</v>
      </c>
      <c r="C30" s="12" t="s">
        <v>77</v>
      </c>
      <c r="D30" s="12" t="s">
        <v>78</v>
      </c>
      <c r="E30" s="12" t="s">
        <v>97</v>
      </c>
      <c r="F30" s="12">
        <f>CEILING(BoardQty*1.0,1)</f>
        <v>100</v>
      </c>
      <c r="G30" s="13">
        <f>IF(MIN(W30,K30,Q30)&lt;&gt;0,MIN(W30,K30,Q30),"")</f>
        <v>0.005</v>
      </c>
      <c r="H30" s="14">
        <f>IF(AND(ISNUMBER(F30),ISNUMBER(G30)),F30*G30,"")</f>
        <v>0.5</v>
      </c>
      <c r="I30" s="12">
        <v>121944</v>
      </c>
      <c r="J30" s="12"/>
      <c r="K30" s="13">
        <f>IFERROR(IF(OR(J30&gt;=L30,F30&gt;=L30),LOOKUP(IF(J30="",F30,J30),{0,1,10,50,100,500,1000,5000},{0.0,0.1,0.015,0.0088,0.0073,0.00488,0.00417,0.00297}),"MOQ="&amp;L30),"")</f>
        <v>0.0073</v>
      </c>
      <c r="L30" s="12">
        <v>1</v>
      </c>
      <c r="M30" s="14">
        <f>IFERROR(IF(J30="",F30,J30)*K30,"")</f>
        <v>0.73</v>
      </c>
      <c r="N30" s="12" t="s">
        <v>184</v>
      </c>
      <c r="O30" s="12">
        <v>184726</v>
      </c>
      <c r="P30" s="12"/>
      <c r="Q30" s="13">
        <f>IFERROR(IF(OR(P30&gt;=R30,F30&gt;=R30),LOOKUP(IF(P30="",F30,P30),{0,1,10,100,2500,10000},{0.0,0.1,0.009,0.005,0.003,0.002}),"MOQ="&amp;R30),"")</f>
        <v>0.005</v>
      </c>
      <c r="R30" s="12">
        <v>1</v>
      </c>
      <c r="S30" s="14">
        <f>IFERROR(IF(P30="",F30,P30)*Q30,"")</f>
        <v>0.5</v>
      </c>
      <c r="T30" s="12" t="s">
        <v>221</v>
      </c>
    </row>
    <row r="31" spans="1:20">
      <c r="A31" s="12" t="s">
        <v>98</v>
      </c>
      <c r="B31" s="12" t="s">
        <v>99</v>
      </c>
      <c r="C31" s="12" t="s">
        <v>77</v>
      </c>
      <c r="D31" s="12" t="s">
        <v>78</v>
      </c>
      <c r="E31" s="12" t="s">
        <v>100</v>
      </c>
      <c r="F31" s="12">
        <f>CEILING(BoardQty*1.0,1)</f>
        <v>100</v>
      </c>
      <c r="G31" s="13">
        <f>IF(MIN(W31,K31,Q31)&lt;&gt;0,MIN(W31,K31,Q31),"")</f>
        <v>0.005</v>
      </c>
      <c r="H31" s="14">
        <f>IF(AND(ISNUMBER(F31),ISNUMBER(G31)),F31*G31,"")</f>
        <v>0.5</v>
      </c>
      <c r="I31" s="12">
        <v>36450</v>
      </c>
      <c r="J31" s="12"/>
      <c r="K31" s="13">
        <f>IFERROR(IF(OR(J31&gt;=L31,F31&gt;=L31),LOOKUP(IF(J31="",F31,J31),{0,1,10,50,100,500,1000,5000},{0.0,0.1,0.015,0.0088,0.0073,0.00488,0.00417,0.00297}),"MOQ="&amp;L31),"")</f>
        <v>0.0073</v>
      </c>
      <c r="L31" s="12">
        <v>1</v>
      </c>
      <c r="M31" s="14">
        <f>IFERROR(IF(J31="",F31,J31)*K31,"")</f>
        <v>0.73</v>
      </c>
      <c r="N31" s="12" t="s">
        <v>185</v>
      </c>
      <c r="O31" s="15" t="s">
        <v>170</v>
      </c>
      <c r="P31" s="12"/>
      <c r="Q31" s="13">
        <f>IFERROR(IF(OR(P31&gt;=R31,F31&gt;=R31),LOOKUP(IF(P31="",F31,P31),{0,1,10,100,2500,10000},{0.0,0.1,0.009,0.005,0.003,0.002}),"MOQ="&amp;R31),"")</f>
        <v>0.005</v>
      </c>
      <c r="R31" s="12">
        <v>1</v>
      </c>
      <c r="S31" s="14">
        <f>IFERROR(IF(P31="",F31,P31)*Q31,"")</f>
        <v>0.5</v>
      </c>
      <c r="T31" s="12" t="s">
        <v>222</v>
      </c>
    </row>
    <row r="32" spans="1:20">
      <c r="A32" s="12" t="s">
        <v>101</v>
      </c>
      <c r="B32" s="12" t="s">
        <v>76</v>
      </c>
      <c r="C32" s="12" t="s">
        <v>77</v>
      </c>
      <c r="D32" s="12" t="s">
        <v>78</v>
      </c>
      <c r="E32" s="12" t="s">
        <v>102</v>
      </c>
      <c r="F32" s="12">
        <f>CEILING(BoardQty*2.0,1)</f>
        <v>200</v>
      </c>
      <c r="G32" s="13">
        <f>IF(MIN(W32,K32,Q32)&lt;&gt;0,MIN(W32,K32,Q32),"")</f>
        <v>0.008</v>
      </c>
      <c r="H32" s="14">
        <f>IF(AND(ISNUMBER(F32),ISNUMBER(G32)),F32*G32,"")</f>
        <v>1.6</v>
      </c>
      <c r="I32" s="12">
        <v>497539</v>
      </c>
      <c r="J32" s="12"/>
      <c r="K32" s="13">
        <f>IFERROR(IF(OR(J32&gt;=L32,F32&gt;=L32),LOOKUP(IF(J32="",F32,J32),{0,1,10,50,100,500,1000,5000},{0.0,0.1,0.022,0.0134,0.0112,0.00758,0.00651,0.00473}),"MOQ="&amp;L32),"")</f>
        <v>0.0112</v>
      </c>
      <c r="L32" s="12">
        <v>1</v>
      </c>
      <c r="M32" s="14">
        <f>IFERROR(IF(J32="",F32,J32)*K32,"")</f>
        <v>2.24</v>
      </c>
      <c r="N32" s="12" t="s">
        <v>186</v>
      </c>
      <c r="O32" s="12">
        <v>222686</v>
      </c>
      <c r="P32" s="12"/>
      <c r="Q32" s="13">
        <f>IFERROR(IF(OR(P32&gt;=R32,F32&gt;=R32),LOOKUP(IF(P32="",F32,P32),{0,1,10,100,1000,2500,10000},{0.0,0.1,0.014,0.008,0.007,0.005,0.003}),"MOQ="&amp;R32),"")</f>
        <v>0.008</v>
      </c>
      <c r="R32" s="12">
        <v>1</v>
      </c>
      <c r="S32" s="14">
        <f>IFERROR(IF(P32="",F32,P32)*Q32,"")</f>
        <v>1.6</v>
      </c>
      <c r="T32" s="12" t="s">
        <v>223</v>
      </c>
    </row>
    <row r="33" spans="1:25">
      <c r="A33" s="12" t="s">
        <v>103</v>
      </c>
      <c r="B33" s="12" t="s">
        <v>104</v>
      </c>
      <c r="C33" s="12" t="s">
        <v>77</v>
      </c>
      <c r="D33" s="12" t="s">
        <v>78</v>
      </c>
      <c r="E33" s="12" t="s">
        <v>105</v>
      </c>
      <c r="F33" s="12">
        <f>CEILING(BoardQty*1.0,1)</f>
        <v>100</v>
      </c>
      <c r="G33" s="13">
        <f>IF(MIN(W33,K33,Q33)&lt;&gt;0,MIN(W33,K33,Q33),"")</f>
        <v>0.005</v>
      </c>
      <c r="H33" s="14">
        <f>IF(AND(ISNUMBER(F33),ISNUMBER(G33)),F33*G33,"")</f>
        <v>0.5</v>
      </c>
      <c r="I33" s="12">
        <v>496364</v>
      </c>
      <c r="J33" s="12"/>
      <c r="K33" s="13">
        <f>IFERROR(IF(OR(J33&gt;=L33,F33&gt;=L33),LOOKUP(IF(J33="",F33,J33),{0,1,10,50,100,500,1000,5000},{0.0,0.1,0.015,0.0088,0.0073,0.00488,0.00417,0.00297}),"MOQ="&amp;L33),"")</f>
        <v>0.0073</v>
      </c>
      <c r="L33" s="12">
        <v>1</v>
      </c>
      <c r="M33" s="14">
        <f>IFERROR(IF(J33="",F33,J33)*K33,"")</f>
        <v>0.73</v>
      </c>
      <c r="N33" s="12" t="s">
        <v>187</v>
      </c>
      <c r="O33" s="12">
        <v>483794</v>
      </c>
      <c r="P33" s="12"/>
      <c r="Q33" s="13">
        <f>IFERROR(IF(OR(P33&gt;=R33,F33&gt;=R33),LOOKUP(IF(P33="",F33,P33),{0,1,10,100,2500,10000},{0.0,0.1,0.009,0.005,0.003,0.002}),"MOQ="&amp;R33),"")</f>
        <v>0.005</v>
      </c>
      <c r="R33" s="12">
        <v>1</v>
      </c>
      <c r="S33" s="14">
        <f>IFERROR(IF(P33="",F33,P33)*Q33,"")</f>
        <v>0.5</v>
      </c>
      <c r="T33" s="12" t="s">
        <v>224</v>
      </c>
    </row>
    <row r="34" spans="1:25">
      <c r="A34" s="12" t="s">
        <v>106</v>
      </c>
      <c r="B34" s="12" t="s">
        <v>107</v>
      </c>
      <c r="C34" s="12" t="s">
        <v>77</v>
      </c>
      <c r="D34" s="12" t="s">
        <v>78</v>
      </c>
      <c r="E34" s="12" t="s">
        <v>108</v>
      </c>
      <c r="F34" s="12">
        <f>CEILING(BoardQty*1.0,1)</f>
        <v>100</v>
      </c>
      <c r="G34" s="13">
        <f>IF(MIN(W34,K34,Q34)&lt;&gt;0,MIN(W34,K34,Q34),"")</f>
        <v>0.005</v>
      </c>
      <c r="H34" s="14">
        <f>IF(AND(ISNUMBER(F34),ISNUMBER(G34)),F34*G34,"")</f>
        <v>0.5</v>
      </c>
      <c r="I34" s="12">
        <v>71386</v>
      </c>
      <c r="J34" s="12"/>
      <c r="K34" s="13">
        <f>IFERROR(IF(OR(J34&gt;=L34,F34&gt;=L34),LOOKUP(IF(J34="",F34,J34),{0,1,10,50,100,500,1000,5000},{0.0,0.1,0.015,0.0088,0.0073,0.00488,0.00417,0.00297}),"MOQ="&amp;L34),"")</f>
        <v>0.0073</v>
      </c>
      <c r="L34" s="12">
        <v>1</v>
      </c>
      <c r="M34" s="14">
        <f>IFERROR(IF(J34="",F34,J34)*K34,"")</f>
        <v>0.73</v>
      </c>
      <c r="N34" s="12" t="s">
        <v>188</v>
      </c>
      <c r="O34" s="12">
        <v>121544</v>
      </c>
      <c r="P34" s="12"/>
      <c r="Q34" s="13">
        <f>IFERROR(IF(OR(P34&gt;=R34,F34&gt;=R34),LOOKUP(IF(P34="",F34,P34),{0,1,10,100,2500,10000},{0.0,0.1,0.009,0.005,0.003,0.002}),"MOQ="&amp;R34),"")</f>
        <v>0.005</v>
      </c>
      <c r="R34" s="12">
        <v>1</v>
      </c>
      <c r="S34" s="14">
        <f>IFERROR(IF(P34="",F34,P34)*Q34,"")</f>
        <v>0.5</v>
      </c>
      <c r="T34" s="12" t="s">
        <v>225</v>
      </c>
    </row>
    <row r="35" spans="1:25" ht="30" customHeight="1">
      <c r="A35" s="12" t="s">
        <v>109</v>
      </c>
      <c r="B35" s="12" t="s">
        <v>110</v>
      </c>
      <c r="C35" s="12" t="s">
        <v>111</v>
      </c>
      <c r="D35" s="12" t="s">
        <v>112</v>
      </c>
      <c r="E35" s="12" t="s">
        <v>110</v>
      </c>
      <c r="F35" s="12">
        <f>CEILING(BoardQty*3.0,1)</f>
        <v>300</v>
      </c>
      <c r="G35" s="13">
        <f>IF(MIN(W35,K35,Q35)&lt;&gt;0,MIN(W35,K35,Q35),"")</f>
        <v>2.54</v>
      </c>
      <c r="H35" s="14">
        <f>IF(AND(ISNUMBER(F35),ISNUMBER(G35)),F35*G35,"")</f>
        <v>762.0</v>
      </c>
      <c r="I35" s="12">
        <v>6195</v>
      </c>
      <c r="J35" s="12"/>
      <c r="K35" s="13">
        <f>IFERROR(IF(OR(J35&gt;=L35,F35&gt;=L35),LOOKUP(IF(J35="",F35,J35),{0,1,10,20,50,100,200,500},{0.0,3.33,3.175,3.024,2.904,2.772,2.544,2.4}),"MOQ="&amp;L35),"")</f>
        <v>2.544</v>
      </c>
      <c r="L35" s="12">
        <v>1</v>
      </c>
      <c r="M35" s="14">
        <f>IFERROR(IF(J35="",F35,J35)*K35,"")</f>
        <v>763.2</v>
      </c>
      <c r="N35" s="12" t="s">
        <v>189</v>
      </c>
      <c r="O35" s="12">
        <v>1275</v>
      </c>
      <c r="P35" s="12"/>
      <c r="Q35" s="13">
        <f>IFERROR(IF(OR(P35&gt;=R35,F35&gt;=R35),LOOKUP(IF(P35="",F35,P35),{0,1,50,100,200,500,1000,2000},{0.0,3.02,2.9,2.77,2.54,2.4,2.17,2.03}),"MOQ="&amp;R35),"")</f>
        <v>2.54</v>
      </c>
      <c r="R35" s="12">
        <v>1</v>
      </c>
      <c r="S35" s="14">
        <f>IFERROR(IF(P35="",F35,P35)*Q35,"")</f>
        <v>762.0</v>
      </c>
      <c r="T35" s="12" t="s">
        <v>226</v>
      </c>
    </row>
    <row r="36" spans="1:25" ht="75" customHeight="1">
      <c r="A36" s="12" t="s">
        <v>113</v>
      </c>
      <c r="B36" s="12" t="s">
        <v>114</v>
      </c>
      <c r="C36" s="12" t="s">
        <v>115</v>
      </c>
      <c r="D36" s="12" t="s">
        <v>116</v>
      </c>
      <c r="E36" s="12" t="s">
        <v>117</v>
      </c>
      <c r="F36" s="12">
        <f>CEILING(BoardQty*1.0,1)</f>
        <v>100</v>
      </c>
      <c r="G36" s="13">
        <f>IF(MIN(W36,K36,Q36)&lt;&gt;0,MIN(W36,K36,Q36),"")</f>
        <v>3.916</v>
      </c>
      <c r="H36" s="14">
        <f>IF(AND(ISNUMBER(F36),ISNUMBER(G36)),F36*G36,"")</f>
        <v>391.6</v>
      </c>
      <c r="I36" s="12">
        <v>7934</v>
      </c>
      <c r="J36" s="12"/>
      <c r="K36" s="13">
        <f>IFERROR(IF(OR(J36&gt;=L36,F36&gt;=L36),LOOKUP(IF(J36="",F36,J36),{0,1,5,10,25,50,100,500,1000},{0.0,6.38,5.378,4.997,4.5344,4.2138,3.916,3.30366,3.07055}),"MOQ="&amp;L36),"")</f>
        <v>3.916</v>
      </c>
      <c r="L36" s="12">
        <v>1</v>
      </c>
      <c r="M36" s="14">
        <f>IFERROR(IF(J36="",F36,J36)*K36,"")</f>
        <v>391.6</v>
      </c>
      <c r="N36" s="12" t="s">
        <v>190</v>
      </c>
      <c r="O36" s="12">
        <v>5398</v>
      </c>
      <c r="P36" s="12"/>
      <c r="Q36" s="13">
        <f>IFERROR(IF(OR(P36&gt;=R36,F36&gt;=R36),LOOKUP(IF(P36="",F36,P36),{0,1,10,100,250,500,1000,3000},{0.0,6.31,4.42,4.05,3.89,3.58,3.42,3.27}),"MOQ="&amp;R36),"")</f>
        <v>4.05</v>
      </c>
      <c r="R36" s="12">
        <v>1</v>
      </c>
      <c r="S36" s="14">
        <f>IFERROR(IF(P36="",F36,P36)*Q36,"")</f>
        <v>405.0</v>
      </c>
      <c r="T36" s="12" t="s">
        <v>227</v>
      </c>
    </row>
    <row r="37" spans="1:25" ht="45" customHeight="1">
      <c r="A37" s="12" t="s">
        <v>118</v>
      </c>
      <c r="B37" s="12" t="s">
        <v>119</v>
      </c>
      <c r="C37" s="12" t="s">
        <v>120</v>
      </c>
      <c r="D37" s="12" t="s">
        <v>121</v>
      </c>
      <c r="E37" s="12" t="s">
        <v>122</v>
      </c>
      <c r="F37" s="12">
        <f>CEILING(BoardQty*1.0,1)</f>
        <v>100</v>
      </c>
      <c r="G37" s="13">
        <f>IF(MIN(W37,K37,Q37)&lt;&gt;0,MIN(W37,K37,Q37),"")</f>
        <v>6.71</v>
      </c>
      <c r="H37" s="14">
        <f>IF(AND(ISNUMBER(F37),ISNUMBER(G37)),F37*G37,"")</f>
        <v>671.0</v>
      </c>
      <c r="I37" s="12">
        <v>1112</v>
      </c>
      <c r="J37" s="12"/>
      <c r="K37" s="13">
        <f>IFERROR(IF(OR(J37&gt;=L37,F37&gt;=L37),LOOKUP(IF(J37="",F37,J37),{0,1,10,25,100,250,500},{0.0,12.49,8.804,7.8548,6.794,6.28028,5.9675}),"MOQ="&amp;L37),"")</f>
        <v>6.794</v>
      </c>
      <c r="L37" s="12">
        <v>1</v>
      </c>
      <c r="M37" s="14">
        <f>IFERROR(IF(J37="",F37,J37)*K37,"")</f>
        <v>679.4</v>
      </c>
      <c r="N37" s="12" t="s">
        <v>191</v>
      </c>
      <c r="O37" s="12">
        <v>1504</v>
      </c>
      <c r="P37" s="12"/>
      <c r="Q37" s="13">
        <f>IFERROR(IF(OR(P37&gt;=R37,F37&gt;=R37),LOOKUP(IF(P37="",F37,P37),{0,1,10,25,100,250,500,1500},{0.0,11.03,8.6,7.72,6.71,6.29,5.97,5.97}),"MOQ="&amp;R37),"")</f>
        <v>6.71</v>
      </c>
      <c r="R37" s="12">
        <v>1</v>
      </c>
      <c r="S37" s="14">
        <f>IFERROR(IF(P37="",F37,P37)*Q37,"")</f>
        <v>671.0</v>
      </c>
      <c r="T37" s="12" t="s">
        <v>228</v>
      </c>
    </row>
    <row r="38" spans="1:25" ht="60" customHeight="1">
      <c r="A38" s="12" t="s">
        <v>123</v>
      </c>
      <c r="B38" s="12" t="s">
        <v>124</v>
      </c>
      <c r="C38" s="12" t="s">
        <v>125</v>
      </c>
      <c r="D38" s="12" t="s">
        <v>126</v>
      </c>
      <c r="E38" s="12" t="s">
        <v>127</v>
      </c>
      <c r="F38" s="12">
        <f>CEILING(BoardQty*1.0,1)</f>
        <v>100</v>
      </c>
      <c r="G38" s="13">
        <f>IF(MIN(W38,K38,Q38)&lt;&gt;0,MIN(W38,K38,Q38),"")</f>
        <v>1.94</v>
      </c>
      <c r="H38" s="14">
        <f>IF(AND(ISNUMBER(F38),ISNUMBER(G38)),F38*G38,"")</f>
        <v>194.0</v>
      </c>
      <c r="I38" s="12">
        <v>2442</v>
      </c>
      <c r="J38" s="12"/>
      <c r="K38" s="13">
        <f>IFERROR(IF(OR(J38&gt;=L38,F38&gt;=L38),LOOKUP(IF(J38="",F38,J38),{0,1,10,25,100,250,500,1000},{0.0,2.83,2.543,2.3988,2.0437,1.919,1.67912,1.39128}),"MOQ="&amp;L38),"")</f>
        <v>2.0437</v>
      </c>
      <c r="L38" s="12">
        <v>1</v>
      </c>
      <c r="M38" s="14">
        <f>IFERROR(IF(J38="",F38,J38)*K38,"")</f>
        <v>204.37</v>
      </c>
      <c r="N38" s="12" t="s">
        <v>192</v>
      </c>
      <c r="O38" s="12">
        <v>2449</v>
      </c>
      <c r="P38" s="12"/>
      <c r="Q38" s="13">
        <f>IFERROR(IF(OR(P38&gt;=R38,F38&gt;=R38),LOOKUP(IF(P38="",F38,P38),{0,1,10,100,250,500,1000,3000,6000,9000},{0.0,2.69,2.41,1.94,1.82,1.59,1.32,1.23,1.18,1.14}),"MOQ="&amp;R38),"")</f>
        <v>1.94</v>
      </c>
      <c r="R38" s="12">
        <v>1</v>
      </c>
      <c r="S38" s="14">
        <f>IFERROR(IF(P38="",F38,P38)*Q38,"")</f>
        <v>194.0</v>
      </c>
      <c r="T38" s="12" t="s">
        <v>229</v>
      </c>
    </row>
    <row r="39" spans="1:25" ht="60" customHeight="1">
      <c r="A39" s="12" t="s">
        <v>128</v>
      </c>
      <c r="B39" s="12" t="s">
        <v>129</v>
      </c>
      <c r="C39" s="12" t="s">
        <v>130</v>
      </c>
      <c r="D39" s="12" t="s">
        <v>131</v>
      </c>
      <c r="E39" s="12" t="s">
        <v>132</v>
      </c>
      <c r="F39" s="12">
        <f>CEILING(BoardQty*1.0,1)</f>
        <v>100</v>
      </c>
      <c r="G39" s="13">
        <f>IF(MIN(W39,K39,Q39)&lt;&gt;0,MIN(W39,K39,Q39),"")</f>
        <v>0.631</v>
      </c>
      <c r="H39" s="14">
        <f>IF(AND(ISNUMBER(F39),ISNUMBER(G39)),F39*G39,"")</f>
        <v>63.1</v>
      </c>
      <c r="I39" s="12">
        <v>17775</v>
      </c>
      <c r="J39" s="12"/>
      <c r="K39" s="13">
        <f>IFERROR(IF(OR(J39&gt;=L39,F39&gt;=L39),LOOKUP(IF(J39="",F39,J39),{0,1,10,25,100,250,500,1000},{0.0,1.06,0.945,0.8964,0.7365,0.68844,0.6084,0.56375}),"MOQ="&amp;L39),"")</f>
        <v>0.7365</v>
      </c>
      <c r="L39" s="12">
        <v>1</v>
      </c>
      <c r="M39" s="14">
        <f>IFERROR(IF(J39="",F39,J39)*K39,"")</f>
        <v>73.65</v>
      </c>
      <c r="N39" s="12" t="s">
        <v>193</v>
      </c>
      <c r="O39" s="12">
        <v>54237</v>
      </c>
      <c r="P39" s="12"/>
      <c r="Q39" s="13">
        <f>IFERROR(IF(OR(P39&gt;=R39,F39&gt;=R39),LOOKUP(IF(P39="",F39,P39),{0,1,10,100,500,1000,3000,6000,9000},{0.0,0.84,0.742,0.631,0.582,0.564,0.551,0.547,0.545}),"MOQ="&amp;R39),"")</f>
        <v>0.631</v>
      </c>
      <c r="R39" s="12">
        <v>1</v>
      </c>
      <c r="S39" s="14">
        <f>IFERROR(IF(P39="",F39,P39)*Q39,"")</f>
        <v>63.1</v>
      </c>
      <c r="T39" s="12" t="s">
        <v>230</v>
      </c>
    </row>
    <row r="40" spans="1:25" ht="45" customHeight="1">
      <c r="A40" s="12" t="s">
        <v>133</v>
      </c>
      <c r="B40" s="12" t="s">
        <v>134</v>
      </c>
      <c r="C40" s="12" t="s">
        <v>135</v>
      </c>
      <c r="D40" s="12" t="s">
        <v>136</v>
      </c>
      <c r="E40" s="12" t="s">
        <v>137</v>
      </c>
      <c r="F40" s="12">
        <f>CEILING(BoardQty*1.0,1)</f>
        <v>100</v>
      </c>
      <c r="G40" s="13">
        <f>IF(MIN(W40,K40,Q40)&lt;&gt;0,MIN(W40,K40,Q40),"")</f>
        <v>4.7</v>
      </c>
      <c r="H40" s="14">
        <f>IF(AND(ISNUMBER(F40),ISNUMBER(G40)),F40*G40,"")</f>
        <v>470.0</v>
      </c>
      <c r="I40" s="12">
        <v>428</v>
      </c>
      <c r="J40" s="12"/>
      <c r="K40" s="13">
        <f>IFERROR(IF(OR(J40&gt;=L40,F40&gt;=L40),LOOKUP(IF(J40="",F40,J40),{0,1,10,25,80,230,490,980},{0.0,6.84,6.266,5.6964,5.12675,4.69952,4.27231,3.84507}),"MOQ="&amp;L40),"")</f>
        <v>5.12675</v>
      </c>
      <c r="L40" s="12">
        <v>1</v>
      </c>
      <c r="M40" s="14">
        <f>IFERROR(IF(J40="",F40,J40)*K40,"")</f>
        <v>512.675</v>
      </c>
      <c r="N40" s="12" t="s">
        <v>194</v>
      </c>
      <c r="O40" s="12">
        <v>4470</v>
      </c>
      <c r="P40" s="12"/>
      <c r="Q40" s="13">
        <f>IFERROR(IF(OR(P40&gt;=R40,F40&gt;=R40),LOOKUP(IF(P40="",F40,P40),{0,1,10,25,100,490,980},{0.0,6.84,6.27,5.13,4.7,3.91,3.84}),"MOQ="&amp;R40),"")</f>
        <v>4.7</v>
      </c>
      <c r="R40" s="12">
        <v>1</v>
      </c>
      <c r="S40" s="14">
        <f>IFERROR(IF(P40="",F40,P40)*Q40,"")</f>
        <v>470.0</v>
      </c>
      <c r="T40" s="12" t="s">
        <v>231</v>
      </c>
    </row>
    <row r="41" spans="1:25" ht="45" customHeight="1">
      <c r="A41" s="12" t="s">
        <v>138</v>
      </c>
      <c r="B41" s="12" t="s">
        <v>139</v>
      </c>
      <c r="C41" s="12" t="s">
        <v>140</v>
      </c>
      <c r="D41" s="12" t="s">
        <v>116</v>
      </c>
      <c r="E41" s="12" t="s">
        <v>141</v>
      </c>
      <c r="F41" s="12">
        <f>CEILING(BoardQty*1.0,1)</f>
        <v>100</v>
      </c>
      <c r="G41" s="13">
        <f>IF(MIN(W41,K41,Q41)&lt;&gt;0,MIN(W41,K41,Q41),"")</f>
        <v>0.7397</v>
      </c>
      <c r="H41" s="14">
        <f>IF(AND(ISNUMBER(F41),ISNUMBER(G41)),F41*G41,"")</f>
        <v>73.97</v>
      </c>
      <c r="I41" s="12">
        <v>12110</v>
      </c>
      <c r="J41" s="12"/>
      <c r="K41" s="13">
        <f>IFERROR(IF(OR(J41&gt;=L41,F41&gt;=L41),LOOKUP(IF(J41="",F41,J41),{0,1,10,25,100,250,500,1000},{0.0,1.06,0.949,0.9004,0.7397,0.69152,0.6111,0.56625}),"MOQ="&amp;L41),"")</f>
        <v>0.7397</v>
      </c>
      <c r="L41" s="12">
        <v>1</v>
      </c>
      <c r="M41" s="14">
        <f>IFERROR(IF(J41="",F41,J41)*K41,"")</f>
        <v>73.97</v>
      </c>
      <c r="N41" s="12" t="s">
        <v>195</v>
      </c>
      <c r="O41" s="12">
        <v>3473</v>
      </c>
      <c r="P41" s="12"/>
      <c r="Q41" s="13">
        <f>IFERROR(IF(OR(P41&gt;=R41,F41&gt;=R41),LOOKUP(IF(P41="",F41,P41),{0,1,10,100,500,1000,3000,6000,9000},{0.0,1.51,1.29,0.983,0.869,0.686,0.64,0.608,0.585}),"MOQ="&amp;R41),"")</f>
        <v>0.983</v>
      </c>
      <c r="R41" s="12">
        <v>1</v>
      </c>
      <c r="S41" s="14">
        <f>IFERROR(IF(P41="",F41,P41)*Q41,"")</f>
        <v>98.3</v>
      </c>
      <c r="T41" s="12" t="s">
        <v>232</v>
      </c>
    </row>
    <row r="42" spans="1:25" ht="60" customHeight="1">
      <c r="A42" s="12" t="s">
        <v>142</v>
      </c>
      <c r="B42" s="12" t="s">
        <v>143</v>
      </c>
      <c r="C42" s="12" t="s">
        <v>144</v>
      </c>
      <c r="D42" s="12" t="s">
        <v>145</v>
      </c>
      <c r="E42" s="12" t="s">
        <v>146</v>
      </c>
      <c r="F42" s="12">
        <f>CEILING(BoardQty*1.0,1)</f>
        <v>100</v>
      </c>
      <c r="G42" s="13">
        <f>IF(MIN(W42,K42,Q42)&lt;&gt;0,MIN(W42,K42,Q42),"")</f>
        <v>0.191</v>
      </c>
      <c r="H42" s="14">
        <f>IF(AND(ISNUMBER(F42),ISNUMBER(G42)),F42*G42,"")</f>
        <v>19.1</v>
      </c>
      <c r="I42" s="12">
        <v>18813</v>
      </c>
      <c r="J42" s="12"/>
      <c r="K42" s="13">
        <f>IFERROR(IF(OR(J42&gt;=L42,F42&gt;=L42),LOOKUP(IF(J42="",F42,J42),{0,1,10,25,100,250,500,1000},{0.0,0.63,0.391,0.3256,0.2506,0.21364,0.19098,0.17203}),"MOQ="&amp;L42),"")</f>
        <v>0.2506</v>
      </c>
      <c r="L42" s="12">
        <v>1</v>
      </c>
      <c r="M42" s="14">
        <f>IFERROR(IF(J42="",F42,J42)*K42,"")</f>
        <v>25.06</v>
      </c>
      <c r="N42" s="12" t="s">
        <v>196</v>
      </c>
      <c r="O42" s="12">
        <v>25109</v>
      </c>
      <c r="P42" s="12"/>
      <c r="Q42" s="13">
        <f>IFERROR(IF(OR(P42&gt;=R42,F42&gt;=R42),LOOKUP(IF(P42="",F42,P42),{0,1,10,100,1000,3000,9000,45000,99000},{0.0,0.56,0.324,0.191,0.157,0.129,0.119,0.107,0.106}),"MOQ="&amp;R42),"")</f>
        <v>0.191</v>
      </c>
      <c r="R42" s="12">
        <v>1</v>
      </c>
      <c r="S42" s="14">
        <f>IFERROR(IF(P42="",F42,P42)*Q42,"")</f>
        <v>19.1</v>
      </c>
      <c r="T42" s="12" t="s">
        <v>233</v>
      </c>
    </row>
    <row r="43" spans="1:25" ht="75" customHeight="1">
      <c r="A43" s="12" t="s">
        <v>147</v>
      </c>
      <c r="B43" s="12" t="s">
        <v>148</v>
      </c>
      <c r="C43" s="12" t="s">
        <v>149</v>
      </c>
      <c r="D43" s="12" t="s">
        <v>150</v>
      </c>
      <c r="E43" s="12" t="s">
        <v>151</v>
      </c>
      <c r="F43" s="12">
        <f>CEILING(BoardQty*1.0,1)</f>
        <v>100</v>
      </c>
      <c r="G43" s="13">
        <f>IF(MIN(W43,K43,Q43)&lt;&gt;0,MIN(W43,K43,Q43),"")</f>
        <v>3.24</v>
      </c>
      <c r="H43" s="14">
        <f>IF(AND(ISNUMBER(F43),ISNUMBER(G43)),F43*G43,"")</f>
        <v>324.0</v>
      </c>
      <c r="I43" s="12">
        <v>4852</v>
      </c>
      <c r="J43" s="12"/>
      <c r="K43" s="13">
        <f>IFERROR(IF(OR(J43&gt;=L43,F43&gt;=L43),LOOKUP(IF(J43="",F43,J43),{0,1,10,25,100,250,500,1000},{0.0,4.42,3.966,3.7496,3.2497,3.08304,2.7664,2.3331}),"MOQ="&amp;L43),"")</f>
        <v>3.2497</v>
      </c>
      <c r="L43" s="12">
        <v>1</v>
      </c>
      <c r="M43" s="14">
        <f>IFERROR(IF(J43="",F43,J43)*K43,"")</f>
        <v>324.97</v>
      </c>
      <c r="N43" s="12" t="s">
        <v>197</v>
      </c>
      <c r="O43" s="12">
        <v>15530</v>
      </c>
      <c r="P43" s="12"/>
      <c r="Q43" s="13">
        <f>IFERROR(IF(OR(P43&gt;=R43,F43&gt;=R43),LOOKUP(IF(P43="",F43,P43),{0,1,10,100,250,500,1000,3000},{0.0,4.41,3.96,3.24,3.08,2.76,2.33,2.21}),"MOQ="&amp;R43),"")</f>
        <v>3.24</v>
      </c>
      <c r="R43" s="12">
        <v>1</v>
      </c>
      <c r="S43" s="14">
        <f>IFERROR(IF(P43="",F43,P43)*Q43,"")</f>
        <v>324.0</v>
      </c>
      <c r="T43" s="12" t="s">
        <v>234</v>
      </c>
    </row>
    <row r="44" spans="1:25" ht="45" customHeight="1">
      <c r="A44" s="12" t="s">
        <v>152</v>
      </c>
      <c r="B44" s="12" t="s">
        <v>153</v>
      </c>
      <c r="C44" s="12" t="s">
        <v>154</v>
      </c>
      <c r="D44" s="12" t="s">
        <v>155</v>
      </c>
      <c r="E44" s="12" t="s">
        <v>156</v>
      </c>
      <c r="F44" s="12">
        <f>CEILING(BoardQty*2.0,1)</f>
        <v>200</v>
      </c>
      <c r="G44" s="13">
        <f>IF(MIN(W44,K44,Q44)&lt;&gt;0,MIN(W44,K44,Q44),"")</f>
        <v>0.211</v>
      </c>
      <c r="H44" s="14">
        <f>IF(AND(ISNUMBER(F44),ISNUMBER(G44)),F44*G44,"")</f>
        <v>42.2</v>
      </c>
      <c r="I44" s="12">
        <v>64661</v>
      </c>
      <c r="J44" s="12"/>
      <c r="K44" s="13">
        <f>IFERROR(IF(OR(J44&gt;=L44,F44&gt;=L44),LOOKUP(IF(J44="",F44,J44),{0,1,10,25,100,250,500,1000},{0.0,0.42,0.313,0.2796,0.2375,0.21468,0.19982,0.18676}),"MOQ="&amp;L44),"")</f>
        <v>0.2375</v>
      </c>
      <c r="L44" s="12">
        <v>1</v>
      </c>
      <c r="M44" s="14">
        <f>IFERROR(IF(J44="",F44,J44)*K44,"")</f>
        <v>47.5</v>
      </c>
      <c r="N44" s="12" t="s">
        <v>198</v>
      </c>
      <c r="O44" s="12">
        <v>16743</v>
      </c>
      <c r="P44" s="12"/>
      <c r="Q44" s="13">
        <f>IFERROR(IF(OR(P44&gt;=R44,F44&gt;=R44),LOOKUP(IF(P44="",F44,P44),{0,1,10,100,500,1000,5000,10000,25000,50000},{0.0,0.38,0.274,0.211,0.191,0.166,0.143,0.137,0.132,0.128}),"MOQ="&amp;R44),"")</f>
        <v>0.211</v>
      </c>
      <c r="R44" s="12">
        <v>1</v>
      </c>
      <c r="S44" s="14">
        <f>IFERROR(IF(P44="",F44,P44)*Q44,"")</f>
        <v>42.2</v>
      </c>
      <c r="T44" s="12" t="s">
        <v>235</v>
      </c>
    </row>
    <row r="46" spans="1:25">
      <c r="G46" s="1" t="s">
        <v>237</v>
      </c>
      <c r="H46" s="5">
        <f>SUM(Y46,M46,S46)</f>
        <v>0</v>
      </c>
      <c r="I46" s="16" t="s">
        <v>199</v>
      </c>
      <c r="J46" s="6">
        <f>IFERROR(IF(COUNTIF(J7:J44,"&gt;0")&gt;0,COUNTIF(J7:J44,"&gt;0")&amp;" of "&amp;(ROWS(L7:L44)-COUNTBLANK(L7:L44))&amp;" parts purchased",""),"")</f>
        <v/>
      </c>
      <c r="M46" s="5">
        <f>SUMIF(J7:J44,"&gt;0",M7:M44)</f>
        <v>0</v>
      </c>
      <c r="O46" s="16" t="s">
        <v>199</v>
      </c>
      <c r="P46" s="6">
        <f>IFERROR(IF(COUNTIF(P7:P44,"&gt;0")&gt;0,COUNTIF(P7:P44,"&gt;0")&amp;" of "&amp;(ROWS(R7:R44)-COUNTBLANK(R7:R44))&amp;" parts purchased",""),"")</f>
        <v/>
      </c>
      <c r="S46" s="5">
        <f>SUMIF(P7:P44,"&gt;0",S7:S44)</f>
        <v>0</v>
      </c>
      <c r="V46" s="6">
        <f>IFERROR(IF(COUNTIF(V7:V44,"&gt;0")&gt;0,COUNTIF(V7:V44,"&gt;0")&amp;" of "&amp;(ROWS(X7:X44)-COUNTBLANK(X7:X44))&amp;" parts purchased",""),"")</f>
        <v/>
      </c>
      <c r="Y46" s="5">
        <f>SUMIF(V7:V44,"&gt;0",Y7:Y44)</f>
        <v>0</v>
      </c>
    </row>
    <row r="47" spans="1:25">
      <c r="A47" s="2" t="s">
        <v>250</v>
      </c>
      <c r="G47" s="17" t="s">
        <v>238</v>
      </c>
      <c r="J47" s="18">
        <f>CONCATENATE(J86,J87,J88,J89,J90,J91,J92,J93,J94,J95,J96,J97,J98,J99,J100,J101,J102,J103,J104,J105,J106,J107,J108,J109,J110,J111,J112,J113,J114,J115,J116,J117,J118,J119,J120,J121,J122,J123)</f>
        <v/>
      </c>
      <c r="P47" s="18">
        <f>CONCATENATE(P86,P87,P88,P89,P90,P91,P92,P93,P94,P95,P96,P97,P98,P99,P100,P101,P102,P103,P104,P105,P106,P107,P108,P109,P110,P111,P112,P113,P114,P115,P116,P117,P118,P119,P120,P121,P122,P123)</f>
        <v/>
      </c>
      <c r="V47" s="18">
        <f>CONCATENATE(V86,V87,V88,V89,V90,V91,V92,V93,V94,V95,V96,V97,V98,V99,V100,V101,V102,V103,V104,V105,V106,V107,V108,V109,V110,V111,V112,V113,V114,V115,V116,V117,V118,V119,V120,V121,V122,V123)</f>
        <v/>
      </c>
    </row>
    <row r="86" spans="10:22" ht="30" hidden="1" customHeight="1">
      <c r="J86" t="str">
        <f t="array" ref="J86:J123">IF(ISNUMBER(J7:J44)*(J7:J44&gt;=L7:L44)*(N7:N44&lt;&gt;""),TEXT(ROUNDUP(J7:J44/IF(ISNUMBER(L7:L44),L7:L44,1),0)*L7:L44,"##0")&amp;","&amp;N7:N44&amp;","&amp;SUBSTITUTE(SUBSTITUTE(IF(PURCHASE_DESCRIPTION&lt;&gt;"",PURCHASE_DESCRIPTION&amp;":","")&amp;A7:A44,",",";"),"
"," ")&amp;CHAR(10),"")</f>
        <v/>
      </c>
      <c r="P86" t="str">
        <f t="array" ref="P86:P123">IF(ISNUMBER(P7:P44)*(P7:P44&gt;=R7:R44)*(T7:T44&lt;&gt;""),T7:T44&amp;"|"&amp;TEXT(ROUNDUP(P7:P44/IF(ISNUMBER(R7:R44),R7:R44,1),0)*R7:R44,"##0")&amp;"|"&amp;SUBSTITUTE(SUBSTITUTE(SUBSTITUTE(IF(PURCHASE_DESCRIPTION&lt;&gt;"",PURCHASE_DESCRIPTION&amp;":","")&amp;A7:A44,"|",";")," ","_"),"
","_")&amp;CHAR(10),"")</f>
        <v/>
      </c>
      <c r="V86" t="str">
        <f t="array" ref="V86:V123">IF(ISNUMBER(V7:V44)*(V7:V44&gt;=X7:X44)*(Z7:Z44&lt;&gt;""),Z7:Z44&amp;","&amp;TEXT(ROUNDUP(V7:V44/IF(ISNUMBER(X7:X44),X7:X44,1),0)*X7:X44,"##0")&amp;","&amp;SUBSTITUTE(SUBSTITUTE(IF(PURCHASE_DESCRIPTION&lt;&gt;"",PURCHASE_DESCRIPTION&amp;":","")&amp;A7:A44,",",";"),"
"," ")&amp;CHAR(10),"")</f>
        <v/>
      </c>
    </row>
    <row r="87" spans="10:22" ht="30" hidden="1" customHeight="1">
      <c r="J87">
        <v>0</v>
      </c>
      <c r="P87">
        <v>0</v>
      </c>
      <c r="V87">
        <v>0</v>
      </c>
    </row>
    <row r="88" spans="10:22" ht="30" hidden="1" customHeight="1">
      <c r="J88">
        <v>0</v>
      </c>
      <c r="P88">
        <v>0</v>
      </c>
      <c r="V88">
        <v>0</v>
      </c>
    </row>
    <row r="89" spans="10:22" ht="30" hidden="1" customHeight="1">
      <c r="J89">
        <v>0</v>
      </c>
      <c r="P89">
        <v>0</v>
      </c>
      <c r="V89">
        <v>0</v>
      </c>
    </row>
    <row r="90" spans="10:22" ht="30" hidden="1" customHeight="1">
      <c r="J90">
        <v>0</v>
      </c>
      <c r="P90">
        <v>0</v>
      </c>
      <c r="V90">
        <v>0</v>
      </c>
    </row>
    <row r="91" spans="10:22" ht="30" hidden="1" customHeight="1">
      <c r="J91">
        <v>0</v>
      </c>
      <c r="P91">
        <v>0</v>
      </c>
      <c r="V91">
        <v>0</v>
      </c>
    </row>
    <row r="92" spans="10:22" ht="30" hidden="1" customHeight="1">
      <c r="J92">
        <v>0</v>
      </c>
      <c r="P92">
        <v>0</v>
      </c>
      <c r="V92">
        <v>0</v>
      </c>
    </row>
    <row r="93" spans="10:22" ht="30" hidden="1" customHeight="1">
      <c r="J93">
        <v>0</v>
      </c>
      <c r="P93">
        <v>0</v>
      </c>
      <c r="V93">
        <v>0</v>
      </c>
    </row>
    <row r="94" spans="10:22" ht="30" hidden="1" customHeight="1">
      <c r="J94">
        <v>0</v>
      </c>
      <c r="P94">
        <v>0</v>
      </c>
      <c r="V94">
        <v>0</v>
      </c>
    </row>
    <row r="95" spans="10:22" ht="30" hidden="1" customHeight="1">
      <c r="J95">
        <v>0</v>
      </c>
      <c r="P95">
        <v>0</v>
      </c>
      <c r="V95">
        <v>0</v>
      </c>
    </row>
    <row r="96" spans="10:22" ht="30" hidden="1" customHeight="1">
      <c r="J96">
        <v>0</v>
      </c>
      <c r="P96">
        <v>0</v>
      </c>
      <c r="V96">
        <v>0</v>
      </c>
    </row>
    <row r="97" spans="10:22" ht="30" hidden="1" customHeight="1">
      <c r="J97">
        <v>0</v>
      </c>
      <c r="P97">
        <v>0</v>
      </c>
      <c r="V97">
        <v>0</v>
      </c>
    </row>
    <row r="98" spans="10:22" ht="30" hidden="1" customHeight="1">
      <c r="J98">
        <v>0</v>
      </c>
      <c r="P98">
        <v>0</v>
      </c>
      <c r="V98">
        <v>0</v>
      </c>
    </row>
    <row r="99" spans="10:22" ht="30" hidden="1" customHeight="1">
      <c r="J99">
        <v>0</v>
      </c>
      <c r="P99">
        <v>0</v>
      </c>
      <c r="V99">
        <v>0</v>
      </c>
    </row>
    <row r="100" spans="10:22" ht="30" hidden="1" customHeight="1">
      <c r="J100">
        <v>0</v>
      </c>
      <c r="P100">
        <v>0</v>
      </c>
      <c r="V100">
        <v>0</v>
      </c>
    </row>
    <row r="101" spans="10:22" ht="30" hidden="1" customHeight="1">
      <c r="J101">
        <v>0</v>
      </c>
      <c r="P101">
        <v>0</v>
      </c>
      <c r="V101">
        <v>0</v>
      </c>
    </row>
    <row r="102" spans="10:22" ht="30" hidden="1" customHeight="1">
      <c r="J102">
        <v>0</v>
      </c>
      <c r="P102">
        <v>0</v>
      </c>
      <c r="V102">
        <v>0</v>
      </c>
    </row>
    <row r="103" spans="10:22" ht="30" hidden="1" customHeight="1">
      <c r="J103">
        <v>0</v>
      </c>
      <c r="P103">
        <v>0</v>
      </c>
      <c r="V103">
        <v>0</v>
      </c>
    </row>
    <row r="104" spans="10:22" ht="30" hidden="1" customHeight="1">
      <c r="J104">
        <v>0</v>
      </c>
      <c r="P104">
        <v>0</v>
      </c>
      <c r="V104">
        <v>0</v>
      </c>
    </row>
    <row r="105" spans="10:22" ht="30" hidden="1" customHeight="1">
      <c r="J105">
        <v>0</v>
      </c>
      <c r="P105">
        <v>0</v>
      </c>
      <c r="V105">
        <v>0</v>
      </c>
    </row>
    <row r="106" spans="10:22" ht="30" hidden="1" customHeight="1">
      <c r="J106">
        <v>0</v>
      </c>
      <c r="P106">
        <v>0</v>
      </c>
      <c r="V106">
        <v>0</v>
      </c>
    </row>
    <row r="107" spans="10:22" ht="30" hidden="1" customHeight="1">
      <c r="J107">
        <v>0</v>
      </c>
      <c r="P107">
        <v>0</v>
      </c>
      <c r="V107">
        <v>0</v>
      </c>
    </row>
    <row r="108" spans="10:22" ht="30" hidden="1" customHeight="1">
      <c r="J108">
        <v>0</v>
      </c>
      <c r="P108">
        <v>0</v>
      </c>
      <c r="V108">
        <v>0</v>
      </c>
    </row>
    <row r="109" spans="10:22" ht="30" hidden="1" customHeight="1">
      <c r="J109">
        <v>0</v>
      </c>
      <c r="P109">
        <v>0</v>
      </c>
      <c r="V109">
        <v>0</v>
      </c>
    </row>
    <row r="110" spans="10:22" ht="30" hidden="1" customHeight="1">
      <c r="J110">
        <v>0</v>
      </c>
      <c r="P110">
        <v>0</v>
      </c>
      <c r="V110">
        <v>0</v>
      </c>
    </row>
    <row r="111" spans="10:22" ht="30" hidden="1" customHeight="1">
      <c r="J111">
        <v>0</v>
      </c>
      <c r="P111">
        <v>0</v>
      </c>
      <c r="V111">
        <v>0</v>
      </c>
    </row>
    <row r="112" spans="10:22" ht="30" hidden="1" customHeight="1">
      <c r="J112">
        <v>0</v>
      </c>
      <c r="P112">
        <v>0</v>
      </c>
      <c r="V112">
        <v>0</v>
      </c>
    </row>
    <row r="113" spans="10:22" ht="30" hidden="1" customHeight="1">
      <c r="J113">
        <v>0</v>
      </c>
      <c r="P113">
        <v>0</v>
      </c>
      <c r="V113">
        <v>0</v>
      </c>
    </row>
    <row r="114" spans="10:22" ht="30" hidden="1" customHeight="1">
      <c r="J114">
        <v>0</v>
      </c>
      <c r="P114">
        <v>0</v>
      </c>
      <c r="V114">
        <v>0</v>
      </c>
    </row>
    <row r="115" spans="10:22" ht="30" hidden="1" customHeight="1">
      <c r="J115">
        <v>0</v>
      </c>
      <c r="P115">
        <v>0</v>
      </c>
      <c r="V115">
        <v>0</v>
      </c>
    </row>
    <row r="116" spans="10:22" ht="30" hidden="1" customHeight="1">
      <c r="J116">
        <v>0</v>
      </c>
      <c r="P116">
        <v>0</v>
      </c>
      <c r="V116">
        <v>0</v>
      </c>
    </row>
    <row r="117" spans="10:22" ht="30" hidden="1" customHeight="1">
      <c r="J117">
        <v>0</v>
      </c>
      <c r="P117">
        <v>0</v>
      </c>
      <c r="V117">
        <v>0</v>
      </c>
    </row>
    <row r="118" spans="10:22" ht="30" hidden="1" customHeight="1">
      <c r="J118">
        <v>0</v>
      </c>
      <c r="P118">
        <v>0</v>
      </c>
      <c r="V118">
        <v>0</v>
      </c>
    </row>
    <row r="119" spans="10:22" ht="30" hidden="1" customHeight="1">
      <c r="J119">
        <v>0</v>
      </c>
      <c r="P119">
        <v>0</v>
      </c>
      <c r="V119">
        <v>0</v>
      </c>
    </row>
    <row r="120" spans="10:22" ht="30" hidden="1" customHeight="1">
      <c r="J120">
        <v>0</v>
      </c>
      <c r="P120">
        <v>0</v>
      </c>
      <c r="V120">
        <v>0</v>
      </c>
    </row>
    <row r="121" spans="10:22" ht="30" hidden="1" customHeight="1">
      <c r="J121">
        <v>0</v>
      </c>
      <c r="P121">
        <v>0</v>
      </c>
      <c r="V121">
        <v>0</v>
      </c>
    </row>
    <row r="122" spans="10:22" ht="30" hidden="1" customHeight="1">
      <c r="J122">
        <v>0</v>
      </c>
      <c r="P122">
        <v>0</v>
      </c>
      <c r="V122">
        <v>0</v>
      </c>
    </row>
    <row r="123" spans="10:22" ht="30" hidden="1" customHeight="1">
      <c r="J123">
        <v>0</v>
      </c>
      <c r="P123">
        <v>0</v>
      </c>
      <c r="V123">
        <v>0</v>
      </c>
    </row>
  </sheetData>
  <mergeCells count="7">
    <mergeCell ref="A5:H5"/>
    <mergeCell ref="I5:N5"/>
    <mergeCell ref="J47:M85"/>
    <mergeCell ref="O5:T5"/>
    <mergeCell ref="P47:S85"/>
    <mergeCell ref="U5:Z5"/>
    <mergeCell ref="V47:Y85"/>
  </mergeCells>
  <conditionalFormatting sqref="F10">
    <cfRule type="expression" dxfId="4" priority="305">
      <formula>AND(ISBLANK(E10),ISBLANK(Y10),ISBLANK(M10),ISBLANK(S10))</formula>
    </cfRule>
    <cfRule type="expression" dxfId="1" priority="306">
      <formula>IF(SUM(U10,I10,O10)=0,1,0)</formula>
    </cfRule>
    <cfRule type="cellIs" dxfId="0" priority="307" operator="greaterThan">
      <formula>SUM(U10,I10,O10)</formula>
    </cfRule>
    <cfRule type="cellIs" dxfId="3" priority="308" operator="greaterThan">
      <formula>SUM(IF(ISNUMBER(W10),V10,0),IF(ISNUMBER(K10),J10,0),IF(ISNUMBER(Q10),P10,0))</formula>
    </cfRule>
  </conditionalFormatting>
  <conditionalFormatting sqref="F11">
    <cfRule type="expression" dxfId="4" priority="309">
      <formula>AND(ISBLANK(E11),ISBLANK(Y11),ISBLANK(M11),ISBLANK(S11))</formula>
    </cfRule>
    <cfRule type="expression" dxfId="1" priority="310">
      <formula>IF(SUM(U11,I11,O11)=0,1,0)</formula>
    </cfRule>
    <cfRule type="cellIs" dxfId="0" priority="311" operator="greaterThan">
      <formula>SUM(U11,I11,O11)</formula>
    </cfRule>
    <cfRule type="cellIs" dxfId="3" priority="312" operator="greaterThan">
      <formula>SUM(IF(ISNUMBER(W11),V11,0),IF(ISNUMBER(K11),J11,0),IF(ISNUMBER(Q11),P11,0))</formula>
    </cfRule>
  </conditionalFormatting>
  <conditionalFormatting sqref="F12">
    <cfRule type="expression" dxfId="4" priority="313">
      <formula>AND(ISBLANK(E12),ISBLANK(Y12),ISBLANK(M12),ISBLANK(S12))</formula>
    </cfRule>
    <cfRule type="expression" dxfId="1" priority="314">
      <formula>IF(SUM(U12,I12,O12)=0,1,0)</formula>
    </cfRule>
    <cfRule type="cellIs" dxfId="0" priority="315" operator="greaterThan">
      <formula>SUM(U12,I12,O12)</formula>
    </cfRule>
    <cfRule type="cellIs" dxfId="3" priority="316" operator="greaterThan">
      <formula>SUM(IF(ISNUMBER(W12),V12,0),IF(ISNUMBER(K12),J12,0),IF(ISNUMBER(Q12),P12,0))</formula>
    </cfRule>
  </conditionalFormatting>
  <conditionalFormatting sqref="F13">
    <cfRule type="expression" dxfId="4" priority="317">
      <formula>AND(ISBLANK(E13),ISBLANK(Y13),ISBLANK(M13),ISBLANK(S13))</formula>
    </cfRule>
    <cfRule type="expression" dxfId="1" priority="318">
      <formula>IF(SUM(U13,I13,O13)=0,1,0)</formula>
    </cfRule>
    <cfRule type="cellIs" dxfId="0" priority="319" operator="greaterThan">
      <formula>SUM(U13,I13,O13)</formula>
    </cfRule>
    <cfRule type="cellIs" dxfId="3" priority="320" operator="greaterThan">
      <formula>SUM(IF(ISNUMBER(W13),V13,0),IF(ISNUMBER(K13),J13,0),IF(ISNUMBER(Q13),P13,0))</formula>
    </cfRule>
  </conditionalFormatting>
  <conditionalFormatting sqref="F14">
    <cfRule type="expression" dxfId="4" priority="321">
      <formula>AND(ISBLANK(E14),ISBLANK(Y14),ISBLANK(M14),ISBLANK(S14))</formula>
    </cfRule>
    <cfRule type="expression" dxfId="1" priority="322">
      <formula>IF(SUM(U14,I14,O14)=0,1,0)</formula>
    </cfRule>
    <cfRule type="cellIs" dxfId="0" priority="323" operator="greaterThan">
      <formula>SUM(U14,I14,O14)</formula>
    </cfRule>
    <cfRule type="cellIs" dxfId="3" priority="324" operator="greaterThan">
      <formula>SUM(IF(ISNUMBER(W14),V14,0),IF(ISNUMBER(K14),J14,0),IF(ISNUMBER(Q14),P14,0))</formula>
    </cfRule>
  </conditionalFormatting>
  <conditionalFormatting sqref="F15">
    <cfRule type="expression" dxfId="4" priority="325">
      <formula>AND(ISBLANK(E15),ISBLANK(Y15),ISBLANK(M15),ISBLANK(S15))</formula>
    </cfRule>
    <cfRule type="expression" dxfId="1" priority="326">
      <formula>IF(SUM(U15,I15,O15)=0,1,0)</formula>
    </cfRule>
    <cfRule type="cellIs" dxfId="0" priority="327" operator="greaterThan">
      <formula>SUM(U15,I15,O15)</formula>
    </cfRule>
    <cfRule type="cellIs" dxfId="3" priority="328" operator="greaterThan">
      <formula>SUM(IF(ISNUMBER(W15),V15,0),IF(ISNUMBER(K15),J15,0),IF(ISNUMBER(Q15),P15,0))</formula>
    </cfRule>
  </conditionalFormatting>
  <conditionalFormatting sqref="F16">
    <cfRule type="expression" dxfId="4" priority="329">
      <formula>AND(ISBLANK(E16),ISBLANK(Y16),ISBLANK(M16),ISBLANK(S16))</formula>
    </cfRule>
    <cfRule type="expression" dxfId="1" priority="330">
      <formula>IF(SUM(U16,I16,O16)=0,1,0)</formula>
    </cfRule>
    <cfRule type="cellIs" dxfId="0" priority="331" operator="greaterThan">
      <formula>SUM(U16,I16,O16)</formula>
    </cfRule>
    <cfRule type="cellIs" dxfId="3" priority="332" operator="greaterThan">
      <formula>SUM(IF(ISNUMBER(W16),V16,0),IF(ISNUMBER(K16),J16,0),IF(ISNUMBER(Q16),P16,0))</formula>
    </cfRule>
  </conditionalFormatting>
  <conditionalFormatting sqref="F17">
    <cfRule type="expression" dxfId="4" priority="333">
      <formula>AND(ISBLANK(E17),ISBLANK(Y17),ISBLANK(M17),ISBLANK(S17))</formula>
    </cfRule>
    <cfRule type="expression" dxfId="1" priority="334">
      <formula>IF(SUM(U17,I17,O17)=0,1,0)</formula>
    </cfRule>
    <cfRule type="cellIs" dxfId="0" priority="335" operator="greaterThan">
      <formula>SUM(U17,I17,O17)</formula>
    </cfRule>
    <cfRule type="cellIs" dxfId="3" priority="336" operator="greaterThan">
      <formula>SUM(IF(ISNUMBER(W17),V17,0),IF(ISNUMBER(K17),J17,0),IF(ISNUMBER(Q17),P17,0))</formula>
    </cfRule>
  </conditionalFormatting>
  <conditionalFormatting sqref="F18">
    <cfRule type="expression" dxfId="4" priority="337">
      <formula>AND(ISBLANK(E18),ISBLANK(Y18),ISBLANK(M18),ISBLANK(S18))</formula>
    </cfRule>
    <cfRule type="expression" dxfId="1" priority="338">
      <formula>IF(SUM(U18,I18,O18)=0,1,0)</formula>
    </cfRule>
    <cfRule type="cellIs" dxfId="0" priority="339" operator="greaterThan">
      <formula>SUM(U18,I18,O18)</formula>
    </cfRule>
    <cfRule type="cellIs" dxfId="3" priority="340" operator="greaterThan">
      <formula>SUM(IF(ISNUMBER(W18),V18,0),IF(ISNUMBER(K18),J18,0),IF(ISNUMBER(Q18),P18,0))</formula>
    </cfRule>
  </conditionalFormatting>
  <conditionalFormatting sqref="F19">
    <cfRule type="expression" dxfId="4" priority="341">
      <formula>AND(ISBLANK(E19),ISBLANK(Y19),ISBLANK(M19),ISBLANK(S19))</formula>
    </cfRule>
    <cfRule type="expression" dxfId="1" priority="342">
      <formula>IF(SUM(U19,I19,O19)=0,1,0)</formula>
    </cfRule>
    <cfRule type="cellIs" dxfId="0" priority="343" operator="greaterThan">
      <formula>SUM(U19,I19,O19)</formula>
    </cfRule>
    <cfRule type="cellIs" dxfId="3" priority="344" operator="greaterThan">
      <formula>SUM(IF(ISNUMBER(W19),V19,0),IF(ISNUMBER(K19),J19,0),IF(ISNUMBER(Q19),P19,0))</formula>
    </cfRule>
  </conditionalFormatting>
  <conditionalFormatting sqref="F20">
    <cfRule type="expression" dxfId="4" priority="345">
      <formula>AND(ISBLANK(E20),ISBLANK(Y20),ISBLANK(M20),ISBLANK(S20))</formula>
    </cfRule>
    <cfRule type="expression" dxfId="1" priority="346">
      <formula>IF(SUM(U20,I20,O20)=0,1,0)</formula>
    </cfRule>
    <cfRule type="cellIs" dxfId="0" priority="347" operator="greaterThan">
      <formula>SUM(U20,I20,O20)</formula>
    </cfRule>
    <cfRule type="cellIs" dxfId="3" priority="348" operator="greaterThan">
      <formula>SUM(IF(ISNUMBER(W20),V20,0),IF(ISNUMBER(K20),J20,0),IF(ISNUMBER(Q20),P20,0))</formula>
    </cfRule>
  </conditionalFormatting>
  <conditionalFormatting sqref="F21">
    <cfRule type="expression" dxfId="4" priority="349">
      <formula>AND(ISBLANK(E21),ISBLANK(Y21),ISBLANK(M21),ISBLANK(S21))</formula>
    </cfRule>
    <cfRule type="expression" dxfId="1" priority="350">
      <formula>IF(SUM(U21,I21,O21)=0,1,0)</formula>
    </cfRule>
    <cfRule type="cellIs" dxfId="0" priority="351" operator="greaterThan">
      <formula>SUM(U21,I21,O21)</formula>
    </cfRule>
    <cfRule type="cellIs" dxfId="3" priority="352" operator="greaterThan">
      <formula>SUM(IF(ISNUMBER(W21),V21,0),IF(ISNUMBER(K21),J21,0),IF(ISNUMBER(Q21),P21,0))</formula>
    </cfRule>
  </conditionalFormatting>
  <conditionalFormatting sqref="F22">
    <cfRule type="expression" dxfId="4" priority="353">
      <formula>AND(ISBLANK(E22),ISBLANK(Y22),ISBLANK(M22),ISBLANK(S22))</formula>
    </cfRule>
    <cfRule type="expression" dxfId="1" priority="354">
      <formula>IF(SUM(U22,I22,O22)=0,1,0)</formula>
    </cfRule>
    <cfRule type="cellIs" dxfId="0" priority="355" operator="greaterThan">
      <formula>SUM(U22,I22,O22)</formula>
    </cfRule>
    <cfRule type="cellIs" dxfId="3" priority="356" operator="greaterThan">
      <formula>SUM(IF(ISNUMBER(W22),V22,0),IF(ISNUMBER(K22),J22,0),IF(ISNUMBER(Q22),P22,0))</formula>
    </cfRule>
  </conditionalFormatting>
  <conditionalFormatting sqref="F23">
    <cfRule type="expression" dxfId="4" priority="357">
      <formula>AND(ISBLANK(E23),ISBLANK(Y23),ISBLANK(M23),ISBLANK(S23))</formula>
    </cfRule>
    <cfRule type="expression" dxfId="1" priority="358">
      <formula>IF(SUM(U23,I23,O23)=0,1,0)</formula>
    </cfRule>
    <cfRule type="cellIs" dxfId="0" priority="359" operator="greaterThan">
      <formula>SUM(U23,I23,O23)</formula>
    </cfRule>
    <cfRule type="cellIs" dxfId="3" priority="360" operator="greaterThan">
      <formula>SUM(IF(ISNUMBER(W23),V23,0),IF(ISNUMBER(K23),J23,0),IF(ISNUMBER(Q23),P23,0))</formula>
    </cfRule>
  </conditionalFormatting>
  <conditionalFormatting sqref="F24">
    <cfRule type="expression" dxfId="4" priority="361">
      <formula>AND(ISBLANK(E24),ISBLANK(Y24),ISBLANK(M24),ISBLANK(S24))</formula>
    </cfRule>
    <cfRule type="expression" dxfId="1" priority="362">
      <formula>IF(SUM(U24,I24,O24)=0,1,0)</formula>
    </cfRule>
    <cfRule type="cellIs" dxfId="0" priority="363" operator="greaterThan">
      <formula>SUM(U24,I24,O24)</formula>
    </cfRule>
    <cfRule type="cellIs" dxfId="3" priority="364" operator="greaterThan">
      <formula>SUM(IF(ISNUMBER(W24),V24,0),IF(ISNUMBER(K24),J24,0),IF(ISNUMBER(Q24),P24,0))</formula>
    </cfRule>
  </conditionalFormatting>
  <conditionalFormatting sqref="F25">
    <cfRule type="expression" dxfId="4" priority="365">
      <formula>AND(ISBLANK(E25),ISBLANK(Y25),ISBLANK(M25),ISBLANK(S25))</formula>
    </cfRule>
    <cfRule type="expression" dxfId="1" priority="366">
      <formula>IF(SUM(U25,I25,O25)=0,1,0)</formula>
    </cfRule>
    <cfRule type="cellIs" dxfId="0" priority="367" operator="greaterThan">
      <formula>SUM(U25,I25,O25)</formula>
    </cfRule>
    <cfRule type="cellIs" dxfId="3" priority="368" operator="greaterThan">
      <formula>SUM(IF(ISNUMBER(W25),V25,0),IF(ISNUMBER(K25),J25,0),IF(ISNUMBER(Q25),P25,0))</formula>
    </cfRule>
  </conditionalFormatting>
  <conditionalFormatting sqref="F26">
    <cfRule type="expression" dxfId="4" priority="369">
      <formula>AND(ISBLANK(E26),ISBLANK(Y26),ISBLANK(M26),ISBLANK(S26))</formula>
    </cfRule>
    <cfRule type="expression" dxfId="1" priority="370">
      <formula>IF(SUM(U26,I26,O26)=0,1,0)</formula>
    </cfRule>
    <cfRule type="cellIs" dxfId="0" priority="371" operator="greaterThan">
      <formula>SUM(U26,I26,O26)</formula>
    </cfRule>
    <cfRule type="cellIs" dxfId="3" priority="372" operator="greaterThan">
      <formula>SUM(IF(ISNUMBER(W26),V26,0),IF(ISNUMBER(K26),J26,0),IF(ISNUMBER(Q26),P26,0))</formula>
    </cfRule>
  </conditionalFormatting>
  <conditionalFormatting sqref="F27">
    <cfRule type="expression" dxfId="4" priority="373">
      <formula>AND(ISBLANK(E27),ISBLANK(Y27),ISBLANK(M27),ISBLANK(S27))</formula>
    </cfRule>
    <cfRule type="expression" dxfId="1" priority="374">
      <formula>IF(SUM(U27,I27,O27)=0,1,0)</formula>
    </cfRule>
    <cfRule type="cellIs" dxfId="0" priority="375" operator="greaterThan">
      <formula>SUM(U27,I27,O27)</formula>
    </cfRule>
    <cfRule type="cellIs" dxfId="3" priority="376" operator="greaterThan">
      <formula>SUM(IF(ISNUMBER(W27),V27,0),IF(ISNUMBER(K27),J27,0),IF(ISNUMBER(Q27),P27,0))</formula>
    </cfRule>
  </conditionalFormatting>
  <conditionalFormatting sqref="F28">
    <cfRule type="expression" dxfId="4" priority="377">
      <formula>AND(ISBLANK(E28),ISBLANK(Y28),ISBLANK(M28),ISBLANK(S28))</formula>
    </cfRule>
    <cfRule type="expression" dxfId="1" priority="378">
      <formula>IF(SUM(U28,I28,O28)=0,1,0)</formula>
    </cfRule>
    <cfRule type="cellIs" dxfId="0" priority="379" operator="greaterThan">
      <formula>SUM(U28,I28,O28)</formula>
    </cfRule>
    <cfRule type="cellIs" dxfId="3" priority="380" operator="greaterThan">
      <formula>SUM(IF(ISNUMBER(W28),V28,0),IF(ISNUMBER(K28),J28,0),IF(ISNUMBER(Q28),P28,0))</formula>
    </cfRule>
  </conditionalFormatting>
  <conditionalFormatting sqref="F29">
    <cfRule type="expression" dxfId="4" priority="381">
      <formula>AND(ISBLANK(E29),ISBLANK(Y29),ISBLANK(M29),ISBLANK(S29))</formula>
    </cfRule>
    <cfRule type="expression" dxfId="1" priority="382">
      <formula>IF(SUM(U29,I29,O29)=0,1,0)</formula>
    </cfRule>
    <cfRule type="cellIs" dxfId="0" priority="383" operator="greaterThan">
      <formula>SUM(U29,I29,O29)</formula>
    </cfRule>
    <cfRule type="cellIs" dxfId="3" priority="384" operator="greaterThan">
      <formula>SUM(IF(ISNUMBER(W29),V29,0),IF(ISNUMBER(K29),J29,0),IF(ISNUMBER(Q29),P29,0))</formula>
    </cfRule>
  </conditionalFormatting>
  <conditionalFormatting sqref="F30">
    <cfRule type="expression" dxfId="4" priority="385">
      <formula>AND(ISBLANK(E30),ISBLANK(Y30),ISBLANK(M30),ISBLANK(S30))</formula>
    </cfRule>
    <cfRule type="expression" dxfId="1" priority="386">
      <formula>IF(SUM(U30,I30,O30)=0,1,0)</formula>
    </cfRule>
    <cfRule type="cellIs" dxfId="0" priority="387" operator="greaterThan">
      <formula>SUM(U30,I30,O30)</formula>
    </cfRule>
    <cfRule type="cellIs" dxfId="3" priority="388" operator="greaterThan">
      <formula>SUM(IF(ISNUMBER(W30),V30,0),IF(ISNUMBER(K30),J30,0),IF(ISNUMBER(Q30),P30,0))</formula>
    </cfRule>
  </conditionalFormatting>
  <conditionalFormatting sqref="F31">
    <cfRule type="expression" dxfId="4" priority="389">
      <formula>AND(ISBLANK(E31),ISBLANK(Y31),ISBLANK(M31),ISBLANK(S31))</formula>
    </cfRule>
    <cfRule type="expression" dxfId="1" priority="390">
      <formula>IF(SUM(U31,I31,O31)=0,1,0)</formula>
    </cfRule>
    <cfRule type="cellIs" dxfId="0" priority="391" operator="greaterThan">
      <formula>SUM(U31,I31,O31)</formula>
    </cfRule>
    <cfRule type="cellIs" dxfId="3" priority="392" operator="greaterThan">
      <formula>SUM(IF(ISNUMBER(W31),V31,0),IF(ISNUMBER(K31),J31,0),IF(ISNUMBER(Q31),P31,0))</formula>
    </cfRule>
  </conditionalFormatting>
  <conditionalFormatting sqref="F32">
    <cfRule type="expression" dxfId="4" priority="393">
      <formula>AND(ISBLANK(E32),ISBLANK(Y32),ISBLANK(M32),ISBLANK(S32))</formula>
    </cfRule>
    <cfRule type="expression" dxfId="1" priority="394">
      <formula>IF(SUM(U32,I32,O32)=0,1,0)</formula>
    </cfRule>
    <cfRule type="cellIs" dxfId="0" priority="395" operator="greaterThan">
      <formula>SUM(U32,I32,O32)</formula>
    </cfRule>
    <cfRule type="cellIs" dxfId="3" priority="396" operator="greaterThan">
      <formula>SUM(IF(ISNUMBER(W32),V32,0),IF(ISNUMBER(K32),J32,0),IF(ISNUMBER(Q32),P32,0))</formula>
    </cfRule>
  </conditionalFormatting>
  <conditionalFormatting sqref="F33">
    <cfRule type="expression" dxfId="4" priority="397">
      <formula>AND(ISBLANK(E33),ISBLANK(Y33),ISBLANK(M33),ISBLANK(S33))</formula>
    </cfRule>
    <cfRule type="expression" dxfId="1" priority="398">
      <formula>IF(SUM(U33,I33,O33)=0,1,0)</formula>
    </cfRule>
    <cfRule type="cellIs" dxfId="0" priority="399" operator="greaterThan">
      <formula>SUM(U33,I33,O33)</formula>
    </cfRule>
    <cfRule type="cellIs" dxfId="3" priority="400" operator="greaterThan">
      <formula>SUM(IF(ISNUMBER(W33),V33,0),IF(ISNUMBER(K33),J33,0),IF(ISNUMBER(Q33),P33,0))</formula>
    </cfRule>
  </conditionalFormatting>
  <conditionalFormatting sqref="F34">
    <cfRule type="expression" dxfId="4" priority="401">
      <formula>AND(ISBLANK(E34),ISBLANK(Y34),ISBLANK(M34),ISBLANK(S34))</formula>
    </cfRule>
    <cfRule type="expression" dxfId="1" priority="402">
      <formula>IF(SUM(U34,I34,O34)=0,1,0)</formula>
    </cfRule>
    <cfRule type="cellIs" dxfId="0" priority="403" operator="greaterThan">
      <formula>SUM(U34,I34,O34)</formula>
    </cfRule>
    <cfRule type="cellIs" dxfId="3" priority="404" operator="greaterThan">
      <formula>SUM(IF(ISNUMBER(W34),V34,0),IF(ISNUMBER(K34),J34,0),IF(ISNUMBER(Q34),P34,0))</formula>
    </cfRule>
  </conditionalFormatting>
  <conditionalFormatting sqref="F35">
    <cfRule type="expression" dxfId="4" priority="405">
      <formula>AND(ISBLANK(E35),ISBLANK(Y35),ISBLANK(M35),ISBLANK(S35))</formula>
    </cfRule>
    <cfRule type="expression" dxfId="1" priority="406">
      <formula>IF(SUM(U35,I35,O35)=0,1,0)</formula>
    </cfRule>
    <cfRule type="cellIs" dxfId="0" priority="407" operator="greaterThan">
      <formula>SUM(U35,I35,O35)</formula>
    </cfRule>
    <cfRule type="cellIs" dxfId="3" priority="408" operator="greaterThan">
      <formula>SUM(IF(ISNUMBER(W35),V35,0),IF(ISNUMBER(K35),J35,0),IF(ISNUMBER(Q35),P35,0))</formula>
    </cfRule>
  </conditionalFormatting>
  <conditionalFormatting sqref="F36">
    <cfRule type="expression" dxfId="4" priority="409">
      <formula>AND(ISBLANK(E36),ISBLANK(Y36),ISBLANK(M36),ISBLANK(S36))</formula>
    </cfRule>
    <cfRule type="expression" dxfId="1" priority="410">
      <formula>IF(SUM(U36,I36,O36)=0,1,0)</formula>
    </cfRule>
    <cfRule type="cellIs" dxfId="0" priority="411" operator="greaterThan">
      <formula>SUM(U36,I36,O36)</formula>
    </cfRule>
    <cfRule type="cellIs" dxfId="3" priority="412" operator="greaterThan">
      <formula>SUM(IF(ISNUMBER(W36),V36,0),IF(ISNUMBER(K36),J36,0),IF(ISNUMBER(Q36),P36,0))</formula>
    </cfRule>
  </conditionalFormatting>
  <conditionalFormatting sqref="F37">
    <cfRule type="expression" dxfId="4" priority="413">
      <formula>AND(ISBLANK(E37),ISBLANK(Y37),ISBLANK(M37),ISBLANK(S37))</formula>
    </cfRule>
    <cfRule type="expression" dxfId="1" priority="414">
      <formula>IF(SUM(U37,I37,O37)=0,1,0)</formula>
    </cfRule>
    <cfRule type="cellIs" dxfId="0" priority="415" operator="greaterThan">
      <formula>SUM(U37,I37,O37)</formula>
    </cfRule>
    <cfRule type="cellIs" dxfId="3" priority="416" operator="greaterThan">
      <formula>SUM(IF(ISNUMBER(W37),V37,0),IF(ISNUMBER(K37),J37,0),IF(ISNUMBER(Q37),P37,0))</formula>
    </cfRule>
  </conditionalFormatting>
  <conditionalFormatting sqref="F38">
    <cfRule type="expression" dxfId="4" priority="417">
      <formula>AND(ISBLANK(E38),ISBLANK(Y38),ISBLANK(M38),ISBLANK(S38))</formula>
    </cfRule>
    <cfRule type="expression" dxfId="1" priority="418">
      <formula>IF(SUM(U38,I38,O38)=0,1,0)</formula>
    </cfRule>
    <cfRule type="cellIs" dxfId="0" priority="419" operator="greaterThan">
      <formula>SUM(U38,I38,O38)</formula>
    </cfRule>
    <cfRule type="cellIs" dxfId="3" priority="420" operator="greaterThan">
      <formula>SUM(IF(ISNUMBER(W38),V38,0),IF(ISNUMBER(K38),J38,0),IF(ISNUMBER(Q38),P38,0))</formula>
    </cfRule>
  </conditionalFormatting>
  <conditionalFormatting sqref="F39">
    <cfRule type="expression" dxfId="4" priority="421">
      <formula>AND(ISBLANK(E39),ISBLANK(Y39),ISBLANK(M39),ISBLANK(S39))</formula>
    </cfRule>
    <cfRule type="expression" dxfId="1" priority="422">
      <formula>IF(SUM(U39,I39,O39)=0,1,0)</formula>
    </cfRule>
    <cfRule type="cellIs" dxfId="0" priority="423" operator="greaterThan">
      <formula>SUM(U39,I39,O39)</formula>
    </cfRule>
    <cfRule type="cellIs" dxfId="3" priority="424" operator="greaterThan">
      <formula>SUM(IF(ISNUMBER(W39),V39,0),IF(ISNUMBER(K39),J39,0),IF(ISNUMBER(Q39),P39,0))</formula>
    </cfRule>
  </conditionalFormatting>
  <conditionalFormatting sqref="F40">
    <cfRule type="expression" dxfId="4" priority="425">
      <formula>AND(ISBLANK(E40),ISBLANK(Y40),ISBLANK(M40),ISBLANK(S40))</formula>
    </cfRule>
    <cfRule type="expression" dxfId="1" priority="426">
      <formula>IF(SUM(U40,I40,O40)=0,1,0)</formula>
    </cfRule>
    <cfRule type="cellIs" dxfId="0" priority="427" operator="greaterThan">
      <formula>SUM(U40,I40,O40)</formula>
    </cfRule>
    <cfRule type="cellIs" dxfId="3" priority="428" operator="greaterThan">
      <formula>SUM(IF(ISNUMBER(W40),V40,0),IF(ISNUMBER(K40),J40,0),IF(ISNUMBER(Q40),P40,0))</formula>
    </cfRule>
  </conditionalFormatting>
  <conditionalFormatting sqref="F41">
    <cfRule type="expression" dxfId="4" priority="429">
      <formula>AND(ISBLANK(E41),ISBLANK(Y41),ISBLANK(M41),ISBLANK(S41))</formula>
    </cfRule>
    <cfRule type="expression" dxfId="1" priority="430">
      <formula>IF(SUM(U41,I41,O41)=0,1,0)</formula>
    </cfRule>
    <cfRule type="cellIs" dxfId="0" priority="431" operator="greaterThan">
      <formula>SUM(U41,I41,O41)</formula>
    </cfRule>
    <cfRule type="cellIs" dxfId="3" priority="432" operator="greaterThan">
      <formula>SUM(IF(ISNUMBER(W41),V41,0),IF(ISNUMBER(K41),J41,0),IF(ISNUMBER(Q41),P41,0))</formula>
    </cfRule>
  </conditionalFormatting>
  <conditionalFormatting sqref="F42">
    <cfRule type="expression" dxfId="4" priority="433">
      <formula>AND(ISBLANK(E42),ISBLANK(Y42),ISBLANK(M42),ISBLANK(S42))</formula>
    </cfRule>
    <cfRule type="expression" dxfId="1" priority="434">
      <formula>IF(SUM(U42,I42,O42)=0,1,0)</formula>
    </cfRule>
    <cfRule type="cellIs" dxfId="0" priority="435" operator="greaterThan">
      <formula>SUM(U42,I42,O42)</formula>
    </cfRule>
    <cfRule type="cellIs" dxfId="3" priority="436" operator="greaterThan">
      <formula>SUM(IF(ISNUMBER(W42),V42,0),IF(ISNUMBER(K42),J42,0),IF(ISNUMBER(Q42),P42,0))</formula>
    </cfRule>
  </conditionalFormatting>
  <conditionalFormatting sqref="F43">
    <cfRule type="expression" dxfId="4" priority="437">
      <formula>AND(ISBLANK(E43),ISBLANK(Y43),ISBLANK(M43),ISBLANK(S43))</formula>
    </cfRule>
    <cfRule type="expression" dxfId="1" priority="438">
      <formula>IF(SUM(U43,I43,O43)=0,1,0)</formula>
    </cfRule>
    <cfRule type="cellIs" dxfId="0" priority="439" operator="greaterThan">
      <formula>SUM(U43,I43,O43)</formula>
    </cfRule>
    <cfRule type="cellIs" dxfId="3" priority="440" operator="greaterThan">
      <formula>SUM(IF(ISNUMBER(W43),V43,0),IF(ISNUMBER(K43),J43,0),IF(ISNUMBER(Q43),P43,0))</formula>
    </cfRule>
  </conditionalFormatting>
  <conditionalFormatting sqref="F44">
    <cfRule type="expression" dxfId="4" priority="441">
      <formula>AND(ISBLANK(E44),ISBLANK(Y44),ISBLANK(M44),ISBLANK(S44))</formula>
    </cfRule>
    <cfRule type="expression" dxfId="1" priority="442">
      <formula>IF(SUM(U44,I44,O44)=0,1,0)</formula>
    </cfRule>
    <cfRule type="cellIs" dxfId="0" priority="443" operator="greaterThan">
      <formula>SUM(U44,I44,O44)</formula>
    </cfRule>
    <cfRule type="cellIs" dxfId="3" priority="444" operator="greaterThan">
      <formula>SUM(IF(ISNUMBER(W44),V44,0),IF(ISNUMBER(K44),J44,0),IF(ISNUMBER(Q44),P44,0))</formula>
    </cfRule>
  </conditionalFormatting>
  <conditionalFormatting sqref="F7">
    <cfRule type="expression" dxfId="4" priority="293">
      <formula>AND(ISBLANK(E7),ISBLANK(Y7),ISBLANK(M7),ISBLANK(S7))</formula>
    </cfRule>
    <cfRule type="expression" dxfId="1" priority="294">
      <formula>IF(SUM(U7,I7,O7)=0,1,0)</formula>
    </cfRule>
    <cfRule type="cellIs" dxfId="0" priority="295" operator="greaterThan">
      <formula>SUM(U7,I7,O7)</formula>
    </cfRule>
    <cfRule type="cellIs" dxfId="3" priority="296" operator="greaterThan">
      <formula>SUM(IF(ISNUMBER(W7),V7,0),IF(ISNUMBER(K7),J7,0),IF(ISNUMBER(Q7),P7,0))</formula>
    </cfRule>
  </conditionalFormatting>
  <conditionalFormatting sqref="F8">
    <cfRule type="expression" dxfId="4" priority="297">
      <formula>AND(ISBLANK(E8),ISBLANK(Y8),ISBLANK(M8),ISBLANK(S8))</formula>
    </cfRule>
    <cfRule type="expression" dxfId="1" priority="298">
      <formula>IF(SUM(U8,I8,O8)=0,1,0)</formula>
    </cfRule>
    <cfRule type="cellIs" dxfId="0" priority="299" operator="greaterThan">
      <formula>SUM(U8,I8,O8)</formula>
    </cfRule>
    <cfRule type="cellIs" dxfId="3" priority="300" operator="greaterThan">
      <formula>SUM(IF(ISNUMBER(W8),V8,0),IF(ISNUMBER(K8),J8,0),IF(ISNUMBER(Q8),P8,0))</formula>
    </cfRule>
  </conditionalFormatting>
  <conditionalFormatting sqref="F9">
    <cfRule type="expression" dxfId="4" priority="301">
      <formula>AND(ISBLANK(E9),ISBLANK(Y9),ISBLANK(M9),ISBLANK(S9))</formula>
    </cfRule>
    <cfRule type="expression" dxfId="1" priority="302">
      <formula>IF(SUM(U9,I9,O9)=0,1,0)</formula>
    </cfRule>
    <cfRule type="cellIs" dxfId="0" priority="303" operator="greaterThan">
      <formula>SUM(U9,I9,O9)</formula>
    </cfRule>
    <cfRule type="cellIs" dxfId="3" priority="304" operator="greaterThan">
      <formula>SUM(IF(ISNUMBER(W9),V9,0),IF(ISNUMBER(K9),J9,0),IF(ISNUMBER(Q9),P9,0))</formula>
    </cfRule>
  </conditionalFormatting>
  <conditionalFormatting sqref="I10">
    <cfRule type="cellIs" dxfId="0" priority="13" operator="lessThan">
      <formula>F10</formula>
    </cfRule>
  </conditionalFormatting>
  <conditionalFormatting sqref="I11">
    <cfRule type="cellIs" dxfId="0" priority="17" operator="lessThan">
      <formula>F11</formula>
    </cfRule>
  </conditionalFormatting>
  <conditionalFormatting sqref="I12">
    <cfRule type="cellIs" dxfId="0" priority="21" operator="lessThan">
      <formula>F12</formula>
    </cfRule>
  </conditionalFormatting>
  <conditionalFormatting sqref="I13">
    <cfRule type="cellIs" dxfId="0" priority="25" operator="lessThan">
      <formula>F13</formula>
    </cfRule>
  </conditionalFormatting>
  <conditionalFormatting sqref="I14">
    <cfRule type="cellIs" dxfId="0" priority="29" operator="lessThan">
      <formula>F14</formula>
    </cfRule>
  </conditionalFormatting>
  <conditionalFormatting sqref="I16">
    <cfRule type="cellIs" dxfId="0" priority="37" operator="lessThan">
      <formula>F16</formula>
    </cfRule>
  </conditionalFormatting>
  <conditionalFormatting sqref="I17">
    <cfRule type="cellIs" dxfId="0" priority="41" operator="lessThan">
      <formula>F17</formula>
    </cfRule>
  </conditionalFormatting>
  <conditionalFormatting sqref="I18">
    <cfRule type="cellIs" dxfId="0" priority="45" operator="lessThan">
      <formula>F18</formula>
    </cfRule>
  </conditionalFormatting>
  <conditionalFormatting sqref="I20">
    <cfRule type="cellIs" dxfId="0" priority="49" operator="lessThan">
      <formula>F20</formula>
    </cfRule>
  </conditionalFormatting>
  <conditionalFormatting sqref="I21">
    <cfRule type="cellIs" dxfId="0" priority="53" operator="lessThan">
      <formula>F21</formula>
    </cfRule>
  </conditionalFormatting>
  <conditionalFormatting sqref="I22">
    <cfRule type="cellIs" dxfId="0" priority="57" operator="lessThan">
      <formula>F22</formula>
    </cfRule>
  </conditionalFormatting>
  <conditionalFormatting sqref="I23">
    <cfRule type="cellIs" dxfId="0" priority="61" operator="lessThan">
      <formula>F23</formula>
    </cfRule>
  </conditionalFormatting>
  <conditionalFormatting sqref="I24">
    <cfRule type="cellIs" dxfId="0" priority="65" operator="lessThan">
      <formula>F24</formula>
    </cfRule>
  </conditionalFormatting>
  <conditionalFormatting sqref="I25">
    <cfRule type="cellIs" dxfId="0" priority="69" operator="lessThan">
      <formula>F25</formula>
    </cfRule>
  </conditionalFormatting>
  <conditionalFormatting sqref="I26">
    <cfRule type="cellIs" dxfId="0" priority="73" operator="lessThan">
      <formula>F26</formula>
    </cfRule>
  </conditionalFormatting>
  <conditionalFormatting sqref="I27">
    <cfRule type="cellIs" dxfId="0" priority="77" operator="lessThan">
      <formula>F27</formula>
    </cfRule>
  </conditionalFormatting>
  <conditionalFormatting sqref="I28">
    <cfRule type="cellIs" dxfId="0" priority="81" operator="lessThan">
      <formula>F28</formula>
    </cfRule>
  </conditionalFormatting>
  <conditionalFormatting sqref="I29">
    <cfRule type="cellIs" dxfId="0" priority="85" operator="lessThan">
      <formula>F29</formula>
    </cfRule>
  </conditionalFormatting>
  <conditionalFormatting sqref="I30">
    <cfRule type="cellIs" dxfId="0" priority="89" operator="lessThan">
      <formula>F30</formula>
    </cfRule>
  </conditionalFormatting>
  <conditionalFormatting sqref="I31">
    <cfRule type="cellIs" dxfId="0" priority="93" operator="lessThan">
      <formula>F31</formula>
    </cfRule>
  </conditionalFormatting>
  <conditionalFormatting sqref="I32">
    <cfRule type="cellIs" dxfId="0" priority="97" operator="lessThan">
      <formula>F32</formula>
    </cfRule>
  </conditionalFormatting>
  <conditionalFormatting sqref="I33">
    <cfRule type="cellIs" dxfId="0" priority="101" operator="lessThan">
      <formula>F33</formula>
    </cfRule>
  </conditionalFormatting>
  <conditionalFormatting sqref="I34">
    <cfRule type="cellIs" dxfId="0" priority="105" operator="lessThan">
      <formula>F34</formula>
    </cfRule>
  </conditionalFormatting>
  <conditionalFormatting sqref="I35">
    <cfRule type="cellIs" dxfId="0" priority="109" operator="lessThan">
      <formula>F35</formula>
    </cfRule>
  </conditionalFormatting>
  <conditionalFormatting sqref="I36">
    <cfRule type="cellIs" dxfId="0" priority="113" operator="lessThan">
      <formula>F36</formula>
    </cfRule>
  </conditionalFormatting>
  <conditionalFormatting sqref="I37">
    <cfRule type="cellIs" dxfId="0" priority="117" operator="lessThan">
      <formula>F37</formula>
    </cfRule>
  </conditionalFormatting>
  <conditionalFormatting sqref="I38">
    <cfRule type="cellIs" dxfId="0" priority="121" operator="lessThan">
      <formula>F38</formula>
    </cfRule>
  </conditionalFormatting>
  <conditionalFormatting sqref="I39">
    <cfRule type="cellIs" dxfId="0" priority="125" operator="lessThan">
      <formula>F39</formula>
    </cfRule>
  </conditionalFormatting>
  <conditionalFormatting sqref="I40">
    <cfRule type="cellIs" dxfId="0" priority="129" operator="lessThan">
      <formula>F40</formula>
    </cfRule>
  </conditionalFormatting>
  <conditionalFormatting sqref="I41">
    <cfRule type="cellIs" dxfId="0" priority="133" operator="lessThan">
      <formula>F41</formula>
    </cfRule>
  </conditionalFormatting>
  <conditionalFormatting sqref="I42">
    <cfRule type="cellIs" dxfId="0" priority="137" operator="lessThan">
      <formula>F42</formula>
    </cfRule>
  </conditionalFormatting>
  <conditionalFormatting sqref="I43">
    <cfRule type="cellIs" dxfId="0" priority="141" operator="lessThan">
      <formula>F43</formula>
    </cfRule>
  </conditionalFormatting>
  <conditionalFormatting sqref="I44">
    <cfRule type="cellIs" dxfId="0" priority="145" operator="lessThan">
      <formula>F44</formula>
    </cfRule>
  </conditionalFormatting>
  <conditionalFormatting sqref="I7">
    <cfRule type="cellIs" dxfId="0" priority="1" operator="lessThan">
      <formula>F7</formula>
    </cfRule>
  </conditionalFormatting>
  <conditionalFormatting sqref="I8">
    <cfRule type="cellIs" dxfId="0" priority="5" operator="lessThan">
      <formula>F8</formula>
    </cfRule>
  </conditionalFormatting>
  <conditionalFormatting sqref="I9">
    <cfRule type="cellIs" dxfId="0" priority="9" operator="lessThan">
      <formula>F9</formula>
    </cfRule>
  </conditionalFormatting>
  <conditionalFormatting sqref="J10">
    <cfRule type="expression" dxfId="1" priority="14">
      <formula>AND(NOT(ISBLANK(J10)),OR(I10="NonStk",J10&gt;I10))</formula>
    </cfRule>
  </conditionalFormatting>
  <conditionalFormatting sqref="J11">
    <cfRule type="expression" dxfId="1" priority="18">
      <formula>AND(NOT(ISBLANK(J11)),OR(I11="NonStk",J11&gt;I11))</formula>
    </cfRule>
  </conditionalFormatting>
  <conditionalFormatting sqref="J12">
    <cfRule type="expression" dxfId="1" priority="22">
      <formula>AND(NOT(ISBLANK(J12)),OR(I12="NonStk",J12&gt;I12))</formula>
    </cfRule>
  </conditionalFormatting>
  <conditionalFormatting sqref="J13">
    <cfRule type="expression" dxfId="1" priority="26">
      <formula>AND(NOT(ISBLANK(J13)),OR(I13="NonStk",J13&gt;I13))</formula>
    </cfRule>
  </conditionalFormatting>
  <conditionalFormatting sqref="J14">
    <cfRule type="expression" dxfId="3" priority="30">
      <formula>AND(J14&gt;0,MOD(J14,L14)&lt;&gt;0)</formula>
    </cfRule>
    <cfRule type="expression" dxfId="1" priority="31">
      <formula>AND(NOT(ISBLANK(J14)),OR(I14="NonStk",J14&gt;I14))</formula>
    </cfRule>
  </conditionalFormatting>
  <conditionalFormatting sqref="J16">
    <cfRule type="expression" dxfId="1" priority="38">
      <formula>AND(NOT(ISBLANK(J16)),OR(I16="NonStk",J16&gt;I16))</formula>
    </cfRule>
  </conditionalFormatting>
  <conditionalFormatting sqref="J17">
    <cfRule type="expression" dxfId="1" priority="42">
      <formula>AND(NOT(ISBLANK(J17)),OR(I17="NonStk",J17&gt;I17))</formula>
    </cfRule>
  </conditionalFormatting>
  <conditionalFormatting sqref="J18">
    <cfRule type="expression" dxfId="1" priority="46">
      <formula>AND(NOT(ISBLANK(J18)),OR(I18="NonStk",J18&gt;I18))</formula>
    </cfRule>
  </conditionalFormatting>
  <conditionalFormatting sqref="J20">
    <cfRule type="expression" dxfId="1" priority="50">
      <formula>AND(NOT(ISBLANK(J20)),OR(I20="NonStk",J20&gt;I20))</formula>
    </cfRule>
  </conditionalFormatting>
  <conditionalFormatting sqref="J21">
    <cfRule type="expression" dxfId="1" priority="54">
      <formula>AND(NOT(ISBLANK(J21)),OR(I21="NonStk",J21&gt;I21))</formula>
    </cfRule>
  </conditionalFormatting>
  <conditionalFormatting sqref="J22">
    <cfRule type="expression" dxfId="1" priority="58">
      <formula>AND(NOT(ISBLANK(J22)),OR(I22="NonStk",J22&gt;I22))</formula>
    </cfRule>
  </conditionalFormatting>
  <conditionalFormatting sqref="J23">
    <cfRule type="expression" dxfId="1" priority="62">
      <formula>AND(NOT(ISBLANK(J23)),OR(I23="NonStk",J23&gt;I23))</formula>
    </cfRule>
  </conditionalFormatting>
  <conditionalFormatting sqref="J24">
    <cfRule type="expression" dxfId="1" priority="66">
      <formula>AND(NOT(ISBLANK(J24)),OR(I24="NonStk",J24&gt;I24))</formula>
    </cfRule>
  </conditionalFormatting>
  <conditionalFormatting sqref="J25">
    <cfRule type="expression" dxfId="1" priority="70">
      <formula>AND(NOT(ISBLANK(J25)),OR(I25="NonStk",J25&gt;I25))</formula>
    </cfRule>
  </conditionalFormatting>
  <conditionalFormatting sqref="J26">
    <cfRule type="expression" dxfId="1" priority="74">
      <formula>AND(NOT(ISBLANK(J26)),OR(I26="NonStk",J26&gt;I26))</formula>
    </cfRule>
  </conditionalFormatting>
  <conditionalFormatting sqref="J27">
    <cfRule type="expression" dxfId="1" priority="78">
      <formula>AND(NOT(ISBLANK(J27)),OR(I27="NonStk",J27&gt;I27))</formula>
    </cfRule>
  </conditionalFormatting>
  <conditionalFormatting sqref="J28">
    <cfRule type="expression" dxfId="1" priority="82">
      <formula>AND(NOT(ISBLANK(J28)),OR(I28="NonStk",J28&gt;I28))</formula>
    </cfRule>
  </conditionalFormatting>
  <conditionalFormatting sqref="J29">
    <cfRule type="expression" dxfId="1" priority="86">
      <formula>AND(NOT(ISBLANK(J29)),OR(I29="NonStk",J29&gt;I29))</formula>
    </cfRule>
  </conditionalFormatting>
  <conditionalFormatting sqref="J30">
    <cfRule type="expression" dxfId="1" priority="90">
      <formula>AND(NOT(ISBLANK(J30)),OR(I30="NonStk",J30&gt;I30))</formula>
    </cfRule>
  </conditionalFormatting>
  <conditionalFormatting sqref="J31">
    <cfRule type="expression" dxfId="1" priority="94">
      <formula>AND(NOT(ISBLANK(J31)),OR(I31="NonStk",J31&gt;I31))</formula>
    </cfRule>
  </conditionalFormatting>
  <conditionalFormatting sqref="J32">
    <cfRule type="expression" dxfId="1" priority="98">
      <formula>AND(NOT(ISBLANK(J32)),OR(I32="NonStk",J32&gt;I32))</formula>
    </cfRule>
  </conditionalFormatting>
  <conditionalFormatting sqref="J33">
    <cfRule type="expression" dxfId="1" priority="102">
      <formula>AND(NOT(ISBLANK(J33)),OR(I33="NonStk",J33&gt;I33))</formula>
    </cfRule>
  </conditionalFormatting>
  <conditionalFormatting sqref="J34">
    <cfRule type="expression" dxfId="1" priority="106">
      <formula>AND(NOT(ISBLANK(J34)),OR(I34="NonStk",J34&gt;I34))</formula>
    </cfRule>
  </conditionalFormatting>
  <conditionalFormatting sqref="J35">
    <cfRule type="expression" dxfId="1" priority="110">
      <formula>AND(NOT(ISBLANK(J35)),OR(I35="NonStk",J35&gt;I35))</formula>
    </cfRule>
  </conditionalFormatting>
  <conditionalFormatting sqref="J36">
    <cfRule type="expression" dxfId="1" priority="114">
      <formula>AND(NOT(ISBLANK(J36)),OR(I36="NonStk",J36&gt;I36))</formula>
    </cfRule>
  </conditionalFormatting>
  <conditionalFormatting sqref="J37">
    <cfRule type="expression" dxfId="1" priority="118">
      <formula>AND(NOT(ISBLANK(J37)),OR(I37="NonStk",J37&gt;I37))</formula>
    </cfRule>
  </conditionalFormatting>
  <conditionalFormatting sqref="J38">
    <cfRule type="expression" dxfId="1" priority="122">
      <formula>AND(NOT(ISBLANK(J38)),OR(I38="NonStk",J38&gt;I38))</formula>
    </cfRule>
  </conditionalFormatting>
  <conditionalFormatting sqref="J39">
    <cfRule type="expression" dxfId="1" priority="126">
      <formula>AND(NOT(ISBLANK(J39)),OR(I39="NonStk",J39&gt;I39))</formula>
    </cfRule>
  </conditionalFormatting>
  <conditionalFormatting sqref="J40">
    <cfRule type="expression" dxfId="1" priority="130">
      <formula>AND(NOT(ISBLANK(J40)),OR(I40="NonStk",J40&gt;I40))</formula>
    </cfRule>
  </conditionalFormatting>
  <conditionalFormatting sqref="J41">
    <cfRule type="expression" dxfId="1" priority="134">
      <formula>AND(NOT(ISBLANK(J41)),OR(I41="NonStk",J41&gt;I41))</formula>
    </cfRule>
  </conditionalFormatting>
  <conditionalFormatting sqref="J42">
    <cfRule type="expression" dxfId="1" priority="138">
      <formula>AND(NOT(ISBLANK(J42)),OR(I42="NonStk",J42&gt;I42))</formula>
    </cfRule>
  </conditionalFormatting>
  <conditionalFormatting sqref="J43">
    <cfRule type="expression" dxfId="1" priority="142">
      <formula>AND(NOT(ISBLANK(J43)),OR(I43="NonStk",J43&gt;I43))</formula>
    </cfRule>
  </conditionalFormatting>
  <conditionalFormatting sqref="J44">
    <cfRule type="expression" dxfId="1" priority="146">
      <formula>AND(NOT(ISBLANK(J44)),OR(I44="NonStk",J44&gt;I44))</formula>
    </cfRule>
  </conditionalFormatting>
  <conditionalFormatting sqref="J7">
    <cfRule type="expression" dxfId="1" priority="2">
      <formula>AND(NOT(ISBLANK(J7)),OR(I7="NonStk",J7&gt;I7))</formula>
    </cfRule>
  </conditionalFormatting>
  <conditionalFormatting sqref="J8">
    <cfRule type="expression" dxfId="1" priority="6">
      <formula>AND(NOT(ISBLANK(J8)),OR(I8="NonStk",J8&gt;I8))</formula>
    </cfRule>
  </conditionalFormatting>
  <conditionalFormatting sqref="J9">
    <cfRule type="expression" dxfId="1" priority="10">
      <formula>AND(NOT(ISBLANK(J9)),OR(I9="NonStk",J9&gt;I9))</formula>
    </cfRule>
  </conditionalFormatting>
  <conditionalFormatting sqref="K10">
    <cfRule type="cellIs" dxfId="2" priority="16" operator="lessThanOrEqual">
      <formula>G10</formula>
    </cfRule>
  </conditionalFormatting>
  <conditionalFormatting sqref="K11">
    <cfRule type="cellIs" dxfId="2" priority="20" operator="lessThanOrEqual">
      <formula>G11</formula>
    </cfRule>
  </conditionalFormatting>
  <conditionalFormatting sqref="K12">
    <cfRule type="cellIs" dxfId="2" priority="24" operator="lessThanOrEqual">
      <formula>G12</formula>
    </cfRule>
  </conditionalFormatting>
  <conditionalFormatting sqref="K13">
    <cfRule type="cellIs" dxfId="2" priority="28" operator="lessThanOrEqual">
      <formula>G13</formula>
    </cfRule>
  </conditionalFormatting>
  <conditionalFormatting sqref="K14">
    <cfRule type="cellIs" dxfId="2" priority="33" operator="lessThanOrEqual">
      <formula>G14</formula>
    </cfRule>
    <cfRule type="expression" dxfId="3" priority="34">
      <formula>AND(F14&lt;7500,J14&lt;7500)</formula>
    </cfRule>
  </conditionalFormatting>
  <conditionalFormatting sqref="K16">
    <cfRule type="cellIs" dxfId="2" priority="40" operator="lessThanOrEqual">
      <formula>G16</formula>
    </cfRule>
  </conditionalFormatting>
  <conditionalFormatting sqref="K17">
    <cfRule type="cellIs" dxfId="2" priority="44" operator="lessThanOrEqual">
      <formula>G17</formula>
    </cfRule>
  </conditionalFormatting>
  <conditionalFormatting sqref="K18">
    <cfRule type="cellIs" dxfId="2" priority="48" operator="lessThanOrEqual">
      <formula>G18</formula>
    </cfRule>
  </conditionalFormatting>
  <conditionalFormatting sqref="K20">
    <cfRule type="cellIs" dxfId="2" priority="52" operator="lessThanOrEqual">
      <formula>G20</formula>
    </cfRule>
  </conditionalFormatting>
  <conditionalFormatting sqref="K21">
    <cfRule type="cellIs" dxfId="2" priority="56" operator="lessThanOrEqual">
      <formula>G21</formula>
    </cfRule>
  </conditionalFormatting>
  <conditionalFormatting sqref="K22">
    <cfRule type="cellIs" dxfId="2" priority="60" operator="lessThanOrEqual">
      <formula>G22</formula>
    </cfRule>
  </conditionalFormatting>
  <conditionalFormatting sqref="K23">
    <cfRule type="cellIs" dxfId="2" priority="64" operator="lessThanOrEqual">
      <formula>G23</formula>
    </cfRule>
  </conditionalFormatting>
  <conditionalFormatting sqref="K24">
    <cfRule type="cellIs" dxfId="2" priority="68" operator="lessThanOrEqual">
      <formula>G24</formula>
    </cfRule>
  </conditionalFormatting>
  <conditionalFormatting sqref="K25">
    <cfRule type="cellIs" dxfId="2" priority="72" operator="lessThanOrEqual">
      <formula>G25</formula>
    </cfRule>
  </conditionalFormatting>
  <conditionalFormatting sqref="K26">
    <cfRule type="cellIs" dxfId="2" priority="76" operator="lessThanOrEqual">
      <formula>G26</formula>
    </cfRule>
  </conditionalFormatting>
  <conditionalFormatting sqref="K27">
    <cfRule type="cellIs" dxfId="2" priority="80" operator="lessThanOrEqual">
      <formula>G27</formula>
    </cfRule>
  </conditionalFormatting>
  <conditionalFormatting sqref="K28">
    <cfRule type="cellIs" dxfId="2" priority="84" operator="lessThanOrEqual">
      <formula>G28</formula>
    </cfRule>
  </conditionalFormatting>
  <conditionalFormatting sqref="K29">
    <cfRule type="cellIs" dxfId="2" priority="88" operator="lessThanOrEqual">
      <formula>G29</formula>
    </cfRule>
  </conditionalFormatting>
  <conditionalFormatting sqref="K30">
    <cfRule type="cellIs" dxfId="2" priority="92" operator="lessThanOrEqual">
      <formula>G30</formula>
    </cfRule>
  </conditionalFormatting>
  <conditionalFormatting sqref="K31">
    <cfRule type="cellIs" dxfId="2" priority="96" operator="lessThanOrEqual">
      <formula>G31</formula>
    </cfRule>
  </conditionalFormatting>
  <conditionalFormatting sqref="K32">
    <cfRule type="cellIs" dxfId="2" priority="100" operator="lessThanOrEqual">
      <formula>G32</formula>
    </cfRule>
  </conditionalFormatting>
  <conditionalFormatting sqref="K33">
    <cfRule type="cellIs" dxfId="2" priority="104" operator="lessThanOrEqual">
      <formula>G33</formula>
    </cfRule>
  </conditionalFormatting>
  <conditionalFormatting sqref="K34">
    <cfRule type="cellIs" dxfId="2" priority="108" operator="lessThanOrEqual">
      <formula>G34</formula>
    </cfRule>
  </conditionalFormatting>
  <conditionalFormatting sqref="K35">
    <cfRule type="cellIs" dxfId="2" priority="112" operator="lessThanOrEqual">
      <formula>G35</formula>
    </cfRule>
  </conditionalFormatting>
  <conditionalFormatting sqref="K36">
    <cfRule type="cellIs" dxfId="2" priority="116" operator="lessThanOrEqual">
      <formula>G36</formula>
    </cfRule>
  </conditionalFormatting>
  <conditionalFormatting sqref="K37">
    <cfRule type="cellIs" dxfId="2" priority="120" operator="lessThanOrEqual">
      <formula>G37</formula>
    </cfRule>
  </conditionalFormatting>
  <conditionalFormatting sqref="K38">
    <cfRule type="cellIs" dxfId="2" priority="124" operator="lessThanOrEqual">
      <formula>G38</formula>
    </cfRule>
  </conditionalFormatting>
  <conditionalFormatting sqref="K39">
    <cfRule type="cellIs" dxfId="2" priority="128" operator="lessThanOrEqual">
      <formula>G39</formula>
    </cfRule>
  </conditionalFormatting>
  <conditionalFormatting sqref="K40">
    <cfRule type="cellIs" dxfId="2" priority="132" operator="lessThanOrEqual">
      <formula>G40</formula>
    </cfRule>
  </conditionalFormatting>
  <conditionalFormatting sqref="K41">
    <cfRule type="cellIs" dxfId="2" priority="136" operator="lessThanOrEqual">
      <formula>G41</formula>
    </cfRule>
  </conditionalFormatting>
  <conditionalFormatting sqref="K42">
    <cfRule type="cellIs" dxfId="2" priority="140" operator="lessThanOrEqual">
      <formula>G42</formula>
    </cfRule>
  </conditionalFormatting>
  <conditionalFormatting sqref="K43">
    <cfRule type="cellIs" dxfId="2" priority="144" operator="lessThanOrEqual">
      <formula>G43</formula>
    </cfRule>
  </conditionalFormatting>
  <conditionalFormatting sqref="K44">
    <cfRule type="cellIs" dxfId="2" priority="148" operator="lessThanOrEqual">
      <formula>G44</formula>
    </cfRule>
  </conditionalFormatting>
  <conditionalFormatting sqref="K7">
    <cfRule type="cellIs" dxfId="2" priority="4" operator="lessThanOrEqual">
      <formula>G7</formula>
    </cfRule>
  </conditionalFormatting>
  <conditionalFormatting sqref="K8">
    <cfRule type="cellIs" dxfId="2" priority="8" operator="lessThanOrEqual">
      <formula>G8</formula>
    </cfRule>
  </conditionalFormatting>
  <conditionalFormatting sqref="K9">
    <cfRule type="cellIs" dxfId="2" priority="12" operator="lessThanOrEqual">
      <formula>G9</formula>
    </cfRule>
  </conditionalFormatting>
  <conditionalFormatting sqref="L14">
    <cfRule type="expression" dxfId="3" priority="35">
      <formula>AND(F14&lt;7500,J14&lt;7500)</formula>
    </cfRule>
  </conditionalFormatting>
  <conditionalFormatting sqref="M10">
    <cfRule type="cellIs" dxfId="2" priority="15" operator="lessThanOrEqual">
      <formula>H10</formula>
    </cfRule>
  </conditionalFormatting>
  <conditionalFormatting sqref="M11">
    <cfRule type="cellIs" dxfId="2" priority="19" operator="lessThanOrEqual">
      <formula>H11</formula>
    </cfRule>
  </conditionalFormatting>
  <conditionalFormatting sqref="M12">
    <cfRule type="cellIs" dxfId="2" priority="23" operator="lessThanOrEqual">
      <formula>H12</formula>
    </cfRule>
  </conditionalFormatting>
  <conditionalFormatting sqref="M13">
    <cfRule type="cellIs" dxfId="2" priority="27" operator="lessThanOrEqual">
      <formula>H13</formula>
    </cfRule>
  </conditionalFormatting>
  <conditionalFormatting sqref="M14">
    <cfRule type="cellIs" dxfId="2" priority="32" operator="lessThanOrEqual">
      <formula>H14</formula>
    </cfRule>
    <cfRule type="expression" dxfId="3" priority="36">
      <formula>AND(F14&lt;7500,J14&lt;7500)</formula>
    </cfRule>
  </conditionalFormatting>
  <conditionalFormatting sqref="M16">
    <cfRule type="cellIs" dxfId="2" priority="39" operator="lessThanOrEqual">
      <formula>H16</formula>
    </cfRule>
  </conditionalFormatting>
  <conditionalFormatting sqref="M17">
    <cfRule type="cellIs" dxfId="2" priority="43" operator="lessThanOrEqual">
      <formula>H17</formula>
    </cfRule>
  </conditionalFormatting>
  <conditionalFormatting sqref="M18">
    <cfRule type="cellIs" dxfId="2" priority="47" operator="lessThanOrEqual">
      <formula>H18</formula>
    </cfRule>
  </conditionalFormatting>
  <conditionalFormatting sqref="M20">
    <cfRule type="cellIs" dxfId="2" priority="51" operator="lessThanOrEqual">
      <formula>H20</formula>
    </cfRule>
  </conditionalFormatting>
  <conditionalFormatting sqref="M21">
    <cfRule type="cellIs" dxfId="2" priority="55" operator="lessThanOrEqual">
      <formula>H21</formula>
    </cfRule>
  </conditionalFormatting>
  <conditionalFormatting sqref="M22">
    <cfRule type="cellIs" dxfId="2" priority="59" operator="lessThanOrEqual">
      <formula>H22</formula>
    </cfRule>
  </conditionalFormatting>
  <conditionalFormatting sqref="M23">
    <cfRule type="cellIs" dxfId="2" priority="63" operator="lessThanOrEqual">
      <formula>H23</formula>
    </cfRule>
  </conditionalFormatting>
  <conditionalFormatting sqref="M24">
    <cfRule type="cellIs" dxfId="2" priority="67" operator="lessThanOrEqual">
      <formula>H24</formula>
    </cfRule>
  </conditionalFormatting>
  <conditionalFormatting sqref="M25">
    <cfRule type="cellIs" dxfId="2" priority="71" operator="lessThanOrEqual">
      <formula>H25</formula>
    </cfRule>
  </conditionalFormatting>
  <conditionalFormatting sqref="M26">
    <cfRule type="cellIs" dxfId="2" priority="75" operator="lessThanOrEqual">
      <formula>H26</formula>
    </cfRule>
  </conditionalFormatting>
  <conditionalFormatting sqref="M27">
    <cfRule type="cellIs" dxfId="2" priority="79" operator="lessThanOrEqual">
      <formula>H27</formula>
    </cfRule>
  </conditionalFormatting>
  <conditionalFormatting sqref="M28">
    <cfRule type="cellIs" dxfId="2" priority="83" operator="lessThanOrEqual">
      <formula>H28</formula>
    </cfRule>
  </conditionalFormatting>
  <conditionalFormatting sqref="M29">
    <cfRule type="cellIs" dxfId="2" priority="87" operator="lessThanOrEqual">
      <formula>H29</formula>
    </cfRule>
  </conditionalFormatting>
  <conditionalFormatting sqref="M30">
    <cfRule type="cellIs" dxfId="2" priority="91" operator="lessThanOrEqual">
      <formula>H30</formula>
    </cfRule>
  </conditionalFormatting>
  <conditionalFormatting sqref="M31">
    <cfRule type="cellIs" dxfId="2" priority="95" operator="lessThanOrEqual">
      <formula>H31</formula>
    </cfRule>
  </conditionalFormatting>
  <conditionalFormatting sqref="M32">
    <cfRule type="cellIs" dxfId="2" priority="99" operator="lessThanOrEqual">
      <formula>H32</formula>
    </cfRule>
  </conditionalFormatting>
  <conditionalFormatting sqref="M33">
    <cfRule type="cellIs" dxfId="2" priority="103" operator="lessThanOrEqual">
      <formula>H33</formula>
    </cfRule>
  </conditionalFormatting>
  <conditionalFormatting sqref="M34">
    <cfRule type="cellIs" dxfId="2" priority="107" operator="lessThanOrEqual">
      <formula>H34</formula>
    </cfRule>
  </conditionalFormatting>
  <conditionalFormatting sqref="M35">
    <cfRule type="cellIs" dxfId="2" priority="111" operator="lessThanOrEqual">
      <formula>H35</formula>
    </cfRule>
  </conditionalFormatting>
  <conditionalFormatting sqref="M36">
    <cfRule type="cellIs" dxfId="2" priority="115" operator="lessThanOrEqual">
      <formula>H36</formula>
    </cfRule>
  </conditionalFormatting>
  <conditionalFormatting sqref="M37">
    <cfRule type="cellIs" dxfId="2" priority="119" operator="lessThanOrEqual">
      <formula>H37</formula>
    </cfRule>
  </conditionalFormatting>
  <conditionalFormatting sqref="M38">
    <cfRule type="cellIs" dxfId="2" priority="123" operator="lessThanOrEqual">
      <formula>H38</formula>
    </cfRule>
  </conditionalFormatting>
  <conditionalFormatting sqref="M39">
    <cfRule type="cellIs" dxfId="2" priority="127" operator="lessThanOrEqual">
      <formula>H39</formula>
    </cfRule>
  </conditionalFormatting>
  <conditionalFormatting sqref="M40">
    <cfRule type="cellIs" dxfId="2" priority="131" operator="lessThanOrEqual">
      <formula>H40</formula>
    </cfRule>
  </conditionalFormatting>
  <conditionalFormatting sqref="M41">
    <cfRule type="cellIs" dxfId="2" priority="135" operator="lessThanOrEqual">
      <formula>H41</formula>
    </cfRule>
  </conditionalFormatting>
  <conditionalFormatting sqref="M42">
    <cfRule type="cellIs" dxfId="2" priority="139" operator="lessThanOrEqual">
      <formula>H42</formula>
    </cfRule>
  </conditionalFormatting>
  <conditionalFormatting sqref="M43">
    <cfRule type="cellIs" dxfId="2" priority="143" operator="lessThanOrEqual">
      <formula>H43</formula>
    </cfRule>
  </conditionalFormatting>
  <conditionalFormatting sqref="M44">
    <cfRule type="cellIs" dxfId="2" priority="147" operator="lessThanOrEqual">
      <formula>H44</formula>
    </cfRule>
  </conditionalFormatting>
  <conditionalFormatting sqref="M7">
    <cfRule type="cellIs" dxfId="2" priority="3" operator="lessThanOrEqual">
      <formula>H7</formula>
    </cfRule>
  </conditionalFormatting>
  <conditionalFormatting sqref="M8">
    <cfRule type="cellIs" dxfId="2" priority="7" operator="lessThanOrEqual">
      <formula>H8</formula>
    </cfRule>
  </conditionalFormatting>
  <conditionalFormatting sqref="M9">
    <cfRule type="cellIs" dxfId="2" priority="11" operator="lessThanOrEqual">
      <formula>H9</formula>
    </cfRule>
  </conditionalFormatting>
  <conditionalFormatting sqref="O10">
    <cfRule type="cellIs" dxfId="0" priority="161" operator="lessThan">
      <formula>F10</formula>
    </cfRule>
  </conditionalFormatting>
  <conditionalFormatting sqref="O11">
    <cfRule type="cellIs" dxfId="0" priority="165" operator="lessThan">
      <formula>F11</formula>
    </cfRule>
  </conditionalFormatting>
  <conditionalFormatting sqref="O12">
    <cfRule type="cellIs" dxfId="0" priority="169" operator="lessThan">
      <formula>F12</formula>
    </cfRule>
  </conditionalFormatting>
  <conditionalFormatting sqref="O13">
    <cfRule type="cellIs" dxfId="0" priority="173" operator="lessThan">
      <formula>F13</formula>
    </cfRule>
  </conditionalFormatting>
  <conditionalFormatting sqref="O14">
    <cfRule type="cellIs" dxfId="0" priority="177" operator="lessThan">
      <formula>F14</formula>
    </cfRule>
  </conditionalFormatting>
  <conditionalFormatting sqref="O16">
    <cfRule type="cellIs" dxfId="0" priority="181" operator="lessThan">
      <formula>F16</formula>
    </cfRule>
  </conditionalFormatting>
  <conditionalFormatting sqref="O17">
    <cfRule type="cellIs" dxfId="0" priority="185" operator="lessThan">
      <formula>F17</formula>
    </cfRule>
  </conditionalFormatting>
  <conditionalFormatting sqref="O19">
    <cfRule type="cellIs" dxfId="0" priority="189" operator="lessThan">
      <formula>F19</formula>
    </cfRule>
  </conditionalFormatting>
  <conditionalFormatting sqref="O21">
    <cfRule type="cellIs" dxfId="0" priority="193" operator="lessThan">
      <formula>F21</formula>
    </cfRule>
  </conditionalFormatting>
  <conditionalFormatting sqref="O22">
    <cfRule type="cellIs" dxfId="0" priority="197" operator="lessThan">
      <formula>F22</formula>
    </cfRule>
  </conditionalFormatting>
  <conditionalFormatting sqref="O23">
    <cfRule type="cellIs" dxfId="0" priority="201" operator="lessThan">
      <formula>F23</formula>
    </cfRule>
  </conditionalFormatting>
  <conditionalFormatting sqref="O24">
    <cfRule type="cellIs" dxfId="0" priority="205" operator="lessThan">
      <formula>F24</formula>
    </cfRule>
  </conditionalFormatting>
  <conditionalFormatting sqref="O25">
    <cfRule type="cellIs" dxfId="0" priority="209" operator="lessThan">
      <formula>F25</formula>
    </cfRule>
  </conditionalFormatting>
  <conditionalFormatting sqref="O26">
    <cfRule type="cellIs" dxfId="0" priority="213" operator="lessThan">
      <formula>F26</formula>
    </cfRule>
  </conditionalFormatting>
  <conditionalFormatting sqref="O27">
    <cfRule type="cellIs" dxfId="0" priority="217" operator="lessThan">
      <formula>F27</formula>
    </cfRule>
  </conditionalFormatting>
  <conditionalFormatting sqref="O28">
    <cfRule type="cellIs" dxfId="0" priority="221" operator="lessThan">
      <formula>F28</formula>
    </cfRule>
  </conditionalFormatting>
  <conditionalFormatting sqref="O29">
    <cfRule type="cellIs" dxfId="0" priority="225" operator="lessThan">
      <formula>F29</formula>
    </cfRule>
  </conditionalFormatting>
  <conditionalFormatting sqref="O30">
    <cfRule type="cellIs" dxfId="0" priority="229" operator="lessThan">
      <formula>F30</formula>
    </cfRule>
  </conditionalFormatting>
  <conditionalFormatting sqref="O31">
    <cfRule type="cellIs" dxfId="0" priority="233" operator="lessThan">
      <formula>F31</formula>
    </cfRule>
  </conditionalFormatting>
  <conditionalFormatting sqref="O32">
    <cfRule type="cellIs" dxfId="0" priority="237" operator="lessThan">
      <formula>F32</formula>
    </cfRule>
  </conditionalFormatting>
  <conditionalFormatting sqref="O33">
    <cfRule type="cellIs" dxfId="0" priority="241" operator="lessThan">
      <formula>F33</formula>
    </cfRule>
  </conditionalFormatting>
  <conditionalFormatting sqref="O34">
    <cfRule type="cellIs" dxfId="0" priority="245" operator="lessThan">
      <formula>F34</formula>
    </cfRule>
  </conditionalFormatting>
  <conditionalFormatting sqref="O35">
    <cfRule type="cellIs" dxfId="0" priority="249" operator="lessThan">
      <formula>F35</formula>
    </cfRule>
  </conditionalFormatting>
  <conditionalFormatting sqref="O36">
    <cfRule type="cellIs" dxfId="0" priority="253" operator="lessThan">
      <formula>F36</formula>
    </cfRule>
  </conditionalFormatting>
  <conditionalFormatting sqref="O37">
    <cfRule type="cellIs" dxfId="0" priority="257" operator="lessThan">
      <formula>F37</formula>
    </cfRule>
  </conditionalFormatting>
  <conditionalFormatting sqref="O38">
    <cfRule type="cellIs" dxfId="0" priority="261" operator="lessThan">
      <formula>F38</formula>
    </cfRule>
  </conditionalFormatting>
  <conditionalFormatting sqref="O39">
    <cfRule type="cellIs" dxfId="0" priority="265" operator="lessThan">
      <formula>F39</formula>
    </cfRule>
  </conditionalFormatting>
  <conditionalFormatting sqref="O40">
    <cfRule type="cellIs" dxfId="0" priority="269" operator="lessThan">
      <formula>F40</formula>
    </cfRule>
  </conditionalFormatting>
  <conditionalFormatting sqref="O41">
    <cfRule type="cellIs" dxfId="0" priority="273" operator="lessThan">
      <formula>F41</formula>
    </cfRule>
  </conditionalFormatting>
  <conditionalFormatting sqref="O42">
    <cfRule type="cellIs" dxfId="0" priority="277" operator="lessThan">
      <formula>F42</formula>
    </cfRule>
  </conditionalFormatting>
  <conditionalFormatting sqref="O43">
    <cfRule type="cellIs" dxfId="0" priority="281" operator="lessThan">
      <formula>F43</formula>
    </cfRule>
  </conditionalFormatting>
  <conditionalFormatting sqref="O44">
    <cfRule type="cellIs" dxfId="0" priority="285" operator="lessThan">
      <formula>F44</formula>
    </cfRule>
  </conditionalFormatting>
  <conditionalFormatting sqref="O7">
    <cfRule type="cellIs" dxfId="0" priority="149" operator="lessThan">
      <formula>F7</formula>
    </cfRule>
  </conditionalFormatting>
  <conditionalFormatting sqref="O8">
    <cfRule type="cellIs" dxfId="0" priority="153" operator="lessThan">
      <formula>F8</formula>
    </cfRule>
  </conditionalFormatting>
  <conditionalFormatting sqref="O9">
    <cfRule type="cellIs" dxfId="0" priority="157" operator="lessThan">
      <formula>F9</formula>
    </cfRule>
  </conditionalFormatting>
  <conditionalFormatting sqref="P10">
    <cfRule type="expression" dxfId="1" priority="162">
      <formula>AND(NOT(ISBLANK(P10)),OR(O10="NonStk",P10&gt;O10))</formula>
    </cfRule>
  </conditionalFormatting>
  <conditionalFormatting sqref="P11">
    <cfRule type="expression" dxfId="1" priority="166">
      <formula>AND(NOT(ISBLANK(P11)),OR(O11="NonStk",P11&gt;O11))</formula>
    </cfRule>
  </conditionalFormatting>
  <conditionalFormatting sqref="P12">
    <cfRule type="expression" dxfId="1" priority="170">
      <formula>AND(NOT(ISBLANK(P12)),OR(O12="NonStk",P12&gt;O12))</formula>
    </cfRule>
  </conditionalFormatting>
  <conditionalFormatting sqref="P13">
    <cfRule type="expression" dxfId="1" priority="174">
      <formula>AND(NOT(ISBLANK(P13)),OR(O13="NonStk",P13&gt;O13))</formula>
    </cfRule>
  </conditionalFormatting>
  <conditionalFormatting sqref="P14">
    <cfRule type="expression" dxfId="1" priority="178">
      <formula>AND(NOT(ISBLANK(P14)),OR(O14="NonStk",P14&gt;O14))</formula>
    </cfRule>
  </conditionalFormatting>
  <conditionalFormatting sqref="P16">
    <cfRule type="expression" dxfId="1" priority="182">
      <formula>AND(NOT(ISBLANK(P16)),OR(O16="NonStk",P16&gt;O16))</formula>
    </cfRule>
  </conditionalFormatting>
  <conditionalFormatting sqref="P17">
    <cfRule type="expression" dxfId="1" priority="186">
      <formula>AND(NOT(ISBLANK(P17)),OR(O17="NonStk",P17&gt;O17))</formula>
    </cfRule>
  </conditionalFormatting>
  <conditionalFormatting sqref="P19">
    <cfRule type="expression" dxfId="1" priority="190">
      <formula>AND(NOT(ISBLANK(P19)),OR(O19="NonStk",P19&gt;O19))</formula>
    </cfRule>
  </conditionalFormatting>
  <conditionalFormatting sqref="P21">
    <cfRule type="expression" dxfId="1" priority="194">
      <formula>AND(NOT(ISBLANK(P21)),OR(O21="NonStk",P21&gt;O21))</formula>
    </cfRule>
  </conditionalFormatting>
  <conditionalFormatting sqref="P22">
    <cfRule type="expression" dxfId="1" priority="198">
      <formula>AND(NOT(ISBLANK(P22)),OR(O22="NonStk",P22&gt;O22))</formula>
    </cfRule>
  </conditionalFormatting>
  <conditionalFormatting sqref="P23">
    <cfRule type="expression" dxfId="1" priority="202">
      <formula>AND(NOT(ISBLANK(P23)),OR(O23="NonStk",P23&gt;O23))</formula>
    </cfRule>
  </conditionalFormatting>
  <conditionalFormatting sqref="P24">
    <cfRule type="expression" dxfId="1" priority="206">
      <formula>AND(NOT(ISBLANK(P24)),OR(O24="NonStk",P24&gt;O24))</formula>
    </cfRule>
  </conditionalFormatting>
  <conditionalFormatting sqref="P25">
    <cfRule type="expression" dxfId="1" priority="210">
      <formula>AND(NOT(ISBLANK(P25)),OR(O25="NonStk",P25&gt;O25))</formula>
    </cfRule>
  </conditionalFormatting>
  <conditionalFormatting sqref="P26">
    <cfRule type="expression" dxfId="1" priority="214">
      <formula>AND(NOT(ISBLANK(P26)),OR(O26="NonStk",P26&gt;O26))</formula>
    </cfRule>
  </conditionalFormatting>
  <conditionalFormatting sqref="P27">
    <cfRule type="expression" dxfId="1" priority="218">
      <formula>AND(NOT(ISBLANK(P27)),OR(O27="NonStk",P27&gt;O27))</formula>
    </cfRule>
  </conditionalFormatting>
  <conditionalFormatting sqref="P28">
    <cfRule type="expression" dxfId="1" priority="222">
      <formula>AND(NOT(ISBLANK(P28)),OR(O28="NonStk",P28&gt;O28))</formula>
    </cfRule>
  </conditionalFormatting>
  <conditionalFormatting sqref="P29">
    <cfRule type="expression" dxfId="1" priority="226">
      <formula>AND(NOT(ISBLANK(P29)),OR(O29="NonStk",P29&gt;O29))</formula>
    </cfRule>
  </conditionalFormatting>
  <conditionalFormatting sqref="P30">
    <cfRule type="expression" dxfId="1" priority="230">
      <formula>AND(NOT(ISBLANK(P30)),OR(O30="NonStk",P30&gt;O30))</formula>
    </cfRule>
  </conditionalFormatting>
  <conditionalFormatting sqref="P31">
    <cfRule type="expression" dxfId="1" priority="234">
      <formula>AND(NOT(ISBLANK(P31)),OR(O31="NonStk",P31&gt;O31))</formula>
    </cfRule>
  </conditionalFormatting>
  <conditionalFormatting sqref="P32">
    <cfRule type="expression" dxfId="1" priority="238">
      <formula>AND(NOT(ISBLANK(P32)),OR(O32="NonStk",P32&gt;O32))</formula>
    </cfRule>
  </conditionalFormatting>
  <conditionalFormatting sqref="P33">
    <cfRule type="expression" dxfId="1" priority="242">
      <formula>AND(NOT(ISBLANK(P33)),OR(O33="NonStk",P33&gt;O33))</formula>
    </cfRule>
  </conditionalFormatting>
  <conditionalFormatting sqref="P34">
    <cfRule type="expression" dxfId="1" priority="246">
      <formula>AND(NOT(ISBLANK(P34)),OR(O34="NonStk",P34&gt;O34))</formula>
    </cfRule>
  </conditionalFormatting>
  <conditionalFormatting sqref="P35">
    <cfRule type="expression" dxfId="1" priority="250">
      <formula>AND(NOT(ISBLANK(P35)),OR(O35="NonStk",P35&gt;O35))</formula>
    </cfRule>
  </conditionalFormatting>
  <conditionalFormatting sqref="P36">
    <cfRule type="expression" dxfId="1" priority="254">
      <formula>AND(NOT(ISBLANK(P36)),OR(O36="NonStk",P36&gt;O36))</formula>
    </cfRule>
  </conditionalFormatting>
  <conditionalFormatting sqref="P37">
    <cfRule type="expression" dxfId="1" priority="258">
      <formula>AND(NOT(ISBLANK(P37)),OR(O37="NonStk",P37&gt;O37))</formula>
    </cfRule>
  </conditionalFormatting>
  <conditionalFormatting sqref="P38">
    <cfRule type="expression" dxfId="1" priority="262">
      <formula>AND(NOT(ISBLANK(P38)),OR(O38="NonStk",P38&gt;O38))</formula>
    </cfRule>
  </conditionalFormatting>
  <conditionalFormatting sqref="P39">
    <cfRule type="expression" dxfId="1" priority="266">
      <formula>AND(NOT(ISBLANK(P39)),OR(O39="NonStk",P39&gt;O39))</formula>
    </cfRule>
  </conditionalFormatting>
  <conditionalFormatting sqref="P40">
    <cfRule type="expression" dxfId="1" priority="270">
      <formula>AND(NOT(ISBLANK(P40)),OR(O40="NonStk",P40&gt;O40))</formula>
    </cfRule>
  </conditionalFormatting>
  <conditionalFormatting sqref="P41">
    <cfRule type="expression" dxfId="1" priority="274">
      <formula>AND(NOT(ISBLANK(P41)),OR(O41="NonStk",P41&gt;O41))</formula>
    </cfRule>
  </conditionalFormatting>
  <conditionalFormatting sqref="P42">
    <cfRule type="expression" dxfId="1" priority="278">
      <formula>AND(NOT(ISBLANK(P42)),OR(O42="NonStk",P42&gt;O42))</formula>
    </cfRule>
  </conditionalFormatting>
  <conditionalFormatting sqref="P43">
    <cfRule type="expression" dxfId="1" priority="282">
      <formula>AND(NOT(ISBLANK(P43)),OR(O43="NonStk",P43&gt;O43))</formula>
    </cfRule>
  </conditionalFormatting>
  <conditionalFormatting sqref="P44">
    <cfRule type="expression" dxfId="1" priority="286">
      <formula>AND(NOT(ISBLANK(P44)),OR(O44="NonStk",P44&gt;O44))</formula>
    </cfRule>
  </conditionalFormatting>
  <conditionalFormatting sqref="P7">
    <cfRule type="expression" dxfId="1" priority="150">
      <formula>AND(NOT(ISBLANK(P7)),OR(O7="NonStk",P7&gt;O7))</formula>
    </cfRule>
  </conditionalFormatting>
  <conditionalFormatting sqref="P8">
    <cfRule type="expression" dxfId="1" priority="154">
      <formula>AND(NOT(ISBLANK(P8)),OR(O8="NonStk",P8&gt;O8))</formula>
    </cfRule>
  </conditionalFormatting>
  <conditionalFormatting sqref="P9">
    <cfRule type="expression" dxfId="1" priority="158">
      <formula>AND(NOT(ISBLANK(P9)),OR(O9="NonStk",P9&gt;O9))</formula>
    </cfRule>
  </conditionalFormatting>
  <conditionalFormatting sqref="Q10">
    <cfRule type="cellIs" dxfId="2" priority="164" operator="lessThanOrEqual">
      <formula>G10</formula>
    </cfRule>
  </conditionalFormatting>
  <conditionalFormatting sqref="Q11">
    <cfRule type="cellIs" dxfId="2" priority="168" operator="lessThanOrEqual">
      <formula>G11</formula>
    </cfRule>
  </conditionalFormatting>
  <conditionalFormatting sqref="Q12">
    <cfRule type="cellIs" dxfId="2" priority="172" operator="lessThanOrEqual">
      <formula>G12</formula>
    </cfRule>
  </conditionalFormatting>
  <conditionalFormatting sqref="Q13">
    <cfRule type="cellIs" dxfId="2" priority="176" operator="lessThanOrEqual">
      <formula>G13</formula>
    </cfRule>
  </conditionalFormatting>
  <conditionalFormatting sqref="Q14">
    <cfRule type="cellIs" dxfId="2" priority="180" operator="lessThanOrEqual">
      <formula>G14</formula>
    </cfRule>
  </conditionalFormatting>
  <conditionalFormatting sqref="Q16">
    <cfRule type="cellIs" dxfId="2" priority="184" operator="lessThanOrEqual">
      <formula>G16</formula>
    </cfRule>
  </conditionalFormatting>
  <conditionalFormatting sqref="Q17">
    <cfRule type="cellIs" dxfId="2" priority="188" operator="lessThanOrEqual">
      <formula>G17</formula>
    </cfRule>
  </conditionalFormatting>
  <conditionalFormatting sqref="Q19">
    <cfRule type="cellIs" dxfId="2" priority="192" operator="lessThanOrEqual">
      <formula>G19</formula>
    </cfRule>
  </conditionalFormatting>
  <conditionalFormatting sqref="Q21">
    <cfRule type="cellIs" dxfId="2" priority="196" operator="lessThanOrEqual">
      <formula>G21</formula>
    </cfRule>
  </conditionalFormatting>
  <conditionalFormatting sqref="Q22">
    <cfRule type="cellIs" dxfId="2" priority="200" operator="lessThanOrEqual">
      <formula>G22</formula>
    </cfRule>
  </conditionalFormatting>
  <conditionalFormatting sqref="Q23">
    <cfRule type="cellIs" dxfId="2" priority="204" operator="lessThanOrEqual">
      <formula>G23</formula>
    </cfRule>
  </conditionalFormatting>
  <conditionalFormatting sqref="Q24">
    <cfRule type="cellIs" dxfId="2" priority="208" operator="lessThanOrEqual">
      <formula>G24</formula>
    </cfRule>
  </conditionalFormatting>
  <conditionalFormatting sqref="Q25">
    <cfRule type="cellIs" dxfId="2" priority="212" operator="lessThanOrEqual">
      <formula>G25</formula>
    </cfRule>
  </conditionalFormatting>
  <conditionalFormatting sqref="Q26">
    <cfRule type="cellIs" dxfId="2" priority="216" operator="lessThanOrEqual">
      <formula>G26</formula>
    </cfRule>
  </conditionalFormatting>
  <conditionalFormatting sqref="Q27">
    <cfRule type="cellIs" dxfId="2" priority="220" operator="lessThanOrEqual">
      <formula>G27</formula>
    </cfRule>
  </conditionalFormatting>
  <conditionalFormatting sqref="Q28">
    <cfRule type="cellIs" dxfId="2" priority="224" operator="lessThanOrEqual">
      <formula>G28</formula>
    </cfRule>
  </conditionalFormatting>
  <conditionalFormatting sqref="Q29">
    <cfRule type="cellIs" dxfId="2" priority="228" operator="lessThanOrEqual">
      <formula>G29</formula>
    </cfRule>
  </conditionalFormatting>
  <conditionalFormatting sqref="Q30">
    <cfRule type="cellIs" dxfId="2" priority="232" operator="lessThanOrEqual">
      <formula>G30</formula>
    </cfRule>
  </conditionalFormatting>
  <conditionalFormatting sqref="Q31">
    <cfRule type="cellIs" dxfId="2" priority="236" operator="lessThanOrEqual">
      <formula>G31</formula>
    </cfRule>
  </conditionalFormatting>
  <conditionalFormatting sqref="Q32">
    <cfRule type="cellIs" dxfId="2" priority="240" operator="lessThanOrEqual">
      <formula>G32</formula>
    </cfRule>
  </conditionalFormatting>
  <conditionalFormatting sqref="Q33">
    <cfRule type="cellIs" dxfId="2" priority="244" operator="lessThanOrEqual">
      <formula>G33</formula>
    </cfRule>
  </conditionalFormatting>
  <conditionalFormatting sqref="Q34">
    <cfRule type="cellIs" dxfId="2" priority="248" operator="lessThanOrEqual">
      <formula>G34</formula>
    </cfRule>
  </conditionalFormatting>
  <conditionalFormatting sqref="Q35">
    <cfRule type="cellIs" dxfId="2" priority="252" operator="lessThanOrEqual">
      <formula>G35</formula>
    </cfRule>
  </conditionalFormatting>
  <conditionalFormatting sqref="Q36">
    <cfRule type="cellIs" dxfId="2" priority="256" operator="lessThanOrEqual">
      <formula>G36</formula>
    </cfRule>
  </conditionalFormatting>
  <conditionalFormatting sqref="Q37">
    <cfRule type="cellIs" dxfId="2" priority="260" operator="lessThanOrEqual">
      <formula>G37</formula>
    </cfRule>
  </conditionalFormatting>
  <conditionalFormatting sqref="Q38">
    <cfRule type="cellIs" dxfId="2" priority="264" operator="lessThanOrEqual">
      <formula>G38</formula>
    </cfRule>
  </conditionalFormatting>
  <conditionalFormatting sqref="Q39">
    <cfRule type="cellIs" dxfId="2" priority="268" operator="lessThanOrEqual">
      <formula>G39</formula>
    </cfRule>
  </conditionalFormatting>
  <conditionalFormatting sqref="Q40">
    <cfRule type="cellIs" dxfId="2" priority="272" operator="lessThanOrEqual">
      <formula>G40</formula>
    </cfRule>
  </conditionalFormatting>
  <conditionalFormatting sqref="Q41">
    <cfRule type="cellIs" dxfId="2" priority="276" operator="lessThanOrEqual">
      <formula>G41</formula>
    </cfRule>
  </conditionalFormatting>
  <conditionalFormatting sqref="Q42">
    <cfRule type="cellIs" dxfId="2" priority="280" operator="lessThanOrEqual">
      <formula>G42</formula>
    </cfRule>
  </conditionalFormatting>
  <conditionalFormatting sqref="Q43">
    <cfRule type="cellIs" dxfId="2" priority="284" operator="lessThanOrEqual">
      <formula>G43</formula>
    </cfRule>
  </conditionalFormatting>
  <conditionalFormatting sqref="Q44">
    <cfRule type="cellIs" dxfId="2" priority="288" operator="lessThanOrEqual">
      <formula>G44</formula>
    </cfRule>
  </conditionalFormatting>
  <conditionalFormatting sqref="Q7">
    <cfRule type="cellIs" dxfId="2" priority="152" operator="lessThanOrEqual">
      <formula>G7</formula>
    </cfRule>
  </conditionalFormatting>
  <conditionalFormatting sqref="Q8">
    <cfRule type="cellIs" dxfId="2" priority="156" operator="lessThanOrEqual">
      <formula>G8</formula>
    </cfRule>
  </conditionalFormatting>
  <conditionalFormatting sqref="Q9">
    <cfRule type="cellIs" dxfId="2" priority="160" operator="lessThanOrEqual">
      <formula>G9</formula>
    </cfRule>
  </conditionalFormatting>
  <conditionalFormatting sqref="S10">
    <cfRule type="cellIs" dxfId="2" priority="163" operator="lessThanOrEqual">
      <formula>H10</formula>
    </cfRule>
  </conditionalFormatting>
  <conditionalFormatting sqref="S11">
    <cfRule type="cellIs" dxfId="2" priority="167" operator="lessThanOrEqual">
      <formula>H11</formula>
    </cfRule>
  </conditionalFormatting>
  <conditionalFormatting sqref="S12">
    <cfRule type="cellIs" dxfId="2" priority="171" operator="lessThanOrEqual">
      <formula>H12</formula>
    </cfRule>
  </conditionalFormatting>
  <conditionalFormatting sqref="S13">
    <cfRule type="cellIs" dxfId="2" priority="175" operator="lessThanOrEqual">
      <formula>H13</formula>
    </cfRule>
  </conditionalFormatting>
  <conditionalFormatting sqref="S14">
    <cfRule type="cellIs" dxfId="2" priority="179" operator="lessThanOrEqual">
      <formula>H14</formula>
    </cfRule>
  </conditionalFormatting>
  <conditionalFormatting sqref="S16">
    <cfRule type="cellIs" dxfId="2" priority="183" operator="lessThanOrEqual">
      <formula>H16</formula>
    </cfRule>
  </conditionalFormatting>
  <conditionalFormatting sqref="S17">
    <cfRule type="cellIs" dxfId="2" priority="187" operator="lessThanOrEqual">
      <formula>H17</formula>
    </cfRule>
  </conditionalFormatting>
  <conditionalFormatting sqref="S19">
    <cfRule type="cellIs" dxfId="2" priority="191" operator="lessThanOrEqual">
      <formula>H19</formula>
    </cfRule>
  </conditionalFormatting>
  <conditionalFormatting sqref="S21">
    <cfRule type="cellIs" dxfId="2" priority="195" operator="lessThanOrEqual">
      <formula>H21</formula>
    </cfRule>
  </conditionalFormatting>
  <conditionalFormatting sqref="S22">
    <cfRule type="cellIs" dxfId="2" priority="199" operator="lessThanOrEqual">
      <formula>H22</formula>
    </cfRule>
  </conditionalFormatting>
  <conditionalFormatting sqref="S23">
    <cfRule type="cellIs" dxfId="2" priority="203" operator="lessThanOrEqual">
      <formula>H23</formula>
    </cfRule>
  </conditionalFormatting>
  <conditionalFormatting sqref="S24">
    <cfRule type="cellIs" dxfId="2" priority="207" operator="lessThanOrEqual">
      <formula>H24</formula>
    </cfRule>
  </conditionalFormatting>
  <conditionalFormatting sqref="S25">
    <cfRule type="cellIs" dxfId="2" priority="211" operator="lessThanOrEqual">
      <formula>H25</formula>
    </cfRule>
  </conditionalFormatting>
  <conditionalFormatting sqref="S26">
    <cfRule type="cellIs" dxfId="2" priority="215" operator="lessThanOrEqual">
      <formula>H26</formula>
    </cfRule>
  </conditionalFormatting>
  <conditionalFormatting sqref="S27">
    <cfRule type="cellIs" dxfId="2" priority="219" operator="lessThanOrEqual">
      <formula>H27</formula>
    </cfRule>
  </conditionalFormatting>
  <conditionalFormatting sqref="S28">
    <cfRule type="cellIs" dxfId="2" priority="223" operator="lessThanOrEqual">
      <formula>H28</formula>
    </cfRule>
  </conditionalFormatting>
  <conditionalFormatting sqref="S29">
    <cfRule type="cellIs" dxfId="2" priority="227" operator="lessThanOrEqual">
      <formula>H29</formula>
    </cfRule>
  </conditionalFormatting>
  <conditionalFormatting sqref="S30">
    <cfRule type="cellIs" dxfId="2" priority="231" operator="lessThanOrEqual">
      <formula>H30</formula>
    </cfRule>
  </conditionalFormatting>
  <conditionalFormatting sqref="S31">
    <cfRule type="cellIs" dxfId="2" priority="235" operator="lessThanOrEqual">
      <formula>H31</formula>
    </cfRule>
  </conditionalFormatting>
  <conditionalFormatting sqref="S32">
    <cfRule type="cellIs" dxfId="2" priority="239" operator="lessThanOrEqual">
      <formula>H32</formula>
    </cfRule>
  </conditionalFormatting>
  <conditionalFormatting sqref="S33">
    <cfRule type="cellIs" dxfId="2" priority="243" operator="lessThanOrEqual">
      <formula>H33</formula>
    </cfRule>
  </conditionalFormatting>
  <conditionalFormatting sqref="S34">
    <cfRule type="cellIs" dxfId="2" priority="247" operator="lessThanOrEqual">
      <formula>H34</formula>
    </cfRule>
  </conditionalFormatting>
  <conditionalFormatting sqref="S35">
    <cfRule type="cellIs" dxfId="2" priority="251" operator="lessThanOrEqual">
      <formula>H35</formula>
    </cfRule>
  </conditionalFormatting>
  <conditionalFormatting sqref="S36">
    <cfRule type="cellIs" dxfId="2" priority="255" operator="lessThanOrEqual">
      <formula>H36</formula>
    </cfRule>
  </conditionalFormatting>
  <conditionalFormatting sqref="S37">
    <cfRule type="cellIs" dxfId="2" priority="259" operator="lessThanOrEqual">
      <formula>H37</formula>
    </cfRule>
  </conditionalFormatting>
  <conditionalFormatting sqref="S38">
    <cfRule type="cellIs" dxfId="2" priority="263" operator="lessThanOrEqual">
      <formula>H38</formula>
    </cfRule>
  </conditionalFormatting>
  <conditionalFormatting sqref="S39">
    <cfRule type="cellIs" dxfId="2" priority="267" operator="lessThanOrEqual">
      <formula>H39</formula>
    </cfRule>
  </conditionalFormatting>
  <conditionalFormatting sqref="S40">
    <cfRule type="cellIs" dxfId="2" priority="271" operator="lessThanOrEqual">
      <formula>H40</formula>
    </cfRule>
  </conditionalFormatting>
  <conditionalFormatting sqref="S41">
    <cfRule type="cellIs" dxfId="2" priority="275" operator="lessThanOrEqual">
      <formula>H41</formula>
    </cfRule>
  </conditionalFormatting>
  <conditionalFormatting sqref="S42">
    <cfRule type="cellIs" dxfId="2" priority="279" operator="lessThanOrEqual">
      <formula>H42</formula>
    </cfRule>
  </conditionalFormatting>
  <conditionalFormatting sqref="S43">
    <cfRule type="cellIs" dxfId="2" priority="283" operator="lessThanOrEqual">
      <formula>H43</formula>
    </cfRule>
  </conditionalFormatting>
  <conditionalFormatting sqref="S44">
    <cfRule type="cellIs" dxfId="2" priority="287" operator="lessThanOrEqual">
      <formula>H44</formula>
    </cfRule>
  </conditionalFormatting>
  <conditionalFormatting sqref="S7">
    <cfRule type="cellIs" dxfId="2" priority="151" operator="lessThanOrEqual">
      <formula>H7</formula>
    </cfRule>
  </conditionalFormatting>
  <conditionalFormatting sqref="S8">
    <cfRule type="cellIs" dxfId="2" priority="155" operator="lessThanOrEqual">
      <formula>H8</formula>
    </cfRule>
  </conditionalFormatting>
  <conditionalFormatting sqref="S9">
    <cfRule type="cellIs" dxfId="2" priority="159" operator="lessThanOrEqual">
      <formula>H9</formula>
    </cfRule>
  </conditionalFormatting>
  <conditionalFormatting sqref="U15">
    <cfRule type="cellIs" dxfId="0" priority="289" operator="lessThan">
      <formula>F15</formula>
    </cfRule>
  </conditionalFormatting>
  <conditionalFormatting sqref="V15">
    <cfRule type="expression" dxfId="1" priority="290">
      <formula>AND(NOT(ISBLANK(V15)),OR(U15="NonStk",V15&gt;U15))</formula>
    </cfRule>
  </conditionalFormatting>
  <conditionalFormatting sqref="W15">
    <cfRule type="cellIs" dxfId="2" priority="292" operator="lessThanOrEqual">
      <formula>G15</formula>
    </cfRule>
  </conditionalFormatting>
  <conditionalFormatting sqref="Y15">
    <cfRule type="cellIs" dxfId="2" priority="291" operator="lessThanOrEqual">
      <formula>H15</formula>
    </cfRule>
  </conditionalFormatting>
  <hyperlinks>
    <hyperlink ref="E7" r:id="rId1"/>
    <hyperlink ref="N7" r:id="rId2"/>
    <hyperlink ref="T7" r:id="rId3"/>
    <hyperlink ref="E8" r:id="rId4"/>
    <hyperlink ref="N8" r:id="rId5"/>
    <hyperlink ref="T8" r:id="rId6"/>
    <hyperlink ref="E9" r:id="rId7"/>
    <hyperlink ref="N9" r:id="rId8"/>
    <hyperlink ref="T9" r:id="rId9"/>
    <hyperlink ref="E10" r:id="rId10"/>
    <hyperlink ref="N10" r:id="rId11"/>
    <hyperlink ref="T10" r:id="rId12"/>
    <hyperlink ref="E11" r:id="rId13"/>
    <hyperlink ref="N11" r:id="rId14"/>
    <hyperlink ref="T11" r:id="rId15"/>
    <hyperlink ref="E12" r:id="rId16"/>
    <hyperlink ref="N12" r:id="rId17"/>
    <hyperlink ref="T12" r:id="rId18"/>
    <hyperlink ref="E13" r:id="rId19"/>
    <hyperlink ref="N13" r:id="rId20"/>
    <hyperlink ref="T13" r:id="rId21"/>
    <hyperlink ref="N14" r:id="rId22"/>
    <hyperlink ref="T14" r:id="rId23"/>
    <hyperlink ref="E15" r:id="rId24"/>
    <hyperlink ref="E16" r:id="rId25"/>
    <hyperlink ref="N16" r:id="rId26"/>
    <hyperlink ref="T16" r:id="rId27"/>
    <hyperlink ref="E17" r:id="rId28"/>
    <hyperlink ref="N17" r:id="rId29"/>
    <hyperlink ref="T17" r:id="rId30"/>
    <hyperlink ref="E18" r:id="rId31"/>
    <hyperlink ref="N18" r:id="rId32"/>
    <hyperlink ref="E19" r:id="rId33"/>
    <hyperlink ref="T19" r:id="rId34"/>
    <hyperlink ref="E20" r:id="rId35"/>
    <hyperlink ref="N20" r:id="rId36"/>
    <hyperlink ref="E21" r:id="rId37"/>
    <hyperlink ref="N21" r:id="rId38"/>
    <hyperlink ref="T21" r:id="rId39"/>
    <hyperlink ref="E22" r:id="rId40"/>
    <hyperlink ref="N22" r:id="rId41"/>
    <hyperlink ref="T22" r:id="rId42"/>
    <hyperlink ref="E23" r:id="rId43"/>
    <hyperlink ref="N23" r:id="rId44"/>
    <hyperlink ref="T23" r:id="rId45"/>
    <hyperlink ref="E24" r:id="rId46"/>
    <hyperlink ref="N24" r:id="rId47"/>
    <hyperlink ref="T24" r:id="rId48"/>
    <hyperlink ref="E25" r:id="rId49"/>
    <hyperlink ref="N25" r:id="rId50"/>
    <hyperlink ref="T25" r:id="rId51"/>
    <hyperlink ref="E26" r:id="rId52"/>
    <hyperlink ref="N26" r:id="rId53"/>
    <hyperlink ref="T26" r:id="rId54"/>
    <hyperlink ref="E27" r:id="rId55"/>
    <hyperlink ref="N27" r:id="rId56"/>
    <hyperlink ref="T27" r:id="rId57"/>
    <hyperlink ref="E28" r:id="rId58"/>
    <hyperlink ref="N28" r:id="rId59"/>
    <hyperlink ref="T28" r:id="rId60"/>
    <hyperlink ref="E29" r:id="rId61"/>
    <hyperlink ref="N29" r:id="rId62"/>
    <hyperlink ref="T29" r:id="rId63"/>
    <hyperlink ref="E30" r:id="rId64"/>
    <hyperlink ref="N30" r:id="rId65"/>
    <hyperlink ref="T30" r:id="rId66"/>
    <hyperlink ref="E31" r:id="rId67"/>
    <hyperlink ref="N31" r:id="rId68"/>
    <hyperlink ref="T31" r:id="rId69"/>
    <hyperlink ref="E32" r:id="rId70"/>
    <hyperlink ref="N32" r:id="rId71"/>
    <hyperlink ref="T32" r:id="rId72"/>
    <hyperlink ref="E33" r:id="rId73"/>
    <hyperlink ref="N33" r:id="rId74"/>
    <hyperlink ref="T33" r:id="rId75"/>
    <hyperlink ref="E34" r:id="rId76"/>
    <hyperlink ref="N34" r:id="rId77"/>
    <hyperlink ref="T34" r:id="rId78"/>
    <hyperlink ref="E35" r:id="rId79"/>
    <hyperlink ref="N35" r:id="rId80"/>
    <hyperlink ref="T35" r:id="rId81"/>
    <hyperlink ref="E36" r:id="rId82"/>
    <hyperlink ref="N36" r:id="rId83"/>
    <hyperlink ref="T36" r:id="rId84"/>
    <hyperlink ref="E37" r:id="rId85"/>
    <hyperlink ref="N37" r:id="rId86"/>
    <hyperlink ref="T37" r:id="rId87"/>
    <hyperlink ref="E38" r:id="rId88"/>
    <hyperlink ref="N38" r:id="rId89"/>
    <hyperlink ref="T38" r:id="rId90"/>
    <hyperlink ref="E39" r:id="rId91"/>
    <hyperlink ref="N39" r:id="rId92"/>
    <hyperlink ref="T39" r:id="rId93"/>
    <hyperlink ref="E40" r:id="rId94"/>
    <hyperlink ref="N40" r:id="rId95"/>
    <hyperlink ref="T40" r:id="rId96"/>
    <hyperlink ref="E41" r:id="rId97"/>
    <hyperlink ref="N41" r:id="rId98"/>
    <hyperlink ref="T41" r:id="rId99"/>
    <hyperlink ref="E42" r:id="rId100"/>
    <hyperlink ref="N42" r:id="rId101"/>
    <hyperlink ref="T42" r:id="rId102"/>
    <hyperlink ref="E43" r:id="rId103"/>
    <hyperlink ref="N43" r:id="rId104"/>
    <hyperlink ref="T43" r:id="rId105"/>
    <hyperlink ref="E44" r:id="rId106"/>
    <hyperlink ref="N44" r:id="rId107"/>
    <hyperlink ref="T44" r:id="rId108"/>
    <hyperlink ref="I46" r:id="rId109"/>
    <hyperlink ref="O46" r:id="rId110"/>
  </hyperlinks>
  <pageMargins left="0.7" right="0.7" top="0.75" bottom="0.75" header="0.3" footer="0.3"/>
  <legacy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frx</vt:lpstr>
      <vt:lpstr>'frx'!BoardQty</vt:lpstr>
      <vt:lpstr>'frx'!PURCHASE_DESCRIPTION</vt:lpstr>
      <vt:lpstr>'frx'!TotalCost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2024-09-09T18:35:38Z</dcterms:created>
  <dcterms:modified xsi:type="dcterms:W3CDTF">2024-09-09T18:35:38Z</dcterms:modified>
</cp:coreProperties>
</file>