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x" sheetId="1" r:id="rId1"/>
  </sheets>
  <definedNames>
    <definedName name="BoardQty" localSheetId="0">'ftx'!$H$1</definedName>
    <definedName name="PURCHASE_DESCRIPTION" localSheetId="0">'ftx'!$H$67</definedName>
    <definedName name="TotalCost" localSheetId="0">'ftx'!$H$3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Z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$0.56      $5.58
    50   $0.47     $23.49
   100   $0.38     $38.26</t>
        </r>
      </text>
    </comment>
    <comment ref="N7" authorId="0">
      <text>
        <r>
          <rPr>
            <sz val="8"/>
            <color indexed="81"/>
            <rFont val="Tahoma"/>
            <family val="2"/>
          </rPr>
          <t>Desc: TANTALUM CAP 22000000 PF 10%
Footprint: 2312 (6032 Metric)
Size: 0.236" L x 0.126" W (6.00mm x 3.20mm)
Tolerance: ±10%
Value: 22 µF 
Voltage: 25 V</t>
        </r>
      </text>
    </comment>
    <comment ref="O7" authorId="0">
      <text>
        <r>
          <rPr>
            <sz val="8"/>
            <color indexed="81"/>
            <rFont val="Tahoma"/>
            <family val="2"/>
          </rPr>
          <t>4631 In Stock</t>
        </r>
      </text>
    </comment>
    <comment ref="Q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$0.72      $0.72
    10   $0.44      $4.40
   100   $0.35     $35.40
   500   $0.28    $137.50
  1000   $0.24    $239.00
  2500   $0.22    $560.00
 10000   $0.21  $2,060.00
 50000   $0.20 $10,250.00</t>
        </r>
      </text>
    </comment>
    <comment ref="T7" authorId="0">
      <text>
        <r>
          <rPr>
            <sz val="8"/>
            <color indexed="81"/>
            <rFont val="Tahoma"/>
            <family val="2"/>
          </rPr>
          <t>Desc: Tantalum Capacitors - Solid SMD 22uF 25volt 10% C Case Molded</t>
        </r>
      </text>
    </comment>
    <comment ref="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$0.68
   500   $0.01      $2.57
  1000   $0.00      $4.04
  2500   $0.00      $9.20
  5000   $0.00     $16.90</t>
        </r>
      </text>
    </comment>
    <comment ref="N8" authorId="0">
      <text>
        <r>
          <rPr>
            <sz val="8"/>
            <color indexed="81"/>
            <rFont val="Tahoma"/>
            <family val="2"/>
          </rPr>
          <t>Desc: CAP CER 0.1UF 10V X7R 0402
Footprint: 0402 (1005 Metric)
Size: 0.039" L x 0.020" W (1.00mm x 0.50mm)
Temp_coeff: X7R
Tolerance: ±10%
Value: 0.1 µF 
Voltage: 10V</t>
        </r>
      </text>
    </comment>
    <comment ref="O8" authorId="0">
      <text>
        <r>
          <rPr>
            <sz val="8"/>
            <color indexed="81"/>
            <rFont val="Tahoma"/>
            <family val="2"/>
          </rPr>
          <t>728721 In Stock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$0.07
   100   $0.01      $0.60
  1000   $0.00      $4.00
 10000   $0.00     $20.00</t>
        </r>
      </text>
    </comment>
    <comment ref="T8" authorId="0">
      <text>
        <r>
          <rPr>
            <sz val="8"/>
            <color indexed="81"/>
            <rFont val="Tahoma"/>
            <family val="2"/>
          </rPr>
          <t>Desc: Multilayer Ceramic Capacitors MLCC - SMD/SMT 100nF+/-10% 10V X7R 0402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$0.14      $1.40
    50   $0.09      $4.43
   100   $0.07      $7.09
   500   $0.05     $25.60
  1000   $0.05     $45.30
  2500   $0.04    $108.33
  5000   $0.04    $196.95</t>
        </r>
      </text>
    </comment>
    <comment ref="N9" authorId="0">
      <text>
        <r>
          <rPr>
            <sz val="8"/>
            <color indexed="81"/>
            <rFont val="Tahoma"/>
            <family val="2"/>
          </rPr>
          <t>Desc: CAP CER 100PF 25V C0G/NP0 0402
Footprint: 0402 (1005 Metric)
Size: 0.039" L x 0.020" W (1.00mm x 0.50mm)
Temp_coeff: C0G, NP0
Tolerance: ±5%
Value: 100 pF 
Voltage: 25V</t>
        </r>
      </text>
    </comment>
    <comment ref="O9" authorId="0">
      <text>
        <r>
          <rPr>
            <sz val="8"/>
            <color indexed="81"/>
            <rFont val="Tahoma"/>
            <family val="2"/>
          </rPr>
          <t>26765 In Stock</t>
        </r>
      </text>
    </comment>
    <comment ref="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$0.09      $0.89
   100   $0.05      $5.20
  1000   $0.05     $46.00
  2500   $0.04    $100.00
 10000   $0.04    $380.00
 20000   $0.03    $680.00
 50000   $0.03  $1,550.00
100000   $0.03  $2,600.00</t>
        </r>
      </text>
    </comment>
    <comment ref="T9" authorId="0">
      <text>
        <r>
          <rPr>
            <sz val="8"/>
            <color indexed="81"/>
            <rFont val="Tahoma"/>
            <family val="2"/>
          </rPr>
          <t>Desc: Multilayer Ceramic Capacitors MLCC - SMD/SMT 25V 100pF C0G 0402 5%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$1.71
    50   $0.11      $5.41
   100   $0.09      $8.65
   500   $0.06     $31.25
  1000   $0.06     $55.29
  2500   $0.05    $132.20
  5000   $0.05    $240.40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Desc: CAP CER 1000PF 25V C0G/NP0 0402
Footprint: 0402 (1005 Metric)
Size: 0.039" L x 0.020" W (1.00mm x 0.50mm)
Temp_coeff: C0G, NP0
Tolerance: ±5%
Value: 1000 pF 
Voltage: 25V</t>
        </r>
      </text>
    </comment>
    <comment ref="O1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$0.07      $0.67
   100   $0.03      $3.40
  1000   $0.02     $22.00
  2500   $0.02     $52.50
 10000   $0.02    $180.00
 50000   $0.02    $850.00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Desc: Multilayer Ceramic Capacitors MLCC - SMD/SMT 25V 1000pF C0G 0402 5%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$1.70
    50   $0.12      $5.98
   100   $0.10      $9.66
   500   $0.07     $35.89
  1000   $0.06     $62.80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Desc: CAP CER 10UF 25V X5R 0603
Footprint: 0603 (1608 Metric)
Size: 0.063" L x 0.031" W (1.60mm x 0.80mm)
Temp_coeff: X5R
Tolerance: ±20%
Value: 10 µF 
Voltage: 25V</t>
        </r>
      </text>
    </comment>
    <comment ref="O11" authorId="0">
      <text>
        <r>
          <rPr>
            <sz val="8"/>
            <color indexed="81"/>
            <rFont val="Tahoma"/>
            <family val="2"/>
          </rPr>
          <t>383816 In Stock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$0.12      $1.20
   100   $0.07      $7.20
  1000   $0.06     $62.00
  4000   $0.05    $216.00
  8000   $0.05    $384.00
 24000   $0.05  $1,128.00
 48000   $0.04  $2,112.00
100000   $0.04  $3,900.00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Desc: Multilayer Ceramic Capacitors MLCC - SMD/SMT 10uF+/-20% 25V X5R 1 0603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$0.02      $0.85
   100   $0.01      $1.32
   500   $0.01      $4.95
  1000   $0.01      $7.78</t>
        </r>
      </text>
    </comment>
    <comment ref="N12" authorId="0">
      <text>
        <r>
          <rPr>
            <sz val="8"/>
            <color indexed="81"/>
            <rFont val="Tahoma"/>
            <family val="2"/>
          </rPr>
          <t>Desc: CAP CER 1UF 25V X5R 0603
Footprint: 0603 (1608 Metric)
Size: 0.063" L x 0.031" W (1.60mm x 0.80mm)
Temp_coeff: X5R
Tolerance: ±10%
Value: 1 µF 
Voltage: 25V</t>
        </r>
      </text>
    </comment>
    <comment ref="O12" authorId="0">
      <text>
        <r>
          <rPr>
            <sz val="8"/>
            <color indexed="81"/>
            <rFont val="Tahoma"/>
            <family val="2"/>
          </rPr>
          <t>420187 In Stock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$1.00
  1000   $0.01      $8.00
  4000   $0.01     $24.00
  8000   $0.01     $40.00
 48000   $0.00    $192.00</t>
        </r>
      </text>
    </comment>
    <comment ref="T12" authorId="0">
      <text>
        <r>
          <rPr>
            <sz val="8"/>
            <color indexed="81"/>
            <rFont val="Tahoma"/>
            <family val="2"/>
          </rPr>
          <t>Desc: Multilayer Ceramic Capacitors MLCC - SMD/SMT 1uF+/-10% 25V X5R 16 0603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$0.41
    50   $0.02      $1.17
   100   $0.02      $1.82
   500   $0.01      $6.84
  1000   $0.01     $10.75</t>
        </r>
      </text>
    </comment>
    <comment ref="N13" authorId="0">
      <text>
        <r>
          <rPr>
            <sz val="8"/>
            <color indexed="81"/>
            <rFont val="Tahoma"/>
            <family val="2"/>
          </rPr>
          <t>Desc: CAP CER 4.7UF 10V X5R 0603
Footprint: 0603 (1608 Metric)
Size: 0.063" L x 0.031" W (1.60mm x 0.80mm)
Temp_coeff: X5R
Tolerance: ±10%
Value: 4.7 µF 
Voltage: 10V</t>
        </r>
      </text>
    </comment>
    <comment ref="O13" authorId="0">
      <text>
        <r>
          <rPr>
            <sz val="8"/>
            <color indexed="81"/>
            <rFont val="Tahoma"/>
            <family val="2"/>
          </rPr>
          <t>783874 In Stock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$0.20
   100   $0.01      $1.40
  1000   $0.01     $11.00
  4000   $0.01     $36.00
  8000   $0.01     $56.00
 24000   $0.01    $144.00
100000   $0.01    $500.00</t>
        </r>
      </text>
    </comment>
    <comment ref="T13" authorId="0">
      <text>
        <r>
          <rPr>
            <sz val="8"/>
            <color indexed="81"/>
            <rFont val="Tahoma"/>
            <family val="2"/>
          </rPr>
          <t>Desc: Multilayer Ceramic Capacitors MLCC - SMD/SMT 4.7uF+/-10% 10V X5R 0603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$0.50
    50   $0.03      $1.43
   100   $0.02      $2.21
   500   $0.02      $8.32
  1000   $0.01     $13.08</t>
        </r>
      </text>
    </comment>
    <comment ref="N14" authorId="0">
      <text>
        <r>
          <rPr>
            <sz val="8"/>
            <color indexed="81"/>
            <rFont val="Tahoma"/>
            <family val="2"/>
          </rPr>
          <t>Desc: CAP CER 2.2UF 10V X5R 0603
Footprint: 0603 (1608 Metric)
Size: 0.063" L x 0.031" W (1.60mm x 0.80mm)
Temp_coeff: X5R
Tolerance: ±10%
Value: 2.2 µF 
Voltage: 10V</t>
        </r>
      </text>
    </comment>
    <comment ref="O14" authorId="0">
      <text>
        <r>
          <rPr>
            <sz val="8"/>
            <color indexed="81"/>
            <rFont val="Tahoma"/>
            <family val="2"/>
          </rPr>
          <t>3524 In Stock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$0.02      $1.70
  1000   $0.01     $13.00
  4000   $0.01     $36.00
  8000   $0.01     $56.00
100000   $0.01    $600.00</t>
        </r>
      </text>
    </comment>
    <comment ref="T14" authorId="0">
      <text>
        <r>
          <rPr>
            <sz val="8"/>
            <color indexed="81"/>
            <rFont val="Tahoma"/>
            <family val="2"/>
          </rPr>
          <t>Desc: Multilayer Ceramic Capacitors MLCC - SMD/SMT 2.2uF+/-10% 10V X5R 0603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$0.07      $0.73
    50   $0.04      $2.18
   100   $0.03      $3.43
   500   $0.03     $12.67
  1000   $0.02     $20.98</t>
        </r>
      </text>
    </comment>
    <comment ref="N15" authorId="0">
      <text>
        <r>
          <rPr>
            <sz val="8"/>
            <color indexed="81"/>
            <rFont val="Tahoma"/>
            <family val="2"/>
          </rPr>
          <t>Desc: CAP CER 1200PF 50V C0G/NP0 0603
Footprint: 0603 (1608 Metric)
Size: 0.063" L x 0.031" W (1.60mm x 0.80mm)
Temp_coeff: C0G, NP0
Tolerance: ±5%
Value: 1200 pF 
Voltage: 50V</t>
        </r>
      </text>
    </comment>
    <comment ref="O1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$0.04      $0.44
   100   $0.02      $2.30
  1000   $0.02     $19.00
  4000   $0.01     $52.00
  8000   $0.01     $96.00
 24000   $0.01    $264.00
100000   $0.01  $1,000.00</t>
        </r>
      </text>
    </comment>
    <comment ref="T15" authorId="0">
      <text>
        <r>
          <rPr>
            <sz val="8"/>
            <color indexed="81"/>
            <rFont val="Tahoma"/>
            <family val="2"/>
          </rPr>
          <t>Desc: Multilayer Ceramic Capacitors MLCC - SMD/SMT 1200 pF 50 VDC 5% 0603 C0G (NP0) AEC-Q200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$0.12      $1.22
    50   $0.07      $3.65
   100   $0.06      $5.74
   500   $0.04     $21.21
  1000   $0.04     $35.11
  2500   $0.03     $81.70
  5000   $0.03    $149.50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Desc: CAP CER 1.6PF 50V C0G/NP0 0402
Footprint: 0402 (1005 Metric)
Size: 0.039" L x 0.020" W (1.00mm x 0.50mm)
Temp_coeff: C0G, NP0
Tolerance: ±0.05pF
Value: 1.6 pF 
Voltage: 50V</t>
        </r>
      </text>
    </comment>
    <comment ref="O16" authorId="0">
      <text>
        <r>
          <rPr>
            <sz val="8"/>
            <color indexed="81"/>
            <rFont val="Tahoma"/>
            <family val="2"/>
          </rPr>
          <t>18005 In Stock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$0.07      $0.73
   100   $0.04      $4.30
  1000   $0.03     $32.00
  2500   $0.03     $70.00
 10000   $0.02    $240.00
 20000   $0.02    $460.00
 50000   $0.02  $1,050.00
100000   $0.02  $1,800.00</t>
        </r>
      </text>
    </comment>
    <comment ref="T16" authorId="0">
      <text>
        <r>
          <rPr>
            <sz val="8"/>
            <color indexed="81"/>
            <rFont val="Tahoma"/>
            <family val="2"/>
          </rPr>
          <t>Desc: Multilayer Ceramic Capacitors MLCC - SMD/SMT 1.6 pF 50 VDC 0.05 pF 0402 C0G (NP0)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$0.12      $1.22
    50   $0.07      $3.65
   100   $0.06      $5.74
   500   $0.04     $21.21
  1000   $0.04     $35.11
  2500   $0.03     $81.70
  5000   $0.03    $149.50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Desc: CAP CER 2.5PF 50V C0G/NP0 0402
Footprint: 0402 (1005 Metric)
Size: 0.039" L x 0.020" W (1.00mm x 0.50mm)
Temp_coeff: C0G, NP0
Tolerance: ±0.05pF
Value: 2.5 pF 
Voltage: 50V</t>
        </r>
      </text>
    </comment>
    <comment ref="O17" authorId="0">
      <text>
        <r>
          <rPr>
            <sz val="8"/>
            <color indexed="81"/>
            <rFont val="Tahoma"/>
            <family val="2"/>
          </rPr>
          <t>11756 In Stock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$0.07      $0.73
   100   $0.04      $4.30
  1000   $0.03     $32.00
  2500   $0.03     $75.00
 10000   $0.03    $270.00
 20000   $0.02    $460.00
 50000   $0.02  $1,050.00
100000   $0.02  $1,800.00</t>
        </r>
      </text>
    </comment>
    <comment ref="T17" authorId="0">
      <text>
        <r>
          <rPr>
            <sz val="8"/>
            <color indexed="81"/>
            <rFont val="Tahoma"/>
            <family val="2"/>
          </rPr>
          <t>Desc: Multilayer Ceramic Capacitors MLCC - SMD/SMT 2.5 pF 50 VDC 0.05 pF 0402 C0G (NP0)</t>
        </r>
      </text>
    </comment>
    <comment ref="I1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7500   $0.08    $597.00
 15000   $0.07  $1,032.60
 37500   $0.07  $2,533.12
 52500   $0.06  $2,936.32</t>
        </r>
      </text>
    </comment>
    <comment ref="N18" authorId="0">
      <text>
        <r>
          <rPr>
            <sz val="8"/>
            <color indexed="81"/>
            <rFont val="Tahoma"/>
            <family val="2"/>
          </rPr>
          <t>Desc: TVS DIODE 11VWM 18.2VC DO214AC
Footprint: DO-214AC, SMA</t>
        </r>
      </text>
    </comment>
    <comment ref="O18" authorId="0">
      <text>
        <r>
          <rPr>
            <sz val="8"/>
            <color indexed="81"/>
            <rFont val="Tahoma"/>
            <family val="2"/>
          </rPr>
          <t>8893 In Stock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$0.24      $2.37
   100   $0.11     $10.60
  1000   $0.07     $74.00
  5000   $0.07    $360.00
100000   $0.07  $7,000.00</t>
        </r>
      </text>
    </comment>
    <comment ref="T18" authorId="0">
      <text>
        <r>
          <rPr>
            <sz val="8"/>
            <color indexed="81"/>
            <rFont val="Tahoma"/>
            <family val="2"/>
          </rPr>
          <t>Desc: ESD Protection Diodes / TVS Diodes 11volts 5uA 22 Amps Uni-Dir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$0.16      $1.60
   100   $0.10      $9.76
   500   $0.07     $36.62
  1000   $0.07     $65.79
  2000   $0.06    $119.40</t>
        </r>
      </text>
    </comment>
    <comment ref="N19" authorId="0">
      <text>
        <r>
          <rPr>
            <sz val="8"/>
            <color indexed="81"/>
            <rFont val="Tahoma"/>
            <family val="2"/>
          </rPr>
          <t>Desc: LED RED CLEAR CHIP SMD
Footprint: 0603 (1608 Metric)
Size: 1.60mm L x 0.80mm W</t>
        </r>
      </text>
    </comment>
    <comment ref="O19" authorId="0">
      <text>
        <r>
          <rPr>
            <sz val="8"/>
            <color indexed="81"/>
            <rFont val="Tahoma"/>
            <family val="2"/>
          </rPr>
          <t>239293 In Stock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$0.16      $1.60
   100   $0.07      $7.20
  1000   $0.06     $59.00
  5000   $0.05    $265.00
 10000   $0.05    $470.00
 25000   $0.04  $1,100.00
 50000   $0.04  $2,150.00
100000   $0.04  $4,000.00</t>
        </r>
      </text>
    </comment>
    <comment ref="T19" authorId="0">
      <text>
        <r>
          <rPr>
            <sz val="8"/>
            <color indexed="81"/>
            <rFont val="Tahoma"/>
            <family val="2"/>
          </rPr>
          <t>Desc: Standard LEDs - SMD Red 631nm 14mcd 5mA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$1.39      $1.39
     5   $1.35      $6.73
    10   $1.26     $12.59
    50   $1.04     $52.09
   100   $0.87     $86.81
   250   $0.85    $211.61
   500   $0.72    $358.11
  1000   $0.63    $629.40</t>
        </r>
      </text>
    </comment>
    <comment ref="N20" authorId="0">
      <text>
        <r>
          <rPr>
            <sz val="8"/>
            <color indexed="81"/>
            <rFont val="Tahoma"/>
            <family val="2"/>
          </rPr>
          <t>Desc: PTC RESET FUSE 24V 500MA 1206
Footprint: 1206 (3216 Metric), Concave
Size: 0.126" L x 0.065" W (3.20mm x 1.65mm)</t>
        </r>
      </text>
    </comment>
    <comment ref="O20" authorId="0">
      <text>
        <r>
          <rPr>
            <sz val="8"/>
            <color indexed="81"/>
            <rFont val="Tahoma"/>
            <family val="2"/>
          </rPr>
          <t>22020 In Stock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10   $1.26     $12.60
    25   $1.05     $26.25
   100   $0.87     $86.90
   250   $0.85    $211.75
   500   $0.72    $358.50
  1000   $0.68    $682.00
  3000   $0.68  $2,046.00</t>
        </r>
      </text>
    </comment>
    <comment ref="T20" authorId="0">
      <text>
        <r>
          <rPr>
            <sz val="8"/>
            <color indexed="81"/>
            <rFont val="Tahoma"/>
            <family val="2"/>
          </rPr>
          <t>Desc: Resettable Fuses - PPTC 24V   .5A-HD    100A    MAX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$0.68
    25   $0.06      $1.54
    50   $0.06      $2.78
   100   $0.04      $4.08
   250   $0.03      $7.42
   500   $0.03     $13.60
  1000   $0.02     $23.48
  5000   $0.02     $92.70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Desc: FERRITE BEAD 10 OHM 0402 1LN
Footprint: 0402 (1005 Metric)
Size: 0.039" L x 0.022" W (1.00mm x 0.55mm)</t>
        </r>
      </text>
    </comment>
    <comment ref="O21" authorId="0">
      <text>
        <r>
          <rPr>
            <sz val="8"/>
            <color indexed="81"/>
            <rFont val="Tahoma"/>
            <family val="2"/>
          </rPr>
          <t>67077 In Stock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100   $0.03      $3.00
   500   $0.03     $13.50
  1000   $0.02     $24.00
  2500   $0.02     $47.50
 10000   $0.02    $160.00
 50000   $0.01    $750.00</t>
        </r>
      </text>
    </comment>
    <comment ref="T21" authorId="0">
      <text>
        <r>
          <rPr>
            <sz val="8"/>
            <color indexed="81"/>
            <rFont val="Tahoma"/>
            <family val="2"/>
          </rPr>
          <t>Desc: Ferrite Beads 10 OHM 25% Alternate Sizing Guide Below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$0.78      $0.78
    10   $0.68      $6.82
   100   $0.56     $56.21
   500   $0.49    $244.37</t>
        </r>
      </text>
    </comment>
    <comment ref="N22" authorId="0">
      <text>
        <r>
          <rPr>
            <sz val="8"/>
            <color indexed="81"/>
            <rFont val="Tahoma"/>
            <family val="2"/>
          </rPr>
          <t>Desc: CONN HEADER SMD R/A 4POS 2MM</t>
        </r>
      </text>
    </comment>
    <comment ref="O2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$0.78      $0.78
    10   $0.68      $6.82
   100   $0.56     $56.30
   500   $0.49    $243.00
  1000   $0.40    $403.00
  2000   $0.36    $722.00
  5000   $0.35  $1,740.00
 10000   $0.33  $3,290.00
 25000   $0.32  $7,925.00</t>
        </r>
      </text>
    </comment>
    <comment ref="T22" authorId="0">
      <text>
        <r>
          <rPr>
            <sz val="8"/>
            <color indexed="81"/>
            <rFont val="Tahoma"/>
            <family val="2"/>
          </rPr>
          <t>Desc: JST Automotive Connectors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$0.13      $1.26
    25   $0.12      $2.89
    50   $0.10      $5.10
   100   $0.09      $8.92
   250   $0.08     $21.24
   500   $0.08     $39.94
  1000   $0.06     $61.18
  2500   $0.06    $144.45</t>
        </r>
      </text>
    </comment>
    <comment ref="N25" authorId="0">
      <text>
        <r>
          <rPr>
            <sz val="8"/>
            <color indexed="81"/>
            <rFont val="Tahoma"/>
            <family val="2"/>
          </rPr>
          <t xml:space="preserve">Desc: FIXED IND 82NH 130MA 2.24OHM SMD
Footprint: 0402 (1005 Metric)
Size: 0.039" L x 0.020" W (1.00mm x 0.50mm)
Tolerance: ±2%
Value: 82 nH </t>
        </r>
      </text>
    </comment>
    <comment ref="O25" authorId="0">
      <text>
        <r>
          <rPr>
            <sz val="8"/>
            <color indexed="81"/>
            <rFont val="Tahoma"/>
            <family val="2"/>
          </rPr>
          <t>7240 In Stock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$0.10      $1.02
   100   $0.08      $7.60
  1000   $0.06     $62.00
  2500   $0.06    $145.00
 10000   $0.05    $520.00
 20000   $0.05  $1,000.00
 50000   $0.05  $2,400.00
100000   $0.05  $4,600.00</t>
        </r>
      </text>
    </comment>
    <comment ref="T25" authorId="0">
      <text>
        <r>
          <rPr>
            <sz val="8"/>
            <color indexed="81"/>
            <rFont val="Tahoma"/>
            <family val="2"/>
          </rPr>
          <t>Desc: RF Inductors - SMD 82   NH   2%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$0.13      $1.26
    25   $0.12      $2.89
    50   $0.10      $5.10
   100   $0.09      $8.92
   250   $0.08     $21.24
   500   $0.08     $39.94
  1000   $0.06     $61.18
  2500   $0.06    $144.45</t>
        </r>
      </text>
    </comment>
    <comment ref="N26" authorId="0">
      <text>
        <r>
          <rPr>
            <sz val="8"/>
            <color indexed="81"/>
            <rFont val="Tahoma"/>
            <family val="2"/>
          </rPr>
          <t xml:space="preserve">Desc: FIXED IND 8.2NH 540MA 0.14OHM SM
Footprint: 0402 (1005 Metric)
Size: 0.039" L x 0.024" W (1.00mm x 0.60mm)
Tolerance: ±2%
Value: 8.2 nH </t>
        </r>
      </text>
    </comment>
    <comment ref="O26" authorId="0">
      <text>
        <r>
          <rPr>
            <sz val="8"/>
            <color indexed="81"/>
            <rFont val="Tahoma"/>
            <family val="2"/>
          </rPr>
          <t>61008 In Stock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$0.10      $1.02
   100   $0.08      $8.00
  1000   $0.06     $62.00
  2500   $0.06    $145.00
 10000   $0.05    $510.00
 20000   $0.05    $960.00
100000   $0.05  $4,600.00</t>
        </r>
      </text>
    </comment>
    <comment ref="T26" authorId="0">
      <text>
        <r>
          <rPr>
            <sz val="8"/>
            <color indexed="81"/>
            <rFont val="Tahoma"/>
            <family val="2"/>
          </rPr>
          <t>Desc: RF Inductors - SMD 8.2  NH   2%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$0.18      $1.83
    25   $0.17      $4.20
    50   $0.15      $7.42
   100   $0.13     $12.98
   250   $0.12     $30.90
   500   $0.12     $58.09
  1000   $0.09     $88.99
  2500   $0.08    $210.12</t>
        </r>
      </text>
    </comment>
    <comment ref="N27" authorId="0">
      <text>
        <r>
          <rPr>
            <sz val="8"/>
            <color indexed="81"/>
            <rFont val="Tahoma"/>
            <family val="2"/>
          </rPr>
          <t xml:space="preserve">Desc: FIXED IND 5.9NH 1.77A 0.04OHM SM
Footprint: 0402 (1005 Metric)
Size: 0.039" L x 0.024" W (1.00mm x 0.60mm)
Tolerance: ±0.1nH
Value: 5.9 nH </t>
        </r>
      </text>
    </comment>
    <comment ref="O27" authorId="0">
      <text>
        <r>
          <rPr>
            <sz val="8"/>
            <color indexed="81"/>
            <rFont val="Tahoma"/>
            <family val="2"/>
          </rPr>
          <t>9662 In Stock</t>
        </r>
      </text>
    </comment>
    <comment ref="Q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$0.15      $1.49
   100   $0.12     $11.70
  1000   $0.09     $89.00
  2500   $0.09    $212.50
 10000   $0.07    $750.00
 20000   $0.07  $1,380.00
 50000   $0.07  $3,400.00
100000   $0.07  $6,700.00</t>
        </r>
      </text>
    </comment>
    <comment ref="T27" authorId="0">
      <text>
        <r>
          <rPr>
            <sz val="8"/>
            <color indexed="81"/>
            <rFont val="Tahoma"/>
            <family val="2"/>
          </rPr>
          <t>Desc: RF Inductors - SMD 5.9  NH  +-.1NH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10 $125.00  $1,250.00
  5000  $61.00 $305,000.00</t>
        </r>
      </text>
    </comment>
    <comment ref="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$0.28      $2.84
   100   $0.18     $18.00
   500   $0.13     $67.44
  1000   $0.12    $120.28</t>
        </r>
      </text>
    </comment>
    <comment ref="N29" authorId="0">
      <text>
        <r>
          <rPr>
            <sz val="8"/>
            <color indexed="81"/>
            <rFont val="Tahoma"/>
            <family val="2"/>
          </rPr>
          <t>Desc: MOSFET 2N-CH 60V 0.115A SC88
Footprint: 6-TSSOP, SC-88, SOT-363</t>
        </r>
      </text>
    </comment>
    <comment ref="O29" authorId="0">
      <text>
        <r>
          <rPr>
            <sz val="8"/>
            <color indexed="81"/>
            <rFont val="Tahoma"/>
            <family val="2"/>
          </rPr>
          <t>154462 In Stock</t>
        </r>
      </text>
    </comment>
    <comment ref="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$0.28      $2.75
   100   $0.14     $13.50
  1000   $0.12    $121.00
  3000   $0.09    $276.00
  9000   $0.09    $792.00
 24000   $0.08  $1,944.00</t>
        </r>
      </text>
    </comment>
    <comment ref="T29" authorId="0">
      <text>
        <r>
          <rPr>
            <sz val="8"/>
            <color indexed="81"/>
            <rFont val="Tahoma"/>
            <family val="2"/>
          </rPr>
          <t>Desc: MOSFETs N-Chan Enhancement Mode Field Effect</t>
        </r>
      </text>
    </comment>
    <comment ref="K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$0.12      $1.21
   100   $0.07      $7.47
   500   $0.05     $27.26
  1000   $0.05     $47.95</t>
        </r>
      </text>
    </comment>
    <comment ref="N30" authorId="0">
      <text>
        <r>
          <rPr>
            <sz val="8"/>
            <color indexed="81"/>
            <rFont val="Tahoma"/>
            <family val="2"/>
          </rPr>
          <t>Desc: TRAN NPN/PNP 65V 0.1A SC88/SC70
Footprint: 6-TSSOP, SC-88, SOT-363</t>
        </r>
      </text>
    </comment>
    <comment ref="O30" authorId="0">
      <text>
        <r>
          <rPr>
            <sz val="8"/>
            <color indexed="81"/>
            <rFont val="Tahoma"/>
            <family val="2"/>
          </rPr>
          <t>193331 In Stock</t>
        </r>
      </text>
    </comment>
    <comment ref="Q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$0.12      $1.21
   100   $0.06      $5.50
  1000   $0.04     $42.00
  3000   $0.03     $87.00
  9000   $0.03    $252.00
 24000   $0.03    $624.00
 48000   $0.02  $1,152.00</t>
        </r>
      </text>
    </comment>
    <comment ref="T30" authorId="0">
      <text>
        <r>
          <rPr>
            <sz val="8"/>
            <color indexed="81"/>
            <rFont val="Tahoma"/>
            <family val="2"/>
          </rPr>
          <t>Desc: Bipolar Transistors - BJT 100mA 80V Dual Complementary</t>
        </r>
      </text>
    </comment>
    <comment ref="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31" authorId="0">
      <text>
        <r>
          <rPr>
            <sz val="8"/>
            <color indexed="81"/>
            <rFont val="Tahoma"/>
            <family val="2"/>
          </rPr>
          <t xml:space="preserve">Desc: RES 10K OHM 1% 1/16W 0402
Footprint: 0402 (1005 Metric)
Power: 0.063W, 1/16W
Size: 0.039" L x 0.020" W (1.00mm x 0.50mm)
Temp_coeff: ±100ppm/°C
Tolerance: ±1%
Value: 10 kOhms </t>
        </r>
      </text>
    </comment>
    <comment ref="O31" authorId="0">
      <text>
        <r>
          <rPr>
            <sz val="8"/>
            <color indexed="81"/>
            <rFont val="Tahoma"/>
            <family val="2"/>
          </rPr>
          <t>2867707 In Stock</t>
        </r>
      </text>
    </comment>
    <comment ref="Q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31" authorId="0">
      <text>
        <r>
          <rPr>
            <sz val="8"/>
            <color indexed="81"/>
            <rFont val="Tahoma"/>
            <family val="2"/>
          </rPr>
          <t>Desc: Thick Film Resistors - SMD 10 kOhms 62.5mW 0402 1%</t>
        </r>
      </text>
    </comment>
    <comment ref="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 25   $0.01      $0.21
    50   $0.01      $0.32
   100   $0.00      $0.45
   250   $0.00      $0.91
   500   $0.00      $1.45
  1000   $0.00      $2.14
  5000   $0.00      $7.70</t>
        </r>
      </text>
    </comment>
    <comment ref="N32" authorId="0">
      <text>
        <r>
          <rPr>
            <sz val="8"/>
            <color indexed="81"/>
            <rFont val="Tahoma"/>
            <family val="2"/>
          </rPr>
          <t xml:space="preserve">Desc: RES 0 OHM JUMPER 1/16W 0402
Footprint: 0402 (1005 Metric)
Power: -
Size: 0.039" L x 0.020" W (1.00mm x 0.50mm)
Temp_coeff: -
Tolerance: Jumper
Value: 0 Ohms </t>
        </r>
      </text>
    </comment>
    <comment ref="O32" authorId="0">
      <text>
        <r>
          <rPr>
            <sz val="8"/>
            <color indexed="81"/>
            <rFont val="Tahoma"/>
            <family val="2"/>
          </rPr>
          <t>2380402 In Stock</t>
        </r>
      </text>
    </comment>
    <comment ref="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$0.07
   100   $0.00      $0.30
  2500   $0.00      $5.00
 10000   $0.00     $20.00</t>
        </r>
      </text>
    </comment>
    <comment ref="T32" authorId="0">
      <text>
        <r>
          <rPr>
            <sz val="8"/>
            <color indexed="81"/>
            <rFont val="Tahoma"/>
            <family val="2"/>
          </rPr>
          <t>Desc: Thick Film Resistors - SMD 0 Ohms 62.5mW 0402 1%</t>
        </r>
      </text>
    </comment>
    <comment ref="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33" authorId="0">
      <text>
        <r>
          <rPr>
            <sz val="8"/>
            <color indexed="81"/>
            <rFont val="Tahoma"/>
            <family val="2"/>
          </rPr>
          <t xml:space="preserve">Desc: RES 3.32K OHM 1% 1/16W 0402
Footprint: 0402 (1005 Metric)
Power: 0.063W, 1/16W
Size: 0.039" L x 0.020" W (1.00mm x 0.50mm)
Temp_coeff: ±100ppm/°C
Tolerance: ±1%
Value: 3.32 kOhms </t>
        </r>
      </text>
    </comment>
    <comment ref="O33" authorId="0">
      <text>
        <r>
          <rPr>
            <sz val="8"/>
            <color indexed="81"/>
            <rFont val="Tahoma"/>
            <family val="2"/>
          </rPr>
          <t>8333 In Stock</t>
        </r>
      </text>
    </comment>
    <comment ref="Q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33" authorId="0">
      <text>
        <r>
          <rPr>
            <sz val="8"/>
            <color indexed="81"/>
            <rFont val="Tahoma"/>
            <family val="2"/>
          </rPr>
          <t>Desc: Thick Film Resistors - SMD 3.32 kOhms 62.5mW 0402 1%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34" authorId="0">
      <text>
        <r>
          <rPr>
            <sz val="8"/>
            <color indexed="81"/>
            <rFont val="Tahoma"/>
            <family val="2"/>
          </rPr>
          <t xml:space="preserve">Desc: RES 100 OHM 1% 1/16W 0402
Footprint: 0402 (1005 Metric)
Power: 0.063W, 1/16W
Size: 0.039" L x 0.020" W (1.00mm x 0.50mm)
Temp_coeff: ±100ppm/°C
Tolerance: ±1%
Value: 100 Ohms </t>
        </r>
      </text>
    </comment>
    <comment ref="O34" authorId="0">
      <text>
        <r>
          <rPr>
            <sz val="8"/>
            <color indexed="81"/>
            <rFont val="Tahoma"/>
            <family val="2"/>
          </rPr>
          <t>10283300 In Stock</t>
        </r>
      </text>
    </comment>
    <comment ref="Q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34" authorId="0">
      <text>
        <r>
          <rPr>
            <sz val="8"/>
            <color indexed="81"/>
            <rFont val="Tahoma"/>
            <family val="2"/>
          </rPr>
          <t>Desc: Thick Film Resistors - SMD 100 Ohms 62.5mW 0402 1%</t>
        </r>
      </text>
    </comment>
    <comment ref="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$0.10
    50   $0.01      $0.31
   100   $0.01      $0.51
   500   $0.00      $1.72
  1000   $0.00      $2.93
  5000   $0.00     $10.45</t>
        </r>
      </text>
    </comment>
    <comment ref="N35" authorId="0">
      <text>
        <r>
          <rPr>
            <sz val="8"/>
            <color indexed="81"/>
            <rFont val="Tahoma"/>
            <family val="2"/>
          </rPr>
          <t xml:space="preserve">Desc: RES 5.6K OHM 1% 1/16W 0402
Footprint: 0402 (1005 Metric)
Power: 0.063W, 1/16W
Size: 0.039" L x 0.020" W (1.00mm x 0.50mm)
Temp_coeff: ±100ppm/°C
Tolerance: ±1%
Value: 5.6 kOhms </t>
        </r>
      </text>
    </comment>
    <comment ref="O35" authorId="0">
      <text>
        <r>
          <rPr>
            <sz val="8"/>
            <color indexed="81"/>
            <rFont val="Tahoma"/>
            <family val="2"/>
          </rPr>
          <t>596644 In Stock</t>
        </r>
      </text>
    </comment>
    <comment ref="Q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$0.07
   100   $0.00      $0.40
  1000   $0.00      $3.00
 10000   $0.00     $20.00</t>
        </r>
      </text>
    </comment>
    <comment ref="T35" authorId="0">
      <text>
        <r>
          <rPr>
            <sz val="8"/>
            <color indexed="81"/>
            <rFont val="Tahoma"/>
            <family val="2"/>
          </rPr>
          <t>Desc: Thick Film Resistors - SMD 5.6 kOhms 62.5mW 0402 1%</t>
        </r>
      </text>
    </comment>
    <comment ref="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36" authorId="0">
      <text>
        <r>
          <rPr>
            <sz val="8"/>
            <color indexed="81"/>
            <rFont val="Tahoma"/>
            <family val="2"/>
          </rPr>
          <t xml:space="preserve">Desc: RES 1K OHM 1% 1/16W 0402
Footprint: 0402 (1005 Metric)
Power: 0.063W, 1/16W
Size: 0.039" L x 0.020" W (1.00mm x 0.50mm)
Temp_coeff: ±100ppm/°C
Tolerance: ±1%
Value: 1 kOhms </t>
        </r>
      </text>
    </comment>
    <comment ref="O36" authorId="0">
      <text>
        <r>
          <rPr>
            <sz val="8"/>
            <color indexed="81"/>
            <rFont val="Tahoma"/>
            <family val="2"/>
          </rPr>
          <t>4360957 In Stock</t>
        </r>
      </text>
    </comment>
    <comment ref="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36" authorId="0">
      <text>
        <r>
          <rPr>
            <sz val="8"/>
            <color indexed="81"/>
            <rFont val="Tahoma"/>
            <family val="2"/>
          </rPr>
          <t>Desc: Thick Film Resistors - SMD 1 kOhms 62.5mW 0402 1%</t>
        </r>
      </text>
    </comment>
    <comment ref="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37" authorId="0">
      <text>
        <r>
          <rPr>
            <sz val="8"/>
            <color indexed="81"/>
            <rFont val="Tahoma"/>
            <family val="2"/>
          </rPr>
          <t xml:space="preserve">Desc: RES 270 OHM 1% 1/16W 0402
Footprint: 0402 (1005 Metric)
Power: 0.063W, 1/16W
Size: 0.039" L x 0.020" W (1.00mm x 0.50mm)
Temp_coeff: ±100ppm/°C
Tolerance: ±1%
Value: 270 Ohms </t>
        </r>
      </text>
    </comment>
    <comment ref="O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Q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37" authorId="0">
      <text>
        <r>
          <rPr>
            <sz val="8"/>
            <color indexed="81"/>
            <rFont val="Tahoma"/>
            <family val="2"/>
          </rPr>
          <t>Desc: Thick Film Resistors - SMD 270 Ohms 62.5mW 0402 1%</t>
        </r>
      </text>
    </comment>
    <comment ref="K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38" authorId="0">
      <text>
        <r>
          <rPr>
            <sz val="8"/>
            <color indexed="81"/>
            <rFont val="Tahoma"/>
            <family val="2"/>
          </rPr>
          <t xml:space="preserve">Desc: RES 3.6K OHM 1% 1/16W 0402
Footprint: 0402 (1005 Metric)
Power: 0.063W, 1/16W
Size: 0.039" L x 0.020" W (1.00mm x 0.50mm)
Temp_coeff: ±100ppm/°C
Tolerance: ±1%
Value: 3.6 kOhms </t>
        </r>
      </text>
    </comment>
    <comment ref="O38" authorId="0">
      <text>
        <r>
          <rPr>
            <sz val="8"/>
            <color indexed="81"/>
            <rFont val="Tahoma"/>
            <family val="2"/>
          </rPr>
          <t>73039 In Stock</t>
        </r>
      </text>
    </comment>
    <comment ref="Q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
 50000   $0.00     $50.00</t>
        </r>
      </text>
    </comment>
    <comment ref="T38" authorId="0">
      <text>
        <r>
          <rPr>
            <sz val="8"/>
            <color indexed="81"/>
            <rFont val="Tahoma"/>
            <family val="2"/>
          </rPr>
          <t>Desc: Thick Film Resistors - SMD 3.6 kOhms 62.5mW 040 2 1%</t>
        </r>
      </text>
    </comment>
    <comment ref="I3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$0.45
   100   $0.01      $0.74
   500   $0.00      $2.43
  1000   $0.00      $4.13
  5000   $0.00     $14.60</t>
        </r>
      </text>
    </comment>
    <comment ref="N39" authorId="0">
      <text>
        <r>
          <rPr>
            <sz val="8"/>
            <color indexed="81"/>
            <rFont val="Tahoma"/>
            <family val="2"/>
          </rPr>
          <t xml:space="preserve">Desc: RES 11K OHM 1% 1/16W 0402
Footprint: 0402 (1005 Metric)
Power: 0.063W, 1/16W
Size: 0.039" L x 0.020" W (1.00mm x 0.50mm)
Temp_coeff: ±100ppm/°C
Tolerance: ±1%
Value: 11 kOhms </t>
        </r>
      </text>
    </comment>
    <comment ref="O39" authorId="0">
      <text>
        <r>
          <rPr>
            <sz val="8"/>
            <color indexed="81"/>
            <rFont val="Tahoma"/>
            <family val="2"/>
          </rPr>
          <t>58290 In Stock</t>
        </r>
      </text>
    </comment>
    <comment ref="Q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1000   $0.00      $4.00
  2500   $0.00      $7.50
 10000   $0.00     $20.00</t>
        </r>
      </text>
    </comment>
    <comment ref="T39" authorId="0">
      <text>
        <r>
          <rPr>
            <sz val="8"/>
            <color indexed="81"/>
            <rFont val="Tahoma"/>
            <family val="2"/>
          </rPr>
          <t>Desc: Thick Film Resistors - SMD 11 kOhms 62.5mW 0402 1%</t>
        </r>
      </text>
    </comment>
    <comment ref="K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$0.12      $1.25
    50   $0.09      $4.27
   100   $0.07      $7.36
   500   $0.05     $27.00
  1000   $0.05     $47.84</t>
        </r>
      </text>
    </comment>
    <comment ref="N40" authorId="0">
      <text>
        <r>
          <rPr>
            <sz val="8"/>
            <color indexed="81"/>
            <rFont val="Tahoma"/>
            <family val="2"/>
          </rPr>
          <t xml:space="preserve">Desc: RES 0.5 OHM 1% 1/10W 0603
Footprint: 0603 (1608 Metric)
Power: 0.1W, 1/10W
Size: 0.063" L x 0.031" W (1.60mm x 0.80mm)
Temp_coeff: ±800ppm/°C
Tolerance: ±1%
Value: 500 mOhms </t>
        </r>
      </text>
    </comment>
    <comment ref="O40" authorId="0">
      <text>
        <r>
          <rPr>
            <sz val="8"/>
            <color indexed="81"/>
            <rFont val="Tahoma"/>
            <family val="2"/>
          </rPr>
          <t>94 In Stock</t>
        </r>
      </text>
    </comment>
    <comment ref="Q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$0.09      $0.86
   100   $0.05      $5.40
  1000   $0.04     $43.00
  5000   $0.04    $190.00
 10000   $0.04    $350.00
 25000   $0.03    $700.00</t>
        </r>
      </text>
    </comment>
    <comment ref="T40" authorId="0">
      <text>
        <r>
          <rPr>
            <sz val="8"/>
            <color indexed="81"/>
            <rFont val="Tahoma"/>
            <family val="2"/>
          </rPr>
          <t>Desc: Current Sense Resistors - SMD 500 mOhms 100mW 1 % 800 ppm/C</t>
        </r>
      </text>
    </comment>
    <comment ref="K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41" authorId="0">
      <text>
        <r>
          <rPr>
            <sz val="8"/>
            <color indexed="81"/>
            <rFont val="Tahoma"/>
            <family val="2"/>
          </rPr>
          <t xml:space="preserve">Desc: RES 620K OHM 1% 1/16W 0402
Footprint: 0402 (1005 Metric)
Power: 0.063W, 1/16W
Size: 0.039" L x 0.020" W (1.00mm x 0.50mm)
Temp_coeff: ±100ppm/°C
Tolerance: ±1%
Value: 620 kOhms </t>
        </r>
      </text>
    </comment>
    <comment ref="O41" authorId="0">
      <text>
        <r>
          <rPr>
            <sz val="8"/>
            <color indexed="81"/>
            <rFont val="Tahoma"/>
            <family val="2"/>
          </rPr>
          <t>9719 In Stock</t>
        </r>
      </text>
    </comment>
    <comment ref="Q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41" authorId="0">
      <text>
        <r>
          <rPr>
            <sz val="8"/>
            <color indexed="81"/>
            <rFont val="Tahoma"/>
            <family val="2"/>
          </rPr>
          <t>Desc: Thick Film Resistors - SMD 620 kOhms 62.5 mW 0402 1%</t>
        </r>
      </text>
    </comment>
    <comment ref="K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42" authorId="0">
      <text>
        <r>
          <rPr>
            <sz val="8"/>
            <color indexed="81"/>
            <rFont val="Tahoma"/>
            <family val="2"/>
          </rPr>
          <t xml:space="preserve">Desc: RES 200K OHM 1% 1/16W 0402
Footprint: 0402 (1005 Metric)
Power: 0.063W, 1/16W
Size: 0.039" L x 0.020" W (1.00mm x 0.50mm)
Temp_coeff: ±100ppm/°C
Tolerance: ±1%
Value: 200 kOhms </t>
        </r>
      </text>
    </comment>
    <comment ref="O42" authorId="0">
      <text>
        <r>
          <rPr>
            <sz val="8"/>
            <color indexed="81"/>
            <rFont val="Tahoma"/>
            <family val="2"/>
          </rPr>
          <t>468705 In Stock</t>
        </r>
      </text>
    </comment>
    <comment ref="Q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$30.00
 50000   $0.00    $100.00</t>
        </r>
      </text>
    </comment>
    <comment ref="T42" authorId="0">
      <text>
        <r>
          <rPr>
            <sz val="8"/>
            <color indexed="81"/>
            <rFont val="Tahoma"/>
            <family val="2"/>
          </rPr>
          <t>Desc: Thick Film Resistors - SMD 200 kOhms 62.5mW 040 2 1%</t>
        </r>
      </text>
    </comment>
    <comment ref="K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43" authorId="0">
      <text>
        <r>
          <rPr>
            <sz val="8"/>
            <color indexed="81"/>
            <rFont val="Tahoma"/>
            <family val="2"/>
          </rPr>
          <t xml:space="preserve">Desc: RES 62 OHM 1% 1/16W 0402
Footprint: 0402 (1005 Metric)
Power: 0.063W, 1/16W
Size: 0.039" L x 0.020" W (1.00mm x 0.50mm)
Temp_coeff: ±100ppm/°C
Tolerance: ±1%
Value: 62 Ohms </t>
        </r>
      </text>
    </comment>
    <comment ref="O43" authorId="0">
      <text>
        <r>
          <rPr>
            <sz val="8"/>
            <color indexed="81"/>
            <rFont val="Tahoma"/>
            <family val="2"/>
          </rPr>
          <t>184726 In Stock</t>
        </r>
      </text>
    </comment>
    <comment ref="Q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43" authorId="0">
      <text>
        <r>
          <rPr>
            <sz val="8"/>
            <color indexed="81"/>
            <rFont val="Tahoma"/>
            <family val="2"/>
          </rPr>
          <t>Desc: Thick Film Resistors - SMD 62 Ohms 62.5mW 0402 1%</t>
        </r>
      </text>
    </comment>
    <comment ref="K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 50   $0.01      $0.67
   100   $0.01      $1.12
   500   $0.01      $3.79
  1000   $0.01      $6.51
  5000   $0.00     $23.65</t>
        </r>
      </text>
    </comment>
    <comment ref="N44" authorId="0">
      <text>
        <r>
          <rPr>
            <sz val="8"/>
            <color indexed="81"/>
            <rFont val="Tahoma"/>
            <family val="2"/>
          </rPr>
          <t xml:space="preserve">Desc: RES SMD 5.1 OHM 5% 1/10W 0402
Footprint: 0402 (1005 Metric)
Power: 0.1W, 1/10W
Size: 0.039" L x 0.020" W (1.00mm x 0.50mm)
Temp_coeff: -100/ +600ppm/°C
Tolerance: ±5%
Value: 5.1 Ohms </t>
        </r>
      </text>
    </comment>
    <comment ref="O44" authorId="0">
      <text>
        <r>
          <rPr>
            <sz val="8"/>
            <color indexed="81"/>
            <rFont val="Tahoma"/>
            <family val="2"/>
          </rPr>
          <t>222686 In Stock</t>
        </r>
      </text>
    </comment>
    <comment ref="Q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100   $0.01      $0.80
  1000   $0.01      $7.00
  2500   $0.01     $12.50
 10000   $0.00     $30.00</t>
        </r>
      </text>
    </comment>
    <comment ref="T44" authorId="0">
      <text>
        <r>
          <rPr>
            <sz val="8"/>
            <color indexed="81"/>
            <rFont val="Tahoma"/>
            <family val="2"/>
          </rPr>
          <t>Desc: Thick Film Resistors - SMD 0402 5.1ohms 5% Tol AEC-Q200</t>
        </r>
      </text>
    </comment>
    <comment ref="K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$0.38
    50   $0.02      $1.22
   100   $0.02      $2.06
   500   $0.01      $7.17
  1000   $0.01     $12.48</t>
        </r>
      </text>
    </comment>
    <comment ref="N45" authorId="0">
      <text>
        <r>
          <rPr>
            <sz val="8"/>
            <color indexed="81"/>
            <rFont val="Tahoma"/>
            <family val="2"/>
          </rPr>
          <t xml:space="preserve">Desc: RES 20 OHM 1% 1/4W 1206
Footprint: 1206 (3216 Metric)
Power: 0.25W, 1/4W
Size: 0.122" L x 0.063" W (3.10mm x 1.60mm)
Temp_coeff: ±100ppm/°C
Tolerance: ±1%
Value: 20 Ohms </t>
        </r>
      </text>
    </comment>
    <comment ref="O45" authorId="0">
      <text>
        <r>
          <rPr>
            <sz val="8"/>
            <color indexed="81"/>
            <rFont val="Tahoma"/>
            <family val="2"/>
          </rPr>
          <t>12063 In Stock</t>
        </r>
      </text>
    </comment>
    <comment ref="Q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$0.25
   100   $0.02      $1.70
   500   $0.01      $6.50
  1000   $0.01     $10.00
  5000   $0.01     $35.00
 10000   $0.01     $50.00</t>
        </r>
      </text>
    </comment>
    <comment ref="T45" authorId="0">
      <text>
        <r>
          <rPr>
            <sz val="8"/>
            <color indexed="81"/>
            <rFont val="Tahoma"/>
            <family val="2"/>
          </rPr>
          <t>Desc: Thick Film Resistors - SMD 20 Ohms 250 mW 1206  1%</t>
        </r>
      </text>
    </comment>
    <comment ref="K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$0.01      $0.65
   100   $0.01      $1.07
   500   $0.01      $3.57
  1000   $0.01      $6.10
  5000   $0.00     $21.90</t>
        </r>
      </text>
    </comment>
    <comment ref="N46" authorId="0">
      <text>
        <r>
          <rPr>
            <sz val="8"/>
            <color indexed="81"/>
            <rFont val="Tahoma"/>
            <family val="2"/>
          </rPr>
          <t xml:space="preserve">Desc: RES 1 OHM 1% 1/16W 0402
Footprint: 0402 (1005 Metric)
Power: 0.063W, 1/16W
Size: 0.039" L x 0.020" W (1.00mm x 0.50mm)
Temp_coeff: ±200ppm/°C
Tolerance: ±1%
Value: 1 Ohms </t>
        </r>
      </text>
    </comment>
    <comment ref="O46" authorId="0">
      <text>
        <r>
          <rPr>
            <sz val="8"/>
            <color indexed="81"/>
            <rFont val="Tahoma"/>
            <family val="2"/>
          </rPr>
          <t>190211 In Stock</t>
        </r>
      </text>
    </comment>
    <comment ref="Q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$0.13
   100   $0.01      $0.80
  1000   $0.01      $7.00
  2500   $0.01     $12.50
 10000   $0.00     $40.00
 50000   $0.00    $150.00</t>
        </r>
      </text>
    </comment>
    <comment ref="T46" authorId="0">
      <text>
        <r>
          <rPr>
            <sz val="8"/>
            <color indexed="81"/>
            <rFont val="Tahoma"/>
            <family val="2"/>
          </rPr>
          <t>Desc: Thick Film Resistors - SMD 1 Ohms 62.5mW 0402 1%</t>
        </r>
      </text>
    </comment>
    <comment ref="K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47" authorId="0">
      <text>
        <r>
          <rPr>
            <sz val="8"/>
            <color indexed="81"/>
            <rFont val="Tahoma"/>
            <family val="2"/>
          </rPr>
          <t xml:space="preserve">Desc: RES 82K OHM 1% 1/16W 0402
Footprint: 0402 (1005 Metric)
Power: 0.063W, 1/16W
Size: 0.039" L x 0.020" W (1.00mm x 0.50mm)
Temp_coeff: ±100ppm/°C
Tolerance: ±1%
Value: 82 kOhms </t>
        </r>
      </text>
    </comment>
    <comment ref="O47" authorId="0">
      <text>
        <r>
          <rPr>
            <sz val="8"/>
            <color indexed="81"/>
            <rFont val="Tahoma"/>
            <family val="2"/>
          </rPr>
          <t>483794 In Stock</t>
        </r>
      </text>
    </comment>
    <comment ref="Q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47" authorId="0">
      <text>
        <r>
          <rPr>
            <sz val="8"/>
            <color indexed="81"/>
            <rFont val="Tahoma"/>
            <family val="2"/>
          </rPr>
          <t>Desc: Thick Film Resistors - SMD 82 kOhms 62.5mW 0402 1%</t>
        </r>
      </text>
    </comment>
    <comment ref="K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48" authorId="0">
      <text>
        <r>
          <rPr>
            <sz val="8"/>
            <color indexed="81"/>
            <rFont val="Tahoma"/>
            <family val="2"/>
          </rPr>
          <t xml:space="preserve">Desc: RES 24K OHM 1% 1/16W 0402
Footprint: 0402 (1005 Metric)
Power: 0.063W, 1/16W
Size: 0.039" L x 0.020" W (1.00mm x 0.50mm)
Temp_coeff: ±100ppm/°C
Tolerance: ±1%
Value: 24 kOhms </t>
        </r>
      </text>
    </comment>
    <comment ref="O48" authorId="0">
      <text>
        <r>
          <rPr>
            <sz val="8"/>
            <color indexed="81"/>
            <rFont val="Tahoma"/>
            <family val="2"/>
          </rPr>
          <t>121544 In Stock</t>
        </r>
      </text>
    </comment>
    <comment ref="Q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48" authorId="0">
      <text>
        <r>
          <rPr>
            <sz val="8"/>
            <color indexed="81"/>
            <rFont val="Tahoma"/>
            <family val="2"/>
          </rPr>
          <t>Desc: Thick Film Resistors - SMD 24 kOhms 62.5mW 0402 1%</t>
        </r>
      </text>
    </comment>
    <comment ref="K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$3.33      $3.33
    10   $3.17     $31.75
    20   $3.02     $60.48
    50   $2.90    $145.20
   100   $2.77    $277.20
   200   $2.54    $508.80
   500   $2.40  $1,200.00</t>
        </r>
      </text>
    </comment>
    <comment ref="N50" authorId="0">
      <text>
        <r>
          <rPr>
            <sz val="8"/>
            <color indexed="81"/>
            <rFont val="Tahoma"/>
            <family val="2"/>
          </rPr>
          <t>Desc: IC AMP CATV 40MHZ-2.6GHZ SOT89
Footprint: TO-243AA
Frequency: 40MHz ~ 2.6GHz</t>
        </r>
      </text>
    </comment>
    <comment ref="O50" authorId="0">
      <text>
        <r>
          <rPr>
            <sz val="8"/>
            <color indexed="81"/>
            <rFont val="Tahoma"/>
            <family val="2"/>
          </rPr>
          <t>1275 In Stock</t>
        </r>
      </text>
    </comment>
    <comment ref="Q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$3.02      $3.02
    50   $2.90    $145.00
   100   $2.77    $277.00
   200   $2.54    $508.00
   500   $2.40  $1,200.00
  1000   $2.17  $2,170.00
  2000   $2.03  $4,060.00</t>
        </r>
      </text>
    </comment>
    <comment ref="T50" authorId="0">
      <text>
        <r>
          <rPr>
            <sz val="8"/>
            <color indexed="81"/>
            <rFont val="Tahoma"/>
            <family val="2"/>
          </rPr>
          <t>Desc: RF Amplifier ML AMPL / SURF MT/ 2.5GHZ RoHS</t>
        </r>
      </text>
    </comment>
    <comment ref="K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$0.94      $9.45
    25   $0.90     $22.41
   100   $0.74     $73.65
   250   $0.69    $172.11
   500   $0.61    $304.20
  1000   $0.56    $563.75</t>
        </r>
      </text>
    </comment>
    <comment ref="N51" authorId="0">
      <text>
        <r>
          <rPr>
            <sz val="8"/>
            <color indexed="81"/>
            <rFont val="Tahoma"/>
            <family val="2"/>
          </rPr>
          <t>Desc: IC XPNDR 400KHZ I2C SMBUS 16VQFN
Footprint: 16-VFQFN Exposed Pad</t>
        </r>
      </text>
    </comment>
    <comment ref="O51" authorId="0">
      <text>
        <r>
          <rPr>
            <sz val="8"/>
            <color indexed="81"/>
            <rFont val="Tahoma"/>
            <family val="2"/>
          </rPr>
          <t>54237 In Stock</t>
        </r>
      </text>
    </comment>
    <comment ref="Q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$0.84      $0.84
    10   $0.74      $7.42
   100   $0.63     $63.10
   500   $0.58    $291.00
  1000   $0.56    $564.00
  3000   $0.55  $1,653.00
  6000   $0.55  $3,282.00
  9000   $0.55  $4,905.00</t>
        </r>
      </text>
    </comment>
    <comment ref="T51" authorId="0">
      <text>
        <r>
          <rPr>
            <sz val="8"/>
            <color indexed="81"/>
            <rFont val="Tahoma"/>
            <family val="2"/>
          </rPr>
          <t>Desc: Interface - I/O Expanders Lo-Vltg 8B I2C &amp; SMBus I/O Expander</t>
        </r>
      </text>
    </comment>
    <comment ref="K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$0.79      $7.86
    25   $0.75     $18.64
   100   $0.57     $57.26
   250   $0.51    $126.51
   500   $0.48    $239.70
  1000   $0.37    $372.87</t>
        </r>
      </text>
    </comment>
    <comment ref="N52" authorId="0">
      <text>
        <r>
          <rPr>
            <sz val="8"/>
            <color indexed="81"/>
            <rFont val="Tahoma"/>
            <family val="2"/>
          </rPr>
          <t>Desc: IC DGT POT 50KOHM 256TAP SOT23-8
Footprint: SOT-23-8
Tolerance: ±20%</t>
        </r>
      </text>
    </comment>
    <comment ref="O52" authorId="0">
      <text>
        <r>
          <rPr>
            <sz val="8"/>
            <color indexed="81"/>
            <rFont val="Tahoma"/>
            <family val="2"/>
          </rPr>
          <t>40197 In Stock</t>
        </r>
      </text>
    </comment>
    <comment ref="Q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$0.73      $7.31
   100   $0.51     $50.60
   500   $0.48    $240.00
  1000   $0.37    $373.00
  3000   $0.35  $1,062.00
  6000   $0.35  $2,088.00
  9000   $0.34  $3,033.00</t>
        </r>
      </text>
    </comment>
    <comment ref="T52" authorId="0">
      <text>
        <r>
          <rPr>
            <sz val="8"/>
            <color indexed="81"/>
            <rFont val="Tahoma"/>
            <family val="2"/>
          </rPr>
          <t>Desc: Digital Potentiometer ICs Linear Single 256 Taps Non Buffer</t>
        </r>
      </text>
    </comment>
    <comment ref="K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$6.84      $6.84
    10   $6.27     $62.66
    25   $5.70    $142.41
    80   $5.13    $410.14
   230   $4.70  $1,080.89
   490   $4.27  $2,093.43
   980   $3.85  $3,768.17</t>
        </r>
      </text>
    </comment>
    <comment ref="N53" authorId="0">
      <text>
        <r>
          <rPr>
            <sz val="8"/>
            <color indexed="81"/>
            <rFont val="Tahoma"/>
            <family val="2"/>
          </rPr>
          <t>Desc: 7-BIT 0.25DB DIGITAL STEP ATTENU
Footprint: 24-WFQFN Exposed Pad
Power: -</t>
        </r>
      </text>
    </comment>
    <comment ref="O53" authorId="0">
      <text>
        <r>
          <rPr>
            <sz val="8"/>
            <color indexed="81"/>
            <rFont val="Tahoma"/>
            <family val="2"/>
          </rPr>
          <t>4470 In Stock</t>
        </r>
      </text>
    </comment>
    <comment ref="Q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$6.84      $6.84
    10   $6.27     $62.70
    25   $5.13    $128.25
   100   $4.70    $470.00
   490   $3.91  $1,915.90
   980   $3.84  $3,763.20</t>
        </r>
      </text>
    </comment>
    <comment ref="T53" authorId="0">
      <text>
        <r>
          <rPr>
            <sz val="8"/>
            <color indexed="81"/>
            <rFont val="Tahoma"/>
            <family val="2"/>
          </rPr>
          <t>Desc: Attenuators F1958 DSA</t>
        </r>
      </text>
    </comment>
    <comment ref="K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$2.83      $2.83
    10   $2.54     $25.43
    25   $2.40     $59.97
   100   $2.04    $204.37
   250   $1.92    $479.75
   500   $1.68    $839.56
  1000   $1.39  $1,391.28</t>
        </r>
      </text>
    </comment>
    <comment ref="N54" authorId="0">
      <text>
        <r>
          <rPr>
            <sz val="8"/>
            <color indexed="81"/>
            <rFont val="Tahoma"/>
            <family val="2"/>
          </rPr>
          <t>Desc: -5-V TO 110-V, BIDIRECTIONAL, 1.
Footprint: SOT-23-8 Thin, TSOT-23-8</t>
        </r>
      </text>
    </comment>
    <comment ref="O54" authorId="0">
      <text>
        <r>
          <rPr>
            <sz val="8"/>
            <color indexed="81"/>
            <rFont val="Tahoma"/>
            <family val="2"/>
          </rPr>
          <t>2449 In Stock</t>
        </r>
      </text>
    </comment>
    <comment ref="Q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$2.69      $2.69
    10   $2.41     $24.10
   100   $1.94    $194.00
   250   $1.82    $455.00
   500   $1.59    $795.00
  1000   $1.32  $1,320.00
  3000   $1.23  $3,690.00
  6000   $1.18  $7,080.00
  9000   $1.14 $10,260.00</t>
        </r>
      </text>
    </comment>
    <comment ref="T54" authorId="0">
      <text>
        <r>
          <rPr>
            <sz val="8"/>
            <color indexed="81"/>
            <rFont val="Tahoma"/>
            <family val="2"/>
          </rPr>
          <t>Desc: Current Sense Amplifiers -5-V to 110-V, bidirectional, 1.1-MHz 8-V/us high-precision current sense amplifier 8-SOT-23-THIN -40 to 125</t>
        </r>
      </text>
    </comment>
    <comment ref="K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$12.49     $12.49
    10   $8.80     $88.04
    25   $7.85    $196.37
   100   $6.79    $679.40
   250   $6.28  $1,570.07
   500   $5.97  $2,983.75</t>
        </r>
      </text>
    </comment>
    <comment ref="N55" authorId="0">
      <text>
        <r>
          <rPr>
            <sz val="8"/>
            <color indexed="81"/>
            <rFont val="Tahoma"/>
            <family val="2"/>
          </rPr>
          <t>Desc: IC RF DETECT 50HZ-6GHZ 16LFCSP
Footprint: 16-WQFN Exposed Pad, CSP
Frequency: 50Hz ~ 6GHz</t>
        </r>
      </text>
    </comment>
    <comment ref="O55" authorId="0">
      <text>
        <r>
          <rPr>
            <sz val="8"/>
            <color indexed="81"/>
            <rFont val="Tahoma"/>
            <family val="2"/>
          </rPr>
          <t>1504 In Stock</t>
        </r>
      </text>
    </comment>
    <comment ref="Q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$11.03     $11.03
    10   $8.60     $86.00
    25   $7.72    $193.00
   100   $6.71    $671.00
   250   $6.29  $1,572.50
   500   $5.97  $2,985.00
  1500   $5.97  $8,955.00</t>
        </r>
      </text>
    </comment>
    <comment ref="T55" authorId="0">
      <text>
        <r>
          <rPr>
            <sz val="8"/>
            <color indexed="81"/>
            <rFont val="Tahoma"/>
            <family val="2"/>
          </rPr>
          <t>Desc: RF Detector 50 Hz TO 6 GHz 50 dB TruPwr  Detector</t>
        </r>
      </text>
    </comment>
    <comment ref="K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$1.15      $1.15
    10   $1.03     $10.32
    25   $0.98     $24.49
   100   $0.80     $80.47
   250   $0.75    $188.06
   500   $0.66    $332.39
  1000   $0.52    $524.83</t>
        </r>
      </text>
    </comment>
    <comment ref="N56" authorId="0">
      <text>
        <r>
          <rPr>
            <sz val="8"/>
            <color indexed="81"/>
            <rFont val="Tahoma"/>
            <family val="2"/>
          </rPr>
          <t>Desc: IC OPAMP GP 2 CIRC 8WSON
Footprint: 8-WFDFN Exposed Pad</t>
        </r>
      </text>
    </comment>
    <comment ref="O56" authorId="0">
      <text>
        <r>
          <rPr>
            <sz val="8"/>
            <color indexed="81"/>
            <rFont val="Tahoma"/>
            <family val="2"/>
          </rPr>
          <t>6960 In Stock</t>
        </r>
      </text>
    </comment>
    <comment ref="Q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$1.11      $1.11
    10   $0.96      $9.56
   100   $0.74     $73.80
   500   $0.64    $319.00
  1000   $0.50    $504.00
  3000   $0.43  $1,284.00
  6000   $0.42  $2,544.00
  9000   $0.41  $3,690.00
 24000   $0.41  $9,744.00</t>
        </r>
      </text>
    </comment>
    <comment ref="T56" authorId="0">
      <text>
        <r>
          <rPr>
            <sz val="8"/>
            <color indexed="81"/>
            <rFont val="Tahoma"/>
            <family val="2"/>
          </rPr>
          <t>Desc: Operational Amplifiers - Op Amps Dual, 16-V, 1.1-MHz, low-power operational amplifier 8-WSON -40 to 125</t>
        </r>
      </text>
    </comment>
    <comment ref="K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$4.42      $4.42
    10   $3.97     $39.66
    25   $3.75     $93.74
   100   $3.25    $324.97
   250   $3.08    $770.76
   500   $2.77  $1,383.20
  1000   $2.33  $2,333.10</t>
        </r>
      </text>
    </comment>
    <comment ref="N57" authorId="0">
      <text>
        <r>
          <rPr>
            <sz val="8"/>
            <color indexed="81"/>
            <rFont val="Tahoma"/>
            <family val="2"/>
          </rPr>
          <t>Desc: IC ADC 12BIT SAR 16WQFN
Footprint: 16-WFQFN Exposed Pad</t>
        </r>
      </text>
    </comment>
    <comment ref="O57" authorId="0">
      <text>
        <r>
          <rPr>
            <sz val="8"/>
            <color indexed="81"/>
            <rFont val="Tahoma"/>
            <family val="2"/>
          </rPr>
          <t>15530 In Stock</t>
        </r>
      </text>
    </comment>
    <comment ref="Q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$4.41      $4.41
    10   $3.96     $39.60
   100   $3.24    $324.00
   250   $3.08    $770.00
   500   $2.76  $1,380.00
  1000   $2.33  $2,330.00
  3000   $2.21  $6,630.00</t>
        </r>
      </text>
    </comment>
    <comment ref="T57" authorId="0">
      <text>
        <r>
          <rPr>
            <sz val="8"/>
            <color indexed="81"/>
            <rFont val="Tahoma"/>
            <family val="2"/>
          </rPr>
          <t>Desc: Analog to Digital Converters - ADC Small 8-channel 12-bit analog-to-digital converter (ADC) with I2C interface and GPIOs 16-WQFN -40 to 85</t>
        </r>
      </text>
    </comment>
    <comment ref="K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250   $4.48  $1,120.32
   500   $4.16  $2,082.49
   750   $3.99  $2,992.87
  1250   $3.78  $4,726.35</t>
        </r>
      </text>
    </comment>
    <comment ref="N58" authorId="0">
      <text>
        <r>
          <rPr>
            <sz val="8"/>
            <color indexed="81"/>
            <rFont val="Tahoma"/>
            <family val="2"/>
          </rPr>
          <t>Desc: SENSOR TEMP
Footprint: 6-WDFN Exposed Pad</t>
        </r>
      </text>
    </comment>
    <comment ref="O58" authorId="0">
      <text>
        <r>
          <rPr>
            <sz val="8"/>
            <color indexed="81"/>
            <rFont val="Tahoma"/>
            <family val="2"/>
          </rPr>
          <t>5398 In Stock</t>
        </r>
      </text>
    </comment>
    <comment ref="Q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$6.31      $6.31
    10   $4.42     $44.20
   100   $4.05    $405.00
   250   $3.89    $972.50
   500   $3.58  $1,790.00
  1000   $3.42  $3,420.00
  3000   $3.27  $9,810.00</t>
        </r>
      </text>
    </comment>
    <comment ref="T58" authorId="0">
      <text>
        <r>
          <rPr>
            <sz val="8"/>
            <color indexed="81"/>
            <rFont val="Tahoma"/>
            <family val="2"/>
          </rPr>
          <t>Desc: Board Mount Temperature Sensors 0.1°C digital temperature sensor, 48-bit EEPROM, PT100/PT1000 RTD replacement 6-WSON -55 to 150</t>
        </r>
      </text>
    </comment>
    <comment ref="K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$0.83      $0.83
    10   $0.73      $7.33
    25   $0.69     $17.22
   100   $0.56     $56.22
   250   $0.52    $130.54
   500   $0.44    $222.20
  1000   $0.36    $355.52</t>
        </r>
      </text>
    </comment>
    <comment ref="N59" authorId="0">
      <text>
        <r>
          <rPr>
            <sz val="8"/>
            <color indexed="81"/>
            <rFont val="Tahoma"/>
            <family val="2"/>
          </rPr>
          <t>Desc: 2.7V TO 22V, 50MA-2A CURRENT LIM
Footprint: SOT-23-6 Thin, TSOT-23-6</t>
        </r>
      </text>
    </comment>
    <comment ref="O59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Q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$0.83      $0.83
    10   $0.69      $6.89
   100   $0.52     $52.30
   500   $0.45    $222.50
  1000   $0.36    $356.00
  3000   $0.32    $966.00
  6000   $0.30  $1,794.00
  9000   $0.29  $2,592.00
 24000   $0.28  $6,648.00</t>
        </r>
      </text>
    </comment>
    <comment ref="T59" authorId="0">
      <text>
        <r>
          <rPr>
            <sz val="8"/>
            <color indexed="81"/>
            <rFont val="Tahoma"/>
            <family val="2"/>
          </rPr>
          <t>Desc: Power Switch ICs - Power Distribution 2.7V to 22V, 50mA-2A Current Limit Switch</t>
        </r>
      </text>
    </comment>
    <comment ref="K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$0.95      $9.49
    25   $0.90     $22.51
   100   $0.74     $73.97
   250   $0.69    $172.88
   500   $0.61    $305.55
  1000   $0.57    $566.25</t>
        </r>
      </text>
    </comment>
    <comment ref="N60" authorId="0">
      <text>
        <r>
          <rPr>
            <sz val="8"/>
            <color indexed="81"/>
            <rFont val="Tahoma"/>
            <family val="2"/>
          </rPr>
          <t>Desc: IC REG LIN POS ADJ 500MA 6WSON
Footprint: 6-WDFN Exposed Pad</t>
        </r>
      </text>
    </comment>
    <comment ref="O60" authorId="0">
      <text>
        <r>
          <rPr>
            <sz val="8"/>
            <color indexed="81"/>
            <rFont val="Tahoma"/>
            <family val="2"/>
          </rPr>
          <t>3473 In Stock</t>
        </r>
      </text>
    </comment>
    <comment ref="Q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$1.51      $1.51
    10   $1.29     $12.90
   100   $0.98     $98.30
   500   $0.87    $434.50
  1000   $0.69    $686.00
  3000   $0.64  $1,920.00
  6000   $0.61  $3,648.00
  9000   $0.58  $5,265.00</t>
        </r>
      </text>
    </comment>
    <comment ref="T60" authorId="0">
      <text>
        <r>
          <rPr>
            <sz val="8"/>
            <color indexed="81"/>
            <rFont val="Tahoma"/>
            <family val="2"/>
          </rPr>
          <t>Desc: LDO Voltage Regulators 500-mA, 18-V, ultra-low-IQ, high-accuracy, adjustable low-dropout voltage regulator with power good 6-WSON -40 to 125</t>
        </r>
      </text>
    </comment>
    <comment ref="K6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$1.60      $1.60
    10   $1.43     $14.30
    25   $1.36     $33.94
   100   $1.11    $111.50
   250   $1.04    $260.58
   500   $0.92    $460.56
  1000   $0.73    $727.20</t>
        </r>
      </text>
    </comment>
    <comment ref="N61" authorId="0">
      <text>
        <r>
          <rPr>
            <sz val="8"/>
            <color indexed="81"/>
            <rFont val="Tahoma"/>
            <family val="2"/>
          </rPr>
          <t>Desc: IC REG CHRG PUMP ADJ 250MA 8WSON
Footprint: 8-WFDFN Exposed Pad</t>
        </r>
      </text>
    </comment>
    <comment ref="O61" authorId="0">
      <text>
        <r>
          <rPr>
            <sz val="8"/>
            <color indexed="81"/>
            <rFont val="Tahoma"/>
            <family val="2"/>
          </rPr>
          <t>8184 In Stock</t>
        </r>
      </text>
    </comment>
    <comment ref="Q6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$1.60      $1.60
    10   $1.36     $13.60
   100   $1.04    $104.00
   500   $0.92    $458.50
  1000   $0.72    $723.00
  3000   $0.66  $1,992.00
  6000   $0.64  $3,852.00
  9000   $0.62  $5,580.00</t>
        </r>
      </text>
    </comment>
    <comment ref="T61" authorId="0">
      <text>
        <r>
          <rPr>
            <sz val="8"/>
            <color indexed="81"/>
            <rFont val="Tahoma"/>
            <family val="2"/>
          </rPr>
          <t>Desc: Switching Voltage Regulators Low-Noise Regulated Inverter with Integrated LDO 8-WSON -40 to 85</t>
        </r>
      </text>
    </comment>
    <comment ref="K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$2.58     $25.75
    25   $2.43     $60.73
   100   $2.07    $206.96
   250   $1.94    $485.81
   500   $1.70    $850.17
  1000   $1.41  $1,408.85</t>
        </r>
      </text>
    </comment>
    <comment ref="N62" authorId="0">
      <text>
        <r>
          <rPr>
            <sz val="8"/>
            <color indexed="81"/>
            <rFont val="Tahoma"/>
            <family val="2"/>
          </rPr>
          <t>Desc: IC REG LINEAR 3.3V 200MA SOT23-5
Footprint: SC-74A, SOT-753</t>
        </r>
      </text>
    </comment>
    <comment ref="O62" authorId="0">
      <text>
        <r>
          <rPr>
            <sz val="8"/>
            <color indexed="81"/>
            <rFont val="Tahoma"/>
            <family val="2"/>
          </rPr>
          <t>3548 In Stock</t>
        </r>
      </text>
    </comment>
    <comment ref="Q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$2.43     $24.30
   100   $2.07    $207.00
   250   $1.95    $487.50
   500   $1.70    $850.00
  1000   $1.41  $1,410.00
  3000   $1.31  $3,930.00
  6000   $1.26  $7,560.00
  9000   $1.23 $11,070.00</t>
        </r>
      </text>
    </comment>
    <comment ref="T62" authorId="0">
      <text>
        <r>
          <rPr>
            <sz val="8"/>
            <color indexed="81"/>
            <rFont val="Tahoma"/>
            <family val="2"/>
          </rPr>
          <t>Desc: LDO Voltage Regulators Mil Enh Ultra Lo Noise Hi PSRR 200mA</t>
        </r>
      </text>
    </comment>
    <comment ref="K6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25   $0.33      $8.25
   100   $0.31     $31.00</t>
        </r>
      </text>
    </comment>
    <comment ref="N63" authorId="0">
      <text>
        <r>
          <rPr>
            <sz val="8"/>
            <color indexed="81"/>
            <rFont val="Tahoma"/>
            <family val="2"/>
          </rPr>
          <t>Desc: IC VREF SHUNT 0.5% SOT23-3
Footprint: TO-236-3, SC-59, SOT-23-3
Temp_coeff: 100ppm/°C
Tolerance: ±0.5%</t>
        </r>
      </text>
    </comment>
    <comment ref="O63" authorId="0">
      <text>
        <r>
          <rPr>
            <sz val="8"/>
            <color indexed="81"/>
            <rFont val="Tahoma"/>
            <family val="2"/>
          </rPr>
          <t>6262 In Stock</t>
        </r>
      </text>
    </comment>
    <comment ref="Q6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25   $0.33      $8.25
   100   $0.31     $31.00
  3000   $0.31    $930.00</t>
        </r>
      </text>
    </comment>
    <comment ref="T63" authorId="0">
      <text>
        <r>
          <rPr>
            <sz val="8"/>
            <color indexed="81"/>
            <rFont val="Tahoma"/>
            <family val="2"/>
          </rPr>
          <t>Desc: Voltage References Shunt Voltage Reference, 5.0V, 0.5% Accuracy, 100ppm/deg</t>
        </r>
      </text>
    </comment>
    <comment ref="K6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$0.31      $3.13
    25   $0.28      $6.99
   100   $0.24     $23.75
   250   $0.21     $53.67
   500   $0.20     $99.91
  1000   $0.19    $186.76</t>
        </r>
      </text>
    </comment>
    <comment ref="N64" authorId="0">
      <text>
        <r>
          <rPr>
            <sz val="8"/>
            <color indexed="81"/>
            <rFont val="Tahoma"/>
            <family val="2"/>
          </rPr>
          <t>Desc: RF ATTENUATOR 3DB 50OHM 0805
Footprint: 0805 (2012 Metric)
Power: 100mW</t>
        </r>
      </text>
    </comment>
    <comment ref="O64" authorId="0">
      <text>
        <r>
          <rPr>
            <sz val="8"/>
            <color indexed="81"/>
            <rFont val="Tahoma"/>
            <family val="2"/>
          </rPr>
          <t>16743 In Stock</t>
        </r>
      </text>
    </comment>
    <comment ref="Q6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$0.27      $2.74
   100   $0.21     $21.10
   500   $0.19     $95.50
  1000   $0.17    $166.00
  5000   $0.14    $715.00
 10000   $0.14  $1,370.00
 25000   $0.13  $3,300.00
 50000   $0.13  $6,400.00</t>
        </r>
      </text>
    </comment>
    <comment ref="T64" authorId="0">
      <text>
        <r>
          <rPr>
            <sz val="8"/>
            <color indexed="81"/>
            <rFont val="Tahoma"/>
            <family val="2"/>
          </rPr>
          <t>Desc: Attenuators 3dB 50ohm</t>
        </r>
      </text>
    </comment>
    <comment ref="G66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6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6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6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67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<sst xmlns="http://schemas.openxmlformats.org/spreadsheetml/2006/main" count="562" uniqueCount="365">
  <si>
    <t>Global Part Info</t>
  </si>
  <si>
    <t>Refs</t>
  </si>
  <si>
    <t>Value</t>
  </si>
  <si>
    <t>Desc</t>
  </si>
  <si>
    <t>Footprint</t>
  </si>
  <si>
    <t>Manf#</t>
  </si>
  <si>
    <t>Qty</t>
  </si>
  <si>
    <t>Unit$</t>
  </si>
  <si>
    <t>Ext$</t>
  </si>
  <si>
    <t>C1</t>
  </si>
  <si>
    <t>22u</t>
  </si>
  <si>
    <t>Polarized capacitor</t>
  </si>
  <si>
    <t>CP_EIA-6032-28_Kemet-C</t>
  </si>
  <si>
    <t>293D226X9025C2TE3</t>
  </si>
  <si>
    <t>C2,C6,C10,C11,C13,C16,C20,C23,C24,C26,C27,C29,C30,C32,C34,C40,C41,C43,C44,C46,C51</t>
  </si>
  <si>
    <t>100n</t>
  </si>
  <si>
    <t>Unpolarized capacitor</t>
  </si>
  <si>
    <t>C_0402_1005Metric</t>
  </si>
  <si>
    <t>CL05B104KP5NNNC</t>
  </si>
  <si>
    <t>C3-C5,C7-C9,C12,C14,C15,C17,C22,C45,C48,C49,C52-C54</t>
  </si>
  <si>
    <t>100p</t>
  </si>
  <si>
    <t>CBR04C101J3GAC</t>
  </si>
  <si>
    <t>C19</t>
  </si>
  <si>
    <t>1000p</t>
  </si>
  <si>
    <t>C0402C102J3GAC7867</t>
  </si>
  <si>
    <t>C25</t>
  </si>
  <si>
    <t>10u</t>
  </si>
  <si>
    <t>C_0603_1608Metric</t>
  </si>
  <si>
    <t>CL10A106MA8NRNC</t>
  </si>
  <si>
    <t>C28,C31,C33,C35,C37</t>
  </si>
  <si>
    <t>1u</t>
  </si>
  <si>
    <t>CL10A105KA8NNNC</t>
  </si>
  <si>
    <t>C36,C38</t>
  </si>
  <si>
    <t>4.7u</t>
  </si>
  <si>
    <t>CL10A475KP8NNNC</t>
  </si>
  <si>
    <t>C39</t>
  </si>
  <si>
    <t>2.2u</t>
  </si>
  <si>
    <t>CL10A225KP8NNNC</t>
  </si>
  <si>
    <t>C42</t>
  </si>
  <si>
    <t>1.2n</t>
  </si>
  <si>
    <t>GCM1885C1H122JA16D</t>
  </si>
  <si>
    <t>C62,C64,C72,C74</t>
  </si>
  <si>
    <t>1.6p</t>
  </si>
  <si>
    <t>GJM1555C1H1R6WB01D</t>
  </si>
  <si>
    <t>C63,C73</t>
  </si>
  <si>
    <t>2.5p</t>
  </si>
  <si>
    <t>GJM1555C1H2R5WB01D</t>
  </si>
  <si>
    <t>D2</t>
  </si>
  <si>
    <t>18.2V</t>
  </si>
  <si>
    <t>Zener diode</t>
  </si>
  <si>
    <t>D_SMA</t>
  </si>
  <si>
    <t>SMAJ11A</t>
  </si>
  <si>
    <t>D3,D4</t>
  </si>
  <si>
    <t>LED</t>
  </si>
  <si>
    <t>Light emitting diode</t>
  </si>
  <si>
    <t>LED_0603_1608Metric</t>
  </si>
  <si>
    <t>LTST-C193KRKT-5A</t>
  </si>
  <si>
    <t>F1</t>
  </si>
  <si>
    <t>1A trip</t>
  </si>
  <si>
    <t>Resettable fuse, polymeric positive temperature coefficient</t>
  </si>
  <si>
    <t>Fuse_1206_3216Metric</t>
  </si>
  <si>
    <t>1206L050/24WR</t>
  </si>
  <si>
    <t>FB1-FB5</t>
  </si>
  <si>
    <t>BLM15PG100SN1D</t>
  </si>
  <si>
    <t>Ferrite bead, small symbol</t>
  </si>
  <si>
    <t>L_0402_1005Metric</t>
  </si>
  <si>
    <t>J1</t>
  </si>
  <si>
    <t>4-pin header</t>
  </si>
  <si>
    <t>PH header, 4-pin, SMT</t>
  </si>
  <si>
    <t>JST_PH_S4B-PH-SM4-TB_1x04-1MP_P2.00mm_Horizontal</t>
  </si>
  <si>
    <t>S4B-PH-SM4-TB</t>
  </si>
  <si>
    <t>J2-J4</t>
  </si>
  <si>
    <t>Conn_Coaxial</t>
  </si>
  <si>
    <t>coaxial connector (BNC, SMA, SMB, SMC, Cinch/RCA, LEMO, ...)</t>
  </si>
  <si>
    <t>SMA_4Layer</t>
  </si>
  <si>
    <t>DL-SMA-K513-08K</t>
  </si>
  <si>
    <t>J5</t>
  </si>
  <si>
    <t>DL-SMA-KS13-08K</t>
  </si>
  <si>
    <t>L1-L4,L8</t>
  </si>
  <si>
    <t>82n</t>
  </si>
  <si>
    <t>Inductor</t>
  </si>
  <si>
    <t>LQW15AN82NG00D</t>
  </si>
  <si>
    <t>L62,L64,L72,L74</t>
  </si>
  <si>
    <t>8.2n</t>
  </si>
  <si>
    <t>LQW15AN8N2G00D</t>
  </si>
  <si>
    <t>L63,L73</t>
  </si>
  <si>
    <t>5.9n</t>
  </si>
  <si>
    <t>LQW15AN5N9B80D</t>
  </si>
  <si>
    <t>LD1</t>
  </si>
  <si>
    <t>~</t>
  </si>
  <si>
    <t>Laser diode with photodiode</t>
  </si>
  <si>
    <t>LaserDiodeWithBlock</t>
  </si>
  <si>
    <t>PLMR3-A-1-5-S</t>
  </si>
  <si>
    <t>Q1</t>
  </si>
  <si>
    <t>2N7002</t>
  </si>
  <si>
    <t>0.115A Id, 60V Vds, Dual N-Channel MOSFET, 7.5Ohm Ron, SC-70-6</t>
  </si>
  <si>
    <t>SOT-363_SC-70-6</t>
  </si>
  <si>
    <t>2N7002DW</t>
  </si>
  <si>
    <t>Q3</t>
  </si>
  <si>
    <t>BC846</t>
  </si>
  <si>
    <t>100mA IC, 65V Vce, Dual NPN/PNP Transistors, SOT-363</t>
  </si>
  <si>
    <t>BC846BPDW1T1G</t>
  </si>
  <si>
    <t>R1,R12,R15-R17,R23,R24,R30,R31,R35,R36,R41</t>
  </si>
  <si>
    <t>10k</t>
  </si>
  <si>
    <t>Resistor</t>
  </si>
  <si>
    <t>R_0402_1005Metric</t>
  </si>
  <si>
    <t>RC0402FR-0710KL</t>
  </si>
  <si>
    <t>R2</t>
  </si>
  <si>
    <t>0</t>
  </si>
  <si>
    <t>RC0402FR-070RL</t>
  </si>
  <si>
    <t>R3</t>
  </si>
  <si>
    <t>3.32k</t>
  </si>
  <si>
    <t>RC0402FR-073K32L</t>
  </si>
  <si>
    <t>R4</t>
  </si>
  <si>
    <t>100</t>
  </si>
  <si>
    <t>RC0402FR-07100RL</t>
  </si>
  <si>
    <t>R5,R9</t>
  </si>
  <si>
    <t>5.6k</t>
  </si>
  <si>
    <t>RC0402FR-075K6L</t>
  </si>
  <si>
    <t>R6,R8,R11,R13,R39</t>
  </si>
  <si>
    <t>1k</t>
  </si>
  <si>
    <t>RC0402FR-071KL</t>
  </si>
  <si>
    <t>R7,R32</t>
  </si>
  <si>
    <t>270</t>
  </si>
  <si>
    <t>RC0402FR-07270RL</t>
  </si>
  <si>
    <t>R10,R37,R38</t>
  </si>
  <si>
    <t>3.6k</t>
  </si>
  <si>
    <t>RC0402FR-073K6L</t>
  </si>
  <si>
    <t>R19</t>
  </si>
  <si>
    <t>11k</t>
  </si>
  <si>
    <t>RC0402FR-0711KL</t>
  </si>
  <si>
    <t>R20</t>
  </si>
  <si>
    <t>0.5</t>
  </si>
  <si>
    <t>R_0603_1608Metric</t>
  </si>
  <si>
    <t>RL0603FR-070R5L</t>
  </si>
  <si>
    <t>R21</t>
  </si>
  <si>
    <t>620k</t>
  </si>
  <si>
    <t>RC0402FR-07620KL</t>
  </si>
  <si>
    <t>R22</t>
  </si>
  <si>
    <t>200k</t>
  </si>
  <si>
    <t>RC0402FR-07200KL</t>
  </si>
  <si>
    <t>R25</t>
  </si>
  <si>
    <t>62</t>
  </si>
  <si>
    <t>RC0402FR-0762RL</t>
  </si>
  <si>
    <t>R26,R27,R51</t>
  </si>
  <si>
    <t>5.1</t>
  </si>
  <si>
    <t>ERJ-2GEJ5R1X</t>
  </si>
  <si>
    <t>R28</t>
  </si>
  <si>
    <t>20, 1/4W</t>
  </si>
  <si>
    <t>R_1206_3216Metric</t>
  </si>
  <si>
    <t>RC1206FR-0720RL</t>
  </si>
  <si>
    <t>R29</t>
  </si>
  <si>
    <t>1</t>
  </si>
  <si>
    <t>RC0402FR-071RL</t>
  </si>
  <si>
    <t>R33</t>
  </si>
  <si>
    <t>82k</t>
  </si>
  <si>
    <t>RC0402FR-0782KL</t>
  </si>
  <si>
    <t>R34</t>
  </si>
  <si>
    <t>24k</t>
  </si>
  <si>
    <t>RC0402FR-0724KL</t>
  </si>
  <si>
    <t>R40</t>
  </si>
  <si>
    <t>DNP</t>
  </si>
  <si>
    <t/>
  </si>
  <si>
    <t>U2,U6,U10</t>
  </si>
  <si>
    <t>PGA-105+</t>
  </si>
  <si>
    <t>40 MHz to 2.6 GHz low-noise amplifier</t>
  </si>
  <si>
    <t>SOT89-HighTemp</t>
  </si>
  <si>
    <t>U3</t>
  </si>
  <si>
    <t>TCA6408A</t>
  </si>
  <si>
    <t>TCA6408A Low-Voltage 8-Bit I2C and SMBus I/O Expander With Interrupt Output, Reset, and Configuration Registers</t>
  </si>
  <si>
    <t>QFN-16-1EP_3x3mm_P0.5mm_EP1.45x1.45mm</t>
  </si>
  <si>
    <t>TCA6408ARGTR</t>
  </si>
  <si>
    <t>U4</t>
  </si>
  <si>
    <t>CAT5171</t>
  </si>
  <si>
    <t>256-Position I2C-Compatible Digital Potentiometer</t>
  </si>
  <si>
    <t>SOT-23-8</t>
  </si>
  <si>
    <t>CAT5171TBI-50GT3</t>
  </si>
  <si>
    <t>U5</t>
  </si>
  <si>
    <t>F1958</t>
  </si>
  <si>
    <t>7-Bit 0.25dB Digital Step Attenuator 1MHz to 6GHz</t>
  </si>
  <si>
    <t>TQFN-24-1EP_4x4mm_P0.5mm_EP2.6x2.6mm_ThermalVias</t>
  </si>
  <si>
    <t>F1958NBGK</t>
  </si>
  <si>
    <t>U7,U11,U17</t>
  </si>
  <si>
    <t>INA296B4</t>
  </si>
  <si>
    <t>–5 V to 110 V, Bidirectional, 1.1 MHz, 8 V/μs, Ultra-Precise Current Sense Amplifier, SOT-23-8, G=100</t>
  </si>
  <si>
    <t>INA296B4IDDFR</t>
  </si>
  <si>
    <t>U8</t>
  </si>
  <si>
    <t>AD8363</t>
  </si>
  <si>
    <t>50 Hz to 6 GHz 50 dB TruPwr™ Detector</t>
  </si>
  <si>
    <t>Analog_LFCSP-16-1EP_4x4mm_P0.65mm_EP2.35x2.35mm_ThermalVias</t>
  </si>
  <si>
    <t>AD8363ACPZ-R7</t>
  </si>
  <si>
    <t>U9</t>
  </si>
  <si>
    <t>TLV9102</t>
  </si>
  <si>
    <t>16-V, 1-MHz, Rail-to-Rail Input/Output, Low Power Op Amp</t>
  </si>
  <si>
    <t>WSON-8-1EP_2x2mm_P0.5mm_EP0.9x1.6mm</t>
  </si>
  <si>
    <t>TLV9102IDSGR</t>
  </si>
  <si>
    <t>U12</t>
  </si>
  <si>
    <t>TLA2528</t>
  </si>
  <si>
    <t>Analog to Digital Converters - ADC Small 8-channel 12-bit analog-to-digital converter (ADC) with I2C interface and GPIOs 16-WQFN -40 to 85</t>
  </si>
  <si>
    <t>WQFN-16-1EP_3x3mm_P0.5mm_EP1.68x1.68mm_LargeThermalVias</t>
  </si>
  <si>
    <t>TLA2528IRTER</t>
  </si>
  <si>
    <t>U13</t>
  </si>
  <si>
    <t>TMP117</t>
  </si>
  <si>
    <t>Digital Temperature Sensor with I2C/SMBus Interface, 16 bits, +/-0.3° C, one-shot conversion, alert, nist traceable, EEPROM, WSON</t>
  </si>
  <si>
    <t>WSON-6-1EP_2x2mm_P0.65mm_EP1x1.6mm</t>
  </si>
  <si>
    <t>TMP117AIDRV</t>
  </si>
  <si>
    <t>U15</t>
  </si>
  <si>
    <t>MP5035</t>
  </si>
  <si>
    <t>2.9V to 22V, 50mA to 2A, Configurable Current Limit Switch</t>
  </si>
  <si>
    <t>TSOT-23-6</t>
  </si>
  <si>
    <t>MP5035GJ-Z</t>
  </si>
  <si>
    <t>U16</t>
  </si>
  <si>
    <t>TPS7A26</t>
  </si>
  <si>
    <t>500-mA, 18-V, Ultra-Low IQ, Low-Dropout Linear Voltage Regulator With Power-Good</t>
  </si>
  <si>
    <t>TPS7A2601DRVR</t>
  </si>
  <si>
    <t>U18</t>
  </si>
  <si>
    <t>LM27761</t>
  </si>
  <si>
    <t>low-noise regulated switched-capacitor voltage inverter with 2.7V-5.5V input to -1.5 to -5V Output Voltage, WSON-8</t>
  </si>
  <si>
    <t>LM27761DSGR</t>
  </si>
  <si>
    <t>U19</t>
  </si>
  <si>
    <t>TPS79333-EP</t>
  </si>
  <si>
    <t>200mA UltraLow-Noise, High-Precision, Fast RF, Low Drop-out Voltage Regulator, Fixed Output 3.3V, SOT-23</t>
  </si>
  <si>
    <t>SOT-23-5</t>
  </si>
  <si>
    <t>TPS79333DBVREP</t>
  </si>
  <si>
    <t>U20</t>
  </si>
  <si>
    <t>LM4040-5.0</t>
  </si>
  <si>
    <t>5.000V Precision Micropower Shunt Voltage Reference, SOT-23</t>
  </si>
  <si>
    <t>SOT-23</t>
  </si>
  <si>
    <t>LM4040CYM3-5.0-TR</t>
  </si>
  <si>
    <t>U21,U22</t>
  </si>
  <si>
    <t>PAT1220-C-3DB</t>
  </si>
  <si>
    <t>10GHz RF Attenuator, 50ohm Matched Impedance, 3dB Attenuation, PAT1220</t>
  </si>
  <si>
    <t>RF_Attenuator_Susumu_PAT1220</t>
  </si>
  <si>
    <t>PAT1220-C-3DB-T5</t>
  </si>
  <si>
    <t>Digi-Key</t>
  </si>
  <si>
    <t>Avail</t>
  </si>
  <si>
    <t>Purch</t>
  </si>
  <si>
    <t>MOQ</t>
  </si>
  <si>
    <t>Cat#</t>
  </si>
  <si>
    <t>718-293D226X9025C2TE3CT-ND</t>
  </si>
  <si>
    <t>1276-1002-1-ND</t>
  </si>
  <si>
    <t>399-17684-1-ND</t>
  </si>
  <si>
    <t>399-C0402C102J3GACTUCT-ND</t>
  </si>
  <si>
    <t>1276-1869-1-ND</t>
  </si>
  <si>
    <t>1276-1102-1-ND</t>
  </si>
  <si>
    <t>1276-1044-1-ND</t>
  </si>
  <si>
    <t>1276-1085-1-ND</t>
  </si>
  <si>
    <t>490-13298-1-ND</t>
  </si>
  <si>
    <t>490-11200-1-ND</t>
  </si>
  <si>
    <t>490-11208-1-ND</t>
  </si>
  <si>
    <t>1801-SMAJ11ATR-ND</t>
  </si>
  <si>
    <t>NonStk</t>
  </si>
  <si>
    <t>160-1830-1-ND</t>
  </si>
  <si>
    <t>18-1206L050/24WRCT-ND</t>
  </si>
  <si>
    <t>490-5976-1-ND</t>
  </si>
  <si>
    <t>455-S4B-PH-SM4-TBCT-ND</t>
  </si>
  <si>
    <t>490-6848-1-ND</t>
  </si>
  <si>
    <t>490-6849-1-ND</t>
  </si>
  <si>
    <t>490-7663-1-ND</t>
  </si>
  <si>
    <t>2N7002DWCT-ND</t>
  </si>
  <si>
    <t>BC846BPDW1T1GOSCT-ND</t>
  </si>
  <si>
    <t>311-10.0KLRCT-ND</t>
  </si>
  <si>
    <t>311-0.0LRCT-ND</t>
  </si>
  <si>
    <t>311-3.32KLRCT-ND</t>
  </si>
  <si>
    <t>311-100LRCT-ND</t>
  </si>
  <si>
    <t>311-5.6KLRCT-ND</t>
  </si>
  <si>
    <t>311-1.00KLRCT-ND</t>
  </si>
  <si>
    <t>311-270LRCT-ND</t>
  </si>
  <si>
    <t>311-3.6KLRCT-ND</t>
  </si>
  <si>
    <t>311-11.0KLRCT-ND</t>
  </si>
  <si>
    <t>311-.5QCT-ND</t>
  </si>
  <si>
    <t>311-620KLRCT-ND</t>
  </si>
  <si>
    <t>311-200KLRCT-ND</t>
  </si>
  <si>
    <t>311-62.0LRCT-ND</t>
  </si>
  <si>
    <t>P5.1JCT-ND</t>
  </si>
  <si>
    <t>311-20.0FRCT-ND</t>
  </si>
  <si>
    <t>311-1.00LRCT-ND</t>
  </si>
  <si>
    <t>311-82.0KLRCT-ND</t>
  </si>
  <si>
    <t>311-24KLRCT-ND</t>
  </si>
  <si>
    <t>3157-PGA-105+CT-ND</t>
  </si>
  <si>
    <t>296-24825-1-ND</t>
  </si>
  <si>
    <t>CAT5171TBI-50GT3OSCT-ND</t>
  </si>
  <si>
    <t>800-3902-ND</t>
  </si>
  <si>
    <t>296-INA296B4IDDFRCT-ND</t>
  </si>
  <si>
    <t>505-AD8363ACPZ-R7CT-ND</t>
  </si>
  <si>
    <t>296-TLV9102IDSGRCT-ND</t>
  </si>
  <si>
    <t>296-TLA2528IRTERCT-ND</t>
  </si>
  <si>
    <t>296-52214-2-ND</t>
  </si>
  <si>
    <t>1589-MP5035GJ-ZCT-ND</t>
  </si>
  <si>
    <t>296-TPS7A2601DRVRCT-ND</t>
  </si>
  <si>
    <t>296-44379-1-ND</t>
  </si>
  <si>
    <t>296-18172-1-ND</t>
  </si>
  <si>
    <t>576-2569-1-ND</t>
  </si>
  <si>
    <t>PAT123CT-ND</t>
  </si>
  <si>
    <t>Buy here</t>
  </si>
  <si>
    <t>Mouser</t>
  </si>
  <si>
    <t>74-293D226X9025C2TE3</t>
  </si>
  <si>
    <t>187-CL05B104KP5NNNC</t>
  </si>
  <si>
    <t>80-CBR04C101J3GAC</t>
  </si>
  <si>
    <t>80-C0402C102J3G</t>
  </si>
  <si>
    <t>187-CL10A106MA8NRNC</t>
  </si>
  <si>
    <t>187-CL10A105KA8NNNC</t>
  </si>
  <si>
    <t>187-CL10A475KP8NNNC</t>
  </si>
  <si>
    <t>187-CL10A225KP8NNNC</t>
  </si>
  <si>
    <t>81-GCM1885C1H122JA6D</t>
  </si>
  <si>
    <t>81-GJM1555C1H1R6WB1D</t>
  </si>
  <si>
    <t>81-GJM1555C1H2R5WB1D</t>
  </si>
  <si>
    <t>652-SMAJ11A</t>
  </si>
  <si>
    <t>859-LTSTC193KRKT5A</t>
  </si>
  <si>
    <t>576-1206L050/24WR</t>
  </si>
  <si>
    <t>81-BLM15PG100SN1D</t>
  </si>
  <si>
    <t>306-S4BPHSM4TBLFSN</t>
  </si>
  <si>
    <t>81-LQW15AN82NG00D</t>
  </si>
  <si>
    <t>81-LQW15AN8N2G00D</t>
  </si>
  <si>
    <t>81-LQW15AN5N9B80D</t>
  </si>
  <si>
    <t>512-2N7002DW</t>
  </si>
  <si>
    <t>863-BC846BPDW1T1G</t>
  </si>
  <si>
    <t>603-RC0402FR-0710KL</t>
  </si>
  <si>
    <t>603-RC0402FR-070RL</t>
  </si>
  <si>
    <t>603-RC0402FR-073K32L</t>
  </si>
  <si>
    <t>603-RC0402FR-07100RL</t>
  </si>
  <si>
    <t>603-RC0402FR-075K6L</t>
  </si>
  <si>
    <t>603-RC0402FR-071KL</t>
  </si>
  <si>
    <t>603-RC0402FR-07270RL</t>
  </si>
  <si>
    <t>603-RC0402FR-073K6L</t>
  </si>
  <si>
    <t>603-RC0402FR-0711KL</t>
  </si>
  <si>
    <t>603-RL0603FR070R5L</t>
  </si>
  <si>
    <t>603-RC0402FR-07620KL</t>
  </si>
  <si>
    <t>603-RC0402FR-07200KL</t>
  </si>
  <si>
    <t>603-RC0402FR-0762RL</t>
  </si>
  <si>
    <t>667-ERJ-2GEJ5R1X</t>
  </si>
  <si>
    <t>603-RC1206FR-0720RL</t>
  </si>
  <si>
    <t>603-RC0402FR-071RL</t>
  </si>
  <si>
    <t>603-RC0402FR-0782KL</t>
  </si>
  <si>
    <t>603-RC0402FR-0724KL</t>
  </si>
  <si>
    <t>139-PGA-105</t>
  </si>
  <si>
    <t>595-TCA6408ARGTR</t>
  </si>
  <si>
    <t>863-CAT5171TBI-50GT3</t>
  </si>
  <si>
    <t>972-F1958NBGK</t>
  </si>
  <si>
    <t>595-INA296B4IDDFR</t>
  </si>
  <si>
    <t>584-AD8363ACPZ-R7</t>
  </si>
  <si>
    <t>595-TLV9102IDSGR</t>
  </si>
  <si>
    <t>595-TLA2528IRTER</t>
  </si>
  <si>
    <t>595-TMP117AIDRVR</t>
  </si>
  <si>
    <t>946-MP5035GJ-Z</t>
  </si>
  <si>
    <t>595-TPS7A2601DRVR</t>
  </si>
  <si>
    <t>595-LM27761DSGR</t>
  </si>
  <si>
    <t>595-TPS79333DBVREP</t>
  </si>
  <si>
    <t>998-LM4040CYM3-5.0TR</t>
  </si>
  <si>
    <t>754-PAT1220C-3DBT5</t>
  </si>
  <si>
    <t>Local</t>
  </si>
  <si>
    <t>Total Purchase:</t>
  </si>
  <si>
    <t>Purchase description:</t>
  </si>
  <si>
    <t>Prj:</t>
  </si>
  <si>
    <t>FTX schematic</t>
  </si>
  <si>
    <t>Co.:</t>
  </si>
  <si>
    <t>Caltech</t>
  </si>
  <si>
    <t>Prj date:</t>
  </si>
  <si>
    <t>2024-09-09T11:33:04-0700</t>
  </si>
  <si>
    <t>Board Qty:</t>
  </si>
  <si>
    <t>Total Cost:</t>
  </si>
  <si>
    <t>Unit Cost:</t>
  </si>
  <si>
    <t>$ date:</t>
  </si>
  <si>
    <t>2024-09-09 11:33:18</t>
  </si>
  <si>
    <t>KiCost® v1.1.18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</si>
</sst>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6" borderId="0" xfId="0" applyFill="1" applyAlignment="1">
      <alignment vertical="center" wrapText="1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40002/293d.pdf" TargetMode="External"/><Relationship Id="rId2" Type="http://schemas.openxmlformats.org/officeDocument/2006/relationships/hyperlink" Target="https://www.digikey.com/en/products/detail/vishay-sprague/293D226X9025C2TE3/13587252" TargetMode="External"/><Relationship Id="rId3" Type="http://schemas.openxmlformats.org/officeDocument/2006/relationships/hyperlink" Target="https://www.mouser.com/ProductDetail/Vishay-Sprague/293D226X9025C2TE3?qs=dG4nGvFc7P9WRSkI1DdLhQ%3D%3D" TargetMode="External"/><Relationship Id="rId4" Type="http://schemas.openxmlformats.org/officeDocument/2006/relationships/hyperlink" Target="https://mm.digikey.com/Volume0/opasdata/d220001/medias/docus/609/CL05B104KP5NNNC_Spec.pdf" TargetMode="External"/><Relationship Id="rId5" Type="http://schemas.openxmlformats.org/officeDocument/2006/relationships/hyperlink" Target="https://www.digikey.com/en/products/detail/samsung-electro-mechanics/CL05B104KP5NNNC/3886660" TargetMode="External"/><Relationship Id="rId6" Type="http://schemas.openxmlformats.org/officeDocument/2006/relationships/hyperlink" Target="https://www.mouser.com/ProductDetail/Samsung-Electro-Mechanics/CL05B104KP5NNNC?qs=349EhDEZ59qDkVTTBSSSxw%3D%3D" TargetMode="External"/><Relationship Id="rId7" Type="http://schemas.openxmlformats.org/officeDocument/2006/relationships/hyperlink" Target="https://search.kemet.com/download/datasheet/CBR04C101J3GAC" TargetMode="External"/><Relationship Id="rId8" Type="http://schemas.openxmlformats.org/officeDocument/2006/relationships/hyperlink" Target="https://www.digikey.com/en/products/detail/kemet/CBR04C101J3GAC/8572519" TargetMode="External"/><Relationship Id="rId9" Type="http://schemas.openxmlformats.org/officeDocument/2006/relationships/hyperlink" Target="https://www.mouser.com/ProductDetail/KEMET/CBR04C101J3GAC?qs=kpVq%2FgIAs50lnV8B4851AQ%3D%3D" TargetMode="External"/><Relationship Id="rId10" Type="http://schemas.openxmlformats.org/officeDocument/2006/relationships/hyperlink" Target="https://search.kemet.com/download/datasheet/C0402C102J3GAC7867" TargetMode="External"/><Relationship Id="rId11" Type="http://schemas.openxmlformats.org/officeDocument/2006/relationships/hyperlink" Target="https://www.digikey.com/en/products/detail/kemet/C0402C102J3GACTU/2196188" TargetMode="External"/><Relationship Id="rId12" Type="http://schemas.openxmlformats.org/officeDocument/2006/relationships/hyperlink" Target="https://www.mouser.com/ProductDetail/KEMET/C0402C102J3GACTU?qs=NZXuUhBibw8wnAf%2FmydAxw%3D%3D" TargetMode="External"/><Relationship Id="rId13" Type="http://schemas.openxmlformats.org/officeDocument/2006/relationships/hyperlink" Target="https://mm.digikey.com/Volume0/opasdata/d220001/medias/docus/658/CL10A106MA8NRNC_Spec.pdf" TargetMode="External"/><Relationship Id="rId14" Type="http://schemas.openxmlformats.org/officeDocument/2006/relationships/hyperlink" Target="https://www.digikey.com/en/products/detail/samsung-electro-mechanics/CL10A106MA8NRNC/3887527" TargetMode="External"/><Relationship Id="rId15" Type="http://schemas.openxmlformats.org/officeDocument/2006/relationships/hyperlink" Target="https://www.mouser.com/ProductDetail/Samsung-Electro-Mechanics/CL10A106MA8NRNC?qs=47mY1nHWefS2vFRvRJVTdQ%3D%3D" TargetMode="External"/><Relationship Id="rId16" Type="http://schemas.openxmlformats.org/officeDocument/2006/relationships/hyperlink" Target="https://mm.digikey.com/Volume0/opasdata/d220001/medias/docus/609/CL10A105KA8NNNC_Spec.pdf" TargetMode="External"/><Relationship Id="rId17" Type="http://schemas.openxmlformats.org/officeDocument/2006/relationships/hyperlink" Target="https://www.digikey.com/en/products/detail/samsung-electro-mechanics/CL10A105KA8NNNC/3886760" TargetMode="External"/><Relationship Id="rId18" Type="http://schemas.openxmlformats.org/officeDocument/2006/relationships/hyperlink" Target="https://www.mouser.com/ProductDetail/Samsung-Electro-Mechanics/CL10A105KA8NNNC?qs=hqM3L16%252BxldY%252BnK4KzDJVg%3D%3D" TargetMode="External"/><Relationship Id="rId19" Type="http://schemas.openxmlformats.org/officeDocument/2006/relationships/hyperlink" Target="https://mm.digikey.com/Volume0/opasdata/d220001/medias/docus/609/CL10A475KP8NNNC_Spec.pdf" TargetMode="External"/><Relationship Id="rId20" Type="http://schemas.openxmlformats.org/officeDocument/2006/relationships/hyperlink" Target="https://www.digikey.com/en/products/detail/samsung-electro-mechanics/CL10A475KP8NNNC/3886702" TargetMode="External"/><Relationship Id="rId21" Type="http://schemas.openxmlformats.org/officeDocument/2006/relationships/hyperlink" Target="https://www.mouser.com/ProductDetail/Samsung-Electro-Mechanics/CL10A475KP8NNNC?qs=hqM3L16%252BxlfQRmkWsZz5vA%3D%3D" TargetMode="External"/><Relationship Id="rId22" Type="http://schemas.openxmlformats.org/officeDocument/2006/relationships/hyperlink" Target="https://mm.digikey.com/Volume0/opasdata/d220001/medias/docus/609/CL10A225KP8NNNC_Spec.pdf" TargetMode="External"/><Relationship Id="rId23" Type="http://schemas.openxmlformats.org/officeDocument/2006/relationships/hyperlink" Target="https://www.digikey.com/en/products/detail/samsung-electro-mechanics/CL10A225KP8NNNC/3886743" TargetMode="External"/><Relationship Id="rId24" Type="http://schemas.openxmlformats.org/officeDocument/2006/relationships/hyperlink" Target="https://www.mouser.com/ProductDetail/Samsung-Electro-Mechanics/CL10A225KP8NNNC?qs=hqM3L16%252Bxldb5UYUGQVB5Q%3D%3D" TargetMode="External"/><Relationship Id="rId25" Type="http://schemas.openxmlformats.org/officeDocument/2006/relationships/hyperlink" Target="https://search.murata.co.jp/Ceramy/image/img/A01X/G101/ENG/GCM1885C1H122JA16-01.pdf" TargetMode="External"/><Relationship Id="rId26" Type="http://schemas.openxmlformats.org/officeDocument/2006/relationships/hyperlink" Target="https://www.digikey.com/en/products/detail/murata-electronics/GCM1885C1H122JA16D/2591388" TargetMode="External"/><Relationship Id="rId27" Type="http://schemas.openxmlformats.org/officeDocument/2006/relationships/hyperlink" Target="https://www.mouser.com/ProductDetail/Murata-Electronics/GCM1885C1H122JA16D?qs=bGEzvQhTDnYxstxcw3DBhw%3D%3D" TargetMode="External"/><Relationship Id="rId28" Type="http://schemas.openxmlformats.org/officeDocument/2006/relationships/hyperlink" Target="https://search.murata.co.jp/Ceramy/image/img/A01X/G101/ENG/GJM1555C1H1R6WB01-01.pdf" TargetMode="External"/><Relationship Id="rId29" Type="http://schemas.openxmlformats.org/officeDocument/2006/relationships/hyperlink" Target="https://www.digikey.com/en/products/detail/murata-electronics/GJM1555C1H1R6WB01D/2592895" TargetMode="External"/><Relationship Id="rId30" Type="http://schemas.openxmlformats.org/officeDocument/2006/relationships/hyperlink" Target="https://www.mouser.com/ProductDetail/Murata-Electronics/GJM1555C1H1R6WB01D?qs=YLLXL5qGyDsI1GZiQ7h4Jg%3D%3D" TargetMode="External"/><Relationship Id="rId31" Type="http://schemas.openxmlformats.org/officeDocument/2006/relationships/hyperlink" Target="https://search.murata.co.jp/Ceramy/image/img/A01X/G101/ENG/GJM1555C1H2R5WB01-01.pdf" TargetMode="External"/><Relationship Id="rId32" Type="http://schemas.openxmlformats.org/officeDocument/2006/relationships/hyperlink" Target="https://www.digikey.com/en/products/detail/murata-electronics/GJM1555C1H2R5WB01D/2592932" TargetMode="External"/><Relationship Id="rId33" Type="http://schemas.openxmlformats.org/officeDocument/2006/relationships/hyperlink" Target="https://www.mouser.com/ProductDetail/Murata-Electronics/GJM1555C1H2R5WB01D?qs=YLLXL5qGyDsQS1ywU%252Boupg%3D%3D" TargetMode="External"/><Relationship Id="rId34" Type="http://schemas.openxmlformats.org/officeDocument/2006/relationships/hyperlink" Target="https://www.digikey.com/en/products/detail/taiwan-semiconductor-corporation/SMAJ11A/7368887" TargetMode="External"/><Relationship Id="rId35" Type="http://schemas.openxmlformats.org/officeDocument/2006/relationships/hyperlink" Target="https://www.mouser.com/ProductDetail/Bourns/SMAJ11A?qs=A3H9pljuJ8QMPKHM1Ug4Uw%3D%3D" TargetMode="External"/><Relationship Id="rId36" Type="http://schemas.openxmlformats.org/officeDocument/2006/relationships/hyperlink" Target="https://optoelectronics.liteon.com/upload/download/DS22-2005-077/LTST-C193KRKT-5A.PDF" TargetMode="External"/><Relationship Id="rId37" Type="http://schemas.openxmlformats.org/officeDocument/2006/relationships/hyperlink" Target="https://www.digikey.com/en/products/detail/liteon/LTST-C193KRKT-5A/2356244" TargetMode="External"/><Relationship Id="rId38" Type="http://schemas.openxmlformats.org/officeDocument/2006/relationships/hyperlink" Target="https://www.mouser.com/ProductDetail/Lite-On/LTST-C193KRKT-5A?qs=xIkB7y1OTor17kZSHyF5tQ%3D%3D" TargetMode="External"/><Relationship Id="rId39" Type="http://schemas.openxmlformats.org/officeDocument/2006/relationships/hyperlink" Target="https://www.littelfuse.com/media?resourcetype=datasheets&amp;itemid=2b6a1515-d4ee-4c83-8bd4-152b4901b8f5&amp;filename=littelfuse_ptc_1206l_datasheet.pdf" TargetMode="External"/><Relationship Id="rId40" Type="http://schemas.openxmlformats.org/officeDocument/2006/relationships/hyperlink" Target="https://www.digikey.com/en/products/detail/littelfuse-inc/1206L050-24WR/6346988" TargetMode="External"/><Relationship Id="rId41" Type="http://schemas.openxmlformats.org/officeDocument/2006/relationships/hyperlink" Target="https://www.mouser.com/ProductDetail/Littelfuse/1206L050-24WR?qs=WCqcIsGl7aJGEgttmdZCow%3D%3D" TargetMode="External"/><Relationship Id="rId42" Type="http://schemas.openxmlformats.org/officeDocument/2006/relationships/hyperlink" Target="https://www.murata.com/en-us/products/productdata/8796740059166/ENFA0018.pdf" TargetMode="External"/><Relationship Id="rId43" Type="http://schemas.openxmlformats.org/officeDocument/2006/relationships/hyperlink" Target="https://www.digikey.com/en/products/detail/murata-electronics/BLM15PG100SN1D/2587980" TargetMode="External"/><Relationship Id="rId44" Type="http://schemas.openxmlformats.org/officeDocument/2006/relationships/hyperlink" Target="https://www.mouser.com/ProductDetail/Murata-Electronics/BLM15PG100SN1D?qs=0VEDk56ETTrLVflDr2xKIA%3D%3D" TargetMode="External"/><Relationship Id="rId45" Type="http://schemas.openxmlformats.org/officeDocument/2006/relationships/hyperlink" Target="https://www.jst-mfg.com/product/pdf/eng/ePH.pdf" TargetMode="External"/><Relationship Id="rId46" Type="http://schemas.openxmlformats.org/officeDocument/2006/relationships/hyperlink" Target="https://www.digikey.com/en/products/detail/jst-sales-america-inc/S4B-PH-SM4-TB/926657" TargetMode="External"/><Relationship Id="rId47" Type="http://schemas.openxmlformats.org/officeDocument/2006/relationships/hyperlink" Target="https://www.mouser.com/ProductDetail/JST-Commercial/S4B-PH-SM4-TBLFSN?qs=QpmGXVUTftF2FDQGC3bY1g%3D%3D" TargetMode="External"/><Relationship Id="rId48" Type="http://schemas.openxmlformats.org/officeDocument/2006/relationships/hyperlink" Target="https://search.murata.co.jp/Ceramy/image/img/P02/JELF243A-0050.pdf" TargetMode="External"/><Relationship Id="rId49" Type="http://schemas.openxmlformats.org/officeDocument/2006/relationships/hyperlink" Target="https://www.digikey.com/en/products/detail/murata-electronics/LQW15AN82NG00D/2594960" TargetMode="External"/><Relationship Id="rId50" Type="http://schemas.openxmlformats.org/officeDocument/2006/relationships/hyperlink" Target="https://www.mouser.com/ProductDetail/Murata-Electronics/LQW15AN82NG00D?qs=ekRhxRASFoOmIuPoZ9s8%252BQ%3D%3D" TargetMode="External"/><Relationship Id="rId51" Type="http://schemas.openxmlformats.org/officeDocument/2006/relationships/hyperlink" Target="https://search.murata.co.jp/Ceramy/image/img/P02/JELF243A-0050.pdf" TargetMode="External"/><Relationship Id="rId52" Type="http://schemas.openxmlformats.org/officeDocument/2006/relationships/hyperlink" Target="https://www.digikey.com/en/products/detail/murata-electronics/LQW15AN8N2G00D/2594961" TargetMode="External"/><Relationship Id="rId53" Type="http://schemas.openxmlformats.org/officeDocument/2006/relationships/hyperlink" Target="https://www.mouser.com/ProductDetail/Murata-Electronics/LQW15AN8N2G00D?qs=REqFmfCFF5c0Hz%2FMb1KRXg%3D%3D" TargetMode="External"/><Relationship Id="rId54" Type="http://schemas.openxmlformats.org/officeDocument/2006/relationships/hyperlink" Target="https://search.murata.co.jp/Ceramy/image/img/P02/JELF243A-0100.pdf" TargetMode="External"/><Relationship Id="rId55" Type="http://schemas.openxmlformats.org/officeDocument/2006/relationships/hyperlink" Target="https://www.digikey.com/en/products/detail/murata-electronics/LQW15AN5N9B80D/4292376" TargetMode="External"/><Relationship Id="rId56" Type="http://schemas.openxmlformats.org/officeDocument/2006/relationships/hyperlink" Target="https://www.mouser.com/ProductDetail/Murata-Electronics/LQW15AN5N9B80D?qs=F2r4PX9PQ5%2FLq51d2z3g7g%3D%3D" TargetMode="External"/><Relationship Id="rId57" Type="http://schemas.openxmlformats.org/officeDocument/2006/relationships/hyperlink" Target="https://www.agxtech.com/PDF/PLMR3+Rev+4.0.pdf" TargetMode="External"/><Relationship Id="rId58" Type="http://schemas.openxmlformats.org/officeDocument/2006/relationships/hyperlink" Target="http://laserdiodedevice.com/2-3-4-1550nm-dfb-pigtail-laser-diode-module.html" TargetMode="External"/><Relationship Id="rId59" Type="http://schemas.openxmlformats.org/officeDocument/2006/relationships/hyperlink" Target="https://www.onsemi.com/pdf/datasheet/2n7002dw-d.pdf" TargetMode="External"/><Relationship Id="rId60" Type="http://schemas.openxmlformats.org/officeDocument/2006/relationships/hyperlink" Target="https://www.digikey.com/en/products/detail/onsemi/2N7002DW/1785764" TargetMode="External"/><Relationship Id="rId61" Type="http://schemas.openxmlformats.org/officeDocument/2006/relationships/hyperlink" Target="https://www.mouser.com/ProductDetail/onsemi-Fairchild/2N7002DW?qs=4aVxpR%2FL9VItb3yGt5CeZg%3D%3D" TargetMode="External"/><Relationship Id="rId62" Type="http://schemas.openxmlformats.org/officeDocument/2006/relationships/hyperlink" Target="http://www.onsemi.com/pub_link/Collateral/BC846BPDW1T1-D.PDF" TargetMode="External"/><Relationship Id="rId63" Type="http://schemas.openxmlformats.org/officeDocument/2006/relationships/hyperlink" Target="https://www.digikey.com/en/products/detail/onsemi/BC846BPDW1T1G/1475975" TargetMode="External"/><Relationship Id="rId64" Type="http://schemas.openxmlformats.org/officeDocument/2006/relationships/hyperlink" Target="https://www.mouser.com/ProductDetail/onsemi/BC846BPDW1T1G?qs=vNc2DXHODiKe92vBpTm5qA%3D%3D" TargetMode="External"/><Relationship Id="rId65" Type="http://schemas.openxmlformats.org/officeDocument/2006/relationships/hyperlink" Target="https://www.yageo.com/upload/media/product/products/datasheet/rchip/PYu-RC_Group_51_RoHS_L_12.pdf" TargetMode="External"/><Relationship Id="rId66" Type="http://schemas.openxmlformats.org/officeDocument/2006/relationships/hyperlink" Target="https://www.digikey.com/en/products/detail/yageo/RC0402FR-0710KL/726523" TargetMode="External"/><Relationship Id="rId67" Type="http://schemas.openxmlformats.org/officeDocument/2006/relationships/hyperlink" Target="https://www.mouser.com/ProductDetail/YAGEO/RC0402FR-0710KL?qs=I1mnnYJTTsxUoNwrUsQExA%3D%3D" TargetMode="External"/><Relationship Id="rId68" Type="http://schemas.openxmlformats.org/officeDocument/2006/relationships/hyperlink" Target="https://www.yageo.com/upload/media/product/products/datasheet/rchip/PYu-RC_Group_51_RoHS_L_12.pdf" TargetMode="External"/><Relationship Id="rId69" Type="http://schemas.openxmlformats.org/officeDocument/2006/relationships/hyperlink" Target="https://www.digikey.com/en/products/detail/yageo/RC0402FR-070RL/2827570" TargetMode="External"/><Relationship Id="rId70" Type="http://schemas.openxmlformats.org/officeDocument/2006/relationships/hyperlink" Target="https://www.mouser.com/ProductDetail/YAGEO/RC0402FR-070RL?qs=sxZXDnvRBEhfSy4CZGX2ww%3D%3D" TargetMode="External"/><Relationship Id="rId71" Type="http://schemas.openxmlformats.org/officeDocument/2006/relationships/hyperlink" Target="https://www.yageo.com/upload/media/product/products/datasheet/rchip/PYu-RC_Group_51_RoHS_L_12.pdf" TargetMode="External"/><Relationship Id="rId72" Type="http://schemas.openxmlformats.org/officeDocument/2006/relationships/hyperlink" Target="https://www.digikey.com/en/products/detail/yageo/RC0402FR-073K32L/2827627" TargetMode="External"/><Relationship Id="rId73" Type="http://schemas.openxmlformats.org/officeDocument/2006/relationships/hyperlink" Target="https://www.mouser.com/ProductDetail/YAGEO/RC0402FR-073K32L?qs=QT1cPpUoD8GRr7aMZawzGA%3D%3D" TargetMode="External"/><Relationship Id="rId74" Type="http://schemas.openxmlformats.org/officeDocument/2006/relationships/hyperlink" Target="https://www.yageo.com/upload/media/product/products/datasheet/rchip/PYu-RC_Group_51_RoHS_L_12.pdf" TargetMode="External"/><Relationship Id="rId75" Type="http://schemas.openxmlformats.org/officeDocument/2006/relationships/hyperlink" Target="https://www.digikey.com/en/products/detail/yageo/RC0402FR-07100RL/726527" TargetMode="External"/><Relationship Id="rId76" Type="http://schemas.openxmlformats.org/officeDocument/2006/relationships/hyperlink" Target="https://www.mouser.com/ProductDetail/YAGEO/RC0402FR-07100RL?qs=V1yeUXFNrknwaJOOZ4yDtg%3D%3D" TargetMode="External"/><Relationship Id="rId77" Type="http://schemas.openxmlformats.org/officeDocument/2006/relationships/hyperlink" Target="https://www.yageo.com/upload/media/product/products/datasheet/rchip/PYu-RC_Group_51_RoHS_L_12.pdf" TargetMode="External"/><Relationship Id="rId78" Type="http://schemas.openxmlformats.org/officeDocument/2006/relationships/hyperlink" Target="https://www.digikey.com/en/products/detail/yageo/RC0402FR-075K6L/2827590" TargetMode="External"/><Relationship Id="rId79" Type="http://schemas.openxmlformats.org/officeDocument/2006/relationships/hyperlink" Target="https://www.mouser.com/ProductDetail/YAGEO/RC0402FR-075K6L?qs=Is6ZsIPfHkZGbvQHE6fDOQ%3D%3D" TargetMode="External"/><Relationship Id="rId80" Type="http://schemas.openxmlformats.org/officeDocument/2006/relationships/hyperlink" Target="https://www.yageo.com/upload/media/product/products/datasheet/rchip/PYu-RC_Group_51_RoHS_L_12.pdf" TargetMode="External"/><Relationship Id="rId81" Type="http://schemas.openxmlformats.org/officeDocument/2006/relationships/hyperlink" Target="https://www.digikey.com/en/products/detail/yageo/RC0402FR-071KL/726513" TargetMode="External"/><Relationship Id="rId82" Type="http://schemas.openxmlformats.org/officeDocument/2006/relationships/hyperlink" Target="https://www.mouser.com/ProductDetail/YAGEO/RC0402FR-071KL?qs=V1yeUXFNrknDEmWLmm5v6g%3D%3D" TargetMode="External"/><Relationship Id="rId83" Type="http://schemas.openxmlformats.org/officeDocument/2006/relationships/hyperlink" Target="https://www.yageo.com/upload/media/product/products/datasheet/rchip/PYu-RC_Group_51_RoHS_L_12.pdf" TargetMode="External"/><Relationship Id="rId84" Type="http://schemas.openxmlformats.org/officeDocument/2006/relationships/hyperlink" Target="https://www.digikey.com/en/products/detail/yageo/RC0402FR-07270RL/2827584" TargetMode="External"/><Relationship Id="rId85" Type="http://schemas.openxmlformats.org/officeDocument/2006/relationships/hyperlink" Target="https://www.mouser.com/ProductDetail/YAGEO/RC0402FR-07270RL?qs=beCmh%2FXShNd6fsxAzpS%2Fyw%3D%3D" TargetMode="External"/><Relationship Id="rId86" Type="http://schemas.openxmlformats.org/officeDocument/2006/relationships/hyperlink" Target="https://www.yageo.com/upload/media/product/products/datasheet/rchip/PYu-RC_Group_51_RoHS_L_12.pdf" TargetMode="External"/><Relationship Id="rId87" Type="http://schemas.openxmlformats.org/officeDocument/2006/relationships/hyperlink" Target="https://www.digikey.com/en/products/detail/yageo/RC0402FR-073K6L/2827641" TargetMode="External"/><Relationship Id="rId88" Type="http://schemas.openxmlformats.org/officeDocument/2006/relationships/hyperlink" Target="https://www.mouser.com/ProductDetail/YAGEO/RC0402FR-073K6L?qs=V1yeUXFNrkl1X6rzgCf6mg%3D%3D" TargetMode="External"/><Relationship Id="rId89" Type="http://schemas.openxmlformats.org/officeDocument/2006/relationships/hyperlink" Target="https://www.yageo.com/upload/media/product/products/datasheet/rchip/PYu-RC_Group_51_RoHS_L_12.pdf" TargetMode="External"/><Relationship Id="rId90" Type="http://schemas.openxmlformats.org/officeDocument/2006/relationships/hyperlink" Target="https://www.digikey.com/en/products/detail/yageo/RC0402FR-0711KL/726528" TargetMode="External"/><Relationship Id="rId91" Type="http://schemas.openxmlformats.org/officeDocument/2006/relationships/hyperlink" Target="https://www.mouser.com/ProductDetail/YAGEO/RC0402FR-0711KL?qs=sxZXDnvRBEi1W%252BmHgsHjUQ%3D%3D" TargetMode="External"/><Relationship Id="rId92" Type="http://schemas.openxmlformats.org/officeDocument/2006/relationships/hyperlink" Target="https://www.yageo.com/upload/media/product/app/datasheet/rchip/pyu-rl_group_521_rohs_l.pdf" TargetMode="External"/><Relationship Id="rId93" Type="http://schemas.openxmlformats.org/officeDocument/2006/relationships/hyperlink" Target="https://www.digikey.com/en/products/detail/yageo/RL0603FR-070R5L/3885517" TargetMode="External"/><Relationship Id="rId94" Type="http://schemas.openxmlformats.org/officeDocument/2006/relationships/hyperlink" Target="https://www.mouser.com/ProductDetail/YAGEO/RL0603FR-070R5L?qs=zL89%2FbembDmqNRj%252B1wZEhQ%3D%3D" TargetMode="External"/><Relationship Id="rId95" Type="http://schemas.openxmlformats.org/officeDocument/2006/relationships/hyperlink" Target="https://www.yageo.com/upload/media/product/products/datasheet/rchip/PYu-RC_Group_51_RoHS_L_12.pdf" TargetMode="External"/><Relationship Id="rId96" Type="http://schemas.openxmlformats.org/officeDocument/2006/relationships/hyperlink" Target="https://www.digikey.com/en/products/detail/yageo/RC0402FR-07620KL/726647" TargetMode="External"/><Relationship Id="rId97" Type="http://schemas.openxmlformats.org/officeDocument/2006/relationships/hyperlink" Target="https://www.mouser.com/ProductDetail/YAGEO/RC0402FR-07620KL?qs=Is6ZsIPfHkYXIMdZesg4aQ%3D%3D" TargetMode="External"/><Relationship Id="rId98" Type="http://schemas.openxmlformats.org/officeDocument/2006/relationships/hyperlink" Target="https://www.yageo.com/upload/media/product/products/datasheet/rchip/PYu-RC_Group_51_RoHS_L_12.pdf" TargetMode="External"/><Relationship Id="rId99" Type="http://schemas.openxmlformats.org/officeDocument/2006/relationships/hyperlink" Target="https://www.digikey.com/en/products/detail/yageo/RC0402FR-07200KL/726558" TargetMode="External"/><Relationship Id="rId100" Type="http://schemas.openxmlformats.org/officeDocument/2006/relationships/hyperlink" Target="https://www.mouser.com/ProductDetail/YAGEO/RC0402FR-07200KL?qs=V1yeUXFNrkmv6KaPQn%2FXDg%3D%3D" TargetMode="External"/><Relationship Id="rId101" Type="http://schemas.openxmlformats.org/officeDocument/2006/relationships/hyperlink" Target="https://www.yageo.com/upload/media/product/products/datasheet/rchip/PYu-RC_Group_51_RoHS_L_12.pdf" TargetMode="External"/><Relationship Id="rId102" Type="http://schemas.openxmlformats.org/officeDocument/2006/relationships/hyperlink" Target="https://www.digikey.com/en/products/detail/yageo/RC0402FR-0762RL/726646" TargetMode="External"/><Relationship Id="rId103" Type="http://schemas.openxmlformats.org/officeDocument/2006/relationships/hyperlink" Target="https://www.mouser.com/ProductDetail/YAGEO/RC0402FR-0762RL?qs=Is6ZsIPfHkYXNYG6uRvveA%3D%3D" TargetMode="External"/><Relationship Id="rId104" Type="http://schemas.openxmlformats.org/officeDocument/2006/relationships/hyperlink" Target="https://api.pim.na.industrial.panasonic.com/file_stream/main/fileversion/1242" TargetMode="External"/><Relationship Id="rId105" Type="http://schemas.openxmlformats.org/officeDocument/2006/relationships/hyperlink" Target="https://www.digikey.com/en/products/detail/panasonic-electronic-components/ERJ-2GEJ5R1X/282087" TargetMode="External"/><Relationship Id="rId106" Type="http://schemas.openxmlformats.org/officeDocument/2006/relationships/hyperlink" Target="https://www.mouser.com/ProductDetail/Panasonic/ERJ-2GEJ5R1X?qs=YMBIwoNQYdW%2FaRSYbHn8kg%3D%3D" TargetMode="External"/><Relationship Id="rId107" Type="http://schemas.openxmlformats.org/officeDocument/2006/relationships/hyperlink" Target="https://www.yageo.com/upload/media/product/products/datasheet/rchip/PYu-RC_Group_51_RoHS_L_12.pdf" TargetMode="External"/><Relationship Id="rId108" Type="http://schemas.openxmlformats.org/officeDocument/2006/relationships/hyperlink" Target="https://www.digikey.com/en/products/detail/yageo/RC1206FR-0720RL/728671" TargetMode="External"/><Relationship Id="rId109" Type="http://schemas.openxmlformats.org/officeDocument/2006/relationships/hyperlink" Target="https://www.mouser.com/ProductDetail/YAGEO/RC1206FR-0720RL?qs=UiDTtNFP6s8YBDXSrPa5jQ%3D%3D" TargetMode="External"/><Relationship Id="rId110" Type="http://schemas.openxmlformats.org/officeDocument/2006/relationships/hyperlink" Target="https://www.yageo.com/upload/media/product/products/datasheet/rchip/PYu-RC_Group_51_RoHS_L_12.pdf" TargetMode="External"/><Relationship Id="rId111" Type="http://schemas.openxmlformats.org/officeDocument/2006/relationships/hyperlink" Target="https://www.digikey.com/en/products/detail/yageo/RC0402FR-071RL/726514" TargetMode="External"/><Relationship Id="rId112" Type="http://schemas.openxmlformats.org/officeDocument/2006/relationships/hyperlink" Target="https://www.mouser.com/ProductDetail/YAGEO/RC0402FR-071RL?qs=V1yeUXFNrkmOunu3rPPGPg%3D%3D" TargetMode="External"/><Relationship Id="rId113" Type="http://schemas.openxmlformats.org/officeDocument/2006/relationships/hyperlink" Target="https://www.yageo.com/upload/media/product/products/datasheet/rchip/PYu-RC_Group_51_RoHS_L_12.pdf" TargetMode="External"/><Relationship Id="rId114" Type="http://schemas.openxmlformats.org/officeDocument/2006/relationships/hyperlink" Target="https://www.digikey.com/en/products/detail/yageo/RC0402FR-0782KL/726665" TargetMode="External"/><Relationship Id="rId115" Type="http://schemas.openxmlformats.org/officeDocument/2006/relationships/hyperlink" Target="https://www.mouser.com/ProductDetail/YAGEO/RC0402FR-0782KL?qs=%252B0HKy5qiMX%252BeWGv%2FCX8bvg%3D%3D" TargetMode="External"/><Relationship Id="rId116" Type="http://schemas.openxmlformats.org/officeDocument/2006/relationships/hyperlink" Target="https://www.yageo.com/upload/media/product/products/datasheet/rchip/PYu-RC_Group_51_RoHS_L_12.pdf" TargetMode="External"/><Relationship Id="rId117" Type="http://schemas.openxmlformats.org/officeDocument/2006/relationships/hyperlink" Target="https://www.digikey.com/en/products/detail/yageo/RC0402FR-0724KL/2827581" TargetMode="External"/><Relationship Id="rId118" Type="http://schemas.openxmlformats.org/officeDocument/2006/relationships/hyperlink" Target="https://www.mouser.com/ProductDetail/YAGEO/RC0402FR-0724KL?qs=UOUeRUa%252B8WlRCaiI5Zp6KA%3D%3D" TargetMode="External"/><Relationship Id="rId119" Type="http://schemas.openxmlformats.org/officeDocument/2006/relationships/hyperlink" Target="https://www.minicircuits.com/pdfs/PGA-105+.pdf" TargetMode="External"/><Relationship Id="rId120" Type="http://schemas.openxmlformats.org/officeDocument/2006/relationships/hyperlink" Target="https://www.digikey.com/en/products/detail/mini-circuits/PGA-105/13927567" TargetMode="External"/><Relationship Id="rId121" Type="http://schemas.openxmlformats.org/officeDocument/2006/relationships/hyperlink" Target="https://www.mouser.com/ProductDetail/Mini-Circuits/PGA-105%2b?qs=xZ%2FP%252Ba9zWqZsflWvnT%252BEgA%3D%3D" TargetMode="External"/><Relationship Id="rId122" Type="http://schemas.openxmlformats.org/officeDocument/2006/relationships/hyperlink" Target="https://www.ti.com/lit/ds/symlink/tca6408a.pdf" TargetMode="External"/><Relationship Id="rId123" Type="http://schemas.openxmlformats.org/officeDocument/2006/relationships/hyperlink" Target="https://www.digikey.com/en/products/detail/texas-instruments/TCA6408ARGTR/2094640" TargetMode="External"/><Relationship Id="rId124" Type="http://schemas.openxmlformats.org/officeDocument/2006/relationships/hyperlink" Target="https://www.mouser.com/ProductDetail/Texas-Instruments/TCA6408ARGTR?qs=I4smPnw5um2xBJN3iV2JIg%3D%3D" TargetMode="External"/><Relationship Id="rId125" Type="http://schemas.openxmlformats.org/officeDocument/2006/relationships/hyperlink" Target="https://www.onsemi.com/pdf/datasheet/cat5171-d.pdf" TargetMode="External"/><Relationship Id="rId126" Type="http://schemas.openxmlformats.org/officeDocument/2006/relationships/hyperlink" Target="https://www.digikey.com/en/products/detail/onsemi/CAT5171TBI-50GT3/2401168" TargetMode="External"/><Relationship Id="rId127" Type="http://schemas.openxmlformats.org/officeDocument/2006/relationships/hyperlink" Target="https://www.mouser.com/ProductDetail/onsemi/CAT5171TBI-50GT3?qs=Ddzdinyxz%2Fm2myG3l84I8w%3D%3D" TargetMode="External"/><Relationship Id="rId128" Type="http://schemas.openxmlformats.org/officeDocument/2006/relationships/hyperlink" Target="https://www.renesas.com/us/en/document/dst/f1958-datasheet?r=456991" TargetMode="External"/><Relationship Id="rId129" Type="http://schemas.openxmlformats.org/officeDocument/2006/relationships/hyperlink" Target="https://www.digikey.com/en/products/detail/renesas-electronics-corporation/F1958NBGK/9603059" TargetMode="External"/><Relationship Id="rId130" Type="http://schemas.openxmlformats.org/officeDocument/2006/relationships/hyperlink" Target="https://www.mouser.com/ProductDetail/Renesas-Electronics/F1958NBGK?qs=lc2O%252BfHJPVbjfYzEkcEk9w%3D%3D" TargetMode="External"/><Relationship Id="rId131" Type="http://schemas.openxmlformats.org/officeDocument/2006/relationships/hyperlink" Target="https://www.digikey.com/en/products/detail/texas-instruments/INA296B4IDDFR/17748294" TargetMode="External"/><Relationship Id="rId132" Type="http://schemas.openxmlformats.org/officeDocument/2006/relationships/hyperlink" Target="https://www.mouser.com/ProductDetail/Texas-Instruments/INA296B4IDDFR?qs=IPgv5n7u5QYjX7ahqknfMw%3D%3D" TargetMode="External"/><Relationship Id="rId133" Type="http://schemas.openxmlformats.org/officeDocument/2006/relationships/hyperlink" Target="https://www.analog.com/media/en/technical-documentation/data-sheets/AD8363.pdf" TargetMode="External"/><Relationship Id="rId134" Type="http://schemas.openxmlformats.org/officeDocument/2006/relationships/hyperlink" Target="https://www.digikey.com/en/products/detail/analog-devices-inc/AD8363ACPZ-R7/1979381" TargetMode="External"/><Relationship Id="rId135" Type="http://schemas.openxmlformats.org/officeDocument/2006/relationships/hyperlink" Target="https://www.mouser.com/ProductDetail/Analog-Devices/AD8363ACPZ-R7?qs=%2FtpEQrCGXCzii2aGnejL%252BQ%3D%3D" TargetMode="External"/><Relationship Id="rId136" Type="http://schemas.openxmlformats.org/officeDocument/2006/relationships/hyperlink" Target="https://www.ti.com/lit/ds/symlink/tlv9102.pdf" TargetMode="External"/><Relationship Id="rId137" Type="http://schemas.openxmlformats.org/officeDocument/2006/relationships/hyperlink" Target="https://www.digikey.com/en/products/detail/texas-instruments/TLV9102IDSGR/10434651" TargetMode="External"/><Relationship Id="rId138" Type="http://schemas.openxmlformats.org/officeDocument/2006/relationships/hyperlink" Target="https://www.mouser.com/ProductDetail/Texas-Instruments/TLV9102IDSGR?qs=P1JMDcb91o5PzBx7eBELRg%3D%3D" TargetMode="External"/><Relationship Id="rId139" Type="http://schemas.openxmlformats.org/officeDocument/2006/relationships/hyperlink" Target="https://www.ti.com/lit/ds/symlink/tla2528.pdf" TargetMode="External"/><Relationship Id="rId140" Type="http://schemas.openxmlformats.org/officeDocument/2006/relationships/hyperlink" Target="https://www.digikey.com/en/products/detail/texas-instruments/TLA2528IRTER/12328606" TargetMode="External"/><Relationship Id="rId141" Type="http://schemas.openxmlformats.org/officeDocument/2006/relationships/hyperlink" Target="https://www.mouser.com/ProductDetail/Texas-Instruments/TLA2528IRTER?qs=%252B6g0mu59x7KfRzJN7APgZw%3D%3D" TargetMode="External"/><Relationship Id="rId142" Type="http://schemas.openxmlformats.org/officeDocument/2006/relationships/hyperlink" Target="https://www.ti.com/lit/ds/symlink/tmp117.pdf" TargetMode="External"/><Relationship Id="rId143" Type="http://schemas.openxmlformats.org/officeDocument/2006/relationships/hyperlink" Target="https://www.digikey.com/en/products/detail/texas-instruments/TMP117AIDRVT/9749239" TargetMode="External"/><Relationship Id="rId144" Type="http://schemas.openxmlformats.org/officeDocument/2006/relationships/hyperlink" Target="https://www.mouser.com/ProductDetail/Texas-Instruments/TMP117AIDRVR?qs=qSfuJ%252Bfl%2Fd6nh9h5HydMXQ%3D%3D" TargetMode="External"/><Relationship Id="rId145" Type="http://schemas.openxmlformats.org/officeDocument/2006/relationships/hyperlink" Target="https://www.monolithicpower.com/en/documentview/productdocument/index/version/2/document_type/Datasheet/lang/en/sku/MP5035GJ/document_id/10530/" TargetMode="External"/><Relationship Id="rId146" Type="http://schemas.openxmlformats.org/officeDocument/2006/relationships/hyperlink" Target="https://www.digikey.com/en/products/detail/monolithic-power-systems-inc/MP5035GJ-Z/17884442" TargetMode="External"/><Relationship Id="rId147" Type="http://schemas.openxmlformats.org/officeDocument/2006/relationships/hyperlink" Target="https://www.mouser.com/ProductDetail/Monolithic-Power-Systems-MPS/MP5035GJ-Z?qs=yqaQSyyJnNjyYriXp7r%2FGw%3D%3D" TargetMode="External"/><Relationship Id="rId148" Type="http://schemas.openxmlformats.org/officeDocument/2006/relationships/hyperlink" Target="https://www.ti.com/lit/ds/symlink/tps7a26.pdf?HQS=dis-dk-null-digikeymode-dsf-pf-null-wwe&amp;ts=1697651079181" TargetMode="External"/><Relationship Id="rId149" Type="http://schemas.openxmlformats.org/officeDocument/2006/relationships/hyperlink" Target="https://www.digikey.com/en/products/detail/texas-instruments/TPS7A2601DRVR/10434712" TargetMode="External"/><Relationship Id="rId150" Type="http://schemas.openxmlformats.org/officeDocument/2006/relationships/hyperlink" Target="https://www.mouser.com/ProductDetail/Texas-Instruments/TPS7A2601DRVR?qs=2WXlatMagcHhzhbv1AQhhg%3D%3D" TargetMode="External"/><Relationship Id="rId151" Type="http://schemas.openxmlformats.org/officeDocument/2006/relationships/hyperlink" Target="http://www.ti.com/lit/ds/symlink/lm27761.pdf" TargetMode="External"/><Relationship Id="rId152" Type="http://schemas.openxmlformats.org/officeDocument/2006/relationships/hyperlink" Target="https://www.digikey.com/en/products/detail/texas-instruments/LM27761DSGR/5874883" TargetMode="External"/><Relationship Id="rId153" Type="http://schemas.openxmlformats.org/officeDocument/2006/relationships/hyperlink" Target="https://www.mouser.com/ProductDetail/Texas-Instruments/LM27761DSGR?qs=jK8VN%252BJp1h5rfPCO21nS4g%3D%3D" TargetMode="External"/><Relationship Id="rId154" Type="http://schemas.openxmlformats.org/officeDocument/2006/relationships/hyperlink" Target="http://www.ti.com/lit/ds/symlink/tps79333-ep.pdf" TargetMode="External"/><Relationship Id="rId155" Type="http://schemas.openxmlformats.org/officeDocument/2006/relationships/hyperlink" Target="https://www.digikey.com/en/products/detail/texas-instruments/TPS79333DBVREP/773244" TargetMode="External"/><Relationship Id="rId156" Type="http://schemas.openxmlformats.org/officeDocument/2006/relationships/hyperlink" Target="https://www.mouser.com/ProductDetail/Texas-Instruments/TPS79333DBVREP?qs=BBezV1N05%2FsnLAJF2hwsGA%3D%3D" TargetMode="External"/><Relationship Id="rId157" Type="http://schemas.openxmlformats.org/officeDocument/2006/relationships/hyperlink" Target="http://www.ti.com/lit/ds/symlink/lm4040-n.pdf" TargetMode="External"/><Relationship Id="rId158" Type="http://schemas.openxmlformats.org/officeDocument/2006/relationships/hyperlink" Target="https://www.digikey.com/en/products/detail/microchip-technology/LM4040CYM3-5-0-TR/1027696" TargetMode="External"/><Relationship Id="rId159" Type="http://schemas.openxmlformats.org/officeDocument/2006/relationships/hyperlink" Target="https://www.mouser.com/ProductDetail/Microchip-Technology/LM4040CYM3-5.0-TR?qs=Y3Q3JoKAO1R6jg4Bs0XnGQ%3D%3D" TargetMode="External"/><Relationship Id="rId160" Type="http://schemas.openxmlformats.org/officeDocument/2006/relationships/hyperlink" Target="https://www.susumu.co.jp/common/pdf/n_catalog_partition16_en.pdf" TargetMode="External"/><Relationship Id="rId161" Type="http://schemas.openxmlformats.org/officeDocument/2006/relationships/hyperlink" Target="https://www.digikey.com/en/products/detail/susumu/PAT1220-C-3DB-T5/948834" TargetMode="External"/><Relationship Id="rId162" Type="http://schemas.openxmlformats.org/officeDocument/2006/relationships/hyperlink" Target="https://www.mouser.com/ProductDetail/Susumu/PAT1220-C-3DB-T5?qs=y7y%2FNpWpM9l0UmqBk2xKag%3D%3D" TargetMode="External"/><Relationship Id="rId163" Type="http://schemas.openxmlformats.org/officeDocument/2006/relationships/hyperlink" Target="https://www.digikey.com/ordering/shoppingcart" TargetMode="External"/><Relationship Id="rId164" Type="http://schemas.openxmlformats.org/officeDocument/2006/relationships/hyperlink" Target="https://mouser.com/bom/" TargetMode="External"/><Relationship Id="rId165" Type="http://schemas.openxmlformats.org/officeDocument/2006/relationships/vmlDrawing" Target="../drawings/vmlDrawing1.vml"/><Relationship Id="rId16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3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3"/>
  <cols>
    <col min="1" max="1" width="33.7109375" customWidth="1"/>
    <col min="2" max="2" width="15.7109375" customWidth="1"/>
    <col min="3" max="4" width="33.7109375" customWidth="1" outlineLevel="2"/>
    <col min="5" max="5" width="19.7109375" customWidth="1" outlineLevel="1"/>
    <col min="6" max="6" width="9.140625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27.7109375" customWidth="1" outlineLevel="2"/>
    <col min="15" max="15" width="9.7109375" customWidth="1" outlineLevel="1"/>
    <col min="16" max="16" width="9.140625" outlineLevel="2"/>
    <col min="17" max="17" width="10.7109375" customWidth="1" outlineLevel="2"/>
    <col min="18" max="18" width="0" hidden="1" customWidth="1" outlineLevel="3" collapsed="1"/>
    <col min="19" max="19" width="16.7109375" customWidth="1"/>
    <col min="20" max="20" width="21.7109375" customWidth="1" outlineLevel="2"/>
    <col min="21" max="21" width="9.140625" outlineLevel="1"/>
    <col min="22" max="22" width="9.140625" outlineLevel="2"/>
    <col min="23" max="23" width="10.7109375" customWidth="1" outlineLevel="2"/>
    <col min="24" max="24" width="0" hidden="1" customWidth="1" outlineLevel="3" collapsed="1"/>
    <col min="25" max="25" width="16.7109375" customWidth="1"/>
    <col min="26" max="26" width="16.7109375" customWidth="1" outlineLevel="2"/>
  </cols>
  <sheetData>
    <row r="1" spans="1:26">
      <c r="A1" s="1" t="s">
        <v>353</v>
      </c>
      <c r="B1" s="2" t="s">
        <v>354</v>
      </c>
      <c r="G1" s="3" t="s">
        <v>359</v>
      </c>
      <c r="H1" s="3">
        <v>100</v>
      </c>
    </row>
    <row r="2" spans="1:26">
      <c r="A2" s="1" t="s">
        <v>355</v>
      </c>
      <c r="B2" s="2" t="s">
        <v>356</v>
      </c>
      <c r="G2" s="1" t="s">
        <v>361</v>
      </c>
      <c r="H2" s="4">
        <f>TotalCost/BoardQty</f>
        <v>168.6415</v>
      </c>
    </row>
    <row r="3" spans="1:26">
      <c r="A3" s="1" t="s">
        <v>357</v>
      </c>
      <c r="B3" s="2" t="s">
        <v>358</v>
      </c>
      <c r="G3" s="1" t="s">
        <v>360</v>
      </c>
      <c r="H3" s="5">
        <f>SUM(H7:H64)</f>
        <v>16864.154</v>
      </c>
      <c r="M3" s="5">
        <f>SUM(M7:M64)</f>
        <v>4118.967</v>
      </c>
      <c r="N3" s="6" t="str">
        <f>(COUNTA(M7:M64)&amp;" of "&amp;ROWS(M7:M64)&amp;" parts found")</f>
        <v>54 of 58 parts found</v>
      </c>
      <c r="S3" s="5">
        <f>SUM(S7:S64)</f>
        <v>4391.0</v>
      </c>
      <c r="T3" s="6" t="str">
        <f>(COUNTA(S7:S64)&amp;" of "&amp;ROWS(S7:S64)&amp;" parts found")</f>
        <v>54 of 58 parts found</v>
      </c>
      <c r="Y3" s="5">
        <f>SUM(Y7:Y64)</f>
        <v>12500.0</v>
      </c>
      <c r="Z3" s="6" t="str">
        <f>(COUNTA(Y7:Y64)&amp;" of "&amp;ROWS(Y7:Y64)&amp;" parts found")</f>
        <v>1 of 58 parts found</v>
      </c>
    </row>
    <row r="4" spans="1:26">
      <c r="A4" s="1" t="s">
        <v>362</v>
      </c>
      <c r="B4" s="2" t="s">
        <v>363</v>
      </c>
    </row>
    <row r="5" spans="1:26">
      <c r="A5" s="7" t="s">
        <v>0</v>
      </c>
      <c r="B5" s="7"/>
      <c r="C5" s="7"/>
      <c r="D5" s="7"/>
      <c r="E5" s="7"/>
      <c r="F5" s="7"/>
      <c r="G5" s="7"/>
      <c r="H5" s="7"/>
      <c r="I5" s="8" t="s">
        <v>234</v>
      </c>
      <c r="J5" s="8"/>
      <c r="K5" s="8"/>
      <c r="L5" s="8"/>
      <c r="M5" s="8"/>
      <c r="N5" s="8"/>
      <c r="O5" s="9" t="s">
        <v>295</v>
      </c>
      <c r="P5" s="9"/>
      <c r="Q5" s="9"/>
      <c r="R5" s="9"/>
      <c r="S5" s="9"/>
      <c r="T5" s="9"/>
      <c r="U5" s="10" t="s">
        <v>350</v>
      </c>
      <c r="V5" s="10"/>
      <c r="W5" s="10"/>
      <c r="X5" s="10"/>
      <c r="Y5" s="10"/>
      <c r="Z5" s="10"/>
    </row>
    <row r="6" spans="1:26">
      <c r="A6" s="11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235</v>
      </c>
      <c r="J6" s="11" t="s">
        <v>236</v>
      </c>
      <c r="K6" s="11" t="s">
        <v>7</v>
      </c>
      <c r="L6" s="11" t="s">
        <v>237</v>
      </c>
      <c r="M6" s="11" t="s">
        <v>8</v>
      </c>
      <c r="N6" s="11" t="s">
        <v>238</v>
      </c>
      <c r="O6" s="11" t="s">
        <v>235</v>
      </c>
      <c r="P6" s="11" t="s">
        <v>236</v>
      </c>
      <c r="Q6" s="11" t="s">
        <v>7</v>
      </c>
      <c r="R6" s="11" t="s">
        <v>237</v>
      </c>
      <c r="S6" s="11" t="s">
        <v>8</v>
      </c>
      <c r="T6" s="11" t="s">
        <v>238</v>
      </c>
      <c r="U6" s="11" t="s">
        <v>235</v>
      </c>
      <c r="V6" s="11" t="s">
        <v>236</v>
      </c>
      <c r="W6" s="11" t="s">
        <v>7</v>
      </c>
      <c r="X6" s="11" t="s">
        <v>237</v>
      </c>
      <c r="Y6" s="11" t="s">
        <v>8</v>
      </c>
      <c r="Z6" s="11" t="s">
        <v>238</v>
      </c>
    </row>
    <row r="7" spans="1:26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>
        <f>CEILING(BoardQty*1.0,1)</f>
        <v>100</v>
      </c>
      <c r="G7" s="13">
        <f>IF(MIN(W7,K7,Q7)&lt;&gt;0,MIN(W7,K7,Q7),"")</f>
        <v>0.354</v>
      </c>
      <c r="H7" s="14">
        <f>IF(AND(ISNUMBER(F7),ISNUMBER(G7)),F7*G7,"")</f>
        <v>35.4</v>
      </c>
      <c r="I7" s="12">
        <v>2523</v>
      </c>
      <c r="J7" s="12"/>
      <c r="K7" s="13">
        <f>IFERROR(IF(OR(J7&gt;=L7,F7&gt;=L7),LOOKUP(IF(J7="",F7,J7),{0,1,10,50,100},{0.0,0.8,0.558,0.4698,0.3826}),"MOQ="&amp;L7),"")</f>
        <v>0.3826</v>
      </c>
      <c r="L7" s="12">
        <v>1</v>
      </c>
      <c r="M7" s="14">
        <f>IFERROR(IF(J7="",F7,J7)*K7,"")</f>
        <v>38.26</v>
      </c>
      <c r="N7" s="12" t="s">
        <v>239</v>
      </c>
      <c r="O7" s="12">
        <v>4631</v>
      </c>
      <c r="P7" s="12"/>
      <c r="Q7" s="13">
        <f>IFERROR(IF(OR(P7&gt;=R7,F7&gt;=R7),LOOKUP(IF(P7="",F7,P7),{0,1,10,100,500,1000,2500,10000,50000},{0.0,0.72,0.44,0.354,0.275,0.239,0.224,0.206,0.205}),"MOQ="&amp;R7),"")</f>
        <v>0.354</v>
      </c>
      <c r="R7" s="12">
        <v>1</v>
      </c>
      <c r="S7" s="14">
        <f>IFERROR(IF(P7="",F7,P7)*Q7,"")</f>
        <v>35.4</v>
      </c>
      <c r="T7" s="12" t="s">
        <v>296</v>
      </c>
    </row>
    <row r="8" spans="1:26" ht="45" customHeight="1">
      <c r="A8" s="12" t="s">
        <v>14</v>
      </c>
      <c r="B8" s="12" t="s">
        <v>15</v>
      </c>
      <c r="C8" s="12" t="s">
        <v>16</v>
      </c>
      <c r="D8" s="12" t="s">
        <v>17</v>
      </c>
      <c r="E8" s="12" t="s">
        <v>18</v>
      </c>
      <c r="F8" s="12">
        <f>CEILING(BoardQty*21.0,1)</f>
        <v>2100</v>
      </c>
      <c r="G8" s="13">
        <f>IF(MIN(W8,K8,Q8)&lt;&gt;0,MIN(W8,K8,Q8),"")</f>
        <v>0.004</v>
      </c>
      <c r="H8" s="14">
        <f>IF(AND(ISNUMBER(F8),ISNUMBER(G8)),F8*G8,"")</f>
        <v>8.4</v>
      </c>
      <c r="I8" s="12">
        <v>31930666</v>
      </c>
      <c r="J8" s="12"/>
      <c r="K8" s="13">
        <f>IFERROR(IF(OR(J8&gt;=L8,F8&gt;=L8),LOOKUP(IF(J8="",F8,J8),{0,1,10,50,100,500,1000,2500,5000},{0.0,0.1,0.015,0.0088,0.0068,0.00514,0.00404,0.00368,0.00338}),"MOQ="&amp;L8),"")</f>
        <v>0.00404</v>
      </c>
      <c r="L8" s="12">
        <v>1</v>
      </c>
      <c r="M8" s="14">
        <f>IFERROR(IF(J8="",F8,J8)*K8,"")</f>
        <v>8.484</v>
      </c>
      <c r="N8" s="12" t="s">
        <v>240</v>
      </c>
      <c r="O8" s="12">
        <v>728721</v>
      </c>
      <c r="P8" s="12"/>
      <c r="Q8" s="13">
        <f>IFERROR(IF(OR(P8&gt;=R8,F8&gt;=R8),LOOKUP(IF(P8="",F8,P8),{0,1,10,100,1000,10000},{0.0,0.1,0.007,0.006,0.004,0.002}),"MOQ="&amp;R8),"")</f>
        <v>0.004</v>
      </c>
      <c r="R8" s="12">
        <v>1</v>
      </c>
      <c r="S8" s="14">
        <f>IFERROR(IF(P8="",F8,P8)*Q8,"")</f>
        <v>8.4</v>
      </c>
      <c r="T8" s="12" t="s">
        <v>297</v>
      </c>
    </row>
    <row r="9" spans="1:26" ht="45" customHeight="1">
      <c r="A9" s="12" t="s">
        <v>19</v>
      </c>
      <c r="B9" s="12" t="s">
        <v>20</v>
      </c>
      <c r="C9" s="12" t="s">
        <v>16</v>
      </c>
      <c r="D9" s="12" t="s">
        <v>17</v>
      </c>
      <c r="E9" s="12" t="s">
        <v>21</v>
      </c>
      <c r="F9" s="12">
        <f>CEILING(BoardQty*17.0,1)</f>
        <v>1700</v>
      </c>
      <c r="G9" s="13">
        <f>IF(MIN(W9,K9,Q9)&lt;&gt;0,MIN(W9,K9,Q9),"")</f>
        <v>0.0453</v>
      </c>
      <c r="H9" s="14">
        <f>IF(AND(ISNUMBER(F9),ISNUMBER(G9)),F9*G9,"")</f>
        <v>77.01</v>
      </c>
      <c r="I9" s="12">
        <v>20070</v>
      </c>
      <c r="J9" s="12"/>
      <c r="K9" s="13">
        <f>IFERROR(IF(OR(J9&gt;=L9,F9&gt;=L9),LOOKUP(IF(J9="",F9,J9),{0,1,10,50,100,500,1000,2500,5000},{0.0,0.22,0.14,0.0886,0.0709,0.0512,0.0453,0.04333,0.03939}),"MOQ="&amp;L9),"")</f>
        <v>0.0453</v>
      </c>
      <c r="L9" s="12">
        <v>1</v>
      </c>
      <c r="M9" s="14">
        <f>IFERROR(IF(J9="",F9,J9)*K9,"")</f>
        <v>77.01</v>
      </c>
      <c r="N9" s="12" t="s">
        <v>241</v>
      </c>
      <c r="O9" s="12">
        <v>26765</v>
      </c>
      <c r="P9" s="12"/>
      <c r="Q9" s="13">
        <f>IFERROR(IF(OR(P9&gt;=R9,F9&gt;=R9),LOOKUP(IF(P9="",F9,P9),{0,1,10,100,1000,2500,10000,20000,50000,100000},{0.0,0.22,0.089,0.052,0.046,0.04,0.038,0.034,0.031,0.026}),"MOQ="&amp;R9),"")</f>
        <v>0.046</v>
      </c>
      <c r="R9" s="12">
        <v>1</v>
      </c>
      <c r="S9" s="14">
        <f>IFERROR(IF(P9="",F9,P9)*Q9,"")</f>
        <v>78.2</v>
      </c>
      <c r="T9" s="12" t="s">
        <v>298</v>
      </c>
    </row>
    <row r="10" spans="1:26">
      <c r="A10" s="12" t="s">
        <v>22</v>
      </c>
      <c r="B10" s="12" t="s">
        <v>23</v>
      </c>
      <c r="C10" s="12" t="s">
        <v>16</v>
      </c>
      <c r="D10" s="12" t="s">
        <v>17</v>
      </c>
      <c r="E10" s="12" t="s">
        <v>24</v>
      </c>
      <c r="F10" s="12">
        <f>CEILING(BoardQty*1.0,1)</f>
        <v>100</v>
      </c>
      <c r="G10" s="13">
        <f>IF(MIN(W10,K10,Q10)&lt;&gt;0,MIN(W10,K10,Q10),"")</f>
        <v>0.034</v>
      </c>
      <c r="H10" s="14">
        <f>IF(AND(ISNUMBER(F10),ISNUMBER(G10)),F10*G10,"")</f>
        <v>3.4</v>
      </c>
      <c r="I10" s="12">
        <v>35334</v>
      </c>
      <c r="J10" s="12"/>
      <c r="K10" s="13">
        <f>IFERROR(IF(OR(J10&gt;=L10,F10&gt;=L10),LOOKUP(IF(J10="",F10,J10),{0,1,10,50,100,500,1000,2500,5000},{0.0,0.26,0.171,0.1082,0.0865,0.0625,0.05529,0.05288,0.04808}),"MOQ="&amp;L10),"")</f>
        <v>0.0865</v>
      </c>
      <c r="L10" s="12">
        <v>1</v>
      </c>
      <c r="M10" s="14">
        <f>IFERROR(IF(J10="",F10,J10)*K10,"")</f>
        <v>8.65</v>
      </c>
      <c r="N10" s="12" t="s">
        <v>242</v>
      </c>
      <c r="O10" s="15" t="s">
        <v>251</v>
      </c>
      <c r="P10" s="12"/>
      <c r="Q10" s="13">
        <f>IFERROR(IF(OR(P10&gt;=R10,F10&gt;=R10),LOOKUP(IF(P10="",F10,P10),{0,1,10,100,1000,2500,10000,50000},{0.0,0.11,0.067,0.034,0.022,0.021,0.018,0.017}),"MOQ="&amp;R10),"")</f>
        <v>0.034</v>
      </c>
      <c r="R10" s="12">
        <v>1</v>
      </c>
      <c r="S10" s="14">
        <f>IFERROR(IF(P10="",F10,P10)*Q10,"")</f>
        <v>3.4</v>
      </c>
      <c r="T10" s="12" t="s">
        <v>299</v>
      </c>
    </row>
    <row r="11" spans="1:26">
      <c r="A11" s="12" t="s">
        <v>25</v>
      </c>
      <c r="B11" s="12" t="s">
        <v>26</v>
      </c>
      <c r="C11" s="12" t="s">
        <v>16</v>
      </c>
      <c r="D11" s="12" t="s">
        <v>27</v>
      </c>
      <c r="E11" s="12" t="s">
        <v>28</v>
      </c>
      <c r="F11" s="12">
        <f>CEILING(BoardQty*1.0,1)</f>
        <v>100</v>
      </c>
      <c r="G11" s="13">
        <f>IF(MIN(W11,K11,Q11)&lt;&gt;0,MIN(W11,K11,Q11),"")</f>
        <v>0.072</v>
      </c>
      <c r="H11" s="14">
        <f>IF(AND(ISNUMBER(F11),ISNUMBER(G11)),F11*G11,"")</f>
        <v>7.2</v>
      </c>
      <c r="I11" s="12">
        <v>1001268</v>
      </c>
      <c r="J11" s="12"/>
      <c r="K11" s="13">
        <f>IFERROR(IF(OR(J11&gt;=L11,F11&gt;=L11),LOOKUP(IF(J11="",F11,J11),{0,1,10,50,100,500,1000},{0.0,0.26,0.17,0.1196,0.0966,0.07178,0.0628}),"MOQ="&amp;L11),"")</f>
        <v>0.0966</v>
      </c>
      <c r="L11" s="12">
        <v>1</v>
      </c>
      <c r="M11" s="14">
        <f>IFERROR(IF(J11="",F11,J11)*K11,"")</f>
        <v>9.66</v>
      </c>
      <c r="N11" s="12" t="s">
        <v>243</v>
      </c>
      <c r="O11" s="12">
        <v>383816</v>
      </c>
      <c r="P11" s="12"/>
      <c r="Q11" s="13">
        <f>IFERROR(IF(OR(P11&gt;=R11,F11&gt;=R11),LOOKUP(IF(P11="",F11,P11),{0,1,10,100,1000,4000,8000,24000,48000,100000},{0.0,0.26,0.12,0.072,0.062,0.054,0.048,0.047,0.044,0.039}),"MOQ="&amp;R11),"")</f>
        <v>0.072</v>
      </c>
      <c r="R11" s="12">
        <v>1</v>
      </c>
      <c r="S11" s="14">
        <f>IFERROR(IF(P11="",F11,P11)*Q11,"")</f>
        <v>7.2</v>
      </c>
      <c r="T11" s="12" t="s">
        <v>300</v>
      </c>
    </row>
    <row r="12" spans="1:26">
      <c r="A12" s="12" t="s">
        <v>29</v>
      </c>
      <c r="B12" s="12" t="s">
        <v>30</v>
      </c>
      <c r="C12" s="12" t="s">
        <v>16</v>
      </c>
      <c r="D12" s="12" t="s">
        <v>27</v>
      </c>
      <c r="E12" s="12" t="s">
        <v>31</v>
      </c>
      <c r="F12" s="12">
        <f>CEILING(BoardQty*5.0,1)</f>
        <v>500</v>
      </c>
      <c r="G12" s="13">
        <f>IF(MIN(W12,K12,Q12)&lt;&gt;0,MIN(W12,K12,Q12),"")</f>
        <v>0.0099</v>
      </c>
      <c r="H12" s="14">
        <f>IF(AND(ISNUMBER(F12),ISNUMBER(G12)),F12*G12,"")</f>
        <v>4.95</v>
      </c>
      <c r="I12" s="12">
        <v>1673936</v>
      </c>
      <c r="J12" s="12"/>
      <c r="K12" s="13">
        <f>IFERROR(IF(OR(J12&gt;=L12,F12&gt;=L12),LOOKUP(IF(J12="",F12,J12),{0,1,10,50,100,500,1000},{0.0,0.1,0.03,0.017,0.0132,0.0099,0.00778}),"MOQ="&amp;L12),"")</f>
        <v>0.0099</v>
      </c>
      <c r="L12" s="12">
        <v>1</v>
      </c>
      <c r="M12" s="14">
        <f>IFERROR(IF(J12="",F12,J12)*K12,"")</f>
        <v>4.95</v>
      </c>
      <c r="N12" s="12" t="s">
        <v>244</v>
      </c>
      <c r="O12" s="12">
        <v>420187</v>
      </c>
      <c r="P12" s="12"/>
      <c r="Q12" s="13">
        <f>IFERROR(IF(OR(P12&gt;=R12,F12&gt;=R12),LOOKUP(IF(P12="",F12,P12),{0,1,10,100,1000,4000,8000,48000},{0.0,0.1,0.017,0.01,0.008,0.006,0.005,0.004}),"MOQ="&amp;R12),"")</f>
        <v>0.01</v>
      </c>
      <c r="R12" s="12">
        <v>1</v>
      </c>
      <c r="S12" s="14">
        <f>IFERROR(IF(P12="",F12,P12)*Q12,"")</f>
        <v>5.0</v>
      </c>
      <c r="T12" s="12" t="s">
        <v>301</v>
      </c>
    </row>
    <row r="13" spans="1:26">
      <c r="A13" s="12" t="s">
        <v>32</v>
      </c>
      <c r="B13" s="12" t="s">
        <v>33</v>
      </c>
      <c r="C13" s="12" t="s">
        <v>16</v>
      </c>
      <c r="D13" s="12" t="s">
        <v>27</v>
      </c>
      <c r="E13" s="12" t="s">
        <v>34</v>
      </c>
      <c r="F13" s="12">
        <f>CEILING(BoardQty*2.0,1)</f>
        <v>200</v>
      </c>
      <c r="G13" s="13">
        <f>IF(MIN(W13,K13,Q13)&lt;&gt;0,MIN(W13,K13,Q13),"")</f>
        <v>0.014</v>
      </c>
      <c r="H13" s="14">
        <f>IF(AND(ISNUMBER(F13),ISNUMBER(G13)),F13*G13,"")</f>
        <v>2.8</v>
      </c>
      <c r="I13" s="12">
        <v>7298797</v>
      </c>
      <c r="J13" s="12"/>
      <c r="K13" s="13">
        <f>IFERROR(IF(OR(J13&gt;=L13,F13&gt;=L13),LOOKUP(IF(J13="",F13,J13),{0,1,10,50,100,500,1000},{0.0,0.1,0.041,0.0234,0.0182,0.01368,0.01075}),"MOQ="&amp;L13),"")</f>
        <v>0.0182</v>
      </c>
      <c r="L13" s="12">
        <v>1</v>
      </c>
      <c r="M13" s="14">
        <f>IFERROR(IF(J13="",F13,J13)*K13,"")</f>
        <v>3.64</v>
      </c>
      <c r="N13" s="12" t="s">
        <v>245</v>
      </c>
      <c r="O13" s="12">
        <v>783874</v>
      </c>
      <c r="P13" s="12"/>
      <c r="Q13" s="13">
        <f>IFERROR(IF(OR(P13&gt;=R13,F13&gt;=R13),LOOKUP(IF(P13="",F13,P13),{0,1,10,100,1000,4000,8000,24000,100000},{0.0,0.1,0.02,0.014,0.011,0.009,0.007,0.006,0.005}),"MOQ="&amp;R13),"")</f>
        <v>0.014</v>
      </c>
      <c r="R13" s="12">
        <v>1</v>
      </c>
      <c r="S13" s="14">
        <f>IFERROR(IF(P13="",F13,P13)*Q13,"")</f>
        <v>2.8</v>
      </c>
      <c r="T13" s="12" t="s">
        <v>302</v>
      </c>
    </row>
    <row r="14" spans="1:26">
      <c r="A14" s="12" t="s">
        <v>35</v>
      </c>
      <c r="B14" s="12" t="s">
        <v>36</v>
      </c>
      <c r="C14" s="12" t="s">
        <v>16</v>
      </c>
      <c r="D14" s="12" t="s">
        <v>27</v>
      </c>
      <c r="E14" s="12" t="s">
        <v>37</v>
      </c>
      <c r="F14" s="12">
        <f>CEILING(BoardQty*1.0,1)</f>
        <v>100</v>
      </c>
      <c r="G14" s="13">
        <f>IF(MIN(W14,K14,Q14)&lt;&gt;0,MIN(W14,K14,Q14),"")</f>
        <v>0.017</v>
      </c>
      <c r="H14" s="14">
        <f>IF(AND(ISNUMBER(F14),ISNUMBER(G14)),F14*G14,"")</f>
        <v>1.7</v>
      </c>
      <c r="I14" s="12">
        <v>1050675</v>
      </c>
      <c r="J14" s="12"/>
      <c r="K14" s="13">
        <f>IFERROR(IF(OR(J14&gt;=L14,F14&gt;=L14),LOOKUP(IF(J14="",F14,J14),{0,1,10,50,100,500,1000},{0.0,0.1,0.05,0.0286,0.0221,0.01664,0.01308}),"MOQ="&amp;L14),"")</f>
        <v>0.0221</v>
      </c>
      <c r="L14" s="12">
        <v>1</v>
      </c>
      <c r="M14" s="14">
        <f>IFERROR(IF(J14="",F14,J14)*K14,"")</f>
        <v>2.21</v>
      </c>
      <c r="N14" s="12" t="s">
        <v>246</v>
      </c>
      <c r="O14" s="12">
        <v>3524</v>
      </c>
      <c r="P14" s="12"/>
      <c r="Q14" s="13">
        <f>IFERROR(IF(OR(P14&gt;=R14,F14&gt;=R14),LOOKUP(IF(P14="",F14,P14),{0,1,10,100,1000,4000,8000,100000},{0.0,0.1,0.027,0.017,0.013,0.009,0.007,0.006}),"MOQ="&amp;R14),"")</f>
        <v>0.017</v>
      </c>
      <c r="R14" s="12">
        <v>1</v>
      </c>
      <c r="S14" s="14">
        <f>IFERROR(IF(P14="",F14,P14)*Q14,"")</f>
        <v>1.7</v>
      </c>
      <c r="T14" s="12" t="s">
        <v>303</v>
      </c>
    </row>
    <row r="15" spans="1:26">
      <c r="A15" s="12" t="s">
        <v>38</v>
      </c>
      <c r="B15" s="12" t="s">
        <v>39</v>
      </c>
      <c r="C15" s="12" t="s">
        <v>16</v>
      </c>
      <c r="D15" s="12" t="s">
        <v>27</v>
      </c>
      <c r="E15" s="12" t="s">
        <v>40</v>
      </c>
      <c r="F15" s="12">
        <f>CEILING(BoardQty*1.0,1)</f>
        <v>100</v>
      </c>
      <c r="G15" s="13">
        <f>IF(MIN(W15,K15,Q15)&lt;&gt;0,MIN(W15,K15,Q15),"")</f>
        <v>0.023</v>
      </c>
      <c r="H15" s="14">
        <f>IF(AND(ISNUMBER(F15),ISNUMBER(G15)),F15*G15,"")</f>
        <v>2.3</v>
      </c>
      <c r="I15" s="12">
        <v>167604</v>
      </c>
      <c r="J15" s="12"/>
      <c r="K15" s="13">
        <f>IFERROR(IF(OR(J15&gt;=L15,F15&gt;=L15),LOOKUP(IF(J15="",F15,J15),{0,1,10,50,100,500,1000},{0.0,0.11,0.073,0.0436,0.0343,0.02534,0.02098}),"MOQ="&amp;L15),"")</f>
        <v>0.0343</v>
      </c>
      <c r="L15" s="12">
        <v>1</v>
      </c>
      <c r="M15" s="14">
        <f>IFERROR(IF(J15="",F15,J15)*K15,"")</f>
        <v>3.43</v>
      </c>
      <c r="N15" s="12" t="s">
        <v>247</v>
      </c>
      <c r="O15" s="15" t="s">
        <v>251</v>
      </c>
      <c r="P15" s="12"/>
      <c r="Q15" s="13">
        <f>IFERROR(IF(OR(P15&gt;=R15,F15&gt;=R15),LOOKUP(IF(P15="",F15,P15),{0,1,10,100,1000,4000,8000,24000,100000},{0.0,0.11,0.044,0.023,0.019,0.013,0.012,0.011,0.01}),"MOQ="&amp;R15),"")</f>
        <v>0.023</v>
      </c>
      <c r="R15" s="12">
        <v>1</v>
      </c>
      <c r="S15" s="14">
        <f>IFERROR(IF(P15="",F15,P15)*Q15,"")</f>
        <v>2.3</v>
      </c>
      <c r="T15" s="12" t="s">
        <v>304</v>
      </c>
    </row>
    <row r="16" spans="1:26">
      <c r="A16" s="12" t="s">
        <v>41</v>
      </c>
      <c r="B16" s="12" t="s">
        <v>42</v>
      </c>
      <c r="C16" s="12" t="s">
        <v>16</v>
      </c>
      <c r="D16" s="12" t="s">
        <v>17</v>
      </c>
      <c r="E16" s="12" t="s">
        <v>43</v>
      </c>
      <c r="F16" s="12">
        <f>CEILING(BoardQty*4.0,1)</f>
        <v>400</v>
      </c>
      <c r="G16" s="13">
        <f>IF(MIN(W16,K16,Q16)&lt;&gt;0,MIN(W16,K16,Q16),"")</f>
        <v>0.043</v>
      </c>
      <c r="H16" s="14">
        <f>IF(AND(ISNUMBER(F16),ISNUMBER(G16)),F16*G16,"")</f>
        <v>17.2</v>
      </c>
      <c r="I16" s="12">
        <v>26533</v>
      </c>
      <c r="J16" s="12"/>
      <c r="K16" s="13">
        <f>IFERROR(IF(OR(J16&gt;=L16,F16&gt;=L16),LOOKUP(IF(J16="",F16,J16),{0,1,10,50,100,500,1000,2500,5000},{0.0,0.18,0.122,0.073,0.0574,0.04242,0.03511,0.03268,0.0299}),"MOQ="&amp;L16),"")</f>
        <v>0.0574</v>
      </c>
      <c r="L16" s="12">
        <v>1</v>
      </c>
      <c r="M16" s="14">
        <f>IFERROR(IF(J16="",F16,J16)*K16,"")</f>
        <v>22.96</v>
      </c>
      <c r="N16" s="12" t="s">
        <v>248</v>
      </c>
      <c r="O16" s="12">
        <v>18005</v>
      </c>
      <c r="P16" s="12"/>
      <c r="Q16" s="13">
        <f>IFERROR(IF(OR(P16&gt;=R16,F16&gt;=R16),LOOKUP(IF(P16="",F16,P16),{0,1,10,100,1000,2500,10000,20000,50000,100000},{0.0,0.18,0.073,0.043,0.032,0.028,0.024,0.023,0.021,0.018}),"MOQ="&amp;R16),"")</f>
        <v>0.043</v>
      </c>
      <c r="R16" s="12">
        <v>1</v>
      </c>
      <c r="S16" s="14">
        <f>IFERROR(IF(P16="",F16,P16)*Q16,"")</f>
        <v>17.2</v>
      </c>
      <c r="T16" s="12" t="s">
        <v>305</v>
      </c>
    </row>
    <row r="17" spans="1:26">
      <c r="A17" s="12" t="s">
        <v>44</v>
      </c>
      <c r="B17" s="12" t="s">
        <v>45</v>
      </c>
      <c r="C17" s="12" t="s">
        <v>16</v>
      </c>
      <c r="D17" s="12" t="s">
        <v>17</v>
      </c>
      <c r="E17" s="12" t="s">
        <v>46</v>
      </c>
      <c r="F17" s="12">
        <f>CEILING(BoardQty*2.0,1)</f>
        <v>200</v>
      </c>
      <c r="G17" s="13">
        <f>IF(MIN(W17,K17,Q17)&lt;&gt;0,MIN(W17,K17,Q17),"")</f>
        <v>0.043</v>
      </c>
      <c r="H17" s="14">
        <f>IF(AND(ISNUMBER(F17),ISNUMBER(G17)),F17*G17,"")</f>
        <v>8.6</v>
      </c>
      <c r="I17" s="12">
        <v>21841</v>
      </c>
      <c r="J17" s="12"/>
      <c r="K17" s="13">
        <f>IFERROR(IF(OR(J17&gt;=L17,F17&gt;=L17),LOOKUP(IF(J17="",F17,J17),{0,1,10,50,100,500,1000,2500,5000},{0.0,0.18,0.122,0.073,0.0574,0.04242,0.03511,0.03268,0.0299}),"MOQ="&amp;L17),"")</f>
        <v>0.0574</v>
      </c>
      <c r="L17" s="12">
        <v>1</v>
      </c>
      <c r="M17" s="14">
        <f>IFERROR(IF(J17="",F17,J17)*K17,"")</f>
        <v>11.48</v>
      </c>
      <c r="N17" s="12" t="s">
        <v>249</v>
      </c>
      <c r="O17" s="12">
        <v>11756</v>
      </c>
      <c r="P17" s="12"/>
      <c r="Q17" s="13">
        <f>IFERROR(IF(OR(P17&gt;=R17,F17&gt;=R17),LOOKUP(IF(P17="",F17,P17),{0,1,10,100,1000,2500,10000,20000,50000,100000},{0.0,0.18,0.073,0.043,0.032,0.03,0.027,0.023,0.021,0.018}),"MOQ="&amp;R17),"")</f>
        <v>0.043</v>
      </c>
      <c r="R17" s="12">
        <v>1</v>
      </c>
      <c r="S17" s="14">
        <f>IFERROR(IF(P17="",F17,P17)*Q17,"")</f>
        <v>8.6</v>
      </c>
      <c r="T17" s="12" t="s">
        <v>306</v>
      </c>
    </row>
    <row r="18" spans="1:26">
      <c r="A18" s="12" t="s">
        <v>47</v>
      </c>
      <c r="B18" s="12" t="s">
        <v>48</v>
      </c>
      <c r="C18" s="12" t="s">
        <v>49</v>
      </c>
      <c r="D18" s="12" t="s">
        <v>50</v>
      </c>
      <c r="E18" s="12" t="s">
        <v>51</v>
      </c>
      <c r="F18" s="12">
        <f>CEILING(BoardQty*1.0,1)</f>
        <v>100</v>
      </c>
      <c r="G18" s="13">
        <f>IF(MIN(W18,K18,Q18)&lt;&gt;0,MIN(W18,K18,Q18),"")</f>
        <v>0.106</v>
      </c>
      <c r="H18" s="14">
        <f>IF(AND(ISNUMBER(F18),ISNUMBER(G18)),F18*G18,"")</f>
        <v>10.6</v>
      </c>
      <c r="I18" s="15" t="s">
        <v>251</v>
      </c>
      <c r="J18" s="12"/>
      <c r="K18" s="13">
        <f>IFERROR(IF(OR(J18&gt;=L18,F18&gt;=L18),LOOKUP(IF(J18="",F18,J18),{0,1,7500,15000,37500,52500},{0.0,0.0796,0.0796,0.06884,0.06755,0.05593}),"MOQ="&amp;L18),"")</f>
        <v/>
      </c>
      <c r="L18" s="12">
        <v>7500</v>
      </c>
      <c r="M18" s="14">
        <f>IFERROR(IF(J18="",F18,J18)*K18,"")</f>
        <v/>
      </c>
      <c r="N18" s="12" t="s">
        <v>250</v>
      </c>
      <c r="O18" s="12">
        <v>8893</v>
      </c>
      <c r="P18" s="12"/>
      <c r="Q18" s="13">
        <f>IFERROR(IF(OR(P18&gt;=R18,F18&gt;=R18),LOOKUP(IF(P18="",F18,P18),{0,1,10,100,1000,5000,100000},{0.0,0.33,0.237,0.106,0.074,0.072,0.07}),"MOQ="&amp;R18),"")</f>
        <v>0.106</v>
      </c>
      <c r="R18" s="12">
        <v>1</v>
      </c>
      <c r="S18" s="14">
        <f>IFERROR(IF(P18="",F18,P18)*Q18,"")</f>
        <v>10.6</v>
      </c>
      <c r="T18" s="12" t="s">
        <v>307</v>
      </c>
    </row>
    <row r="19" spans="1:26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>
        <f>CEILING(BoardQty*2.0,1)</f>
        <v>200</v>
      </c>
      <c r="G19" s="13">
        <f>IF(MIN(W19,K19,Q19)&lt;&gt;0,MIN(W19,K19,Q19),"")</f>
        <v>0.072</v>
      </c>
      <c r="H19" s="14">
        <f>IF(AND(ISNUMBER(F19),ISNUMBER(G19)),F19*G19,"")</f>
        <v>14.4</v>
      </c>
      <c r="I19" s="12">
        <v>225648</v>
      </c>
      <c r="J19" s="12"/>
      <c r="K19" s="13">
        <f>IFERROR(IF(OR(J19&gt;=L19,F19&gt;=L19),LOOKUP(IF(J19="",F19,J19),{0,1,10,100,500,1000,2000},{0.0,0.29,0.16,0.0976,0.07324,0.06579,0.0597}),"MOQ="&amp;L19),"")</f>
        <v>0.0976</v>
      </c>
      <c r="L19" s="12">
        <v>1</v>
      </c>
      <c r="M19" s="14">
        <f>IFERROR(IF(J19="",F19,J19)*K19,"")</f>
        <v>19.52</v>
      </c>
      <c r="N19" s="12" t="s">
        <v>252</v>
      </c>
      <c r="O19" s="12">
        <v>239293</v>
      </c>
      <c r="P19" s="12"/>
      <c r="Q19" s="13">
        <f>IFERROR(IF(OR(P19&gt;=R19,F19&gt;=R19),LOOKUP(IF(P19="",F19,P19),{0,1,10,100,1000,5000,10000,25000,50000,100000},{0.0,0.29,0.16,0.072,0.059,0.053,0.047,0.044,0.043,0.04}),"MOQ="&amp;R19),"")</f>
        <v>0.072</v>
      </c>
      <c r="R19" s="12">
        <v>1</v>
      </c>
      <c r="S19" s="14">
        <f>IFERROR(IF(P19="",F19,P19)*Q19,"")</f>
        <v>14.4</v>
      </c>
      <c r="T19" s="12" t="s">
        <v>308</v>
      </c>
    </row>
    <row r="20" spans="1:26" ht="30" customHeight="1">
      <c r="A20" s="12" t="s">
        <v>57</v>
      </c>
      <c r="B20" s="12" t="s">
        <v>58</v>
      </c>
      <c r="C20" s="12" t="s">
        <v>59</v>
      </c>
      <c r="D20" s="12" t="s">
        <v>60</v>
      </c>
      <c r="E20" s="12" t="s">
        <v>61</v>
      </c>
      <c r="F20" s="12">
        <f>CEILING(BoardQty*1.0,1)</f>
        <v>100</v>
      </c>
      <c r="G20" s="13">
        <f>IF(MIN(W20,K20,Q20)&lt;&gt;0,MIN(W20,K20,Q20),"")</f>
        <v>0.8681</v>
      </c>
      <c r="H20" s="14">
        <f>IF(AND(ISNUMBER(F20),ISNUMBER(G20)),F20*G20,"")</f>
        <v>86.81</v>
      </c>
      <c r="I20" s="12">
        <v>4451</v>
      </c>
      <c r="J20" s="12"/>
      <c r="K20" s="13">
        <f>IFERROR(IF(OR(J20&gt;=L20,F20&gt;=L20),LOOKUP(IF(J20="",F20,J20),{0,1,5,10,50,100,250,500,1000},{0.0,1.39,1.346,1.259,1.0418,0.8681,0.84644,0.71622,0.6294}),"MOQ="&amp;L20),"")</f>
        <v>0.8681</v>
      </c>
      <c r="L20" s="12">
        <v>1</v>
      </c>
      <c r="M20" s="14">
        <f>IFERROR(IF(J20="",F20,J20)*K20,"")</f>
        <v>86.81</v>
      </c>
      <c r="N20" s="12" t="s">
        <v>253</v>
      </c>
      <c r="O20" s="12">
        <v>22020</v>
      </c>
      <c r="P20" s="12"/>
      <c r="Q20" s="13">
        <f>IFERROR(IF(OR(P20&gt;=R20,F20&gt;=R20),LOOKUP(IF(P20="",F20,P20),{0,1,10,25,100,250,500,1000,3000},{0.0,1.35,1.26,1.05,0.869,0.847,0.717,0.682,0.682}),"MOQ="&amp;R20),"")</f>
        <v>0.869</v>
      </c>
      <c r="R20" s="12">
        <v>1</v>
      </c>
      <c r="S20" s="14">
        <f>IFERROR(IF(P20="",F20,P20)*Q20,"")</f>
        <v>86.9</v>
      </c>
      <c r="T20" s="12" t="s">
        <v>309</v>
      </c>
    </row>
    <row r="21" spans="1:26">
      <c r="A21" s="12" t="s">
        <v>62</v>
      </c>
      <c r="B21" s="12" t="s">
        <v>63</v>
      </c>
      <c r="C21" s="12" t="s">
        <v>64</v>
      </c>
      <c r="D21" s="12" t="s">
        <v>65</v>
      </c>
      <c r="E21" s="12" t="s">
        <v>63</v>
      </c>
      <c r="F21" s="12">
        <f>CEILING(BoardQty*5.0,1)</f>
        <v>500</v>
      </c>
      <c r="G21" s="13">
        <f>IF(MIN(W21,K21,Q21)&lt;&gt;0,MIN(W21,K21,Q21),"")</f>
        <v>0.027</v>
      </c>
      <c r="H21" s="14">
        <f>IF(AND(ISNUMBER(F21),ISNUMBER(G21)),F21*G21,"")</f>
        <v>13.5</v>
      </c>
      <c r="I21" s="12">
        <v>315284</v>
      </c>
      <c r="J21" s="12"/>
      <c r="K21" s="13">
        <f>IFERROR(IF(OR(J21&gt;=L21,F21&gt;=L21),LOOKUP(IF(J21="",F21,J21),{0,1,10,25,50,100,250,500,1000,5000},{0.0,0.1,0.068,0.0616,0.0556,0.0408,0.02968,0.0272,0.02348,0.01854}),"MOQ="&amp;L21),"")</f>
        <v>0.0272</v>
      </c>
      <c r="L21" s="12">
        <v>1</v>
      </c>
      <c r="M21" s="14">
        <f>IFERROR(IF(J21="",F21,J21)*K21,"")</f>
        <v>13.6</v>
      </c>
      <c r="N21" s="12" t="s">
        <v>254</v>
      </c>
      <c r="O21" s="12">
        <v>67077</v>
      </c>
      <c r="P21" s="12"/>
      <c r="Q21" s="13">
        <f>IFERROR(IF(OR(P21&gt;=R21,F21&gt;=R21),LOOKUP(IF(P21="",F21,P21),{0,1,10,100,500,1000,2500,10000,50000},{0.0,0.1,0.056,0.03,0.027,0.024,0.019,0.016,0.015}),"MOQ="&amp;R21),"")</f>
        <v>0.027</v>
      </c>
      <c r="R21" s="12">
        <v>1</v>
      </c>
      <c r="S21" s="14">
        <f>IFERROR(IF(P21="",F21,P21)*Q21,"")</f>
        <v>13.5</v>
      </c>
      <c r="T21" s="12" t="s">
        <v>310</v>
      </c>
    </row>
    <row r="22" spans="1:26" ht="30" customHeight="1">
      <c r="A22" s="12" t="s">
        <v>66</v>
      </c>
      <c r="B22" s="12" t="s">
        <v>67</v>
      </c>
      <c r="C22" s="12" t="s">
        <v>68</v>
      </c>
      <c r="D22" s="12" t="s">
        <v>69</v>
      </c>
      <c r="E22" s="12" t="s">
        <v>70</v>
      </c>
      <c r="F22" s="12">
        <f>CEILING(BoardQty*1.0,1)</f>
        <v>100</v>
      </c>
      <c r="G22" s="13">
        <f>IF(MIN(W22,K22,Q22)&lt;&gt;0,MIN(W22,K22,Q22),"")</f>
        <v>0.5621</v>
      </c>
      <c r="H22" s="14">
        <f>IF(AND(ISNUMBER(F22),ISNUMBER(G22)),F22*G22,"")</f>
        <v>56.21</v>
      </c>
      <c r="I22" s="12">
        <v>28336</v>
      </c>
      <c r="J22" s="12"/>
      <c r="K22" s="13">
        <f>IFERROR(IF(OR(J22&gt;=L22,F22&gt;=L22),LOOKUP(IF(J22="",F22,J22),{0,1,10,100,500},{0.0,0.78,0.682,0.5621,0.48874}),"MOQ="&amp;L22),"")</f>
        <v>0.5621</v>
      </c>
      <c r="L22" s="12">
        <v>1</v>
      </c>
      <c r="M22" s="14">
        <f>IFERROR(IF(J22="",F22,J22)*K22,"")</f>
        <v>56.21</v>
      </c>
      <c r="N22" s="12" t="s">
        <v>255</v>
      </c>
      <c r="O22" s="15" t="s">
        <v>251</v>
      </c>
      <c r="P22" s="12"/>
      <c r="Q22" s="13">
        <f>IFERROR(IF(OR(P22&gt;=R22,F22&gt;=R22),LOOKUP(IF(P22="",F22,P22),{0,1,10,100,500,1000,2000,5000,10000,25000},{0.0,0.78,0.682,0.563,0.486,0.403,0.361,0.348,0.329,0.317}),"MOQ="&amp;R22),"")</f>
        <v>0.563</v>
      </c>
      <c r="R22" s="12">
        <v>1</v>
      </c>
      <c r="S22" s="14">
        <f>IFERROR(IF(P22="",F22,P22)*Q22,"")</f>
        <v>56.3</v>
      </c>
      <c r="T22" s="12" t="s">
        <v>311</v>
      </c>
    </row>
    <row r="23" spans="1:26" ht="30" customHeight="1">
      <c r="A23" s="12" t="s">
        <v>71</v>
      </c>
      <c r="B23" s="12" t="s">
        <v>72</v>
      </c>
      <c r="C23" s="12" t="s">
        <v>73</v>
      </c>
      <c r="D23" s="12" t="s">
        <v>74</v>
      </c>
      <c r="E23" s="12" t="s">
        <v>75</v>
      </c>
      <c r="F23" s="12">
        <f>CEILING(BoardQty*3.0,1)</f>
        <v>300</v>
      </c>
      <c r="G23" s="13">
        <f>IF(MIN(W23,K23,Q23)&lt;&gt;0,MIN(W23,K23,Q23),"")</f>
        <v/>
      </c>
      <c r="H23" s="14">
        <f>IF(AND(ISNUMBER(F23),ISNUMBER(G23)),F23*G23,"")</f>
        <v/>
      </c>
    </row>
    <row r="24" spans="1:26" ht="30" customHeight="1">
      <c r="A24" s="12" t="s">
        <v>76</v>
      </c>
      <c r="B24" s="12" t="s">
        <v>72</v>
      </c>
      <c r="C24" s="12" t="s">
        <v>73</v>
      </c>
      <c r="D24" s="12" t="s">
        <v>74</v>
      </c>
      <c r="E24" s="12" t="s">
        <v>77</v>
      </c>
      <c r="F24" s="12">
        <f>CEILING(BoardQty*1.0,1)</f>
        <v>100</v>
      </c>
      <c r="G24" s="13">
        <f>IF(MIN(W24,K24,Q24)&lt;&gt;0,MIN(W24,K24,Q24),"")</f>
        <v/>
      </c>
      <c r="H24" s="14">
        <f>IF(AND(ISNUMBER(F24),ISNUMBER(G24)),F24*G24,"")</f>
        <v/>
      </c>
    </row>
    <row r="25" spans="1:26">
      <c r="A25" s="12" t="s">
        <v>78</v>
      </c>
      <c r="B25" s="12" t="s">
        <v>79</v>
      </c>
      <c r="C25" s="12" t="s">
        <v>80</v>
      </c>
      <c r="D25" s="12" t="s">
        <v>65</v>
      </c>
      <c r="E25" s="12" t="s">
        <v>81</v>
      </c>
      <c r="F25" s="12">
        <f>CEILING(BoardQty*5.0,1)</f>
        <v>500</v>
      </c>
      <c r="G25" s="13">
        <f>IF(MIN(W25,K25,Q25)&lt;&gt;0,MIN(W25,K25,Q25),"")</f>
        <v>0.076</v>
      </c>
      <c r="H25" s="14">
        <f>IF(AND(ISNUMBER(F25),ISNUMBER(G25)),F25*G25,"")</f>
        <v>38.0</v>
      </c>
      <c r="I25" s="12">
        <v>2600</v>
      </c>
      <c r="J25" s="12"/>
      <c r="K25" s="13">
        <f>IFERROR(IF(OR(J25&gt;=L25,F25&gt;=L25),LOOKUP(IF(J25="",F25,J25),{0,1,10,25,50,100,250,500,1000,2500},{0.0,0.15,0.126,0.1156,0.102,0.0892,0.08496,0.07988,0.06118,0.05778}),"MOQ="&amp;L25),"")</f>
        <v>0.07988</v>
      </c>
      <c r="L25" s="12">
        <v>1</v>
      </c>
      <c r="M25" s="14">
        <f>IFERROR(IF(J25="",F25,J25)*K25,"")</f>
        <v>39.94</v>
      </c>
      <c r="N25" s="12" t="s">
        <v>256</v>
      </c>
      <c r="O25" s="12">
        <v>7240</v>
      </c>
      <c r="P25" s="12"/>
      <c r="Q25" s="13">
        <f>IFERROR(IF(OR(P25&gt;=R25,F25&gt;=R25),LOOKUP(IF(P25="",F25,P25),{0,1,10,100,1000,2500,10000,20000,50000,100000},{0.0,0.15,0.102,0.076,0.062,0.058,0.052,0.05,0.048,0.046}),"MOQ="&amp;R25),"")</f>
        <v>0.076</v>
      </c>
      <c r="R25" s="12">
        <v>1</v>
      </c>
      <c r="S25" s="14">
        <f>IFERROR(IF(P25="",F25,P25)*Q25,"")</f>
        <v>38.0</v>
      </c>
      <c r="T25" s="12" t="s">
        <v>312</v>
      </c>
    </row>
    <row r="26" spans="1:26">
      <c r="A26" s="12" t="s">
        <v>82</v>
      </c>
      <c r="B26" s="12" t="s">
        <v>83</v>
      </c>
      <c r="C26" s="12" t="s">
        <v>80</v>
      </c>
      <c r="D26" s="12" t="s">
        <v>65</v>
      </c>
      <c r="E26" s="12" t="s">
        <v>84</v>
      </c>
      <c r="F26" s="12">
        <f>CEILING(BoardQty*4.0,1)</f>
        <v>400</v>
      </c>
      <c r="G26" s="13">
        <f>IF(MIN(W26,K26,Q26)&lt;&gt;0,MIN(W26,K26,Q26),"")</f>
        <v>0.08</v>
      </c>
      <c r="H26" s="14">
        <f>IF(AND(ISNUMBER(F26),ISNUMBER(G26)),F26*G26,"")</f>
        <v>32.0</v>
      </c>
      <c r="I26" s="12">
        <v>50267</v>
      </c>
      <c r="J26" s="12"/>
      <c r="K26" s="13">
        <f>IFERROR(IF(OR(J26&gt;=L26,F26&gt;=L26),LOOKUP(IF(J26="",F26,J26),{0,1,10,25,50,100,250,500,1000,2500},{0.0,0.15,0.126,0.1156,0.102,0.0892,0.08496,0.07988,0.06118,0.05778}),"MOQ="&amp;L26),"")</f>
        <v>0.08496</v>
      </c>
      <c r="L26" s="12">
        <v>1</v>
      </c>
      <c r="M26" s="14">
        <f>IFERROR(IF(J26="",F26,J26)*K26,"")</f>
        <v>33.984</v>
      </c>
      <c r="N26" s="12" t="s">
        <v>257</v>
      </c>
      <c r="O26" s="12">
        <v>61008</v>
      </c>
      <c r="P26" s="12"/>
      <c r="Q26" s="13">
        <f>IFERROR(IF(OR(P26&gt;=R26,F26&gt;=R26),LOOKUP(IF(P26="",F26,P26),{0,1,10,100,1000,2500,10000,20000,100000},{0.0,0.15,0.102,0.08,0.062,0.058,0.051,0.048,0.046}),"MOQ="&amp;R26),"")</f>
        <v>0.08</v>
      </c>
      <c r="R26" s="12">
        <v>1</v>
      </c>
      <c r="S26" s="14">
        <f>IFERROR(IF(P26="",F26,P26)*Q26,"")</f>
        <v>32.0</v>
      </c>
      <c r="T26" s="12" t="s">
        <v>313</v>
      </c>
    </row>
    <row r="27" spans="1:26">
      <c r="A27" s="12" t="s">
        <v>85</v>
      </c>
      <c r="B27" s="12" t="s">
        <v>86</v>
      </c>
      <c r="C27" s="12" t="s">
        <v>80</v>
      </c>
      <c r="D27" s="12" t="s">
        <v>65</v>
      </c>
      <c r="E27" s="12" t="s">
        <v>87</v>
      </c>
      <c r="F27" s="12">
        <f>CEILING(BoardQty*2.0,1)</f>
        <v>200</v>
      </c>
      <c r="G27" s="13">
        <f>IF(MIN(W27,K27,Q27)&lt;&gt;0,MIN(W27,K27,Q27),"")</f>
        <v>0.117</v>
      </c>
      <c r="H27" s="14">
        <f>IF(AND(ISNUMBER(F27),ISNUMBER(G27)),F27*G27,"")</f>
        <v>23.4</v>
      </c>
      <c r="I27" s="12">
        <v>9585</v>
      </c>
      <c r="J27" s="12"/>
      <c r="K27" s="13">
        <f>IFERROR(IF(OR(J27&gt;=L27,F27&gt;=L27),LOOKUP(IF(J27="",F27,J27),{0,1,10,25,50,100,250,500,1000,2500},{0.0,0.22,0.183,0.168,0.1484,0.1298,0.1236,0.11618,0.08899,0.08405}),"MOQ="&amp;L27),"")</f>
        <v>0.1298</v>
      </c>
      <c r="L27" s="12">
        <v>1</v>
      </c>
      <c r="M27" s="14">
        <f>IFERROR(IF(J27="",F27,J27)*K27,"")</f>
        <v>25.96</v>
      </c>
      <c r="N27" s="12" t="s">
        <v>258</v>
      </c>
      <c r="O27" s="12">
        <v>9662</v>
      </c>
      <c r="P27" s="12"/>
      <c r="Q27" s="13">
        <f>IFERROR(IF(OR(P27&gt;=R27,F27&gt;=R27),LOOKUP(IF(P27="",F27,P27),{0,1,10,100,1000,2500,10000,20000,50000,100000},{0.0,0.22,0.149,0.117,0.089,0.085,0.075,0.069,0.068,0.067}),"MOQ="&amp;R27),"")</f>
        <v>0.117</v>
      </c>
      <c r="R27" s="12">
        <v>1</v>
      </c>
      <c r="S27" s="14">
        <f>IFERROR(IF(P27="",F27,P27)*Q27,"")</f>
        <v>23.4</v>
      </c>
      <c r="T27" s="12" t="s">
        <v>314</v>
      </c>
    </row>
    <row r="28" spans="1:26">
      <c r="A28" s="12" t="s">
        <v>88</v>
      </c>
      <c r="B28" s="12" t="s">
        <v>89</v>
      </c>
      <c r="C28" s="12" t="s">
        <v>90</v>
      </c>
      <c r="D28" s="12" t="s">
        <v>91</v>
      </c>
      <c r="E28" s="12" t="s">
        <v>92</v>
      </c>
      <c r="F28" s="12">
        <f>CEILING(BoardQty*1.0,1)</f>
        <v>100</v>
      </c>
      <c r="G28" s="13">
        <f>IF(MIN(W28,K28,Q28)&lt;&gt;0,MIN(W28,K28,Q28),"")</f>
        <v>125.0</v>
      </c>
      <c r="H28" s="14">
        <f>IF(AND(ISNUMBER(F28),ISNUMBER(G28)),F28*G28,"")</f>
        <v>12500.0</v>
      </c>
      <c r="U28" s="15" t="s">
        <v>251</v>
      </c>
      <c r="V28" s="12"/>
      <c r="W28" s="13">
        <f>IFERROR(IF(OR(V28&gt;=X28,F28&gt;=X28),LOOKUP(IF(V28="",F28,V28),{0,1,10,5000},{0.0,125.0,125.0,61.0}),"MOQ="&amp;X28),"")</f>
        <v>125.0</v>
      </c>
      <c r="X28" s="12">
        <v>10</v>
      </c>
      <c r="Y28" s="14">
        <f>IFERROR(IF(V28="",F28,V28)*W28,"")</f>
        <v>12500.0</v>
      </c>
      <c r="Z28" s="12" t="s">
        <v>92</v>
      </c>
    </row>
    <row r="29" spans="1:26" ht="45" customHeight="1">
      <c r="A29" s="12" t="s">
        <v>93</v>
      </c>
      <c r="B29" s="12" t="s">
        <v>94</v>
      </c>
      <c r="C29" s="12" t="s">
        <v>95</v>
      </c>
      <c r="D29" s="12" t="s">
        <v>96</v>
      </c>
      <c r="E29" s="12" t="s">
        <v>97</v>
      </c>
      <c r="F29" s="12">
        <f>CEILING(BoardQty*1.0,1)</f>
        <v>100</v>
      </c>
      <c r="G29" s="13">
        <f>IF(MIN(W29,K29,Q29)&lt;&gt;0,MIN(W29,K29,Q29),"")</f>
        <v>0.135</v>
      </c>
      <c r="H29" s="14">
        <f>IF(AND(ISNUMBER(F29),ISNUMBER(G29)),F29*G29,"")</f>
        <v>13.5</v>
      </c>
      <c r="I29" s="12">
        <v>109029</v>
      </c>
      <c r="J29" s="12"/>
      <c r="K29" s="13">
        <f>IFERROR(IF(OR(J29&gt;=L29,F29&gt;=L29),LOOKUP(IF(J29="",F29,J29),{0,1,10,100,500,1000},{0.0,0.46,0.284,0.18,0.13488,0.12028}),"MOQ="&amp;L29),"")</f>
        <v>0.18</v>
      </c>
      <c r="L29" s="12">
        <v>1</v>
      </c>
      <c r="M29" s="14">
        <f>IFERROR(IF(J29="",F29,J29)*K29,"")</f>
        <v>18.0</v>
      </c>
      <c r="N29" s="12" t="s">
        <v>259</v>
      </c>
      <c r="O29" s="12">
        <v>154462</v>
      </c>
      <c r="P29" s="12"/>
      <c r="Q29" s="13">
        <f>IFERROR(IF(OR(P29&gt;=R29,F29&gt;=R29),LOOKUP(IF(P29="",F29,P29),{0,1,10,100,1000,3000,9000,24000},{0.0,0.46,0.275,0.135,0.121,0.092,0.088,0.081}),"MOQ="&amp;R29),"")</f>
        <v>0.135</v>
      </c>
      <c r="R29" s="12">
        <v>1</v>
      </c>
      <c r="S29" s="14">
        <f>IFERROR(IF(P29="",F29,P29)*Q29,"")</f>
        <v>13.5</v>
      </c>
      <c r="T29" s="12" t="s">
        <v>315</v>
      </c>
    </row>
    <row r="30" spans="1:26" ht="30" customHeight="1">
      <c r="A30" s="12" t="s">
        <v>98</v>
      </c>
      <c r="B30" s="12" t="s">
        <v>99</v>
      </c>
      <c r="C30" s="12" t="s">
        <v>100</v>
      </c>
      <c r="D30" s="12" t="s">
        <v>96</v>
      </c>
      <c r="E30" s="12" t="s">
        <v>101</v>
      </c>
      <c r="F30" s="12">
        <f>CEILING(BoardQty*1.0,1)</f>
        <v>100</v>
      </c>
      <c r="G30" s="13">
        <f>IF(MIN(W30,K30,Q30)&lt;&gt;0,MIN(W30,K30,Q30),"")</f>
        <v>0.055</v>
      </c>
      <c r="H30" s="14">
        <f>IF(AND(ISNUMBER(F30),ISNUMBER(G30)),F30*G30,"")</f>
        <v>5.5</v>
      </c>
      <c r="I30" s="12">
        <v>440420</v>
      </c>
      <c r="J30" s="12"/>
      <c r="K30" s="13">
        <f>IFERROR(IF(OR(J30&gt;=L30,F30&gt;=L30),LOOKUP(IF(J30="",F30,J30),{0,1,10,100,500,1000},{0.0,0.2,0.121,0.0747,0.05452,0.04795}),"MOQ="&amp;L30),"")</f>
        <v>0.0747</v>
      </c>
      <c r="L30" s="12">
        <v>1</v>
      </c>
      <c r="M30" s="14">
        <f>IFERROR(IF(J30="",F30,J30)*K30,"")</f>
        <v>7.47</v>
      </c>
      <c r="N30" s="12" t="s">
        <v>260</v>
      </c>
      <c r="O30" s="12">
        <v>193331</v>
      </c>
      <c r="P30" s="12"/>
      <c r="Q30" s="13">
        <f>IFERROR(IF(OR(P30&gt;=R30,F30&gt;=R30),LOOKUP(IF(P30="",F30,P30),{0,1,10,100,1000,3000,9000,24000,48000},{0.0,0.2,0.121,0.055,0.042,0.029,0.028,0.026,0.024}),"MOQ="&amp;R30),"")</f>
        <v>0.055</v>
      </c>
      <c r="R30" s="12">
        <v>1</v>
      </c>
      <c r="S30" s="14">
        <f>IFERROR(IF(P30="",F30,P30)*Q30,"")</f>
        <v>5.5</v>
      </c>
      <c r="T30" s="12" t="s">
        <v>316</v>
      </c>
    </row>
    <row r="31" spans="1:26" ht="30" customHeight="1">
      <c r="A31" s="12" t="s">
        <v>102</v>
      </c>
      <c r="B31" s="12" t="s">
        <v>103</v>
      </c>
      <c r="C31" s="12" t="s">
        <v>104</v>
      </c>
      <c r="D31" s="12" t="s">
        <v>105</v>
      </c>
      <c r="E31" s="12" t="s">
        <v>106</v>
      </c>
      <c r="F31" s="12">
        <f>CEILING(BoardQty*12.0,1)</f>
        <v>1200</v>
      </c>
      <c r="G31" s="13">
        <f>IF(MIN(W31,K31,Q31)&lt;&gt;0,MIN(W31,K31,Q31),"")</f>
        <v>0.00417</v>
      </c>
      <c r="H31" s="14">
        <f>IF(AND(ISNUMBER(F31),ISNUMBER(G31)),F31*G31,"")</f>
        <v>5.004</v>
      </c>
      <c r="I31" s="12">
        <v>8019629</v>
      </c>
      <c r="J31" s="12"/>
      <c r="K31" s="13">
        <f>IFERROR(IF(OR(J31&gt;=L31,F31&gt;=L31),LOOKUP(IF(J31="",F31,J31),{0,1,10,50,100,500,1000,5000},{0.0,0.1,0.015,0.0088,0.0073,0.00488,0.00417,0.00297}),"MOQ="&amp;L31),"")</f>
        <v>0.00417</v>
      </c>
      <c r="L31" s="12">
        <v>1</v>
      </c>
      <c r="M31" s="14">
        <f>IFERROR(IF(J31="",F31,J31)*K31,"")</f>
        <v>5.004</v>
      </c>
      <c r="N31" s="12" t="s">
        <v>261</v>
      </c>
      <c r="O31" s="12">
        <v>2867707</v>
      </c>
      <c r="P31" s="12"/>
      <c r="Q31" s="13">
        <f>IFERROR(IF(OR(P31&gt;=R31,F31&gt;=R31),LOOKUP(IF(P31="",F31,P31),{0,1,10,100,2500,10000},{0.0,0.1,0.009,0.005,0.003,0.002}),"MOQ="&amp;R31),"")</f>
        <v>0.005</v>
      </c>
      <c r="R31" s="12">
        <v>1</v>
      </c>
      <c r="S31" s="14">
        <f>IFERROR(IF(P31="",F31,P31)*Q31,"")</f>
        <v>6.0</v>
      </c>
      <c r="T31" s="12" t="s">
        <v>317</v>
      </c>
    </row>
    <row r="32" spans="1:26">
      <c r="A32" s="12" t="s">
        <v>107</v>
      </c>
      <c r="B32" s="12" t="s">
        <v>108</v>
      </c>
      <c r="C32" s="12" t="s">
        <v>104</v>
      </c>
      <c r="D32" s="12" t="s">
        <v>105</v>
      </c>
      <c r="E32" s="12" t="s">
        <v>109</v>
      </c>
      <c r="F32" s="12">
        <f>CEILING(BoardQty*1.0,1)</f>
        <v>100</v>
      </c>
      <c r="G32" s="13">
        <f>IF(MIN(W32,K32,Q32)&lt;&gt;0,MIN(W32,K32,Q32),"")</f>
        <v>0.003</v>
      </c>
      <c r="H32" s="14">
        <f>IF(AND(ISNUMBER(F32),ISNUMBER(G32)),F32*G32,"")</f>
        <v>0.3</v>
      </c>
      <c r="I32" s="12">
        <v>3554832</v>
      </c>
      <c r="J32" s="12"/>
      <c r="K32" s="13">
        <f>IFERROR(IF(OR(J32&gt;=L32,F32&gt;=L32),LOOKUP(IF(J32="",F32,J32),{0,1,10,25,50,100,250,500,1000,5000},{0.0,0.1,0.011,0.0084,0.0064,0.0045,0.00364,0.0029,0.00214,0.00154}),"MOQ="&amp;L32),"")</f>
        <v>0.0045</v>
      </c>
      <c r="L32" s="12">
        <v>1</v>
      </c>
      <c r="M32" s="14">
        <f>IFERROR(IF(J32="",F32,J32)*K32,"")</f>
        <v>0.45</v>
      </c>
      <c r="N32" s="12" t="s">
        <v>262</v>
      </c>
      <c r="O32" s="12">
        <v>2380402</v>
      </c>
      <c r="P32" s="12"/>
      <c r="Q32" s="13">
        <f>IFERROR(IF(OR(P32&gt;=R32,F32&gt;=R32),LOOKUP(IF(P32="",F32,P32),{0,1,10,100,2500,10000},{0.0,0.1,0.007,0.003,0.002,0.002}),"MOQ="&amp;R32),"")</f>
        <v>0.003</v>
      </c>
      <c r="R32" s="12">
        <v>1</v>
      </c>
      <c r="S32" s="14">
        <f>IFERROR(IF(P32="",F32,P32)*Q32,"")</f>
        <v>0.3</v>
      </c>
      <c r="T32" s="12" t="s">
        <v>318</v>
      </c>
    </row>
    <row r="33" spans="1:20">
      <c r="A33" s="12" t="s">
        <v>110</v>
      </c>
      <c r="B33" s="12" t="s">
        <v>111</v>
      </c>
      <c r="C33" s="12" t="s">
        <v>104</v>
      </c>
      <c r="D33" s="12" t="s">
        <v>105</v>
      </c>
      <c r="E33" s="12" t="s">
        <v>112</v>
      </c>
      <c r="F33" s="12">
        <f>CEILING(BoardQty*1.0,1)</f>
        <v>100</v>
      </c>
      <c r="G33" s="13">
        <f>IF(MIN(W33,K33,Q33)&lt;&gt;0,MIN(W33,K33,Q33),"")</f>
        <v>0.005</v>
      </c>
      <c r="H33" s="14">
        <f>IF(AND(ISNUMBER(F33),ISNUMBER(G33)),F33*G33,"")</f>
        <v>0.5</v>
      </c>
      <c r="I33" s="12">
        <v>285830</v>
      </c>
      <c r="J33" s="12"/>
      <c r="K33" s="13">
        <f>IFERROR(IF(OR(J33&gt;=L33,F33&gt;=L33),LOOKUP(IF(J33="",F33,J33),{0,1,10,50,100,500,1000,5000},{0.0,0.1,0.015,0.0088,0.0073,0.00488,0.00417,0.00297}),"MOQ="&amp;L33),"")</f>
        <v>0.0073</v>
      </c>
      <c r="L33" s="12">
        <v>1</v>
      </c>
      <c r="M33" s="14">
        <f>IFERROR(IF(J33="",F33,J33)*K33,"")</f>
        <v>0.73</v>
      </c>
      <c r="N33" s="12" t="s">
        <v>263</v>
      </c>
      <c r="O33" s="12">
        <v>8333</v>
      </c>
      <c r="P33" s="12"/>
      <c r="Q33" s="13">
        <f>IFERROR(IF(OR(P33&gt;=R33,F33&gt;=R33),LOOKUP(IF(P33="",F33,P33),{0,1,10,100,2500,10000},{0.0,0.1,0.009,0.005,0.003,0.002}),"MOQ="&amp;R33),"")</f>
        <v>0.005</v>
      </c>
      <c r="R33" s="12">
        <v>1</v>
      </c>
      <c r="S33" s="14">
        <f>IFERROR(IF(P33="",F33,P33)*Q33,"")</f>
        <v>0.5</v>
      </c>
      <c r="T33" s="12" t="s">
        <v>319</v>
      </c>
    </row>
    <row r="34" spans="1:20">
      <c r="A34" s="12" t="s">
        <v>113</v>
      </c>
      <c r="B34" s="12" t="s">
        <v>114</v>
      </c>
      <c r="C34" s="12" t="s">
        <v>104</v>
      </c>
      <c r="D34" s="12" t="s">
        <v>105</v>
      </c>
      <c r="E34" s="12" t="s">
        <v>115</v>
      </c>
      <c r="F34" s="12">
        <f>CEILING(BoardQty*1.0,1)</f>
        <v>100</v>
      </c>
      <c r="G34" s="13">
        <f>IF(MIN(W34,K34,Q34)&lt;&gt;0,MIN(W34,K34,Q34),"")</f>
        <v>0.005</v>
      </c>
      <c r="H34" s="14">
        <f>IF(AND(ISNUMBER(F34),ISNUMBER(G34)),F34*G34,"")</f>
        <v>0.5</v>
      </c>
      <c r="I34" s="12">
        <v>4380532</v>
      </c>
      <c r="J34" s="12"/>
      <c r="K34" s="13">
        <f>IFERROR(IF(OR(J34&gt;=L34,F34&gt;=L34),LOOKUP(IF(J34="",F34,J34),{0,1,10,50,100,500,1000,5000},{0.0,0.1,0.015,0.0088,0.0073,0.00488,0.00417,0.00297}),"MOQ="&amp;L34),"")</f>
        <v>0.0073</v>
      </c>
      <c r="L34" s="12">
        <v>1</v>
      </c>
      <c r="M34" s="14">
        <f>IFERROR(IF(J34="",F34,J34)*K34,"")</f>
        <v>0.73</v>
      </c>
      <c r="N34" s="12" t="s">
        <v>264</v>
      </c>
      <c r="O34" s="12">
        <v>10283300</v>
      </c>
      <c r="P34" s="12"/>
      <c r="Q34" s="13">
        <f>IFERROR(IF(OR(P34&gt;=R34,F34&gt;=R34),LOOKUP(IF(P34="",F34,P34),{0,1,10,100,2500,10000},{0.0,0.1,0.009,0.005,0.003,0.002}),"MOQ="&amp;R34),"")</f>
        <v>0.005</v>
      </c>
      <c r="R34" s="12">
        <v>1</v>
      </c>
      <c r="S34" s="14">
        <f>IFERROR(IF(P34="",F34,P34)*Q34,"")</f>
        <v>0.5</v>
      </c>
      <c r="T34" s="12" t="s">
        <v>320</v>
      </c>
    </row>
    <row r="35" spans="1:20">
      <c r="A35" s="12" t="s">
        <v>116</v>
      </c>
      <c r="B35" s="12" t="s">
        <v>117</v>
      </c>
      <c r="C35" s="12" t="s">
        <v>104</v>
      </c>
      <c r="D35" s="12" t="s">
        <v>105</v>
      </c>
      <c r="E35" s="12" t="s">
        <v>118</v>
      </c>
      <c r="F35" s="12">
        <f>CEILING(BoardQty*2.0,1)</f>
        <v>200</v>
      </c>
      <c r="G35" s="13">
        <f>IF(MIN(W35,K35,Q35)&lt;&gt;0,MIN(W35,K35,Q35),"")</f>
        <v>0.004</v>
      </c>
      <c r="H35" s="14">
        <f>IF(AND(ISNUMBER(F35),ISNUMBER(G35)),F35*G35,"")</f>
        <v>0.8</v>
      </c>
      <c r="I35" s="12">
        <v>3040758</v>
      </c>
      <c r="J35" s="12"/>
      <c r="K35" s="13">
        <f>IFERROR(IF(OR(J35&gt;=L35,F35&gt;=L35),LOOKUP(IF(J35="",F35,J35),{0,1,10,50,100,500,1000,5000},{0.0,0.1,0.01,0.0062,0.0051,0.00344,0.00293,0.00209}),"MOQ="&amp;L35),"")</f>
        <v>0.0051</v>
      </c>
      <c r="L35" s="12">
        <v>1</v>
      </c>
      <c r="M35" s="14">
        <f>IFERROR(IF(J35="",F35,J35)*K35,"")</f>
        <v>1.02</v>
      </c>
      <c r="N35" s="12" t="s">
        <v>265</v>
      </c>
      <c r="O35" s="12">
        <v>596644</v>
      </c>
      <c r="P35" s="12"/>
      <c r="Q35" s="13">
        <f>IFERROR(IF(OR(P35&gt;=R35,F35&gt;=R35),LOOKUP(IF(P35="",F35,P35),{0,1,10,100,1000,10000},{0.0,0.1,0.007,0.004,0.003,0.002}),"MOQ="&amp;R35),"")</f>
        <v>0.004</v>
      </c>
      <c r="R35" s="12">
        <v>1</v>
      </c>
      <c r="S35" s="14">
        <f>IFERROR(IF(P35="",F35,P35)*Q35,"")</f>
        <v>0.8</v>
      </c>
      <c r="T35" s="12" t="s">
        <v>321</v>
      </c>
    </row>
    <row r="36" spans="1:20">
      <c r="A36" s="12" t="s">
        <v>119</v>
      </c>
      <c r="B36" s="12" t="s">
        <v>120</v>
      </c>
      <c r="C36" s="12" t="s">
        <v>104</v>
      </c>
      <c r="D36" s="12" t="s">
        <v>105</v>
      </c>
      <c r="E36" s="12" t="s">
        <v>121</v>
      </c>
      <c r="F36" s="12">
        <f>CEILING(BoardQty*5.0,1)</f>
        <v>500</v>
      </c>
      <c r="G36" s="13">
        <f>IF(MIN(W36,K36,Q36)&lt;&gt;0,MIN(W36,K36,Q36),"")</f>
        <v>0.00488</v>
      </c>
      <c r="H36" s="14">
        <f>IF(AND(ISNUMBER(F36),ISNUMBER(G36)),F36*G36,"")</f>
        <v>2.44</v>
      </c>
      <c r="I36" s="12">
        <v>7567235</v>
      </c>
      <c r="J36" s="12"/>
      <c r="K36" s="13">
        <f>IFERROR(IF(OR(J36&gt;=L36,F36&gt;=L36),LOOKUP(IF(J36="",F36,J36),{0,1,10,50,100,500,1000,5000},{0.0,0.1,0.015,0.0088,0.0073,0.00488,0.00417,0.00297}),"MOQ="&amp;L36),"")</f>
        <v>0.00488</v>
      </c>
      <c r="L36" s="12">
        <v>1</v>
      </c>
      <c r="M36" s="14">
        <f>IFERROR(IF(J36="",F36,J36)*K36,"")</f>
        <v>2.44</v>
      </c>
      <c r="N36" s="12" t="s">
        <v>266</v>
      </c>
      <c r="O36" s="12">
        <v>4360957</v>
      </c>
      <c r="P36" s="12"/>
      <c r="Q36" s="13">
        <f>IFERROR(IF(OR(P36&gt;=R36,F36&gt;=R36),LOOKUP(IF(P36="",F36,P36),{0,1,10,100,2500,10000},{0.0,0.1,0.009,0.005,0.003,0.002}),"MOQ="&amp;R36),"")</f>
        <v>0.005</v>
      </c>
      <c r="R36" s="12">
        <v>1</v>
      </c>
      <c r="S36" s="14">
        <f>IFERROR(IF(P36="",F36,P36)*Q36,"")</f>
        <v>2.5</v>
      </c>
      <c r="T36" s="12" t="s">
        <v>322</v>
      </c>
    </row>
    <row r="37" spans="1:20">
      <c r="A37" s="12" t="s">
        <v>122</v>
      </c>
      <c r="B37" s="12" t="s">
        <v>123</v>
      </c>
      <c r="C37" s="12" t="s">
        <v>104</v>
      </c>
      <c r="D37" s="12" t="s">
        <v>105</v>
      </c>
      <c r="E37" s="12" t="s">
        <v>124</v>
      </c>
      <c r="F37" s="12">
        <f>CEILING(BoardQty*2.0,1)</f>
        <v>200</v>
      </c>
      <c r="G37" s="13">
        <f>IF(MIN(W37,K37,Q37)&lt;&gt;0,MIN(W37,K37,Q37),"")</f>
        <v>0.005</v>
      </c>
      <c r="H37" s="14">
        <f>IF(AND(ISNUMBER(F37),ISNUMBER(G37)),F37*G37,"")</f>
        <v>1.0</v>
      </c>
      <c r="I37" s="12">
        <v>36450</v>
      </c>
      <c r="J37" s="12"/>
      <c r="K37" s="13">
        <f>IFERROR(IF(OR(J37&gt;=L37,F37&gt;=L37),LOOKUP(IF(J37="",F37,J37),{0,1,10,50,100,500,1000,5000},{0.0,0.1,0.015,0.0088,0.0073,0.00488,0.00417,0.00297}),"MOQ="&amp;L37),"")</f>
        <v>0.0073</v>
      </c>
      <c r="L37" s="12">
        <v>1</v>
      </c>
      <c r="M37" s="14">
        <f>IFERROR(IF(J37="",F37,J37)*K37,"")</f>
        <v>1.46</v>
      </c>
      <c r="N37" s="12" t="s">
        <v>267</v>
      </c>
      <c r="O37" s="15" t="s">
        <v>251</v>
      </c>
      <c r="P37" s="12"/>
      <c r="Q37" s="13">
        <f>IFERROR(IF(OR(P37&gt;=R37,F37&gt;=R37),LOOKUP(IF(P37="",F37,P37),{0,1,10,100,2500,10000},{0.0,0.1,0.009,0.005,0.003,0.002}),"MOQ="&amp;R37),"")</f>
        <v>0.005</v>
      </c>
      <c r="R37" s="12">
        <v>1</v>
      </c>
      <c r="S37" s="14">
        <f>IFERROR(IF(P37="",F37,P37)*Q37,"")</f>
        <v>1.0</v>
      </c>
      <c r="T37" s="12" t="s">
        <v>323</v>
      </c>
    </row>
    <row r="38" spans="1:20">
      <c r="A38" s="12" t="s">
        <v>125</v>
      </c>
      <c r="B38" s="12" t="s">
        <v>126</v>
      </c>
      <c r="C38" s="12" t="s">
        <v>104</v>
      </c>
      <c r="D38" s="12" t="s">
        <v>105</v>
      </c>
      <c r="E38" s="12" t="s">
        <v>127</v>
      </c>
      <c r="F38" s="12">
        <f>CEILING(BoardQty*3.0,1)</f>
        <v>300</v>
      </c>
      <c r="G38" s="13">
        <f>IF(MIN(W38,K38,Q38)&lt;&gt;0,MIN(W38,K38,Q38),"")</f>
        <v>0.005</v>
      </c>
      <c r="H38" s="14">
        <f>IF(AND(ISNUMBER(F38),ISNUMBER(G38)),F38*G38,"")</f>
        <v>1.5</v>
      </c>
      <c r="I38" s="12">
        <v>307052</v>
      </c>
      <c r="J38" s="12"/>
      <c r="K38" s="13">
        <f>IFERROR(IF(OR(J38&gt;=L38,F38&gt;=L38),LOOKUP(IF(J38="",F38,J38),{0,1,10,50,100,500,1000,5000},{0.0,0.1,0.015,0.0088,0.0073,0.00488,0.00417,0.00297}),"MOQ="&amp;L38),"")</f>
        <v>0.0073</v>
      </c>
      <c r="L38" s="12">
        <v>1</v>
      </c>
      <c r="M38" s="14">
        <f>IFERROR(IF(J38="",F38,J38)*K38,"")</f>
        <v>2.19</v>
      </c>
      <c r="N38" s="12" t="s">
        <v>268</v>
      </c>
      <c r="O38" s="12">
        <v>73039</v>
      </c>
      <c r="P38" s="12"/>
      <c r="Q38" s="13">
        <f>IFERROR(IF(OR(P38&gt;=R38,F38&gt;=R38),LOOKUP(IF(P38="",F38,P38),{0,1,10,100,2500,10000,50000},{0.0,0.1,0.009,0.005,0.003,0.002,0.001}),"MOQ="&amp;R38),"")</f>
        <v>0.005</v>
      </c>
      <c r="R38" s="12">
        <v>1</v>
      </c>
      <c r="S38" s="14">
        <f>IFERROR(IF(P38="",F38,P38)*Q38,"")</f>
        <v>1.5</v>
      </c>
      <c r="T38" s="12" t="s">
        <v>324</v>
      </c>
    </row>
    <row r="39" spans="1:20">
      <c r="A39" s="12" t="s">
        <v>128</v>
      </c>
      <c r="B39" s="12" t="s">
        <v>129</v>
      </c>
      <c r="C39" s="12" t="s">
        <v>104</v>
      </c>
      <c r="D39" s="12" t="s">
        <v>105</v>
      </c>
      <c r="E39" s="12" t="s">
        <v>130</v>
      </c>
      <c r="F39" s="12">
        <f>CEILING(BoardQty*1.0,1)</f>
        <v>100</v>
      </c>
      <c r="G39" s="13">
        <f>IF(MIN(W39,K39,Q39)&lt;&gt;0,MIN(W39,K39,Q39),"")</f>
        <v>0.005</v>
      </c>
      <c r="H39" s="14">
        <f>IF(AND(ISNUMBER(F39),ISNUMBER(G39)),F39*G39,"")</f>
        <v>0.5</v>
      </c>
      <c r="I39" s="15" t="s">
        <v>251</v>
      </c>
      <c r="J39" s="12"/>
      <c r="K39" s="13">
        <f>IFERROR(IF(OR(J39&gt;=L39,F39&gt;=L39),LOOKUP(IF(J39="",F39,J39),{0,1,10,50,100,500,1000,5000},{0.0,0.1,0.015,0.009,0.0074,0.00486,0.00413,0.00292}),"MOQ="&amp;L39),"")</f>
        <v>0.0074</v>
      </c>
      <c r="L39" s="12">
        <v>1</v>
      </c>
      <c r="M39" s="14">
        <f>IFERROR(IF(J39="",F39,J39)*K39,"")</f>
        <v>0.74</v>
      </c>
      <c r="N39" s="12" t="s">
        <v>269</v>
      </c>
      <c r="O39" s="12">
        <v>58290</v>
      </c>
      <c r="P39" s="12"/>
      <c r="Q39" s="13">
        <f>IFERROR(IF(OR(P39&gt;=R39,F39&gt;=R39),LOOKUP(IF(P39="",F39,P39),{0,1,10,100,1000,2500,10000},{0.0,0.1,0.009,0.005,0.004,0.003,0.002}),"MOQ="&amp;R39),"")</f>
        <v>0.005</v>
      </c>
      <c r="R39" s="12">
        <v>1</v>
      </c>
      <c r="S39" s="14">
        <f>IFERROR(IF(P39="",F39,P39)*Q39,"")</f>
        <v>0.5</v>
      </c>
      <c r="T39" s="12" t="s">
        <v>325</v>
      </c>
    </row>
    <row r="40" spans="1:20">
      <c r="A40" s="12" t="s">
        <v>131</v>
      </c>
      <c r="B40" s="12" t="s">
        <v>132</v>
      </c>
      <c r="C40" s="12" t="s">
        <v>104</v>
      </c>
      <c r="D40" s="12" t="s">
        <v>133</v>
      </c>
      <c r="E40" s="12" t="s">
        <v>134</v>
      </c>
      <c r="F40" s="12">
        <f>CEILING(BoardQty*1.0,1)</f>
        <v>100</v>
      </c>
      <c r="G40" s="13">
        <f>IF(MIN(W40,K40,Q40)&lt;&gt;0,MIN(W40,K40,Q40),"")</f>
        <v>0.054</v>
      </c>
      <c r="H40" s="14">
        <f>IF(AND(ISNUMBER(F40),ISNUMBER(G40)),F40*G40,"")</f>
        <v>5.4</v>
      </c>
      <c r="I40" s="12">
        <v>31273</v>
      </c>
      <c r="J40" s="12"/>
      <c r="K40" s="13">
        <f>IFERROR(IF(OR(J40&gt;=L40,F40&gt;=L40),LOOKUP(IF(J40="",F40,J40),{0,1,10,50,100,500,1000},{0.0,0.24,0.125,0.0854,0.0736,0.054,0.04784}),"MOQ="&amp;L40),"")</f>
        <v>0.0736</v>
      </c>
      <c r="L40" s="12">
        <v>1</v>
      </c>
      <c r="M40" s="14">
        <f>IFERROR(IF(J40="",F40,J40)*K40,"")</f>
        <v>7.36</v>
      </c>
      <c r="N40" s="12" t="s">
        <v>270</v>
      </c>
      <c r="O40" s="12">
        <v>94</v>
      </c>
      <c r="P40" s="12"/>
      <c r="Q40" s="13">
        <f>IFERROR(IF(OR(P40&gt;=R40,F40&gt;=R40),LOOKUP(IF(P40="",F40,P40),{0,1,10,100,1000,5000,10000,25000},{0.0,0.24,0.086,0.054,0.043,0.038,0.035,0.028}),"MOQ="&amp;R40),"")</f>
        <v>0.054</v>
      </c>
      <c r="R40" s="12">
        <v>1</v>
      </c>
      <c r="S40" s="14">
        <f>IFERROR(IF(P40="",F40,P40)*Q40,"")</f>
        <v>5.4</v>
      </c>
      <c r="T40" s="12" t="s">
        <v>326</v>
      </c>
    </row>
    <row r="41" spans="1:20">
      <c r="A41" s="12" t="s">
        <v>135</v>
      </c>
      <c r="B41" s="12" t="s">
        <v>136</v>
      </c>
      <c r="C41" s="12" t="s">
        <v>104</v>
      </c>
      <c r="D41" s="12" t="s">
        <v>105</v>
      </c>
      <c r="E41" s="12" t="s">
        <v>137</v>
      </c>
      <c r="F41" s="12">
        <f>CEILING(BoardQty*1.0,1)</f>
        <v>100</v>
      </c>
      <c r="G41" s="13">
        <f>IF(MIN(W41,K41,Q41)&lt;&gt;0,MIN(W41,K41,Q41),"")</f>
        <v>0.005</v>
      </c>
      <c r="H41" s="14">
        <f>IF(AND(ISNUMBER(F41),ISNUMBER(G41)),F41*G41,"")</f>
        <v>0.5</v>
      </c>
      <c r="I41" s="12">
        <v>69494</v>
      </c>
      <c r="J41" s="12"/>
      <c r="K41" s="13">
        <f>IFERROR(IF(OR(J41&gt;=L41,F41&gt;=L41),LOOKUP(IF(J41="",F41,J41),{0,1,10,50,100,500,1000,5000},{0.0,0.1,0.015,0.0088,0.0073,0.00488,0.00417,0.00297}),"MOQ="&amp;L41),"")</f>
        <v>0.0073</v>
      </c>
      <c r="L41" s="12">
        <v>1</v>
      </c>
      <c r="M41" s="14">
        <f>IFERROR(IF(J41="",F41,J41)*K41,"")</f>
        <v>0.73</v>
      </c>
      <c r="N41" s="12" t="s">
        <v>271</v>
      </c>
      <c r="O41" s="12">
        <v>9719</v>
      </c>
      <c r="P41" s="12"/>
      <c r="Q41" s="13">
        <f>IFERROR(IF(OR(P41&gt;=R41,F41&gt;=R41),LOOKUP(IF(P41="",F41,P41),{0,1,10,100,2500,10000},{0.0,0.1,0.009,0.005,0.003,0.002}),"MOQ="&amp;R41),"")</f>
        <v>0.005</v>
      </c>
      <c r="R41" s="12">
        <v>1</v>
      </c>
      <c r="S41" s="14">
        <f>IFERROR(IF(P41="",F41,P41)*Q41,"")</f>
        <v>0.5</v>
      </c>
      <c r="T41" s="12" t="s">
        <v>327</v>
      </c>
    </row>
    <row r="42" spans="1:20">
      <c r="A42" s="12" t="s">
        <v>138</v>
      </c>
      <c r="B42" s="12" t="s">
        <v>139</v>
      </c>
      <c r="C42" s="12" t="s">
        <v>104</v>
      </c>
      <c r="D42" s="12" t="s">
        <v>105</v>
      </c>
      <c r="E42" s="12" t="s">
        <v>140</v>
      </c>
      <c r="F42" s="12">
        <f>CEILING(BoardQty*1.0,1)</f>
        <v>100</v>
      </c>
      <c r="G42" s="13">
        <f>IF(MIN(W42,K42,Q42)&lt;&gt;0,MIN(W42,K42,Q42),"")</f>
        <v>0.005</v>
      </c>
      <c r="H42" s="14">
        <f>IF(AND(ISNUMBER(F42),ISNUMBER(G42)),F42*G42,"")</f>
        <v>0.5</v>
      </c>
      <c r="I42" s="12">
        <v>377884</v>
      </c>
      <c r="J42" s="12"/>
      <c r="K42" s="13">
        <f>IFERROR(IF(OR(J42&gt;=L42,F42&gt;=L42),LOOKUP(IF(J42="",F42,J42),{0,1,10,50,100,500,1000,5000},{0.0,0.1,0.015,0.0088,0.0073,0.00488,0.00417,0.00297}),"MOQ="&amp;L42),"")</f>
        <v>0.0073</v>
      </c>
      <c r="L42" s="12">
        <v>1</v>
      </c>
      <c r="M42" s="14">
        <f>IFERROR(IF(J42="",F42,J42)*K42,"")</f>
        <v>0.73</v>
      </c>
      <c r="N42" s="12" t="s">
        <v>272</v>
      </c>
      <c r="O42" s="12">
        <v>468705</v>
      </c>
      <c r="P42" s="12"/>
      <c r="Q42" s="13">
        <f>IFERROR(IF(OR(P42&gt;=R42,F42&gt;=R42),LOOKUP(IF(P42="",F42,P42),{0,1,10,100,2500,10000,50000},{0.0,0.1,0.009,0.005,0.003,0.003,0.002}),"MOQ="&amp;R42),"")</f>
        <v>0.005</v>
      </c>
      <c r="R42" s="12">
        <v>1</v>
      </c>
      <c r="S42" s="14">
        <f>IFERROR(IF(P42="",F42,P42)*Q42,"")</f>
        <v>0.5</v>
      </c>
      <c r="T42" s="12" t="s">
        <v>328</v>
      </c>
    </row>
    <row r="43" spans="1:20">
      <c r="A43" s="12" t="s">
        <v>141</v>
      </c>
      <c r="B43" s="12" t="s">
        <v>142</v>
      </c>
      <c r="C43" s="12" t="s">
        <v>104</v>
      </c>
      <c r="D43" s="12" t="s">
        <v>105</v>
      </c>
      <c r="E43" s="12" t="s">
        <v>143</v>
      </c>
      <c r="F43" s="12">
        <f>CEILING(BoardQty*1.0,1)</f>
        <v>100</v>
      </c>
      <c r="G43" s="13">
        <f>IF(MIN(W43,K43,Q43)&lt;&gt;0,MIN(W43,K43,Q43),"")</f>
        <v>0.005</v>
      </c>
      <c r="H43" s="14">
        <f>IF(AND(ISNUMBER(F43),ISNUMBER(G43)),F43*G43,"")</f>
        <v>0.5</v>
      </c>
      <c r="I43" s="12">
        <v>121944</v>
      </c>
      <c r="J43" s="12"/>
      <c r="K43" s="13">
        <f>IFERROR(IF(OR(J43&gt;=L43,F43&gt;=L43),LOOKUP(IF(J43="",F43,J43),{0,1,10,50,100,500,1000,5000},{0.0,0.1,0.015,0.0088,0.0073,0.00488,0.00417,0.00297}),"MOQ="&amp;L43),"")</f>
        <v>0.0073</v>
      </c>
      <c r="L43" s="12">
        <v>1</v>
      </c>
      <c r="M43" s="14">
        <f>IFERROR(IF(J43="",F43,J43)*K43,"")</f>
        <v>0.73</v>
      </c>
      <c r="N43" s="12" t="s">
        <v>273</v>
      </c>
      <c r="O43" s="12">
        <v>184726</v>
      </c>
      <c r="P43" s="12"/>
      <c r="Q43" s="13">
        <f>IFERROR(IF(OR(P43&gt;=R43,F43&gt;=R43),LOOKUP(IF(P43="",F43,P43),{0,1,10,100,2500,10000},{0.0,0.1,0.009,0.005,0.003,0.002}),"MOQ="&amp;R43),"")</f>
        <v>0.005</v>
      </c>
      <c r="R43" s="12">
        <v>1</v>
      </c>
      <c r="S43" s="14">
        <f>IFERROR(IF(P43="",F43,P43)*Q43,"")</f>
        <v>0.5</v>
      </c>
      <c r="T43" s="12" t="s">
        <v>329</v>
      </c>
    </row>
    <row r="44" spans="1:20">
      <c r="A44" s="12" t="s">
        <v>144</v>
      </c>
      <c r="B44" s="12" t="s">
        <v>145</v>
      </c>
      <c r="C44" s="12" t="s">
        <v>104</v>
      </c>
      <c r="D44" s="12" t="s">
        <v>105</v>
      </c>
      <c r="E44" s="12" t="s">
        <v>146</v>
      </c>
      <c r="F44" s="12">
        <f>CEILING(BoardQty*3.0,1)</f>
        <v>300</v>
      </c>
      <c r="G44" s="13">
        <f>IF(MIN(W44,K44,Q44)&lt;&gt;0,MIN(W44,K44,Q44),"")</f>
        <v>0.008</v>
      </c>
      <c r="H44" s="14">
        <f>IF(AND(ISNUMBER(F44),ISNUMBER(G44)),F44*G44,"")</f>
        <v>2.4</v>
      </c>
      <c r="I44" s="12">
        <v>497539</v>
      </c>
      <c r="J44" s="12"/>
      <c r="K44" s="13">
        <f>IFERROR(IF(OR(J44&gt;=L44,F44&gt;=L44),LOOKUP(IF(J44="",F44,J44),{0,1,10,50,100,500,1000,5000},{0.0,0.1,0.022,0.0134,0.0112,0.00758,0.00651,0.00473}),"MOQ="&amp;L44),"")</f>
        <v>0.0112</v>
      </c>
      <c r="L44" s="12">
        <v>1</v>
      </c>
      <c r="M44" s="14">
        <f>IFERROR(IF(J44="",F44,J44)*K44,"")</f>
        <v>3.36</v>
      </c>
      <c r="N44" s="12" t="s">
        <v>274</v>
      </c>
      <c r="O44" s="12">
        <v>222686</v>
      </c>
      <c r="P44" s="12"/>
      <c r="Q44" s="13">
        <f>IFERROR(IF(OR(P44&gt;=R44,F44&gt;=R44),LOOKUP(IF(P44="",F44,P44),{0,1,10,100,1000,2500,10000},{0.0,0.1,0.014,0.008,0.007,0.005,0.003}),"MOQ="&amp;R44),"")</f>
        <v>0.008</v>
      </c>
      <c r="R44" s="12">
        <v>1</v>
      </c>
      <c r="S44" s="14">
        <f>IFERROR(IF(P44="",F44,P44)*Q44,"")</f>
        <v>2.4</v>
      </c>
      <c r="T44" s="12" t="s">
        <v>330</v>
      </c>
    </row>
    <row r="45" spans="1:20">
      <c r="A45" s="12" t="s">
        <v>147</v>
      </c>
      <c r="B45" s="12" t="s">
        <v>148</v>
      </c>
      <c r="C45" s="12" t="s">
        <v>104</v>
      </c>
      <c r="D45" s="12" t="s">
        <v>149</v>
      </c>
      <c r="E45" s="12" t="s">
        <v>150</v>
      </c>
      <c r="F45" s="12">
        <f>CEILING(BoardQty*1.0,1)</f>
        <v>100</v>
      </c>
      <c r="G45" s="13">
        <f>IF(MIN(W45,K45,Q45)&lt;&gt;0,MIN(W45,K45,Q45),"")</f>
        <v>0.017</v>
      </c>
      <c r="H45" s="14">
        <f>IF(AND(ISNUMBER(F45),ISNUMBER(G45)),F45*G45,"")</f>
        <v>1.7</v>
      </c>
      <c r="I45" s="12">
        <v>187539</v>
      </c>
      <c r="J45" s="12"/>
      <c r="K45" s="13">
        <f>IFERROR(IF(OR(J45&gt;=L45,F45&gt;=L45),LOOKUP(IF(J45="",F45,J45),{0,1,10,50,100,500,1000},{0.0,0.1,0.038,0.0244,0.0206,0.01434,0.01248}),"MOQ="&amp;L45),"")</f>
        <v>0.0206</v>
      </c>
      <c r="L45" s="12">
        <v>1</v>
      </c>
      <c r="M45" s="14">
        <f>IFERROR(IF(J45="",F45,J45)*K45,"")</f>
        <v>2.06</v>
      </c>
      <c r="N45" s="12" t="s">
        <v>275</v>
      </c>
      <c r="O45" s="12">
        <v>12063</v>
      </c>
      <c r="P45" s="12"/>
      <c r="Q45" s="13">
        <f>IFERROR(IF(OR(P45&gt;=R45,F45&gt;=R45),LOOKUP(IF(P45="",F45,P45),{0,1,10,100,500,1000,5000,10000},{0.0,0.1,0.025,0.017,0.013,0.01,0.007,0.005}),"MOQ="&amp;R45),"")</f>
        <v>0.017</v>
      </c>
      <c r="R45" s="12">
        <v>1</v>
      </c>
      <c r="S45" s="14">
        <f>IFERROR(IF(P45="",F45,P45)*Q45,"")</f>
        <v>1.7</v>
      </c>
      <c r="T45" s="12" t="s">
        <v>331</v>
      </c>
    </row>
    <row r="46" spans="1:20">
      <c r="A46" s="12" t="s">
        <v>151</v>
      </c>
      <c r="B46" s="12" t="s">
        <v>152</v>
      </c>
      <c r="C46" s="12" t="s">
        <v>104</v>
      </c>
      <c r="D46" s="12" t="s">
        <v>105</v>
      </c>
      <c r="E46" s="12" t="s">
        <v>153</v>
      </c>
      <c r="F46" s="12">
        <f>CEILING(BoardQty*1.0,1)</f>
        <v>100</v>
      </c>
      <c r="G46" s="13">
        <f>IF(MIN(W46,K46,Q46)&lt;&gt;0,MIN(W46,K46,Q46),"")</f>
        <v>0.008</v>
      </c>
      <c r="H46" s="14">
        <f>IF(AND(ISNUMBER(F46),ISNUMBER(G46)),F46*G46,"")</f>
        <v>0.8</v>
      </c>
      <c r="I46" s="12">
        <v>411786</v>
      </c>
      <c r="J46" s="12"/>
      <c r="K46" s="13">
        <f>IFERROR(IF(OR(J46&gt;=L46,F46&gt;=L46),LOOKUP(IF(J46="",F46,J46),{0,1,10,50,100,500,1000,5000},{0.0,0.1,0.021,0.013,0.0107,0.00714,0.0061,0.00438}),"MOQ="&amp;L46),"")</f>
        <v>0.0107</v>
      </c>
      <c r="L46" s="12">
        <v>1</v>
      </c>
      <c r="M46" s="14">
        <f>IFERROR(IF(J46="",F46,J46)*K46,"")</f>
        <v>1.07</v>
      </c>
      <c r="N46" s="12" t="s">
        <v>276</v>
      </c>
      <c r="O46" s="12">
        <v>190211</v>
      </c>
      <c r="P46" s="12"/>
      <c r="Q46" s="13">
        <f>IFERROR(IF(OR(P46&gt;=R46,F46&gt;=R46),LOOKUP(IF(P46="",F46,P46),{0,1,10,100,1000,2500,10000,50000},{0.0,0.1,0.013,0.008,0.007,0.005,0.004,0.003}),"MOQ="&amp;R46),"")</f>
        <v>0.008</v>
      </c>
      <c r="R46" s="12">
        <v>1</v>
      </c>
      <c r="S46" s="14">
        <f>IFERROR(IF(P46="",F46,P46)*Q46,"")</f>
        <v>0.8</v>
      </c>
      <c r="T46" s="12" t="s">
        <v>332</v>
      </c>
    </row>
    <row r="47" spans="1:20">
      <c r="A47" s="12" t="s">
        <v>154</v>
      </c>
      <c r="B47" s="12" t="s">
        <v>155</v>
      </c>
      <c r="C47" s="12" t="s">
        <v>104</v>
      </c>
      <c r="D47" s="12" t="s">
        <v>105</v>
      </c>
      <c r="E47" s="12" t="s">
        <v>156</v>
      </c>
      <c r="F47" s="12">
        <f>CEILING(BoardQty*1.0,1)</f>
        <v>100</v>
      </c>
      <c r="G47" s="13">
        <f>IF(MIN(W47,K47,Q47)&lt;&gt;0,MIN(W47,K47,Q47),"")</f>
        <v>0.005</v>
      </c>
      <c r="H47" s="14">
        <f>IF(AND(ISNUMBER(F47),ISNUMBER(G47)),F47*G47,"")</f>
        <v>0.5</v>
      </c>
      <c r="I47" s="12">
        <v>496364</v>
      </c>
      <c r="J47" s="12"/>
      <c r="K47" s="13">
        <f>IFERROR(IF(OR(J47&gt;=L47,F47&gt;=L47),LOOKUP(IF(J47="",F47,J47),{0,1,10,50,100,500,1000,5000},{0.0,0.1,0.015,0.0088,0.0073,0.00488,0.00417,0.00297}),"MOQ="&amp;L47),"")</f>
        <v>0.0073</v>
      </c>
      <c r="L47" s="12">
        <v>1</v>
      </c>
      <c r="M47" s="14">
        <f>IFERROR(IF(J47="",F47,J47)*K47,"")</f>
        <v>0.73</v>
      </c>
      <c r="N47" s="12" t="s">
        <v>277</v>
      </c>
      <c r="O47" s="12">
        <v>483794</v>
      </c>
      <c r="P47" s="12"/>
      <c r="Q47" s="13">
        <f>IFERROR(IF(OR(P47&gt;=R47,F47&gt;=R47),LOOKUP(IF(P47="",F47,P47),{0,1,10,100,2500,10000},{0.0,0.1,0.009,0.005,0.003,0.002}),"MOQ="&amp;R47),"")</f>
        <v>0.005</v>
      </c>
      <c r="R47" s="12">
        <v>1</v>
      </c>
      <c r="S47" s="14">
        <f>IFERROR(IF(P47="",F47,P47)*Q47,"")</f>
        <v>0.5</v>
      </c>
      <c r="T47" s="12" t="s">
        <v>333</v>
      </c>
    </row>
    <row r="48" spans="1:20">
      <c r="A48" s="12" t="s">
        <v>157</v>
      </c>
      <c r="B48" s="12" t="s">
        <v>158</v>
      </c>
      <c r="C48" s="12" t="s">
        <v>104</v>
      </c>
      <c r="D48" s="12" t="s">
        <v>105</v>
      </c>
      <c r="E48" s="12" t="s">
        <v>159</v>
      </c>
      <c r="F48" s="12">
        <f>CEILING(BoardQty*1.0,1)</f>
        <v>100</v>
      </c>
      <c r="G48" s="13">
        <f>IF(MIN(W48,K48,Q48)&lt;&gt;0,MIN(W48,K48,Q48),"")</f>
        <v>0.005</v>
      </c>
      <c r="H48" s="14">
        <f>IF(AND(ISNUMBER(F48),ISNUMBER(G48)),F48*G48,"")</f>
        <v>0.5</v>
      </c>
      <c r="I48" s="12">
        <v>71386</v>
      </c>
      <c r="J48" s="12"/>
      <c r="K48" s="13">
        <f>IFERROR(IF(OR(J48&gt;=L48,F48&gt;=L48),LOOKUP(IF(J48="",F48,J48),{0,1,10,50,100,500,1000,5000},{0.0,0.1,0.015,0.0088,0.0073,0.00488,0.00417,0.00297}),"MOQ="&amp;L48),"")</f>
        <v>0.0073</v>
      </c>
      <c r="L48" s="12">
        <v>1</v>
      </c>
      <c r="M48" s="14">
        <f>IFERROR(IF(J48="",F48,J48)*K48,"")</f>
        <v>0.73</v>
      </c>
      <c r="N48" s="12" t="s">
        <v>278</v>
      </c>
      <c r="O48" s="12">
        <v>121544</v>
      </c>
      <c r="P48" s="12"/>
      <c r="Q48" s="13">
        <f>IFERROR(IF(OR(P48&gt;=R48,F48&gt;=R48),LOOKUP(IF(P48="",F48,P48),{0,1,10,100,2500,10000},{0.0,0.1,0.009,0.005,0.003,0.002}),"MOQ="&amp;R48),"")</f>
        <v>0.005</v>
      </c>
      <c r="R48" s="12">
        <v>1</v>
      </c>
      <c r="S48" s="14">
        <f>IFERROR(IF(P48="",F48,P48)*Q48,"")</f>
        <v>0.5</v>
      </c>
      <c r="T48" s="12" t="s">
        <v>334</v>
      </c>
    </row>
    <row r="49" spans="1:20">
      <c r="A49" s="12" t="s">
        <v>160</v>
      </c>
      <c r="B49" s="12" t="s">
        <v>161</v>
      </c>
      <c r="C49" s="12" t="s">
        <v>104</v>
      </c>
      <c r="D49" s="12" t="s">
        <v>105</v>
      </c>
      <c r="E49" s="12" t="s">
        <v>162</v>
      </c>
      <c r="F49" s="12">
        <f>CEILING(BoardQty*1.0,1)</f>
        <v>100</v>
      </c>
      <c r="G49" s="13">
        <f>IF(MIN(W49,K49,Q49)&lt;&gt;0,MIN(W49,K49,Q49),"")</f>
        <v/>
      </c>
      <c r="H49" s="14">
        <f>IF(AND(ISNUMBER(F49),ISNUMBER(G49)),F49*G49,"")</f>
        <v/>
      </c>
    </row>
    <row r="50" spans="1:20" ht="30" customHeight="1">
      <c r="A50" s="12" t="s">
        <v>163</v>
      </c>
      <c r="B50" s="12" t="s">
        <v>164</v>
      </c>
      <c r="C50" s="12" t="s">
        <v>165</v>
      </c>
      <c r="D50" s="12" t="s">
        <v>166</v>
      </c>
      <c r="E50" s="12" t="s">
        <v>164</v>
      </c>
      <c r="F50" s="12">
        <f>CEILING(BoardQty*3.0,1)</f>
        <v>300</v>
      </c>
      <c r="G50" s="13">
        <f>IF(MIN(W50,K50,Q50)&lt;&gt;0,MIN(W50,K50,Q50),"")</f>
        <v>2.54</v>
      </c>
      <c r="H50" s="14">
        <f>IF(AND(ISNUMBER(F50),ISNUMBER(G50)),F50*G50,"")</f>
        <v>762.0</v>
      </c>
      <c r="I50" s="12">
        <v>6195</v>
      </c>
      <c r="J50" s="12"/>
      <c r="K50" s="13">
        <f>IFERROR(IF(OR(J50&gt;=L50,F50&gt;=L50),LOOKUP(IF(J50="",F50,J50),{0,1,10,20,50,100,200,500},{0.0,3.33,3.175,3.024,2.904,2.772,2.544,2.4}),"MOQ="&amp;L50),"")</f>
        <v>2.544</v>
      </c>
      <c r="L50" s="12">
        <v>1</v>
      </c>
      <c r="M50" s="14">
        <f>IFERROR(IF(J50="",F50,J50)*K50,"")</f>
        <v>763.2</v>
      </c>
      <c r="N50" s="12" t="s">
        <v>279</v>
      </c>
      <c r="O50" s="12">
        <v>1275</v>
      </c>
      <c r="P50" s="12"/>
      <c r="Q50" s="13">
        <f>IFERROR(IF(OR(P50&gt;=R50,F50&gt;=R50),LOOKUP(IF(P50="",F50,P50),{0,1,50,100,200,500,1000,2000},{0.0,3.02,2.9,2.77,2.54,2.4,2.17,2.03}),"MOQ="&amp;R50),"")</f>
        <v>2.54</v>
      </c>
      <c r="R50" s="12">
        <v>1</v>
      </c>
      <c r="S50" s="14">
        <f>IFERROR(IF(P50="",F50,P50)*Q50,"")</f>
        <v>762.0</v>
      </c>
      <c r="T50" s="12" t="s">
        <v>335</v>
      </c>
    </row>
    <row r="51" spans="1:20" ht="60" customHeight="1">
      <c r="A51" s="12" t="s">
        <v>167</v>
      </c>
      <c r="B51" s="12" t="s">
        <v>168</v>
      </c>
      <c r="C51" s="12" t="s">
        <v>169</v>
      </c>
      <c r="D51" s="12" t="s">
        <v>170</v>
      </c>
      <c r="E51" s="12" t="s">
        <v>171</v>
      </c>
      <c r="F51" s="12">
        <f>CEILING(BoardQty*1.0,1)</f>
        <v>100</v>
      </c>
      <c r="G51" s="13">
        <f>IF(MIN(W51,K51,Q51)&lt;&gt;0,MIN(W51,K51,Q51),"")</f>
        <v>0.631</v>
      </c>
      <c r="H51" s="14">
        <f>IF(AND(ISNUMBER(F51),ISNUMBER(G51)),F51*G51,"")</f>
        <v>63.1</v>
      </c>
      <c r="I51" s="12">
        <v>17775</v>
      </c>
      <c r="J51" s="12"/>
      <c r="K51" s="13">
        <f>IFERROR(IF(OR(J51&gt;=L51,F51&gt;=L51),LOOKUP(IF(J51="",F51,J51),{0,1,10,25,100,250,500,1000},{0.0,1.06,0.945,0.8964,0.7365,0.68844,0.6084,0.56375}),"MOQ="&amp;L51),"")</f>
        <v>0.7365</v>
      </c>
      <c r="L51" s="12">
        <v>1</v>
      </c>
      <c r="M51" s="14">
        <f>IFERROR(IF(J51="",F51,J51)*K51,"")</f>
        <v>73.65</v>
      </c>
      <c r="N51" s="12" t="s">
        <v>280</v>
      </c>
      <c r="O51" s="12">
        <v>54237</v>
      </c>
      <c r="P51" s="12"/>
      <c r="Q51" s="13">
        <f>IFERROR(IF(OR(P51&gt;=R51,F51&gt;=R51),LOOKUP(IF(P51="",F51,P51),{0,1,10,100,500,1000,3000,6000,9000},{0.0,0.84,0.742,0.631,0.582,0.564,0.551,0.547,0.545}),"MOQ="&amp;R51),"")</f>
        <v>0.631</v>
      </c>
      <c r="R51" s="12">
        <v>1</v>
      </c>
      <c r="S51" s="14">
        <f>IFERROR(IF(P51="",F51,P51)*Q51,"")</f>
        <v>63.1</v>
      </c>
      <c r="T51" s="12" t="s">
        <v>336</v>
      </c>
    </row>
    <row r="52" spans="1:20" ht="30" customHeight="1">
      <c r="A52" s="12" t="s">
        <v>172</v>
      </c>
      <c r="B52" s="12" t="s">
        <v>173</v>
      </c>
      <c r="C52" s="12" t="s">
        <v>174</v>
      </c>
      <c r="D52" s="12" t="s">
        <v>175</v>
      </c>
      <c r="E52" s="12" t="s">
        <v>176</v>
      </c>
      <c r="F52" s="12">
        <f>CEILING(BoardQty*1.0,1)</f>
        <v>100</v>
      </c>
      <c r="G52" s="13">
        <f>IF(MIN(W52,K52,Q52)&lt;&gt;0,MIN(W52,K52,Q52),"")</f>
        <v>0.506</v>
      </c>
      <c r="H52" s="14">
        <f>IF(AND(ISNUMBER(F52),ISNUMBER(G52)),F52*G52,"")</f>
        <v>50.6</v>
      </c>
      <c r="I52" s="12">
        <v>4406</v>
      </c>
      <c r="J52" s="12"/>
      <c r="K52" s="13">
        <f>IFERROR(IF(OR(J52&gt;=L52,F52&gt;=L52),LOOKUP(IF(J52="",F52,J52),{0,1,10,25,100,250,500,1000},{0.0,0.88,0.786,0.7456,0.5726,0.50604,0.4794,0.37287}),"MOQ="&amp;L52),"")</f>
        <v>0.5726</v>
      </c>
      <c r="L52" s="12">
        <v>1</v>
      </c>
      <c r="M52" s="14">
        <f>IFERROR(IF(J52="",F52,J52)*K52,"")</f>
        <v>57.26</v>
      </c>
      <c r="N52" s="12" t="s">
        <v>281</v>
      </c>
      <c r="O52" s="12">
        <v>40197</v>
      </c>
      <c r="P52" s="12"/>
      <c r="Q52" s="13">
        <f>IFERROR(IF(OR(P52&gt;=R52,F52&gt;=R52),LOOKUP(IF(P52="",F52,P52),{0,1,10,100,500,1000,3000,6000,9000},{0.0,0.88,0.731,0.506,0.48,0.373,0.354,0.348,0.337}),"MOQ="&amp;R52),"")</f>
        <v>0.506</v>
      </c>
      <c r="R52" s="12">
        <v>1</v>
      </c>
      <c r="S52" s="14">
        <f>IFERROR(IF(P52="",F52,P52)*Q52,"")</f>
        <v>50.6</v>
      </c>
      <c r="T52" s="12" t="s">
        <v>337</v>
      </c>
    </row>
    <row r="53" spans="1:20" ht="45" customHeight="1">
      <c r="A53" s="12" t="s">
        <v>177</v>
      </c>
      <c r="B53" s="12" t="s">
        <v>178</v>
      </c>
      <c r="C53" s="12" t="s">
        <v>179</v>
      </c>
      <c r="D53" s="12" t="s">
        <v>180</v>
      </c>
      <c r="E53" s="12" t="s">
        <v>181</v>
      </c>
      <c r="F53" s="12">
        <f>CEILING(BoardQty*1.0,1)</f>
        <v>100</v>
      </c>
      <c r="G53" s="13">
        <f>IF(MIN(W53,K53,Q53)&lt;&gt;0,MIN(W53,K53,Q53),"")</f>
        <v>4.7</v>
      </c>
      <c r="H53" s="14">
        <f>IF(AND(ISNUMBER(F53),ISNUMBER(G53)),F53*G53,"")</f>
        <v>470.0</v>
      </c>
      <c r="I53" s="12">
        <v>428</v>
      </c>
      <c r="J53" s="12"/>
      <c r="K53" s="13">
        <f>IFERROR(IF(OR(J53&gt;=L53,F53&gt;=L53),LOOKUP(IF(J53="",F53,J53),{0,1,10,25,80,230,490,980},{0.0,6.84,6.266,5.6964,5.12675,4.69952,4.27231,3.84507}),"MOQ="&amp;L53),"")</f>
        <v>5.12675</v>
      </c>
      <c r="L53" s="12">
        <v>1</v>
      </c>
      <c r="M53" s="14">
        <f>IFERROR(IF(J53="",F53,J53)*K53,"")</f>
        <v>512.675</v>
      </c>
      <c r="N53" s="12" t="s">
        <v>282</v>
      </c>
      <c r="O53" s="12">
        <v>4470</v>
      </c>
      <c r="P53" s="12"/>
      <c r="Q53" s="13">
        <f>IFERROR(IF(OR(P53&gt;=R53,F53&gt;=R53),LOOKUP(IF(P53="",F53,P53),{0,1,10,25,100,490,980},{0.0,6.84,6.27,5.13,4.7,3.91,3.84}),"MOQ="&amp;R53),"")</f>
        <v>4.7</v>
      </c>
      <c r="R53" s="12">
        <v>1</v>
      </c>
      <c r="S53" s="14">
        <f>IFERROR(IF(P53="",F53,P53)*Q53,"")</f>
        <v>470.0</v>
      </c>
      <c r="T53" s="12" t="s">
        <v>338</v>
      </c>
    </row>
    <row r="54" spans="1:20" ht="60" customHeight="1">
      <c r="A54" s="12" t="s">
        <v>182</v>
      </c>
      <c r="B54" s="12" t="s">
        <v>183</v>
      </c>
      <c r="C54" s="12" t="s">
        <v>184</v>
      </c>
      <c r="D54" s="12" t="s">
        <v>175</v>
      </c>
      <c r="E54" s="12" t="s">
        <v>185</v>
      </c>
      <c r="F54" s="12">
        <f>CEILING(BoardQty*3.0,1)</f>
        <v>300</v>
      </c>
      <c r="G54" s="13">
        <f>IF(MIN(W54,K54,Q54)&lt;&gt;0,MIN(W54,K54,Q54),"")</f>
        <v>1.82</v>
      </c>
      <c r="H54" s="14">
        <f>IF(AND(ISNUMBER(F54),ISNUMBER(G54)),F54*G54,"")</f>
        <v>546.0</v>
      </c>
      <c r="I54" s="12">
        <v>2442</v>
      </c>
      <c r="J54" s="12"/>
      <c r="K54" s="13">
        <f>IFERROR(IF(OR(J54&gt;=L54,F54&gt;=L54),LOOKUP(IF(J54="",F54,J54),{0,1,10,25,100,250,500,1000},{0.0,2.83,2.543,2.3988,2.0437,1.919,1.67912,1.39128}),"MOQ="&amp;L54),"")</f>
        <v>1.919</v>
      </c>
      <c r="L54" s="12">
        <v>1</v>
      </c>
      <c r="M54" s="14">
        <f>IFERROR(IF(J54="",F54,J54)*K54,"")</f>
        <v>575.7</v>
      </c>
      <c r="N54" s="12" t="s">
        <v>283</v>
      </c>
      <c r="O54" s="12">
        <v>2449</v>
      </c>
      <c r="P54" s="12"/>
      <c r="Q54" s="13">
        <f>IFERROR(IF(OR(P54&gt;=R54,F54&gt;=R54),LOOKUP(IF(P54="",F54,P54),{0,1,10,100,250,500,1000,3000,6000,9000},{0.0,2.69,2.41,1.94,1.82,1.59,1.32,1.23,1.18,1.14}),"MOQ="&amp;R54),"")</f>
        <v>1.82</v>
      </c>
      <c r="R54" s="12">
        <v>1</v>
      </c>
      <c r="S54" s="14">
        <f>IFERROR(IF(P54="",F54,P54)*Q54,"")</f>
        <v>546.0</v>
      </c>
      <c r="T54" s="12" t="s">
        <v>339</v>
      </c>
    </row>
    <row r="55" spans="1:20" ht="45" customHeight="1">
      <c r="A55" s="12" t="s">
        <v>186</v>
      </c>
      <c r="B55" s="12" t="s">
        <v>187</v>
      </c>
      <c r="C55" s="12" t="s">
        <v>188</v>
      </c>
      <c r="D55" s="12" t="s">
        <v>189</v>
      </c>
      <c r="E55" s="12" t="s">
        <v>190</v>
      </c>
      <c r="F55" s="12">
        <f>CEILING(BoardQty*1.0,1)</f>
        <v>100</v>
      </c>
      <c r="G55" s="13">
        <f>IF(MIN(W55,K55,Q55)&lt;&gt;0,MIN(W55,K55,Q55),"")</f>
        <v>6.71</v>
      </c>
      <c r="H55" s="14">
        <f>IF(AND(ISNUMBER(F55),ISNUMBER(G55)),F55*G55,"")</f>
        <v>671.0</v>
      </c>
      <c r="I55" s="12">
        <v>1112</v>
      </c>
      <c r="J55" s="12"/>
      <c r="K55" s="13">
        <f>IFERROR(IF(OR(J55&gt;=L55,F55&gt;=L55),LOOKUP(IF(J55="",F55,J55),{0,1,10,25,100,250,500},{0.0,12.49,8.804,7.8548,6.794,6.28028,5.9675}),"MOQ="&amp;L55),"")</f>
        <v>6.794</v>
      </c>
      <c r="L55" s="12">
        <v>1</v>
      </c>
      <c r="M55" s="14">
        <f>IFERROR(IF(J55="",F55,J55)*K55,"")</f>
        <v>679.4</v>
      </c>
      <c r="N55" s="12" t="s">
        <v>284</v>
      </c>
      <c r="O55" s="12">
        <v>1504</v>
      </c>
      <c r="P55" s="12"/>
      <c r="Q55" s="13">
        <f>IFERROR(IF(OR(P55&gt;=R55,F55&gt;=R55),LOOKUP(IF(P55="",F55,P55),{0,1,10,25,100,250,500,1500},{0.0,11.03,8.6,7.72,6.71,6.29,5.97,5.97}),"MOQ="&amp;R55),"")</f>
        <v>6.71</v>
      </c>
      <c r="R55" s="12">
        <v>1</v>
      </c>
      <c r="S55" s="14">
        <f>IFERROR(IF(P55="",F55,P55)*Q55,"")</f>
        <v>671.0</v>
      </c>
      <c r="T55" s="12" t="s">
        <v>340</v>
      </c>
    </row>
    <row r="56" spans="1:20" ht="30" customHeight="1">
      <c r="A56" s="12" t="s">
        <v>191</v>
      </c>
      <c r="B56" s="12" t="s">
        <v>192</v>
      </c>
      <c r="C56" s="12" t="s">
        <v>193</v>
      </c>
      <c r="D56" s="12" t="s">
        <v>194</v>
      </c>
      <c r="E56" s="12" t="s">
        <v>195</v>
      </c>
      <c r="F56" s="12">
        <f>CEILING(BoardQty*1.0,1)</f>
        <v>100</v>
      </c>
      <c r="G56" s="13">
        <f>IF(MIN(W56,K56,Q56)&lt;&gt;0,MIN(W56,K56,Q56),"")</f>
        <v>0.738</v>
      </c>
      <c r="H56" s="14">
        <f>IF(AND(ISNUMBER(F56),ISNUMBER(G56)),F56*G56,"")</f>
        <v>73.8</v>
      </c>
      <c r="I56" s="12">
        <v>8765</v>
      </c>
      <c r="J56" s="12"/>
      <c r="K56" s="13">
        <f>IFERROR(IF(OR(J56&gt;=L56,F56&gt;=L56),LOOKUP(IF(J56="",F56,J56),{0,1,10,25,100,250,500,1000},{0.0,1.15,1.032,0.9796,0.8047,0.75224,0.66478,0.52483}),"MOQ="&amp;L56),"")</f>
        <v>0.8047</v>
      </c>
      <c r="L56" s="12">
        <v>1</v>
      </c>
      <c r="M56" s="14">
        <f>IFERROR(IF(J56="",F56,J56)*K56,"")</f>
        <v>80.47</v>
      </c>
      <c r="N56" s="12" t="s">
        <v>285</v>
      </c>
      <c r="O56" s="12">
        <v>6960</v>
      </c>
      <c r="P56" s="12"/>
      <c r="Q56" s="13">
        <f>IFERROR(IF(OR(P56&gt;=R56,F56&gt;=R56),LOOKUP(IF(P56="",F56,P56),{0,1,10,100,500,1000,3000,6000,9000,24000},{0.0,1.11,0.956,0.738,0.638,0.504,0.428,0.424,0.41,0.406}),"MOQ="&amp;R56),"")</f>
        <v>0.738</v>
      </c>
      <c r="R56" s="12">
        <v>1</v>
      </c>
      <c r="S56" s="14">
        <f>IFERROR(IF(P56="",F56,P56)*Q56,"")</f>
        <v>73.8</v>
      </c>
      <c r="T56" s="12" t="s">
        <v>341</v>
      </c>
    </row>
    <row r="57" spans="1:20" ht="75" customHeight="1">
      <c r="A57" s="12" t="s">
        <v>196</v>
      </c>
      <c r="B57" s="12" t="s">
        <v>197</v>
      </c>
      <c r="C57" s="12" t="s">
        <v>198</v>
      </c>
      <c r="D57" s="12" t="s">
        <v>199</v>
      </c>
      <c r="E57" s="12" t="s">
        <v>200</v>
      </c>
      <c r="F57" s="12">
        <f>CEILING(BoardQty*1.0,1)</f>
        <v>100</v>
      </c>
      <c r="G57" s="13">
        <f>IF(MIN(W57,K57,Q57)&lt;&gt;0,MIN(W57,K57,Q57),"")</f>
        <v>3.24</v>
      </c>
      <c r="H57" s="14">
        <f>IF(AND(ISNUMBER(F57),ISNUMBER(G57)),F57*G57,"")</f>
        <v>324.0</v>
      </c>
      <c r="I57" s="12">
        <v>4852</v>
      </c>
      <c r="J57" s="12"/>
      <c r="K57" s="13">
        <f>IFERROR(IF(OR(J57&gt;=L57,F57&gt;=L57),LOOKUP(IF(J57="",F57,J57),{0,1,10,25,100,250,500,1000},{0.0,4.42,3.966,3.7496,3.2497,3.08304,2.7664,2.3331}),"MOQ="&amp;L57),"")</f>
        <v>3.2497</v>
      </c>
      <c r="L57" s="12">
        <v>1</v>
      </c>
      <c r="M57" s="14">
        <f>IFERROR(IF(J57="",F57,J57)*K57,"")</f>
        <v>324.97</v>
      </c>
      <c r="N57" s="12" t="s">
        <v>286</v>
      </c>
      <c r="O57" s="12">
        <v>15530</v>
      </c>
      <c r="P57" s="12"/>
      <c r="Q57" s="13">
        <f>IFERROR(IF(OR(P57&gt;=R57,F57&gt;=R57),LOOKUP(IF(P57="",F57,P57),{0,1,10,100,250,500,1000,3000},{0.0,4.41,3.96,3.24,3.08,2.76,2.33,2.21}),"MOQ="&amp;R57),"")</f>
        <v>3.24</v>
      </c>
      <c r="R57" s="12">
        <v>1</v>
      </c>
      <c r="S57" s="14">
        <f>IFERROR(IF(P57="",F57,P57)*Q57,"")</f>
        <v>324.0</v>
      </c>
      <c r="T57" s="12" t="s">
        <v>342</v>
      </c>
    </row>
    <row r="58" spans="1:20" ht="75" customHeight="1">
      <c r="A58" s="12" t="s">
        <v>201</v>
      </c>
      <c r="B58" s="12" t="s">
        <v>202</v>
      </c>
      <c r="C58" s="12" t="s">
        <v>203</v>
      </c>
      <c r="D58" s="12" t="s">
        <v>204</v>
      </c>
      <c r="E58" s="16" t="s">
        <v>205</v>
      </c>
      <c r="F58" s="12">
        <f>CEILING(BoardQty*1.0,1)</f>
        <v>100</v>
      </c>
      <c r="G58" s="13">
        <f>IF(MIN(W58,K58,Q58)&lt;&gt;0,MIN(W58,K58,Q58),"")</f>
        <v>4.05</v>
      </c>
      <c r="H58" s="14">
        <f>IF(AND(ISNUMBER(F58),ISNUMBER(G58)),F58*G58,"")</f>
        <v>405.0</v>
      </c>
      <c r="I58" s="12">
        <v>1250</v>
      </c>
      <c r="J58" s="12"/>
      <c r="K58" s="13">
        <f>IFERROR(IF(OR(J58&gt;=L58,F58&gt;=L58),LOOKUP(IF(J58="",F58,J58),{0,1,250,500,750,1250},{0.0,4.48128,4.48128,4.16498,3.99049,3.78108}),"MOQ="&amp;L58),"")</f>
        <v/>
      </c>
      <c r="L58" s="12">
        <v>250</v>
      </c>
      <c r="M58" s="14">
        <f>IFERROR(IF(J58="",F58,J58)*K58,"")</f>
        <v/>
      </c>
      <c r="N58" s="12" t="s">
        <v>287</v>
      </c>
      <c r="O58" s="12">
        <v>5398</v>
      </c>
      <c r="P58" s="12"/>
      <c r="Q58" s="13">
        <f>IFERROR(IF(OR(P58&gt;=R58,F58&gt;=R58),LOOKUP(IF(P58="",F58,P58),{0,1,10,100,250,500,1000,3000},{0.0,6.31,4.42,4.05,3.89,3.58,3.42,3.27}),"MOQ="&amp;R58),"")</f>
        <v>4.05</v>
      </c>
      <c r="R58" s="12">
        <v>1</v>
      </c>
      <c r="S58" s="14">
        <f>IFERROR(IF(P58="",F58,P58)*Q58,"")</f>
        <v>405.0</v>
      </c>
      <c r="T58" s="12" t="s">
        <v>343</v>
      </c>
    </row>
    <row r="59" spans="1:20" ht="45" customHeight="1">
      <c r="A59" s="12" t="s">
        <v>206</v>
      </c>
      <c r="B59" s="12" t="s">
        <v>207</v>
      </c>
      <c r="C59" s="12" t="s">
        <v>208</v>
      </c>
      <c r="D59" s="12" t="s">
        <v>209</v>
      </c>
      <c r="E59" s="12" t="s">
        <v>210</v>
      </c>
      <c r="F59" s="12">
        <f>CEILING(BoardQty*1.0,1)</f>
        <v>100</v>
      </c>
      <c r="G59" s="13">
        <f>IF(MIN(W59,K59,Q59)&lt;&gt;0,MIN(W59,K59,Q59),"")</f>
        <v>0.523</v>
      </c>
      <c r="H59" s="14">
        <f>IF(AND(ISNUMBER(F59),ISNUMBER(G59)),F59*G59,"")</f>
        <v>52.3</v>
      </c>
      <c r="I59" s="12">
        <v>2580</v>
      </c>
      <c r="J59" s="12"/>
      <c r="K59" s="13">
        <f>IFERROR(IF(OR(J59&gt;=L59,F59&gt;=L59),LOOKUP(IF(J59="",F59,J59),{0,1,10,25,100,250,500,1000},{0.0,0.83,0.733,0.6888,0.5622,0.52216,0.4444,0.35552}),"MOQ="&amp;L59),"")</f>
        <v>0.5622</v>
      </c>
      <c r="L59" s="12">
        <v>1</v>
      </c>
      <c r="M59" s="14">
        <f>IFERROR(IF(J59="",F59,J59)*K59,"")</f>
        <v>56.22</v>
      </c>
      <c r="N59" s="12" t="s">
        <v>288</v>
      </c>
      <c r="O59" s="15" t="s">
        <v>251</v>
      </c>
      <c r="P59" s="12"/>
      <c r="Q59" s="13">
        <f>IFERROR(IF(OR(P59&gt;=R59,F59&gt;=R59),LOOKUP(IF(P59="",F59,P59),{0,1,10,100,500,1000,3000,6000,9000,24000},{0.0,0.83,0.689,0.523,0.445,0.356,0.322,0.299,0.288,0.277}),"MOQ="&amp;R59),"")</f>
        <v>0.523</v>
      </c>
      <c r="R59" s="12">
        <v>1</v>
      </c>
      <c r="S59" s="14">
        <f>IFERROR(IF(P59="",F59,P59)*Q59,"")</f>
        <v>52.3</v>
      </c>
      <c r="T59" s="12" t="s">
        <v>344</v>
      </c>
    </row>
    <row r="60" spans="1:20" ht="45" customHeight="1">
      <c r="A60" s="12" t="s">
        <v>211</v>
      </c>
      <c r="B60" s="12" t="s">
        <v>212</v>
      </c>
      <c r="C60" s="12" t="s">
        <v>213</v>
      </c>
      <c r="D60" s="12" t="s">
        <v>204</v>
      </c>
      <c r="E60" s="12" t="s">
        <v>214</v>
      </c>
      <c r="F60" s="12">
        <f>CEILING(BoardQty*1.0,1)</f>
        <v>100</v>
      </c>
      <c r="G60" s="13">
        <f>IF(MIN(W60,K60,Q60)&lt;&gt;0,MIN(W60,K60,Q60),"")</f>
        <v>0.7397</v>
      </c>
      <c r="H60" s="14">
        <f>IF(AND(ISNUMBER(F60),ISNUMBER(G60)),F60*G60,"")</f>
        <v>73.97</v>
      </c>
      <c r="I60" s="12">
        <v>12110</v>
      </c>
      <c r="J60" s="12"/>
      <c r="K60" s="13">
        <f>IFERROR(IF(OR(J60&gt;=L60,F60&gt;=L60),LOOKUP(IF(J60="",F60,J60),{0,1,10,25,100,250,500,1000},{0.0,1.06,0.949,0.9004,0.7397,0.69152,0.6111,0.56625}),"MOQ="&amp;L60),"")</f>
        <v>0.7397</v>
      </c>
      <c r="L60" s="12">
        <v>1</v>
      </c>
      <c r="M60" s="14">
        <f>IFERROR(IF(J60="",F60,J60)*K60,"")</f>
        <v>73.97</v>
      </c>
      <c r="N60" s="12" t="s">
        <v>289</v>
      </c>
      <c r="O60" s="12">
        <v>3473</v>
      </c>
      <c r="P60" s="12"/>
      <c r="Q60" s="13">
        <f>IFERROR(IF(OR(P60&gt;=R60,F60&gt;=R60),LOOKUP(IF(P60="",F60,P60),{0,1,10,100,500,1000,3000,6000,9000},{0.0,1.51,1.29,0.983,0.869,0.686,0.64,0.608,0.585}),"MOQ="&amp;R60),"")</f>
        <v>0.983</v>
      </c>
      <c r="R60" s="12">
        <v>1</v>
      </c>
      <c r="S60" s="14">
        <f>IFERROR(IF(P60="",F60,P60)*Q60,"")</f>
        <v>98.3</v>
      </c>
      <c r="T60" s="12" t="s">
        <v>345</v>
      </c>
    </row>
    <row r="61" spans="1:20" ht="60" customHeight="1">
      <c r="A61" s="12" t="s">
        <v>215</v>
      </c>
      <c r="B61" s="12" t="s">
        <v>216</v>
      </c>
      <c r="C61" s="12" t="s">
        <v>217</v>
      </c>
      <c r="D61" s="12" t="s">
        <v>194</v>
      </c>
      <c r="E61" s="12" t="s">
        <v>218</v>
      </c>
      <c r="F61" s="12">
        <f>CEILING(BoardQty*1.0,1)</f>
        <v>100</v>
      </c>
      <c r="G61" s="13">
        <f>IF(MIN(W61,K61,Q61)&lt;&gt;0,MIN(W61,K61,Q61),"")</f>
        <v>1.04</v>
      </c>
      <c r="H61" s="14">
        <f>IF(AND(ISNUMBER(F61),ISNUMBER(G61)),F61*G61,"")</f>
        <v>104.0</v>
      </c>
      <c r="I61" s="12">
        <v>9461</v>
      </c>
      <c r="J61" s="12"/>
      <c r="K61" s="13">
        <f>IFERROR(IF(OR(J61&gt;=L61,F61&gt;=L61),LOOKUP(IF(J61="",F61,J61),{0,1,10,25,100,250,500,1000},{0.0,1.6,1.43,1.3576,1.115,1.04232,0.92112,0.7272}),"MOQ="&amp;L61),"")</f>
        <v>1.115</v>
      </c>
      <c r="L61" s="12">
        <v>1</v>
      </c>
      <c r="M61" s="14">
        <f>IFERROR(IF(J61="",F61,J61)*K61,"")</f>
        <v>111.5</v>
      </c>
      <c r="N61" s="12" t="s">
        <v>290</v>
      </c>
      <c r="O61" s="12">
        <v>8184</v>
      </c>
      <c r="P61" s="12"/>
      <c r="Q61" s="13">
        <f>IFERROR(IF(OR(P61&gt;=R61,F61&gt;=R61),LOOKUP(IF(P61="",F61,P61),{0,1,10,100,500,1000,3000,6000,9000},{0.0,1.6,1.36,1.04,0.917,0.723,0.664,0.642,0.62}),"MOQ="&amp;R61),"")</f>
        <v>1.04</v>
      </c>
      <c r="R61" s="12">
        <v>1</v>
      </c>
      <c r="S61" s="14">
        <f>IFERROR(IF(P61="",F61,P61)*Q61,"")</f>
        <v>104.0</v>
      </c>
      <c r="T61" s="12" t="s">
        <v>346</v>
      </c>
    </row>
    <row r="62" spans="1:20" ht="60" customHeight="1">
      <c r="A62" s="12" t="s">
        <v>219</v>
      </c>
      <c r="B62" s="12" t="s">
        <v>220</v>
      </c>
      <c r="C62" s="12" t="s">
        <v>221</v>
      </c>
      <c r="D62" s="12" t="s">
        <v>222</v>
      </c>
      <c r="E62" s="12" t="s">
        <v>223</v>
      </c>
      <c r="F62" s="12">
        <f>CEILING(BoardQty*1.0,1)</f>
        <v>100</v>
      </c>
      <c r="G62" s="13">
        <f>IF(MIN(W62,K62,Q62)&lt;&gt;0,MIN(W62,K62,Q62),"")</f>
        <v>2.0696</v>
      </c>
      <c r="H62" s="14">
        <f>IF(AND(ISNUMBER(F62),ISNUMBER(G62)),F62*G62,"")</f>
        <v>206.96</v>
      </c>
      <c r="I62" s="12">
        <v>5849</v>
      </c>
      <c r="J62" s="12"/>
      <c r="K62" s="13">
        <f>IFERROR(IF(OR(J62&gt;=L62,F62&gt;=L62),LOOKUP(IF(J62="",F62,J62),{0,1,10,25,100,250,500,1000},{0.0,2.87,2.575,2.4292,2.0696,1.94324,1.70034,1.40885}),"MOQ="&amp;L62),"")</f>
        <v>2.0696</v>
      </c>
      <c r="L62" s="12">
        <v>1</v>
      </c>
      <c r="M62" s="14">
        <f>IFERROR(IF(J62="",F62,J62)*K62,"")</f>
        <v>206.96</v>
      </c>
      <c r="N62" s="12" t="s">
        <v>291</v>
      </c>
      <c r="O62" s="12">
        <v>3548</v>
      </c>
      <c r="P62" s="12"/>
      <c r="Q62" s="13">
        <f>IFERROR(IF(OR(P62&gt;=R62,F62&gt;=R62),LOOKUP(IF(P62="",F62,P62),{0,1,10,100,250,500,1000,3000,6000,9000},{0.0,2.87,2.43,2.07,1.95,1.7,1.41,1.31,1.26,1.23}),"MOQ="&amp;R62),"")</f>
        <v>2.07</v>
      </c>
      <c r="R62" s="12">
        <v>1</v>
      </c>
      <c r="S62" s="14">
        <f>IFERROR(IF(P62="",F62,P62)*Q62,"")</f>
        <v>207.0</v>
      </c>
      <c r="T62" s="12" t="s">
        <v>347</v>
      </c>
    </row>
    <row r="63" spans="1:20" ht="30" customHeight="1">
      <c r="A63" s="12" t="s">
        <v>224</v>
      </c>
      <c r="B63" s="12" t="s">
        <v>225</v>
      </c>
      <c r="C63" s="12" t="s">
        <v>226</v>
      </c>
      <c r="D63" s="12" t="s">
        <v>227</v>
      </c>
      <c r="E63" s="12" t="s">
        <v>228</v>
      </c>
      <c r="F63" s="12">
        <f>CEILING(BoardQty*1.0,1)</f>
        <v>100</v>
      </c>
      <c r="G63" s="13">
        <f>IF(MIN(W63,K63,Q63)&lt;&gt;0,MIN(W63,K63,Q63),"")</f>
        <v>0.31</v>
      </c>
      <c r="H63" s="14">
        <f>IF(AND(ISNUMBER(F63),ISNUMBER(G63)),F63*G63,"")</f>
        <v>31.0</v>
      </c>
      <c r="I63" s="12">
        <v>12299</v>
      </c>
      <c r="J63" s="12"/>
      <c r="K63" s="13">
        <f>IFERROR(IF(OR(J63&gt;=L63,F63&gt;=L63),LOOKUP(IF(J63="",F63,J63),{0,1,25,100},{0.0,0.39,0.33,0.31}),"MOQ="&amp;L63),"")</f>
        <v>0.31</v>
      </c>
      <c r="L63" s="12">
        <v>1</v>
      </c>
      <c r="M63" s="14">
        <f>IFERROR(IF(J63="",F63,J63)*K63,"")</f>
        <v>31.0</v>
      </c>
      <c r="N63" s="12" t="s">
        <v>292</v>
      </c>
      <c r="O63" s="12">
        <v>6262</v>
      </c>
      <c r="P63" s="12"/>
      <c r="Q63" s="13">
        <f>IFERROR(IF(OR(P63&gt;=R63,F63&gt;=R63),LOOKUP(IF(P63="",F63,P63),{0,1,25,100,3000},{0.0,0.39,0.33,0.31,0.31}),"MOQ="&amp;R63),"")</f>
        <v>0.31</v>
      </c>
      <c r="R63" s="12">
        <v>1</v>
      </c>
      <c r="S63" s="14">
        <f>IFERROR(IF(P63="",F63,P63)*Q63,"")</f>
        <v>31.0</v>
      </c>
      <c r="T63" s="12" t="s">
        <v>348</v>
      </c>
    </row>
    <row r="64" spans="1:20" ht="45" customHeight="1">
      <c r="A64" s="12" t="s">
        <v>229</v>
      </c>
      <c r="B64" s="12" t="s">
        <v>230</v>
      </c>
      <c r="C64" s="12" t="s">
        <v>231</v>
      </c>
      <c r="D64" s="12" t="s">
        <v>232</v>
      </c>
      <c r="E64" s="12" t="s">
        <v>233</v>
      </c>
      <c r="F64" s="12">
        <f>CEILING(BoardQty*2.0,1)</f>
        <v>200</v>
      </c>
      <c r="G64" s="13">
        <f>IF(MIN(W64,K64,Q64)&lt;&gt;0,MIN(W64,K64,Q64),"")</f>
        <v>0.211</v>
      </c>
      <c r="H64" s="14">
        <f>IF(AND(ISNUMBER(F64),ISNUMBER(G64)),F64*G64,"")</f>
        <v>42.2</v>
      </c>
      <c r="I64" s="12">
        <v>64661</v>
      </c>
      <c r="J64" s="12"/>
      <c r="K64" s="13">
        <f>IFERROR(IF(OR(J64&gt;=L64,F64&gt;=L64),LOOKUP(IF(J64="",F64,J64),{0,1,10,25,100,250,500,1000},{0.0,0.42,0.313,0.2796,0.2375,0.21468,0.19982,0.18676}),"MOQ="&amp;L64),"")</f>
        <v>0.2375</v>
      </c>
      <c r="L64" s="12">
        <v>1</v>
      </c>
      <c r="M64" s="14">
        <f>IFERROR(IF(J64="",F64,J64)*K64,"")</f>
        <v>47.5</v>
      </c>
      <c r="N64" s="12" t="s">
        <v>293</v>
      </c>
      <c r="O64" s="12">
        <v>16743</v>
      </c>
      <c r="P64" s="12"/>
      <c r="Q64" s="13">
        <f>IFERROR(IF(OR(P64&gt;=R64,F64&gt;=R64),LOOKUP(IF(P64="",F64,P64),{0,1,10,100,500,1000,5000,10000,25000,50000},{0.0,0.38,0.274,0.211,0.191,0.166,0.143,0.137,0.132,0.128}),"MOQ="&amp;R64),"")</f>
        <v>0.211</v>
      </c>
      <c r="R64" s="12">
        <v>1</v>
      </c>
      <c r="S64" s="14">
        <f>IFERROR(IF(P64="",F64,P64)*Q64,"")</f>
        <v>42.2</v>
      </c>
      <c r="T64" s="12" t="s">
        <v>349</v>
      </c>
    </row>
    <row r="66" spans="1:25">
      <c r="G66" s="1" t="s">
        <v>351</v>
      </c>
      <c r="H66" s="5">
        <f>SUM(Y66,M66,S66)</f>
        <v>0</v>
      </c>
      <c r="I66" s="17" t="s">
        <v>294</v>
      </c>
      <c r="J66" s="6">
        <f>IFERROR(IF(COUNTIF(J7:J64,"&gt;0")&gt;0,COUNTIF(J7:J64,"&gt;0")&amp;" of "&amp;(ROWS(L7:L64)-COUNTBLANK(L7:L64))&amp;" parts purchased",""),"")</f>
        <v/>
      </c>
      <c r="M66" s="5">
        <f>SUMIF(J7:J64,"&gt;0",M7:M64)</f>
        <v>0</v>
      </c>
      <c r="O66" s="17" t="s">
        <v>294</v>
      </c>
      <c r="P66" s="6">
        <f>IFERROR(IF(COUNTIF(P7:P64,"&gt;0")&gt;0,COUNTIF(P7:P64,"&gt;0")&amp;" of "&amp;(ROWS(R7:R64)-COUNTBLANK(R7:R64))&amp;" parts purchased",""),"")</f>
        <v/>
      </c>
      <c r="S66" s="5">
        <f>SUMIF(P7:P64,"&gt;0",S7:S64)</f>
        <v>0</v>
      </c>
      <c r="V66" s="6">
        <f>IFERROR(IF(COUNTIF(V7:V64,"&gt;0")&gt;0,COUNTIF(V7:V64,"&gt;0")&amp;" of "&amp;(ROWS(X7:X64)-COUNTBLANK(X7:X64))&amp;" parts purchased",""),"")</f>
        <v/>
      </c>
      <c r="Y66" s="5">
        <f>SUMIF(V7:V64,"&gt;0",Y7:Y64)</f>
        <v>0</v>
      </c>
    </row>
    <row r="67" spans="1:25">
      <c r="A67" s="2" t="s">
        <v>364</v>
      </c>
      <c r="G67" s="18" t="s">
        <v>352</v>
      </c>
      <c r="J67" s="19">
        <f>CONCATENATE(J126,J127,J128,J129,J130,J131,J132,J133,J134,J135,J136,J137,J138,J139,J140,J141,J142,J143,J144,J145,J146,J147,J148,J149,J150,J151,J152,J153,J154,J155,J156,J157,J158,J159,J160,J161,J162,J163,J164,J165,J166,J167,J168,J169,J170,J171,J172,J173,J174,J175,J176,J177,J178,J179,J180,J181,J182,J183)</f>
        <v/>
      </c>
      <c r="P67" s="19">
        <f>CONCATENATE(P126,P127,P128,P129,P130,P131,P132,P133,P134,P135,P136,P137,P138,P139,P140,P141,P142,P143,P144,P145,P146,P147,P148,P149,P150,P151,P152,P153,P154,P155,P156,P157,P158,P159,P160,P161,P162,P163,P164,P165,P166,P167,P168,P169,P170,P171,P172,P173,P174,P175,P176,P177,P178,P179,P180,P181,P182,P183)</f>
        <v/>
      </c>
      <c r="V67" s="19">
        <f>CONCATENATE(V126,V127,V128,V129,V130,V131,V132,V133,V134,V135,V136,V137,V138,V139,V140,V141,V142,V143,V144,V145,V146,V147,V148,V149,V150,V151,V152,V153,V154,V155,V156,V157,V158,V159,V160,V161,V162,V163,V164,V165,V166,V167,V168,V169,V170,V171,V172,V173,V174,V175,V176,V177,V178,V179,V180,V181,V182,V183)</f>
        <v/>
      </c>
    </row>
    <row r="126" spans="10:22" ht="30" hidden="1" customHeight="1">
      <c r="J126" t="str">
        <f t="array" ref="J126:J183">IF(ISNUMBER(J7:J64)*(J7:J64&gt;=L7:L64)*(N7:N64&lt;&gt;""),TEXT(ROUNDUP(J7:J64/IF(ISNUMBER(L7:L64),L7:L64,1),0)*L7:L64,"##0")&amp;","&amp;N7:N64&amp;","&amp;SUBSTITUTE(SUBSTITUTE(IF(PURCHASE_DESCRIPTION&lt;&gt;"",PURCHASE_DESCRIPTION&amp;":","")&amp;A7:A64,",",";"),"
"," ")&amp;CHAR(10),"")</f>
        <v/>
      </c>
      <c r="P126" t="str">
        <f t="array" ref="P126:P183">IF(ISNUMBER(P7:P64)*(P7:P64&gt;=R7:R64)*(T7:T64&lt;&gt;""),T7:T64&amp;"|"&amp;TEXT(ROUNDUP(P7:P64/IF(ISNUMBER(R7:R64),R7:R64,1),0)*R7:R64,"##0")&amp;"|"&amp;SUBSTITUTE(SUBSTITUTE(SUBSTITUTE(IF(PURCHASE_DESCRIPTION&lt;&gt;"",PURCHASE_DESCRIPTION&amp;":","")&amp;A7:A64,"|",";")," ","_"),"
","_")&amp;CHAR(10),"")</f>
        <v/>
      </c>
      <c r="V126" t="str">
        <f t="array" ref="V126:V183">IF(ISNUMBER(V7:V64)*(V7:V64&gt;=X7:X64)*(Z7:Z64&lt;&gt;""),Z7:Z64&amp;","&amp;TEXT(ROUNDUP(V7:V64/IF(ISNUMBER(X7:X64),X7:X64,1),0)*X7:X64,"##0")&amp;","&amp;SUBSTITUTE(SUBSTITUTE(IF(PURCHASE_DESCRIPTION&lt;&gt;"",PURCHASE_DESCRIPTION&amp;":","")&amp;A7:A64,",",";"),"
"," ")&amp;CHAR(10),"")</f>
        <v/>
      </c>
    </row>
    <row r="127" spans="10:22" ht="30" hidden="1" customHeight="1">
      <c r="J127">
        <v>0</v>
      </c>
      <c r="P127">
        <v>0</v>
      </c>
      <c r="V127">
        <v>0</v>
      </c>
    </row>
    <row r="128" spans="10:22" ht="30" hidden="1" customHeight="1">
      <c r="J128">
        <v>0</v>
      </c>
      <c r="P128">
        <v>0</v>
      </c>
      <c r="V128">
        <v>0</v>
      </c>
    </row>
    <row r="129" spans="10:22" ht="30" hidden="1" customHeight="1">
      <c r="J129">
        <v>0</v>
      </c>
      <c r="P129">
        <v>0</v>
      </c>
      <c r="V129">
        <v>0</v>
      </c>
    </row>
    <row r="130" spans="10:22" ht="30" hidden="1" customHeight="1">
      <c r="J130">
        <v>0</v>
      </c>
      <c r="P130">
        <v>0</v>
      </c>
      <c r="V130">
        <v>0</v>
      </c>
    </row>
    <row r="131" spans="10:22" ht="30" hidden="1" customHeight="1">
      <c r="J131">
        <v>0</v>
      </c>
      <c r="P131">
        <v>0</v>
      </c>
      <c r="V131">
        <v>0</v>
      </c>
    </row>
    <row r="132" spans="10:22" ht="30" hidden="1" customHeight="1">
      <c r="J132">
        <v>0</v>
      </c>
      <c r="P132">
        <v>0</v>
      </c>
      <c r="V132">
        <v>0</v>
      </c>
    </row>
    <row r="133" spans="10:22" ht="30" hidden="1" customHeight="1">
      <c r="J133">
        <v>0</v>
      </c>
      <c r="P133">
        <v>0</v>
      </c>
      <c r="V133">
        <v>0</v>
      </c>
    </row>
    <row r="134" spans="10:22" ht="30" hidden="1" customHeight="1">
      <c r="J134">
        <v>0</v>
      </c>
      <c r="P134">
        <v>0</v>
      </c>
      <c r="V134">
        <v>0</v>
      </c>
    </row>
    <row r="135" spans="10:22" ht="30" hidden="1" customHeight="1">
      <c r="J135">
        <v>0</v>
      </c>
      <c r="P135">
        <v>0</v>
      </c>
      <c r="V135">
        <v>0</v>
      </c>
    </row>
    <row r="136" spans="10:22" ht="30" hidden="1" customHeight="1">
      <c r="J136">
        <v>0</v>
      </c>
      <c r="P136">
        <v>0</v>
      </c>
      <c r="V136">
        <v>0</v>
      </c>
    </row>
    <row r="137" spans="10:22" ht="30" hidden="1" customHeight="1">
      <c r="J137">
        <v>0</v>
      </c>
      <c r="P137">
        <v>0</v>
      </c>
      <c r="V137">
        <v>0</v>
      </c>
    </row>
    <row r="138" spans="10:22" ht="30" hidden="1" customHeight="1">
      <c r="J138">
        <v>0</v>
      </c>
      <c r="P138">
        <v>0</v>
      </c>
      <c r="V138">
        <v>0</v>
      </c>
    </row>
    <row r="139" spans="10:22" ht="30" hidden="1" customHeight="1">
      <c r="J139">
        <v>0</v>
      </c>
      <c r="P139">
        <v>0</v>
      </c>
      <c r="V139">
        <v>0</v>
      </c>
    </row>
    <row r="140" spans="10:22" ht="30" hidden="1" customHeight="1">
      <c r="J140">
        <v>0</v>
      </c>
      <c r="P140">
        <v>0</v>
      </c>
      <c r="V140">
        <v>0</v>
      </c>
    </row>
    <row r="141" spans="10:22" ht="30" hidden="1" customHeight="1">
      <c r="J141">
        <v>0</v>
      </c>
      <c r="P141">
        <v>0</v>
      </c>
      <c r="V141">
        <v>0</v>
      </c>
    </row>
    <row r="142" spans="10:22" ht="30" hidden="1" customHeight="1">
      <c r="J142">
        <v>0</v>
      </c>
      <c r="P142">
        <v>0</v>
      </c>
      <c r="V142">
        <v>0</v>
      </c>
    </row>
    <row r="143" spans="10:22" ht="30" hidden="1" customHeight="1">
      <c r="J143">
        <v>0</v>
      </c>
      <c r="P143">
        <v>0</v>
      </c>
      <c r="V143">
        <v>0</v>
      </c>
    </row>
    <row r="144" spans="10:22" ht="30" hidden="1" customHeight="1">
      <c r="J144">
        <v>0</v>
      </c>
      <c r="P144">
        <v>0</v>
      </c>
      <c r="V144">
        <v>0</v>
      </c>
    </row>
    <row r="145" spans="10:22" ht="30" hidden="1" customHeight="1">
      <c r="J145">
        <v>0</v>
      </c>
      <c r="P145">
        <v>0</v>
      </c>
      <c r="V145">
        <v>0</v>
      </c>
    </row>
    <row r="146" spans="10:22" ht="30" hidden="1" customHeight="1">
      <c r="J146">
        <v>0</v>
      </c>
      <c r="P146">
        <v>0</v>
      </c>
      <c r="V146">
        <v>0</v>
      </c>
    </row>
    <row r="147" spans="10:22" ht="30" hidden="1" customHeight="1">
      <c r="J147">
        <v>0</v>
      </c>
      <c r="P147">
        <v>0</v>
      </c>
      <c r="V147">
        <v>0</v>
      </c>
    </row>
    <row r="148" spans="10:22" ht="30" hidden="1" customHeight="1">
      <c r="J148">
        <v>0</v>
      </c>
      <c r="P148">
        <v>0</v>
      </c>
      <c r="V148">
        <v>0</v>
      </c>
    </row>
    <row r="149" spans="10:22" ht="30" hidden="1" customHeight="1">
      <c r="J149">
        <v>0</v>
      </c>
      <c r="P149">
        <v>0</v>
      </c>
      <c r="V149">
        <v>0</v>
      </c>
    </row>
    <row r="150" spans="10:22" ht="30" hidden="1" customHeight="1">
      <c r="J150">
        <v>0</v>
      </c>
      <c r="P150">
        <v>0</v>
      </c>
      <c r="V150">
        <v>0</v>
      </c>
    </row>
    <row r="151" spans="10:22" ht="30" hidden="1" customHeight="1">
      <c r="J151">
        <v>0</v>
      </c>
      <c r="P151">
        <v>0</v>
      </c>
      <c r="V151">
        <v>0</v>
      </c>
    </row>
    <row r="152" spans="10:22" ht="30" hidden="1" customHeight="1">
      <c r="J152">
        <v>0</v>
      </c>
      <c r="P152">
        <v>0</v>
      </c>
      <c r="V152">
        <v>0</v>
      </c>
    </row>
    <row r="153" spans="10:22" ht="30" hidden="1" customHeight="1">
      <c r="J153">
        <v>0</v>
      </c>
      <c r="P153">
        <v>0</v>
      </c>
      <c r="V153">
        <v>0</v>
      </c>
    </row>
    <row r="154" spans="10:22" ht="30" hidden="1" customHeight="1">
      <c r="J154">
        <v>0</v>
      </c>
      <c r="P154">
        <v>0</v>
      </c>
      <c r="V154">
        <v>0</v>
      </c>
    </row>
    <row r="155" spans="10:22" ht="30" hidden="1" customHeight="1">
      <c r="J155">
        <v>0</v>
      </c>
      <c r="P155">
        <v>0</v>
      </c>
      <c r="V155">
        <v>0</v>
      </c>
    </row>
    <row r="156" spans="10:22" ht="30" hidden="1" customHeight="1">
      <c r="J156">
        <v>0</v>
      </c>
      <c r="P156">
        <v>0</v>
      </c>
      <c r="V156">
        <v>0</v>
      </c>
    </row>
    <row r="157" spans="10:22" ht="30" hidden="1" customHeight="1">
      <c r="J157">
        <v>0</v>
      </c>
      <c r="P157">
        <v>0</v>
      </c>
      <c r="V157">
        <v>0</v>
      </c>
    </row>
    <row r="158" spans="10:22" ht="30" hidden="1" customHeight="1">
      <c r="J158">
        <v>0</v>
      </c>
      <c r="P158">
        <v>0</v>
      </c>
      <c r="V158">
        <v>0</v>
      </c>
    </row>
    <row r="159" spans="10:22" ht="30" hidden="1" customHeight="1">
      <c r="J159">
        <v>0</v>
      </c>
      <c r="P159">
        <v>0</v>
      </c>
      <c r="V159">
        <v>0</v>
      </c>
    </row>
    <row r="160" spans="10:22" ht="30" hidden="1" customHeight="1">
      <c r="J160">
        <v>0</v>
      </c>
      <c r="P160">
        <v>0</v>
      </c>
      <c r="V160">
        <v>0</v>
      </c>
    </row>
    <row r="161" spans="10:22" ht="30" hidden="1" customHeight="1">
      <c r="J161">
        <v>0</v>
      </c>
      <c r="P161">
        <v>0</v>
      </c>
      <c r="V161">
        <v>0</v>
      </c>
    </row>
    <row r="162" spans="10:22" ht="30" hidden="1" customHeight="1">
      <c r="J162">
        <v>0</v>
      </c>
      <c r="P162">
        <v>0</v>
      </c>
      <c r="V162">
        <v>0</v>
      </c>
    </row>
    <row r="163" spans="10:22" ht="30" hidden="1" customHeight="1">
      <c r="J163">
        <v>0</v>
      </c>
      <c r="P163">
        <v>0</v>
      </c>
      <c r="V163">
        <v>0</v>
      </c>
    </row>
    <row r="164" spans="10:22" ht="30" hidden="1" customHeight="1">
      <c r="J164">
        <v>0</v>
      </c>
      <c r="P164">
        <v>0</v>
      </c>
      <c r="V164">
        <v>0</v>
      </c>
    </row>
    <row r="165" spans="10:22" ht="30" hidden="1" customHeight="1">
      <c r="J165">
        <v>0</v>
      </c>
      <c r="P165">
        <v>0</v>
      </c>
      <c r="V165">
        <v>0</v>
      </c>
    </row>
    <row r="166" spans="10:22" ht="30" hidden="1" customHeight="1">
      <c r="J166">
        <v>0</v>
      </c>
      <c r="P166">
        <v>0</v>
      </c>
      <c r="V166">
        <v>0</v>
      </c>
    </row>
    <row r="167" spans="10:22" ht="30" hidden="1" customHeight="1">
      <c r="J167">
        <v>0</v>
      </c>
      <c r="P167">
        <v>0</v>
      </c>
      <c r="V167">
        <v>0</v>
      </c>
    </row>
    <row r="168" spans="10:22" ht="30" hidden="1" customHeight="1">
      <c r="J168">
        <v>0</v>
      </c>
      <c r="P168">
        <v>0</v>
      </c>
      <c r="V168">
        <v>0</v>
      </c>
    </row>
    <row r="169" spans="10:22" ht="30" hidden="1" customHeight="1">
      <c r="J169">
        <v>0</v>
      </c>
      <c r="P169">
        <v>0</v>
      </c>
      <c r="V169">
        <v>0</v>
      </c>
    </row>
    <row r="170" spans="10:22" ht="30" hidden="1" customHeight="1">
      <c r="J170">
        <v>0</v>
      </c>
      <c r="P170">
        <v>0</v>
      </c>
      <c r="V170">
        <v>0</v>
      </c>
    </row>
    <row r="171" spans="10:22" ht="30" hidden="1" customHeight="1">
      <c r="J171">
        <v>0</v>
      </c>
      <c r="P171">
        <v>0</v>
      </c>
      <c r="V171">
        <v>0</v>
      </c>
    </row>
    <row r="172" spans="10:22" ht="30" hidden="1" customHeight="1">
      <c r="J172">
        <v>0</v>
      </c>
      <c r="P172">
        <v>0</v>
      </c>
      <c r="V172">
        <v>0</v>
      </c>
    </row>
    <row r="173" spans="10:22" ht="30" hidden="1" customHeight="1">
      <c r="J173">
        <v>0</v>
      </c>
      <c r="P173">
        <v>0</v>
      </c>
      <c r="V173">
        <v>0</v>
      </c>
    </row>
    <row r="174" spans="10:22" ht="30" hidden="1" customHeight="1">
      <c r="J174">
        <v>0</v>
      </c>
      <c r="P174">
        <v>0</v>
      </c>
      <c r="V174">
        <v>0</v>
      </c>
    </row>
    <row r="175" spans="10:22" ht="30" hidden="1" customHeight="1">
      <c r="J175">
        <v>0</v>
      </c>
      <c r="P175">
        <v>0</v>
      </c>
      <c r="V175">
        <v>0</v>
      </c>
    </row>
    <row r="176" spans="10:22" ht="30" hidden="1" customHeight="1">
      <c r="J176">
        <v>0</v>
      </c>
      <c r="P176">
        <v>0</v>
      </c>
      <c r="V176">
        <v>0</v>
      </c>
    </row>
    <row r="177" spans="10:22" ht="30" hidden="1" customHeight="1">
      <c r="J177">
        <v>0</v>
      </c>
      <c r="P177">
        <v>0</v>
      </c>
      <c r="V177">
        <v>0</v>
      </c>
    </row>
    <row r="178" spans="10:22" ht="30" hidden="1" customHeight="1">
      <c r="J178">
        <v>0</v>
      </c>
      <c r="P178">
        <v>0</v>
      </c>
      <c r="V178">
        <v>0</v>
      </c>
    </row>
    <row r="179" spans="10:22" ht="30" hidden="1" customHeight="1">
      <c r="J179">
        <v>0</v>
      </c>
      <c r="P179">
        <v>0</v>
      </c>
      <c r="V179">
        <v>0</v>
      </c>
    </row>
    <row r="180" spans="10:22" ht="30" hidden="1" customHeight="1">
      <c r="J180">
        <v>0</v>
      </c>
      <c r="P180">
        <v>0</v>
      </c>
      <c r="V180">
        <v>0</v>
      </c>
    </row>
    <row r="181" spans="10:22" ht="30" hidden="1" customHeight="1">
      <c r="J181">
        <v>0</v>
      </c>
      <c r="P181">
        <v>0</v>
      </c>
      <c r="V181">
        <v>0</v>
      </c>
    </row>
    <row r="182" spans="10:22" ht="30" hidden="1" customHeight="1">
      <c r="J182">
        <v>0</v>
      </c>
      <c r="P182">
        <v>0</v>
      </c>
      <c r="V182">
        <v>0</v>
      </c>
    </row>
    <row r="183" spans="10:22" ht="30" hidden="1" customHeight="1">
      <c r="J183">
        <v>0</v>
      </c>
      <c r="P183">
        <v>0</v>
      </c>
      <c r="V183">
        <v>0</v>
      </c>
    </row>
  </sheetData>
  <mergeCells count="7">
    <mergeCell ref="A5:H5"/>
    <mergeCell ref="I5:N5"/>
    <mergeCell ref="J67:M125"/>
    <mergeCell ref="O5:T5"/>
    <mergeCell ref="P67:S125"/>
    <mergeCell ref="U5:Z5"/>
    <mergeCell ref="V67:Y125"/>
  </mergeCells>
  <conditionalFormatting sqref="F10">
    <cfRule type="expression" dxfId="4" priority="458">
      <formula>AND(ISBLANK(E10),ISBLANK(Y10),ISBLANK(M10),ISBLANK(S10))</formula>
    </cfRule>
    <cfRule type="expression" dxfId="1" priority="459">
      <formula>IF(SUM(U10,I10,O10)=0,1,0)</formula>
    </cfRule>
    <cfRule type="cellIs" dxfId="0" priority="460" operator="greaterThan">
      <formula>SUM(U10,I10,O10)</formula>
    </cfRule>
    <cfRule type="cellIs" dxfId="3" priority="461" operator="greaterThan">
      <formula>SUM(IF(ISNUMBER(W10),V10,0),IF(ISNUMBER(K10),J10,0),IF(ISNUMBER(Q10),P10,0))</formula>
    </cfRule>
  </conditionalFormatting>
  <conditionalFormatting sqref="F11">
    <cfRule type="expression" dxfId="4" priority="462">
      <formula>AND(ISBLANK(E11),ISBLANK(Y11),ISBLANK(M11),ISBLANK(S11))</formula>
    </cfRule>
    <cfRule type="expression" dxfId="1" priority="463">
      <formula>IF(SUM(U11,I11,O11)=0,1,0)</formula>
    </cfRule>
    <cfRule type="cellIs" dxfId="0" priority="464" operator="greaterThan">
      <formula>SUM(U11,I11,O11)</formula>
    </cfRule>
    <cfRule type="cellIs" dxfId="3" priority="465" operator="greaterThan">
      <formula>SUM(IF(ISNUMBER(W11),V11,0),IF(ISNUMBER(K11),J11,0),IF(ISNUMBER(Q11),P11,0))</formula>
    </cfRule>
  </conditionalFormatting>
  <conditionalFormatting sqref="F12">
    <cfRule type="expression" dxfId="4" priority="466">
      <formula>AND(ISBLANK(E12),ISBLANK(Y12),ISBLANK(M12),ISBLANK(S12))</formula>
    </cfRule>
    <cfRule type="expression" dxfId="1" priority="467">
      <formula>IF(SUM(U12,I12,O12)=0,1,0)</formula>
    </cfRule>
    <cfRule type="cellIs" dxfId="0" priority="468" operator="greaterThan">
      <formula>SUM(U12,I12,O12)</formula>
    </cfRule>
    <cfRule type="cellIs" dxfId="3" priority="469" operator="greaterThan">
      <formula>SUM(IF(ISNUMBER(W12),V12,0),IF(ISNUMBER(K12),J12,0),IF(ISNUMBER(Q12),P12,0))</formula>
    </cfRule>
  </conditionalFormatting>
  <conditionalFormatting sqref="F13">
    <cfRule type="expression" dxfId="4" priority="470">
      <formula>AND(ISBLANK(E13),ISBLANK(Y13),ISBLANK(M13),ISBLANK(S13))</formula>
    </cfRule>
    <cfRule type="expression" dxfId="1" priority="471">
      <formula>IF(SUM(U13,I13,O13)=0,1,0)</formula>
    </cfRule>
    <cfRule type="cellIs" dxfId="0" priority="472" operator="greaterThan">
      <formula>SUM(U13,I13,O13)</formula>
    </cfRule>
    <cfRule type="cellIs" dxfId="3" priority="473" operator="greaterThan">
      <formula>SUM(IF(ISNUMBER(W13),V13,0),IF(ISNUMBER(K13),J13,0),IF(ISNUMBER(Q13),P13,0))</formula>
    </cfRule>
  </conditionalFormatting>
  <conditionalFormatting sqref="F14">
    <cfRule type="expression" dxfId="4" priority="474">
      <formula>AND(ISBLANK(E14),ISBLANK(Y14),ISBLANK(M14),ISBLANK(S14))</formula>
    </cfRule>
    <cfRule type="expression" dxfId="1" priority="475">
      <formula>IF(SUM(U14,I14,O14)=0,1,0)</formula>
    </cfRule>
    <cfRule type="cellIs" dxfId="0" priority="476" operator="greaterThan">
      <formula>SUM(U14,I14,O14)</formula>
    </cfRule>
    <cfRule type="cellIs" dxfId="3" priority="477" operator="greaterThan">
      <formula>SUM(IF(ISNUMBER(W14),V14,0),IF(ISNUMBER(K14),J14,0),IF(ISNUMBER(Q14),P14,0))</formula>
    </cfRule>
  </conditionalFormatting>
  <conditionalFormatting sqref="F15">
    <cfRule type="expression" dxfId="4" priority="478">
      <formula>AND(ISBLANK(E15),ISBLANK(Y15),ISBLANK(M15),ISBLANK(S15))</formula>
    </cfRule>
    <cfRule type="expression" dxfId="1" priority="479">
      <formula>IF(SUM(U15,I15,O15)=0,1,0)</formula>
    </cfRule>
    <cfRule type="cellIs" dxfId="0" priority="480" operator="greaterThan">
      <formula>SUM(U15,I15,O15)</formula>
    </cfRule>
    <cfRule type="cellIs" dxfId="3" priority="481" operator="greaterThan">
      <formula>SUM(IF(ISNUMBER(W15),V15,0),IF(ISNUMBER(K15),J15,0),IF(ISNUMBER(Q15),P15,0))</formula>
    </cfRule>
  </conditionalFormatting>
  <conditionalFormatting sqref="F16">
    <cfRule type="expression" dxfId="4" priority="482">
      <formula>AND(ISBLANK(E16),ISBLANK(Y16),ISBLANK(M16),ISBLANK(S16))</formula>
    </cfRule>
    <cfRule type="expression" dxfId="1" priority="483">
      <formula>IF(SUM(U16,I16,O16)=0,1,0)</formula>
    </cfRule>
    <cfRule type="cellIs" dxfId="0" priority="484" operator="greaterThan">
      <formula>SUM(U16,I16,O16)</formula>
    </cfRule>
    <cfRule type="cellIs" dxfId="3" priority="485" operator="greaterThan">
      <formula>SUM(IF(ISNUMBER(W16),V16,0),IF(ISNUMBER(K16),J16,0),IF(ISNUMBER(Q16),P16,0))</formula>
    </cfRule>
  </conditionalFormatting>
  <conditionalFormatting sqref="F17">
    <cfRule type="expression" dxfId="4" priority="486">
      <formula>AND(ISBLANK(E17),ISBLANK(Y17),ISBLANK(M17),ISBLANK(S17))</formula>
    </cfRule>
    <cfRule type="expression" dxfId="1" priority="487">
      <formula>IF(SUM(U17,I17,O17)=0,1,0)</formula>
    </cfRule>
    <cfRule type="cellIs" dxfId="0" priority="488" operator="greaterThan">
      <formula>SUM(U17,I17,O17)</formula>
    </cfRule>
    <cfRule type="cellIs" dxfId="3" priority="489" operator="greaterThan">
      <formula>SUM(IF(ISNUMBER(W17),V17,0),IF(ISNUMBER(K17),J17,0),IF(ISNUMBER(Q17),P17,0))</formula>
    </cfRule>
  </conditionalFormatting>
  <conditionalFormatting sqref="F18">
    <cfRule type="expression" dxfId="4" priority="490">
      <formula>AND(ISBLANK(E18),ISBLANK(Y18),ISBLANK(M18),ISBLANK(S18))</formula>
    </cfRule>
    <cfRule type="expression" dxfId="1" priority="491">
      <formula>IF(SUM(U18,I18,O18)=0,1,0)</formula>
    </cfRule>
    <cfRule type="cellIs" dxfId="0" priority="492" operator="greaterThan">
      <formula>SUM(U18,I18,O18)</formula>
    </cfRule>
    <cfRule type="cellIs" dxfId="3" priority="493" operator="greaterThan">
      <formula>SUM(IF(ISNUMBER(W18),V18,0),IF(ISNUMBER(K18),J18,0),IF(ISNUMBER(Q18),P18,0))</formula>
    </cfRule>
  </conditionalFormatting>
  <conditionalFormatting sqref="F19">
    <cfRule type="expression" dxfId="4" priority="494">
      <formula>AND(ISBLANK(E19),ISBLANK(Y19),ISBLANK(M19),ISBLANK(S19))</formula>
    </cfRule>
    <cfRule type="expression" dxfId="1" priority="495">
      <formula>IF(SUM(U19,I19,O19)=0,1,0)</formula>
    </cfRule>
    <cfRule type="cellIs" dxfId="0" priority="496" operator="greaterThan">
      <formula>SUM(U19,I19,O19)</formula>
    </cfRule>
    <cfRule type="cellIs" dxfId="3" priority="497" operator="greaterThan">
      <formula>SUM(IF(ISNUMBER(W19),V19,0),IF(ISNUMBER(K19),J19,0),IF(ISNUMBER(Q19),P19,0))</formula>
    </cfRule>
  </conditionalFormatting>
  <conditionalFormatting sqref="F20">
    <cfRule type="expression" dxfId="4" priority="498">
      <formula>AND(ISBLANK(E20),ISBLANK(Y20),ISBLANK(M20),ISBLANK(S20))</formula>
    </cfRule>
    <cfRule type="expression" dxfId="1" priority="499">
      <formula>IF(SUM(U20,I20,O20)=0,1,0)</formula>
    </cfRule>
    <cfRule type="cellIs" dxfId="0" priority="500" operator="greaterThan">
      <formula>SUM(U20,I20,O20)</formula>
    </cfRule>
    <cfRule type="cellIs" dxfId="3" priority="501" operator="greaterThan">
      <formula>SUM(IF(ISNUMBER(W20),V20,0),IF(ISNUMBER(K20),J20,0),IF(ISNUMBER(Q20),P20,0))</formula>
    </cfRule>
  </conditionalFormatting>
  <conditionalFormatting sqref="F21">
    <cfRule type="expression" dxfId="4" priority="502">
      <formula>AND(ISBLANK(E21),ISBLANK(Y21),ISBLANK(M21),ISBLANK(S21))</formula>
    </cfRule>
    <cfRule type="expression" dxfId="1" priority="503">
      <formula>IF(SUM(U21,I21,O21)=0,1,0)</formula>
    </cfRule>
    <cfRule type="cellIs" dxfId="0" priority="504" operator="greaterThan">
      <formula>SUM(U21,I21,O21)</formula>
    </cfRule>
    <cfRule type="cellIs" dxfId="3" priority="505" operator="greaterThan">
      <formula>SUM(IF(ISNUMBER(W21),V21,0),IF(ISNUMBER(K21),J21,0),IF(ISNUMBER(Q21),P21,0))</formula>
    </cfRule>
  </conditionalFormatting>
  <conditionalFormatting sqref="F22">
    <cfRule type="expression" dxfId="4" priority="506">
      <formula>AND(ISBLANK(E22),ISBLANK(Y22),ISBLANK(M22),ISBLANK(S22))</formula>
    </cfRule>
    <cfRule type="expression" dxfId="1" priority="507">
      <formula>IF(SUM(U22,I22,O22)=0,1,0)</formula>
    </cfRule>
    <cfRule type="cellIs" dxfId="0" priority="508" operator="greaterThan">
      <formula>SUM(U22,I22,O22)</formula>
    </cfRule>
    <cfRule type="cellIs" dxfId="3" priority="509" operator="greaterThan">
      <formula>SUM(IF(ISNUMBER(W22),V22,0),IF(ISNUMBER(K22),J22,0),IF(ISNUMBER(Q22),P22,0))</formula>
    </cfRule>
  </conditionalFormatting>
  <conditionalFormatting sqref="F23">
    <cfRule type="expression" dxfId="4" priority="510">
      <formula>AND(ISBLANK(E23),ISBLANK(Y23),ISBLANK(M23),ISBLANK(S23))</formula>
    </cfRule>
    <cfRule type="expression" dxfId="1" priority="511">
      <formula>IF(SUM(U23,I23,O23)=0,1,0)</formula>
    </cfRule>
    <cfRule type="cellIs" dxfId="0" priority="512" operator="greaterThan">
      <formula>SUM(U23,I23,O23)</formula>
    </cfRule>
    <cfRule type="cellIs" dxfId="3" priority="513" operator="greaterThan">
      <formula>SUM(IF(ISNUMBER(W23),V23,0),IF(ISNUMBER(K23),J23,0),IF(ISNUMBER(Q23),P23,0))</formula>
    </cfRule>
  </conditionalFormatting>
  <conditionalFormatting sqref="F24">
    <cfRule type="expression" dxfId="4" priority="514">
      <formula>AND(ISBLANK(E24),ISBLANK(Y24),ISBLANK(M24),ISBLANK(S24))</formula>
    </cfRule>
    <cfRule type="expression" dxfId="1" priority="515">
      <formula>IF(SUM(U24,I24,O24)=0,1,0)</formula>
    </cfRule>
    <cfRule type="cellIs" dxfId="0" priority="516" operator="greaterThan">
      <formula>SUM(U24,I24,O24)</formula>
    </cfRule>
    <cfRule type="cellIs" dxfId="3" priority="517" operator="greaterThan">
      <formula>SUM(IF(ISNUMBER(W24),V24,0),IF(ISNUMBER(K24),J24,0),IF(ISNUMBER(Q24),P24,0))</formula>
    </cfRule>
  </conditionalFormatting>
  <conditionalFormatting sqref="F25">
    <cfRule type="expression" dxfId="4" priority="518">
      <formula>AND(ISBLANK(E25),ISBLANK(Y25),ISBLANK(M25),ISBLANK(S25))</formula>
    </cfRule>
    <cfRule type="expression" dxfId="1" priority="519">
      <formula>IF(SUM(U25,I25,O25)=0,1,0)</formula>
    </cfRule>
    <cfRule type="cellIs" dxfId="0" priority="520" operator="greaterThan">
      <formula>SUM(U25,I25,O25)</formula>
    </cfRule>
    <cfRule type="cellIs" dxfId="3" priority="521" operator="greaterThan">
      <formula>SUM(IF(ISNUMBER(W25),V25,0),IF(ISNUMBER(K25),J25,0),IF(ISNUMBER(Q25),P25,0))</formula>
    </cfRule>
  </conditionalFormatting>
  <conditionalFormatting sqref="F26">
    <cfRule type="expression" dxfId="4" priority="522">
      <formula>AND(ISBLANK(E26),ISBLANK(Y26),ISBLANK(M26),ISBLANK(S26))</formula>
    </cfRule>
    <cfRule type="expression" dxfId="1" priority="523">
      <formula>IF(SUM(U26,I26,O26)=0,1,0)</formula>
    </cfRule>
    <cfRule type="cellIs" dxfId="0" priority="524" operator="greaterThan">
      <formula>SUM(U26,I26,O26)</formula>
    </cfRule>
    <cfRule type="cellIs" dxfId="3" priority="525" operator="greaterThan">
      <formula>SUM(IF(ISNUMBER(W26),V26,0),IF(ISNUMBER(K26),J26,0),IF(ISNUMBER(Q26),P26,0))</formula>
    </cfRule>
  </conditionalFormatting>
  <conditionalFormatting sqref="F27">
    <cfRule type="expression" dxfId="4" priority="526">
      <formula>AND(ISBLANK(E27),ISBLANK(Y27),ISBLANK(M27),ISBLANK(S27))</formula>
    </cfRule>
    <cfRule type="expression" dxfId="1" priority="527">
      <formula>IF(SUM(U27,I27,O27)=0,1,0)</formula>
    </cfRule>
    <cfRule type="cellIs" dxfId="0" priority="528" operator="greaterThan">
      <formula>SUM(U27,I27,O27)</formula>
    </cfRule>
    <cfRule type="cellIs" dxfId="3" priority="529" operator="greaterThan">
      <formula>SUM(IF(ISNUMBER(W27),V27,0),IF(ISNUMBER(K27),J27,0),IF(ISNUMBER(Q27),P27,0))</formula>
    </cfRule>
  </conditionalFormatting>
  <conditionalFormatting sqref="F28">
    <cfRule type="expression" dxfId="4" priority="530">
      <formula>AND(ISBLANK(E28),ISBLANK(Y28),ISBLANK(M28),ISBLANK(S28))</formula>
    </cfRule>
    <cfRule type="expression" dxfId="1" priority="531">
      <formula>IF(SUM(U28,I28,O28)=0,1,0)</formula>
    </cfRule>
    <cfRule type="cellIs" dxfId="0" priority="532" operator="greaterThan">
      <formula>SUM(U28,I28,O28)</formula>
    </cfRule>
    <cfRule type="cellIs" dxfId="3" priority="533" operator="greaterThan">
      <formula>SUM(IF(ISNUMBER(W28),V28,0),IF(ISNUMBER(K28),J28,0),IF(ISNUMBER(Q28),P28,0))</formula>
    </cfRule>
  </conditionalFormatting>
  <conditionalFormatting sqref="F29">
    <cfRule type="expression" dxfId="4" priority="534">
      <formula>AND(ISBLANK(E29),ISBLANK(Y29),ISBLANK(M29),ISBLANK(S29))</formula>
    </cfRule>
    <cfRule type="expression" dxfId="1" priority="535">
      <formula>IF(SUM(U29,I29,O29)=0,1,0)</formula>
    </cfRule>
    <cfRule type="cellIs" dxfId="0" priority="536" operator="greaterThan">
      <formula>SUM(U29,I29,O29)</formula>
    </cfRule>
    <cfRule type="cellIs" dxfId="3" priority="537" operator="greaterThan">
      <formula>SUM(IF(ISNUMBER(W29),V29,0),IF(ISNUMBER(K29),J29,0),IF(ISNUMBER(Q29),P29,0))</formula>
    </cfRule>
  </conditionalFormatting>
  <conditionalFormatting sqref="F30">
    <cfRule type="expression" dxfId="4" priority="538">
      <formula>AND(ISBLANK(E30),ISBLANK(Y30),ISBLANK(M30),ISBLANK(S30))</formula>
    </cfRule>
    <cfRule type="expression" dxfId="1" priority="539">
      <formula>IF(SUM(U30,I30,O30)=0,1,0)</formula>
    </cfRule>
    <cfRule type="cellIs" dxfId="0" priority="540" operator="greaterThan">
      <formula>SUM(U30,I30,O30)</formula>
    </cfRule>
    <cfRule type="cellIs" dxfId="3" priority="541" operator="greaterThan">
      <formula>SUM(IF(ISNUMBER(W30),V30,0),IF(ISNUMBER(K30),J30,0),IF(ISNUMBER(Q30),P30,0))</formula>
    </cfRule>
  </conditionalFormatting>
  <conditionalFormatting sqref="F31">
    <cfRule type="expression" dxfId="4" priority="542">
      <formula>AND(ISBLANK(E31),ISBLANK(Y31),ISBLANK(M31),ISBLANK(S31))</formula>
    </cfRule>
    <cfRule type="expression" dxfId="1" priority="543">
      <formula>IF(SUM(U31,I31,O31)=0,1,0)</formula>
    </cfRule>
    <cfRule type="cellIs" dxfId="0" priority="544" operator="greaterThan">
      <formula>SUM(U31,I31,O31)</formula>
    </cfRule>
    <cfRule type="cellIs" dxfId="3" priority="545" operator="greaterThan">
      <formula>SUM(IF(ISNUMBER(W31),V31,0),IF(ISNUMBER(K31),J31,0),IF(ISNUMBER(Q31),P31,0))</formula>
    </cfRule>
  </conditionalFormatting>
  <conditionalFormatting sqref="F32">
    <cfRule type="expression" dxfId="4" priority="546">
      <formula>AND(ISBLANK(E32),ISBLANK(Y32),ISBLANK(M32),ISBLANK(S32))</formula>
    </cfRule>
    <cfRule type="expression" dxfId="1" priority="547">
      <formula>IF(SUM(U32,I32,O32)=0,1,0)</formula>
    </cfRule>
    <cfRule type="cellIs" dxfId="0" priority="548" operator="greaterThan">
      <formula>SUM(U32,I32,O32)</formula>
    </cfRule>
    <cfRule type="cellIs" dxfId="3" priority="549" operator="greaterThan">
      <formula>SUM(IF(ISNUMBER(W32),V32,0),IF(ISNUMBER(K32),J32,0),IF(ISNUMBER(Q32),P32,0))</formula>
    </cfRule>
  </conditionalFormatting>
  <conditionalFormatting sqref="F33">
    <cfRule type="expression" dxfId="4" priority="550">
      <formula>AND(ISBLANK(E33),ISBLANK(Y33),ISBLANK(M33),ISBLANK(S33))</formula>
    </cfRule>
    <cfRule type="expression" dxfId="1" priority="551">
      <formula>IF(SUM(U33,I33,O33)=0,1,0)</formula>
    </cfRule>
    <cfRule type="cellIs" dxfId="0" priority="552" operator="greaterThan">
      <formula>SUM(U33,I33,O33)</formula>
    </cfRule>
    <cfRule type="cellIs" dxfId="3" priority="553" operator="greaterThan">
      <formula>SUM(IF(ISNUMBER(W33),V33,0),IF(ISNUMBER(K33),J33,0),IF(ISNUMBER(Q33),P33,0))</formula>
    </cfRule>
  </conditionalFormatting>
  <conditionalFormatting sqref="F34">
    <cfRule type="expression" dxfId="4" priority="554">
      <formula>AND(ISBLANK(E34),ISBLANK(Y34),ISBLANK(M34),ISBLANK(S34))</formula>
    </cfRule>
    <cfRule type="expression" dxfId="1" priority="555">
      <formula>IF(SUM(U34,I34,O34)=0,1,0)</formula>
    </cfRule>
    <cfRule type="cellIs" dxfId="0" priority="556" operator="greaterThan">
      <formula>SUM(U34,I34,O34)</formula>
    </cfRule>
    <cfRule type="cellIs" dxfId="3" priority="557" operator="greaterThan">
      <formula>SUM(IF(ISNUMBER(W34),V34,0),IF(ISNUMBER(K34),J34,0),IF(ISNUMBER(Q34),P34,0))</formula>
    </cfRule>
  </conditionalFormatting>
  <conditionalFormatting sqref="F35">
    <cfRule type="expression" dxfId="4" priority="558">
      <formula>AND(ISBLANK(E35),ISBLANK(Y35),ISBLANK(M35),ISBLANK(S35))</formula>
    </cfRule>
    <cfRule type="expression" dxfId="1" priority="559">
      <formula>IF(SUM(U35,I35,O35)=0,1,0)</formula>
    </cfRule>
    <cfRule type="cellIs" dxfId="0" priority="560" operator="greaterThan">
      <formula>SUM(U35,I35,O35)</formula>
    </cfRule>
    <cfRule type="cellIs" dxfId="3" priority="561" operator="greaterThan">
      <formula>SUM(IF(ISNUMBER(W35),V35,0),IF(ISNUMBER(K35),J35,0),IF(ISNUMBER(Q35),P35,0))</formula>
    </cfRule>
  </conditionalFormatting>
  <conditionalFormatting sqref="F36">
    <cfRule type="expression" dxfId="4" priority="562">
      <formula>AND(ISBLANK(E36),ISBLANK(Y36),ISBLANK(M36),ISBLANK(S36))</formula>
    </cfRule>
    <cfRule type="expression" dxfId="1" priority="563">
      <formula>IF(SUM(U36,I36,O36)=0,1,0)</formula>
    </cfRule>
    <cfRule type="cellIs" dxfId="0" priority="564" operator="greaterThan">
      <formula>SUM(U36,I36,O36)</formula>
    </cfRule>
    <cfRule type="cellIs" dxfId="3" priority="565" operator="greaterThan">
      <formula>SUM(IF(ISNUMBER(W36),V36,0),IF(ISNUMBER(K36),J36,0),IF(ISNUMBER(Q36),P36,0))</formula>
    </cfRule>
  </conditionalFormatting>
  <conditionalFormatting sqref="F37">
    <cfRule type="expression" dxfId="4" priority="566">
      <formula>AND(ISBLANK(E37),ISBLANK(Y37),ISBLANK(M37),ISBLANK(S37))</formula>
    </cfRule>
    <cfRule type="expression" dxfId="1" priority="567">
      <formula>IF(SUM(U37,I37,O37)=0,1,0)</formula>
    </cfRule>
    <cfRule type="cellIs" dxfId="0" priority="568" operator="greaterThan">
      <formula>SUM(U37,I37,O37)</formula>
    </cfRule>
    <cfRule type="cellIs" dxfId="3" priority="569" operator="greaterThan">
      <formula>SUM(IF(ISNUMBER(W37),V37,0),IF(ISNUMBER(K37),J37,0),IF(ISNUMBER(Q37),P37,0))</formula>
    </cfRule>
  </conditionalFormatting>
  <conditionalFormatting sqref="F38">
    <cfRule type="expression" dxfId="4" priority="570">
      <formula>AND(ISBLANK(E38),ISBLANK(Y38),ISBLANK(M38),ISBLANK(S38))</formula>
    </cfRule>
    <cfRule type="expression" dxfId="1" priority="571">
      <formula>IF(SUM(U38,I38,O38)=0,1,0)</formula>
    </cfRule>
    <cfRule type="cellIs" dxfId="0" priority="572" operator="greaterThan">
      <formula>SUM(U38,I38,O38)</formula>
    </cfRule>
    <cfRule type="cellIs" dxfId="3" priority="573" operator="greaterThan">
      <formula>SUM(IF(ISNUMBER(W38),V38,0),IF(ISNUMBER(K38),J38,0),IF(ISNUMBER(Q38),P38,0))</formula>
    </cfRule>
  </conditionalFormatting>
  <conditionalFormatting sqref="F39">
    <cfRule type="expression" dxfId="4" priority="574">
      <formula>AND(ISBLANK(E39),ISBLANK(Y39),ISBLANK(M39),ISBLANK(S39))</formula>
    </cfRule>
    <cfRule type="expression" dxfId="1" priority="575">
      <formula>IF(SUM(U39,I39,O39)=0,1,0)</formula>
    </cfRule>
    <cfRule type="cellIs" dxfId="0" priority="576" operator="greaterThan">
      <formula>SUM(U39,I39,O39)</formula>
    </cfRule>
    <cfRule type="cellIs" dxfId="3" priority="577" operator="greaterThan">
      <formula>SUM(IF(ISNUMBER(W39),V39,0),IF(ISNUMBER(K39),J39,0),IF(ISNUMBER(Q39),P39,0))</formula>
    </cfRule>
  </conditionalFormatting>
  <conditionalFormatting sqref="F40">
    <cfRule type="expression" dxfId="4" priority="578">
      <formula>AND(ISBLANK(E40),ISBLANK(Y40),ISBLANK(M40),ISBLANK(S40))</formula>
    </cfRule>
    <cfRule type="expression" dxfId="1" priority="579">
      <formula>IF(SUM(U40,I40,O40)=0,1,0)</formula>
    </cfRule>
    <cfRule type="cellIs" dxfId="0" priority="580" operator="greaterThan">
      <formula>SUM(U40,I40,O40)</formula>
    </cfRule>
    <cfRule type="cellIs" dxfId="3" priority="581" operator="greaterThan">
      <formula>SUM(IF(ISNUMBER(W40),V40,0),IF(ISNUMBER(K40),J40,0),IF(ISNUMBER(Q40),P40,0))</formula>
    </cfRule>
  </conditionalFormatting>
  <conditionalFormatting sqref="F41">
    <cfRule type="expression" dxfId="4" priority="582">
      <formula>AND(ISBLANK(E41),ISBLANK(Y41),ISBLANK(M41),ISBLANK(S41))</formula>
    </cfRule>
    <cfRule type="expression" dxfId="1" priority="583">
      <formula>IF(SUM(U41,I41,O41)=0,1,0)</formula>
    </cfRule>
    <cfRule type="cellIs" dxfId="0" priority="584" operator="greaterThan">
      <formula>SUM(U41,I41,O41)</formula>
    </cfRule>
    <cfRule type="cellIs" dxfId="3" priority="585" operator="greaterThan">
      <formula>SUM(IF(ISNUMBER(W41),V41,0),IF(ISNUMBER(K41),J41,0),IF(ISNUMBER(Q41),P41,0))</formula>
    </cfRule>
  </conditionalFormatting>
  <conditionalFormatting sqref="F42">
    <cfRule type="expression" dxfId="4" priority="586">
      <formula>AND(ISBLANK(E42),ISBLANK(Y42),ISBLANK(M42),ISBLANK(S42))</formula>
    </cfRule>
    <cfRule type="expression" dxfId="1" priority="587">
      <formula>IF(SUM(U42,I42,O42)=0,1,0)</formula>
    </cfRule>
    <cfRule type="cellIs" dxfId="0" priority="588" operator="greaterThan">
      <formula>SUM(U42,I42,O42)</formula>
    </cfRule>
    <cfRule type="cellIs" dxfId="3" priority="589" operator="greaterThan">
      <formula>SUM(IF(ISNUMBER(W42),V42,0),IF(ISNUMBER(K42),J42,0),IF(ISNUMBER(Q42),P42,0))</formula>
    </cfRule>
  </conditionalFormatting>
  <conditionalFormatting sqref="F43">
    <cfRule type="expression" dxfId="4" priority="590">
      <formula>AND(ISBLANK(E43),ISBLANK(Y43),ISBLANK(M43),ISBLANK(S43))</formula>
    </cfRule>
    <cfRule type="expression" dxfId="1" priority="591">
      <formula>IF(SUM(U43,I43,O43)=0,1,0)</formula>
    </cfRule>
    <cfRule type="cellIs" dxfId="0" priority="592" operator="greaterThan">
      <formula>SUM(U43,I43,O43)</formula>
    </cfRule>
    <cfRule type="cellIs" dxfId="3" priority="593" operator="greaterThan">
      <formula>SUM(IF(ISNUMBER(W43),V43,0),IF(ISNUMBER(K43),J43,0),IF(ISNUMBER(Q43),P43,0))</formula>
    </cfRule>
  </conditionalFormatting>
  <conditionalFormatting sqref="F44">
    <cfRule type="expression" dxfId="4" priority="594">
      <formula>AND(ISBLANK(E44),ISBLANK(Y44),ISBLANK(M44),ISBLANK(S44))</formula>
    </cfRule>
    <cfRule type="expression" dxfId="1" priority="595">
      <formula>IF(SUM(U44,I44,O44)=0,1,0)</formula>
    </cfRule>
    <cfRule type="cellIs" dxfId="0" priority="596" operator="greaterThan">
      <formula>SUM(U44,I44,O44)</formula>
    </cfRule>
    <cfRule type="cellIs" dxfId="3" priority="597" operator="greaterThan">
      <formula>SUM(IF(ISNUMBER(W44),V44,0),IF(ISNUMBER(K44),J44,0),IF(ISNUMBER(Q44),P44,0))</formula>
    </cfRule>
  </conditionalFormatting>
  <conditionalFormatting sqref="F45">
    <cfRule type="expression" dxfId="4" priority="598">
      <formula>AND(ISBLANK(E45),ISBLANK(Y45),ISBLANK(M45),ISBLANK(S45))</formula>
    </cfRule>
    <cfRule type="expression" dxfId="1" priority="599">
      <formula>IF(SUM(U45,I45,O45)=0,1,0)</formula>
    </cfRule>
    <cfRule type="cellIs" dxfId="0" priority="600" operator="greaterThan">
      <formula>SUM(U45,I45,O45)</formula>
    </cfRule>
    <cfRule type="cellIs" dxfId="3" priority="601" operator="greaterThan">
      <formula>SUM(IF(ISNUMBER(W45),V45,0),IF(ISNUMBER(K45),J45,0),IF(ISNUMBER(Q45),P45,0))</formula>
    </cfRule>
  </conditionalFormatting>
  <conditionalFormatting sqref="F46">
    <cfRule type="expression" dxfId="4" priority="602">
      <formula>AND(ISBLANK(E46),ISBLANK(Y46),ISBLANK(M46),ISBLANK(S46))</formula>
    </cfRule>
    <cfRule type="expression" dxfId="1" priority="603">
      <formula>IF(SUM(U46,I46,O46)=0,1,0)</formula>
    </cfRule>
    <cfRule type="cellIs" dxfId="0" priority="604" operator="greaterThan">
      <formula>SUM(U46,I46,O46)</formula>
    </cfRule>
    <cfRule type="cellIs" dxfId="3" priority="605" operator="greaterThan">
      <formula>SUM(IF(ISNUMBER(W46),V46,0),IF(ISNUMBER(K46),J46,0),IF(ISNUMBER(Q46),P46,0))</formula>
    </cfRule>
  </conditionalFormatting>
  <conditionalFormatting sqref="F47">
    <cfRule type="expression" dxfId="4" priority="606">
      <formula>AND(ISBLANK(E47),ISBLANK(Y47),ISBLANK(M47),ISBLANK(S47))</formula>
    </cfRule>
    <cfRule type="expression" dxfId="1" priority="607">
      <formula>IF(SUM(U47,I47,O47)=0,1,0)</formula>
    </cfRule>
    <cfRule type="cellIs" dxfId="0" priority="608" operator="greaterThan">
      <formula>SUM(U47,I47,O47)</formula>
    </cfRule>
    <cfRule type="cellIs" dxfId="3" priority="609" operator="greaterThan">
      <formula>SUM(IF(ISNUMBER(W47),V47,0),IF(ISNUMBER(K47),J47,0),IF(ISNUMBER(Q47),P47,0))</formula>
    </cfRule>
  </conditionalFormatting>
  <conditionalFormatting sqref="F48">
    <cfRule type="expression" dxfId="4" priority="610">
      <formula>AND(ISBLANK(E48),ISBLANK(Y48),ISBLANK(M48),ISBLANK(S48))</formula>
    </cfRule>
    <cfRule type="expression" dxfId="1" priority="611">
      <formula>IF(SUM(U48,I48,O48)=0,1,0)</formula>
    </cfRule>
    <cfRule type="cellIs" dxfId="0" priority="612" operator="greaterThan">
      <formula>SUM(U48,I48,O48)</formula>
    </cfRule>
    <cfRule type="cellIs" dxfId="3" priority="613" operator="greaterThan">
      <formula>SUM(IF(ISNUMBER(W48),V48,0),IF(ISNUMBER(K48),J48,0),IF(ISNUMBER(Q48),P48,0))</formula>
    </cfRule>
  </conditionalFormatting>
  <conditionalFormatting sqref="F49">
    <cfRule type="expression" dxfId="4" priority="614">
      <formula>AND(ISBLANK(E49),ISBLANK(Y49),ISBLANK(M49),ISBLANK(S49))</formula>
    </cfRule>
    <cfRule type="expression" dxfId="1" priority="615">
      <formula>IF(SUM(U49,I49,O49)=0,1,0)</formula>
    </cfRule>
    <cfRule type="cellIs" dxfId="0" priority="616" operator="greaterThan">
      <formula>SUM(U49,I49,O49)</formula>
    </cfRule>
    <cfRule type="cellIs" dxfId="3" priority="617" operator="greaterThan">
      <formula>SUM(IF(ISNUMBER(W49),V49,0),IF(ISNUMBER(K49),J49,0),IF(ISNUMBER(Q49),P49,0))</formula>
    </cfRule>
  </conditionalFormatting>
  <conditionalFormatting sqref="F50">
    <cfRule type="expression" dxfId="4" priority="618">
      <formula>AND(ISBLANK(E50),ISBLANK(Y50),ISBLANK(M50),ISBLANK(S50))</formula>
    </cfRule>
    <cfRule type="expression" dxfId="1" priority="619">
      <formula>IF(SUM(U50,I50,O50)=0,1,0)</formula>
    </cfRule>
    <cfRule type="cellIs" dxfId="0" priority="620" operator="greaterThan">
      <formula>SUM(U50,I50,O50)</formula>
    </cfRule>
    <cfRule type="cellIs" dxfId="3" priority="621" operator="greaterThan">
      <formula>SUM(IF(ISNUMBER(W50),V50,0),IF(ISNUMBER(K50),J50,0),IF(ISNUMBER(Q50),P50,0))</formula>
    </cfRule>
  </conditionalFormatting>
  <conditionalFormatting sqref="F51">
    <cfRule type="expression" dxfId="4" priority="622">
      <formula>AND(ISBLANK(E51),ISBLANK(Y51),ISBLANK(M51),ISBLANK(S51))</formula>
    </cfRule>
    <cfRule type="expression" dxfId="1" priority="623">
      <formula>IF(SUM(U51,I51,O51)=0,1,0)</formula>
    </cfRule>
    <cfRule type="cellIs" dxfId="0" priority="624" operator="greaterThan">
      <formula>SUM(U51,I51,O51)</formula>
    </cfRule>
    <cfRule type="cellIs" dxfId="3" priority="625" operator="greaterThan">
      <formula>SUM(IF(ISNUMBER(W51),V51,0),IF(ISNUMBER(K51),J51,0),IF(ISNUMBER(Q51),P51,0))</formula>
    </cfRule>
  </conditionalFormatting>
  <conditionalFormatting sqref="F52">
    <cfRule type="expression" dxfId="4" priority="626">
      <formula>AND(ISBLANK(E52),ISBLANK(Y52),ISBLANK(M52),ISBLANK(S52))</formula>
    </cfRule>
    <cfRule type="expression" dxfId="1" priority="627">
      <formula>IF(SUM(U52,I52,O52)=0,1,0)</formula>
    </cfRule>
    <cfRule type="cellIs" dxfId="0" priority="628" operator="greaterThan">
      <formula>SUM(U52,I52,O52)</formula>
    </cfRule>
    <cfRule type="cellIs" dxfId="3" priority="629" operator="greaterThan">
      <formula>SUM(IF(ISNUMBER(W52),V52,0),IF(ISNUMBER(K52),J52,0),IF(ISNUMBER(Q52),P52,0))</formula>
    </cfRule>
  </conditionalFormatting>
  <conditionalFormatting sqref="F53">
    <cfRule type="expression" dxfId="4" priority="630">
      <formula>AND(ISBLANK(E53),ISBLANK(Y53),ISBLANK(M53),ISBLANK(S53))</formula>
    </cfRule>
    <cfRule type="expression" dxfId="1" priority="631">
      <formula>IF(SUM(U53,I53,O53)=0,1,0)</formula>
    </cfRule>
    <cfRule type="cellIs" dxfId="0" priority="632" operator="greaterThan">
      <formula>SUM(U53,I53,O53)</formula>
    </cfRule>
    <cfRule type="cellIs" dxfId="3" priority="633" operator="greaterThan">
      <formula>SUM(IF(ISNUMBER(W53),V53,0),IF(ISNUMBER(K53),J53,0),IF(ISNUMBER(Q53),P53,0))</formula>
    </cfRule>
  </conditionalFormatting>
  <conditionalFormatting sqref="F54">
    <cfRule type="expression" dxfId="4" priority="634">
      <formula>AND(ISBLANK(E54),ISBLANK(Y54),ISBLANK(M54),ISBLANK(S54))</formula>
    </cfRule>
    <cfRule type="expression" dxfId="1" priority="635">
      <formula>IF(SUM(U54,I54,O54)=0,1,0)</formula>
    </cfRule>
    <cfRule type="cellIs" dxfId="0" priority="636" operator="greaterThan">
      <formula>SUM(U54,I54,O54)</formula>
    </cfRule>
    <cfRule type="cellIs" dxfId="3" priority="637" operator="greaterThan">
      <formula>SUM(IF(ISNUMBER(W54),V54,0),IF(ISNUMBER(K54),J54,0),IF(ISNUMBER(Q54),P54,0))</formula>
    </cfRule>
  </conditionalFormatting>
  <conditionalFormatting sqref="F55">
    <cfRule type="expression" dxfId="4" priority="638">
      <formula>AND(ISBLANK(E55),ISBLANK(Y55),ISBLANK(M55),ISBLANK(S55))</formula>
    </cfRule>
    <cfRule type="expression" dxfId="1" priority="639">
      <formula>IF(SUM(U55,I55,O55)=0,1,0)</formula>
    </cfRule>
    <cfRule type="cellIs" dxfId="0" priority="640" operator="greaterThan">
      <formula>SUM(U55,I55,O55)</formula>
    </cfRule>
    <cfRule type="cellIs" dxfId="3" priority="641" operator="greaterThan">
      <formula>SUM(IF(ISNUMBER(W55),V55,0),IF(ISNUMBER(K55),J55,0),IF(ISNUMBER(Q55),P55,0))</formula>
    </cfRule>
  </conditionalFormatting>
  <conditionalFormatting sqref="F56">
    <cfRule type="expression" dxfId="4" priority="642">
      <formula>AND(ISBLANK(E56),ISBLANK(Y56),ISBLANK(M56),ISBLANK(S56))</formula>
    </cfRule>
    <cfRule type="expression" dxfId="1" priority="643">
      <formula>IF(SUM(U56,I56,O56)=0,1,0)</formula>
    </cfRule>
    <cfRule type="cellIs" dxfId="0" priority="644" operator="greaterThan">
      <formula>SUM(U56,I56,O56)</formula>
    </cfRule>
    <cfRule type="cellIs" dxfId="3" priority="645" operator="greaterThan">
      <formula>SUM(IF(ISNUMBER(W56),V56,0),IF(ISNUMBER(K56),J56,0),IF(ISNUMBER(Q56),P56,0))</formula>
    </cfRule>
  </conditionalFormatting>
  <conditionalFormatting sqref="F57">
    <cfRule type="expression" dxfId="4" priority="646">
      <formula>AND(ISBLANK(E57),ISBLANK(Y57),ISBLANK(M57),ISBLANK(S57))</formula>
    </cfRule>
    <cfRule type="expression" dxfId="1" priority="647">
      <formula>IF(SUM(U57,I57,O57)=0,1,0)</formula>
    </cfRule>
    <cfRule type="cellIs" dxfId="0" priority="648" operator="greaterThan">
      <formula>SUM(U57,I57,O57)</formula>
    </cfRule>
    <cfRule type="cellIs" dxfId="3" priority="649" operator="greaterThan">
      <formula>SUM(IF(ISNUMBER(W57),V57,0),IF(ISNUMBER(K57),J57,0),IF(ISNUMBER(Q57),P57,0))</formula>
    </cfRule>
  </conditionalFormatting>
  <conditionalFormatting sqref="F58">
    <cfRule type="expression" dxfId="4" priority="650">
      <formula>AND(ISBLANK(E58),ISBLANK(Y58),ISBLANK(M58),ISBLANK(S58))</formula>
    </cfRule>
    <cfRule type="expression" dxfId="1" priority="651">
      <formula>IF(SUM(U58,I58,O58)=0,1,0)</formula>
    </cfRule>
    <cfRule type="cellIs" dxfId="0" priority="652" operator="greaterThan">
      <formula>SUM(U58,I58,O58)</formula>
    </cfRule>
    <cfRule type="cellIs" dxfId="3" priority="653" operator="greaterThan">
      <formula>SUM(IF(ISNUMBER(W58),V58,0),IF(ISNUMBER(K58),J58,0),IF(ISNUMBER(Q58),P58,0))</formula>
    </cfRule>
  </conditionalFormatting>
  <conditionalFormatting sqref="F59">
    <cfRule type="expression" dxfId="4" priority="654">
      <formula>AND(ISBLANK(E59),ISBLANK(Y59),ISBLANK(M59),ISBLANK(S59))</formula>
    </cfRule>
    <cfRule type="expression" dxfId="1" priority="655">
      <formula>IF(SUM(U59,I59,O59)=0,1,0)</formula>
    </cfRule>
    <cfRule type="cellIs" dxfId="0" priority="656" operator="greaterThan">
      <formula>SUM(U59,I59,O59)</formula>
    </cfRule>
    <cfRule type="cellIs" dxfId="3" priority="657" operator="greaterThan">
      <formula>SUM(IF(ISNUMBER(W59),V59,0),IF(ISNUMBER(K59),J59,0),IF(ISNUMBER(Q59),P59,0))</formula>
    </cfRule>
  </conditionalFormatting>
  <conditionalFormatting sqref="F60">
    <cfRule type="expression" dxfId="4" priority="658">
      <formula>AND(ISBLANK(E60),ISBLANK(Y60),ISBLANK(M60),ISBLANK(S60))</formula>
    </cfRule>
    <cfRule type="expression" dxfId="1" priority="659">
      <formula>IF(SUM(U60,I60,O60)=0,1,0)</formula>
    </cfRule>
    <cfRule type="cellIs" dxfId="0" priority="660" operator="greaterThan">
      <formula>SUM(U60,I60,O60)</formula>
    </cfRule>
    <cfRule type="cellIs" dxfId="3" priority="661" operator="greaterThan">
      <formula>SUM(IF(ISNUMBER(W60),V60,0),IF(ISNUMBER(K60),J60,0),IF(ISNUMBER(Q60),P60,0))</formula>
    </cfRule>
  </conditionalFormatting>
  <conditionalFormatting sqref="F61">
    <cfRule type="expression" dxfId="4" priority="662">
      <formula>AND(ISBLANK(E61),ISBLANK(Y61),ISBLANK(M61),ISBLANK(S61))</formula>
    </cfRule>
    <cfRule type="expression" dxfId="1" priority="663">
      <formula>IF(SUM(U61,I61,O61)=0,1,0)</formula>
    </cfRule>
    <cfRule type="cellIs" dxfId="0" priority="664" operator="greaterThan">
      <formula>SUM(U61,I61,O61)</formula>
    </cfRule>
    <cfRule type="cellIs" dxfId="3" priority="665" operator="greaterThan">
      <formula>SUM(IF(ISNUMBER(W61),V61,0),IF(ISNUMBER(K61),J61,0),IF(ISNUMBER(Q61),P61,0))</formula>
    </cfRule>
  </conditionalFormatting>
  <conditionalFormatting sqref="F62">
    <cfRule type="expression" dxfId="4" priority="666">
      <formula>AND(ISBLANK(E62),ISBLANK(Y62),ISBLANK(M62),ISBLANK(S62))</formula>
    </cfRule>
    <cfRule type="expression" dxfId="1" priority="667">
      <formula>IF(SUM(U62,I62,O62)=0,1,0)</formula>
    </cfRule>
    <cfRule type="cellIs" dxfId="0" priority="668" operator="greaterThan">
      <formula>SUM(U62,I62,O62)</formula>
    </cfRule>
    <cfRule type="cellIs" dxfId="3" priority="669" operator="greaterThan">
      <formula>SUM(IF(ISNUMBER(W62),V62,0),IF(ISNUMBER(K62),J62,0),IF(ISNUMBER(Q62),P62,0))</formula>
    </cfRule>
  </conditionalFormatting>
  <conditionalFormatting sqref="F63">
    <cfRule type="expression" dxfId="4" priority="670">
      <formula>AND(ISBLANK(E63),ISBLANK(Y63),ISBLANK(M63),ISBLANK(S63))</formula>
    </cfRule>
    <cfRule type="expression" dxfId="1" priority="671">
      <formula>IF(SUM(U63,I63,O63)=0,1,0)</formula>
    </cfRule>
    <cfRule type="cellIs" dxfId="0" priority="672" operator="greaterThan">
      <formula>SUM(U63,I63,O63)</formula>
    </cfRule>
    <cfRule type="cellIs" dxfId="3" priority="673" operator="greaterThan">
      <formula>SUM(IF(ISNUMBER(W63),V63,0),IF(ISNUMBER(K63),J63,0),IF(ISNUMBER(Q63),P63,0))</formula>
    </cfRule>
  </conditionalFormatting>
  <conditionalFormatting sqref="F64">
    <cfRule type="expression" dxfId="4" priority="674">
      <formula>AND(ISBLANK(E64),ISBLANK(Y64),ISBLANK(M64),ISBLANK(S64))</formula>
    </cfRule>
    <cfRule type="expression" dxfId="1" priority="675">
      <formula>IF(SUM(U64,I64,O64)=0,1,0)</formula>
    </cfRule>
    <cfRule type="cellIs" dxfId="0" priority="676" operator="greaterThan">
      <formula>SUM(U64,I64,O64)</formula>
    </cfRule>
    <cfRule type="cellIs" dxfId="3" priority="677" operator="greaterThan">
      <formula>SUM(IF(ISNUMBER(W64),V64,0),IF(ISNUMBER(K64),J64,0),IF(ISNUMBER(Q64),P64,0))</formula>
    </cfRule>
  </conditionalFormatting>
  <conditionalFormatting sqref="F7">
    <cfRule type="expression" dxfId="4" priority="446">
      <formula>AND(ISBLANK(E7),ISBLANK(Y7),ISBLANK(M7),ISBLANK(S7))</formula>
    </cfRule>
    <cfRule type="expression" dxfId="1" priority="447">
      <formula>IF(SUM(U7,I7,O7)=0,1,0)</formula>
    </cfRule>
    <cfRule type="cellIs" dxfId="0" priority="448" operator="greaterThan">
      <formula>SUM(U7,I7,O7)</formula>
    </cfRule>
    <cfRule type="cellIs" dxfId="3" priority="449" operator="greaterThan">
      <formula>SUM(IF(ISNUMBER(W7),V7,0),IF(ISNUMBER(K7),J7,0),IF(ISNUMBER(Q7),P7,0))</formula>
    </cfRule>
  </conditionalFormatting>
  <conditionalFormatting sqref="F8">
    <cfRule type="expression" dxfId="4" priority="450">
      <formula>AND(ISBLANK(E8),ISBLANK(Y8),ISBLANK(M8),ISBLANK(S8))</formula>
    </cfRule>
    <cfRule type="expression" dxfId="1" priority="451">
      <formula>IF(SUM(U8,I8,O8)=0,1,0)</formula>
    </cfRule>
    <cfRule type="cellIs" dxfId="0" priority="452" operator="greaterThan">
      <formula>SUM(U8,I8,O8)</formula>
    </cfRule>
    <cfRule type="cellIs" dxfId="3" priority="453" operator="greaterThan">
      <formula>SUM(IF(ISNUMBER(W8),V8,0),IF(ISNUMBER(K8),J8,0),IF(ISNUMBER(Q8),P8,0))</formula>
    </cfRule>
  </conditionalFormatting>
  <conditionalFormatting sqref="F9">
    <cfRule type="expression" dxfId="4" priority="454">
      <formula>AND(ISBLANK(E9),ISBLANK(Y9),ISBLANK(M9),ISBLANK(S9))</formula>
    </cfRule>
    <cfRule type="expression" dxfId="1" priority="455">
      <formula>IF(SUM(U9,I9,O9)=0,1,0)</formula>
    </cfRule>
    <cfRule type="cellIs" dxfId="0" priority="456" operator="greaterThan">
      <formula>SUM(U9,I9,O9)</formula>
    </cfRule>
    <cfRule type="cellIs" dxfId="3" priority="457" operator="greaterThan">
      <formula>SUM(IF(ISNUMBER(W9),V9,0),IF(ISNUMBER(K9),J9,0),IF(ISNUMBER(Q9),P9,0))</formula>
    </cfRule>
  </conditionalFormatting>
  <conditionalFormatting sqref="I10">
    <cfRule type="cellIs" dxfId="0" priority="13" operator="lessThan">
      <formula>F10</formula>
    </cfRule>
  </conditionalFormatting>
  <conditionalFormatting sqref="I11">
    <cfRule type="cellIs" dxfId="0" priority="17" operator="lessThan">
      <formula>F11</formula>
    </cfRule>
  </conditionalFormatting>
  <conditionalFormatting sqref="I12">
    <cfRule type="cellIs" dxfId="0" priority="21" operator="lessThan">
      <formula>F12</formula>
    </cfRule>
  </conditionalFormatting>
  <conditionalFormatting sqref="I13">
    <cfRule type="cellIs" dxfId="0" priority="25" operator="lessThan">
      <formula>F13</formula>
    </cfRule>
  </conditionalFormatting>
  <conditionalFormatting sqref="I14">
    <cfRule type="cellIs" dxfId="0" priority="29" operator="lessThan">
      <formula>F14</formula>
    </cfRule>
  </conditionalFormatting>
  <conditionalFormatting sqref="I15">
    <cfRule type="cellIs" dxfId="0" priority="33" operator="lessThan">
      <formula>F15</formula>
    </cfRule>
  </conditionalFormatting>
  <conditionalFormatting sqref="I16">
    <cfRule type="cellIs" dxfId="0" priority="37" operator="lessThan">
      <formula>F16</formula>
    </cfRule>
  </conditionalFormatting>
  <conditionalFormatting sqref="I17">
    <cfRule type="cellIs" dxfId="0" priority="41" operator="lessThan">
      <formula>F17</formula>
    </cfRule>
  </conditionalFormatting>
  <conditionalFormatting sqref="I18">
    <cfRule type="cellIs" dxfId="0" priority="45" operator="lessThan">
      <formula>F18</formula>
    </cfRule>
  </conditionalFormatting>
  <conditionalFormatting sqref="I19">
    <cfRule type="cellIs" dxfId="0" priority="53" operator="lessThan">
      <formula>F19</formula>
    </cfRule>
  </conditionalFormatting>
  <conditionalFormatting sqref="I20">
    <cfRule type="cellIs" dxfId="0" priority="57" operator="lessThan">
      <formula>F20</formula>
    </cfRule>
  </conditionalFormatting>
  <conditionalFormatting sqref="I21">
    <cfRule type="cellIs" dxfId="0" priority="61" operator="lessThan">
      <formula>F21</formula>
    </cfRule>
  </conditionalFormatting>
  <conditionalFormatting sqref="I22">
    <cfRule type="cellIs" dxfId="0" priority="65" operator="lessThan">
      <formula>F22</formula>
    </cfRule>
  </conditionalFormatting>
  <conditionalFormatting sqref="I25">
    <cfRule type="cellIs" dxfId="0" priority="69" operator="lessThan">
      <formula>F25</formula>
    </cfRule>
  </conditionalFormatting>
  <conditionalFormatting sqref="I26">
    <cfRule type="cellIs" dxfId="0" priority="73" operator="lessThan">
      <formula>F26</formula>
    </cfRule>
  </conditionalFormatting>
  <conditionalFormatting sqref="I27">
    <cfRule type="cellIs" dxfId="0" priority="77" operator="lessThan">
      <formula>F27</formula>
    </cfRule>
  </conditionalFormatting>
  <conditionalFormatting sqref="I29">
    <cfRule type="cellIs" dxfId="0" priority="81" operator="lessThan">
      <formula>F29</formula>
    </cfRule>
  </conditionalFormatting>
  <conditionalFormatting sqref="I30">
    <cfRule type="cellIs" dxfId="0" priority="85" operator="lessThan">
      <formula>F30</formula>
    </cfRule>
  </conditionalFormatting>
  <conditionalFormatting sqref="I31">
    <cfRule type="cellIs" dxfId="0" priority="89" operator="lessThan">
      <formula>F31</formula>
    </cfRule>
  </conditionalFormatting>
  <conditionalFormatting sqref="I32">
    <cfRule type="cellIs" dxfId="0" priority="93" operator="lessThan">
      <formula>F32</formula>
    </cfRule>
  </conditionalFormatting>
  <conditionalFormatting sqref="I33">
    <cfRule type="cellIs" dxfId="0" priority="97" operator="lessThan">
      <formula>F33</formula>
    </cfRule>
  </conditionalFormatting>
  <conditionalFormatting sqref="I34">
    <cfRule type="cellIs" dxfId="0" priority="101" operator="lessThan">
      <formula>F34</formula>
    </cfRule>
  </conditionalFormatting>
  <conditionalFormatting sqref="I35">
    <cfRule type="cellIs" dxfId="0" priority="105" operator="lessThan">
      <formula>F35</formula>
    </cfRule>
  </conditionalFormatting>
  <conditionalFormatting sqref="I36">
    <cfRule type="cellIs" dxfId="0" priority="109" operator="lessThan">
      <formula>F36</formula>
    </cfRule>
  </conditionalFormatting>
  <conditionalFormatting sqref="I37">
    <cfRule type="cellIs" dxfId="0" priority="113" operator="lessThan">
      <formula>F37</formula>
    </cfRule>
  </conditionalFormatting>
  <conditionalFormatting sqref="I38">
    <cfRule type="cellIs" dxfId="0" priority="117" operator="lessThan">
      <formula>F38</formula>
    </cfRule>
  </conditionalFormatting>
  <conditionalFormatting sqref="I39">
    <cfRule type="cellIs" dxfId="0" priority="121" operator="lessThan">
      <formula>F39</formula>
    </cfRule>
  </conditionalFormatting>
  <conditionalFormatting sqref="I40">
    <cfRule type="cellIs" dxfId="0" priority="125" operator="lessThan">
      <formula>F40</formula>
    </cfRule>
  </conditionalFormatting>
  <conditionalFormatting sqref="I41">
    <cfRule type="cellIs" dxfId="0" priority="129" operator="lessThan">
      <formula>F41</formula>
    </cfRule>
  </conditionalFormatting>
  <conditionalFormatting sqref="I42">
    <cfRule type="cellIs" dxfId="0" priority="133" operator="lessThan">
      <formula>F42</formula>
    </cfRule>
  </conditionalFormatting>
  <conditionalFormatting sqref="I43">
    <cfRule type="cellIs" dxfId="0" priority="137" operator="lessThan">
      <formula>F43</formula>
    </cfRule>
  </conditionalFormatting>
  <conditionalFormatting sqref="I44">
    <cfRule type="cellIs" dxfId="0" priority="141" operator="lessThan">
      <formula>F44</formula>
    </cfRule>
  </conditionalFormatting>
  <conditionalFormatting sqref="I45">
    <cfRule type="cellIs" dxfId="0" priority="145" operator="lessThan">
      <formula>F45</formula>
    </cfRule>
  </conditionalFormatting>
  <conditionalFormatting sqref="I46">
    <cfRule type="cellIs" dxfId="0" priority="149" operator="lessThan">
      <formula>F46</formula>
    </cfRule>
  </conditionalFormatting>
  <conditionalFormatting sqref="I47">
    <cfRule type="cellIs" dxfId="0" priority="153" operator="lessThan">
      <formula>F47</formula>
    </cfRule>
  </conditionalFormatting>
  <conditionalFormatting sqref="I48">
    <cfRule type="cellIs" dxfId="0" priority="157" operator="lessThan">
      <formula>F48</formula>
    </cfRule>
  </conditionalFormatting>
  <conditionalFormatting sqref="I50">
    <cfRule type="cellIs" dxfId="0" priority="161" operator="lessThan">
      <formula>F50</formula>
    </cfRule>
  </conditionalFormatting>
  <conditionalFormatting sqref="I51">
    <cfRule type="cellIs" dxfId="0" priority="165" operator="lessThan">
      <formula>F51</formula>
    </cfRule>
  </conditionalFormatting>
  <conditionalFormatting sqref="I52">
    <cfRule type="cellIs" dxfId="0" priority="169" operator="lessThan">
      <formula>F52</formula>
    </cfRule>
  </conditionalFormatting>
  <conditionalFormatting sqref="I53">
    <cfRule type="cellIs" dxfId="0" priority="173" operator="lessThan">
      <formula>F53</formula>
    </cfRule>
  </conditionalFormatting>
  <conditionalFormatting sqref="I54">
    <cfRule type="cellIs" dxfId="0" priority="177" operator="lessThan">
      <formula>F54</formula>
    </cfRule>
  </conditionalFormatting>
  <conditionalFormatting sqref="I55">
    <cfRule type="cellIs" dxfId="0" priority="181" operator="lessThan">
      <formula>F55</formula>
    </cfRule>
  </conditionalFormatting>
  <conditionalFormatting sqref="I56">
    <cfRule type="cellIs" dxfId="0" priority="185" operator="lessThan">
      <formula>F56</formula>
    </cfRule>
  </conditionalFormatting>
  <conditionalFormatting sqref="I57">
    <cfRule type="cellIs" dxfId="0" priority="189" operator="lessThan">
      <formula>F57</formula>
    </cfRule>
  </conditionalFormatting>
  <conditionalFormatting sqref="I58">
    <cfRule type="cellIs" dxfId="0" priority="193" operator="lessThan">
      <formula>F58</formula>
    </cfRule>
  </conditionalFormatting>
  <conditionalFormatting sqref="I59">
    <cfRule type="cellIs" dxfId="0" priority="201" operator="lessThan">
      <formula>F59</formula>
    </cfRule>
  </conditionalFormatting>
  <conditionalFormatting sqref="I60">
    <cfRule type="cellIs" dxfId="0" priority="205" operator="lessThan">
      <formula>F60</formula>
    </cfRule>
  </conditionalFormatting>
  <conditionalFormatting sqref="I61">
    <cfRule type="cellIs" dxfId="0" priority="209" operator="lessThan">
      <formula>F61</formula>
    </cfRule>
  </conditionalFormatting>
  <conditionalFormatting sqref="I62">
    <cfRule type="cellIs" dxfId="0" priority="213" operator="lessThan">
      <formula>F62</formula>
    </cfRule>
  </conditionalFormatting>
  <conditionalFormatting sqref="I63">
    <cfRule type="cellIs" dxfId="0" priority="217" operator="lessThan">
      <formula>F63</formula>
    </cfRule>
  </conditionalFormatting>
  <conditionalFormatting sqref="I64">
    <cfRule type="cellIs" dxfId="0" priority="221" operator="lessThan">
      <formula>F64</formula>
    </cfRule>
  </conditionalFormatting>
  <conditionalFormatting sqref="I7">
    <cfRule type="cellIs" dxfId="0" priority="1" operator="lessThan">
      <formula>F7</formula>
    </cfRule>
  </conditionalFormatting>
  <conditionalFormatting sqref="I8">
    <cfRule type="cellIs" dxfId="0" priority="5" operator="lessThan">
      <formula>F8</formula>
    </cfRule>
  </conditionalFormatting>
  <conditionalFormatting sqref="I9">
    <cfRule type="cellIs" dxfId="0" priority="9" operator="lessThan">
      <formula>F9</formula>
    </cfRule>
  </conditionalFormatting>
  <conditionalFormatting sqref="J10">
    <cfRule type="expression" dxfId="1" priority="14">
      <formula>AND(NOT(ISBLANK(J10)),OR(I10="NonStk",J10&gt;I10))</formula>
    </cfRule>
  </conditionalFormatting>
  <conditionalFormatting sqref="J11">
    <cfRule type="expression" dxfId="1" priority="18">
      <formula>AND(NOT(ISBLANK(J11)),OR(I11="NonStk",J11&gt;I11))</formula>
    </cfRule>
  </conditionalFormatting>
  <conditionalFormatting sqref="J12">
    <cfRule type="expression" dxfId="1" priority="22">
      <formula>AND(NOT(ISBLANK(J12)),OR(I12="NonStk",J12&gt;I12))</formula>
    </cfRule>
  </conditionalFormatting>
  <conditionalFormatting sqref="J13">
    <cfRule type="expression" dxfId="1" priority="26">
      <formula>AND(NOT(ISBLANK(J13)),OR(I13="NonStk",J13&gt;I13))</formula>
    </cfRule>
  </conditionalFormatting>
  <conditionalFormatting sqref="J14">
    <cfRule type="expression" dxfId="1" priority="30">
      <formula>AND(NOT(ISBLANK(J14)),OR(I14="NonStk",J14&gt;I14))</formula>
    </cfRule>
  </conditionalFormatting>
  <conditionalFormatting sqref="J15">
    <cfRule type="expression" dxfId="1" priority="34">
      <formula>AND(NOT(ISBLANK(J15)),OR(I15="NonStk",J15&gt;I15))</formula>
    </cfRule>
  </conditionalFormatting>
  <conditionalFormatting sqref="J16">
    <cfRule type="expression" dxfId="1" priority="38">
      <formula>AND(NOT(ISBLANK(J16)),OR(I16="NonStk",J16&gt;I16))</formula>
    </cfRule>
  </conditionalFormatting>
  <conditionalFormatting sqref="J17">
    <cfRule type="expression" dxfId="1" priority="42">
      <formula>AND(NOT(ISBLANK(J17)),OR(I17="NonStk",J17&gt;I17))</formula>
    </cfRule>
  </conditionalFormatting>
  <conditionalFormatting sqref="J18">
    <cfRule type="expression" dxfId="3" priority="46">
      <formula>AND(J18&gt;0,MOD(J18,L18)&lt;&gt;0)</formula>
    </cfRule>
    <cfRule type="expression" dxfId="1" priority="47">
      <formula>AND(NOT(ISBLANK(J18)),OR(I18="NonStk",J18&gt;I18))</formula>
    </cfRule>
  </conditionalFormatting>
  <conditionalFormatting sqref="J19">
    <cfRule type="expression" dxfId="1" priority="54">
      <formula>AND(NOT(ISBLANK(J19)),OR(I19="NonStk",J19&gt;I19))</formula>
    </cfRule>
  </conditionalFormatting>
  <conditionalFormatting sqref="J20">
    <cfRule type="expression" dxfId="1" priority="58">
      <formula>AND(NOT(ISBLANK(J20)),OR(I20="NonStk",J20&gt;I20))</formula>
    </cfRule>
  </conditionalFormatting>
  <conditionalFormatting sqref="J21">
    <cfRule type="expression" dxfId="1" priority="62">
      <formula>AND(NOT(ISBLANK(J21)),OR(I21="NonStk",J21&gt;I21))</formula>
    </cfRule>
  </conditionalFormatting>
  <conditionalFormatting sqref="J22">
    <cfRule type="expression" dxfId="1" priority="66">
      <formula>AND(NOT(ISBLANK(J22)),OR(I22="NonStk",J22&gt;I22))</formula>
    </cfRule>
  </conditionalFormatting>
  <conditionalFormatting sqref="J25">
    <cfRule type="expression" dxfId="1" priority="70">
      <formula>AND(NOT(ISBLANK(J25)),OR(I25="NonStk",J25&gt;I25))</formula>
    </cfRule>
  </conditionalFormatting>
  <conditionalFormatting sqref="J26">
    <cfRule type="expression" dxfId="1" priority="74">
      <formula>AND(NOT(ISBLANK(J26)),OR(I26="NonStk",J26&gt;I26))</formula>
    </cfRule>
  </conditionalFormatting>
  <conditionalFormatting sqref="J27">
    <cfRule type="expression" dxfId="1" priority="78">
      <formula>AND(NOT(ISBLANK(J27)),OR(I27="NonStk",J27&gt;I27))</formula>
    </cfRule>
  </conditionalFormatting>
  <conditionalFormatting sqref="J29">
    <cfRule type="expression" dxfId="1" priority="82">
      <formula>AND(NOT(ISBLANK(J29)),OR(I29="NonStk",J29&gt;I29))</formula>
    </cfRule>
  </conditionalFormatting>
  <conditionalFormatting sqref="J30">
    <cfRule type="expression" dxfId="1" priority="86">
      <formula>AND(NOT(ISBLANK(J30)),OR(I30="NonStk",J30&gt;I30))</formula>
    </cfRule>
  </conditionalFormatting>
  <conditionalFormatting sqref="J31">
    <cfRule type="expression" dxfId="1" priority="90">
      <formula>AND(NOT(ISBLANK(J31)),OR(I31="NonStk",J31&gt;I31))</formula>
    </cfRule>
  </conditionalFormatting>
  <conditionalFormatting sqref="J32">
    <cfRule type="expression" dxfId="1" priority="94">
      <formula>AND(NOT(ISBLANK(J32)),OR(I32="NonStk",J32&gt;I32))</formula>
    </cfRule>
  </conditionalFormatting>
  <conditionalFormatting sqref="J33">
    <cfRule type="expression" dxfId="1" priority="98">
      <formula>AND(NOT(ISBLANK(J33)),OR(I33="NonStk",J33&gt;I33))</formula>
    </cfRule>
  </conditionalFormatting>
  <conditionalFormatting sqref="J34">
    <cfRule type="expression" dxfId="1" priority="102">
      <formula>AND(NOT(ISBLANK(J34)),OR(I34="NonStk",J34&gt;I34))</formula>
    </cfRule>
  </conditionalFormatting>
  <conditionalFormatting sqref="J35">
    <cfRule type="expression" dxfId="1" priority="106">
      <formula>AND(NOT(ISBLANK(J35)),OR(I35="NonStk",J35&gt;I35))</formula>
    </cfRule>
  </conditionalFormatting>
  <conditionalFormatting sqref="J36">
    <cfRule type="expression" dxfId="1" priority="110">
      <formula>AND(NOT(ISBLANK(J36)),OR(I36="NonStk",J36&gt;I36))</formula>
    </cfRule>
  </conditionalFormatting>
  <conditionalFormatting sqref="J37">
    <cfRule type="expression" dxfId="1" priority="114">
      <formula>AND(NOT(ISBLANK(J37)),OR(I37="NonStk",J37&gt;I37))</formula>
    </cfRule>
  </conditionalFormatting>
  <conditionalFormatting sqref="J38">
    <cfRule type="expression" dxfId="1" priority="118">
      <formula>AND(NOT(ISBLANK(J38)),OR(I38="NonStk",J38&gt;I38))</formula>
    </cfRule>
  </conditionalFormatting>
  <conditionalFormatting sqref="J39">
    <cfRule type="expression" dxfId="1" priority="122">
      <formula>AND(NOT(ISBLANK(J39)),OR(I39="NonStk",J39&gt;I39))</formula>
    </cfRule>
  </conditionalFormatting>
  <conditionalFormatting sqref="J40">
    <cfRule type="expression" dxfId="1" priority="126">
      <formula>AND(NOT(ISBLANK(J40)),OR(I40="NonStk",J40&gt;I40))</formula>
    </cfRule>
  </conditionalFormatting>
  <conditionalFormatting sqref="J41">
    <cfRule type="expression" dxfId="1" priority="130">
      <formula>AND(NOT(ISBLANK(J41)),OR(I41="NonStk",J41&gt;I41))</formula>
    </cfRule>
  </conditionalFormatting>
  <conditionalFormatting sqref="J42">
    <cfRule type="expression" dxfId="1" priority="134">
      <formula>AND(NOT(ISBLANK(J42)),OR(I42="NonStk",J42&gt;I42))</formula>
    </cfRule>
  </conditionalFormatting>
  <conditionalFormatting sqref="J43">
    <cfRule type="expression" dxfId="1" priority="138">
      <formula>AND(NOT(ISBLANK(J43)),OR(I43="NonStk",J43&gt;I43))</formula>
    </cfRule>
  </conditionalFormatting>
  <conditionalFormatting sqref="J44">
    <cfRule type="expression" dxfId="1" priority="142">
      <formula>AND(NOT(ISBLANK(J44)),OR(I44="NonStk",J44&gt;I44))</formula>
    </cfRule>
  </conditionalFormatting>
  <conditionalFormatting sqref="J45">
    <cfRule type="expression" dxfId="1" priority="146">
      <formula>AND(NOT(ISBLANK(J45)),OR(I45="NonStk",J45&gt;I45))</formula>
    </cfRule>
  </conditionalFormatting>
  <conditionalFormatting sqref="J46">
    <cfRule type="expression" dxfId="1" priority="150">
      <formula>AND(NOT(ISBLANK(J46)),OR(I46="NonStk",J46&gt;I46))</formula>
    </cfRule>
  </conditionalFormatting>
  <conditionalFormatting sqref="J47">
    <cfRule type="expression" dxfId="1" priority="154">
      <formula>AND(NOT(ISBLANK(J47)),OR(I47="NonStk",J47&gt;I47))</formula>
    </cfRule>
  </conditionalFormatting>
  <conditionalFormatting sqref="J48">
    <cfRule type="expression" dxfId="1" priority="158">
      <formula>AND(NOT(ISBLANK(J48)),OR(I48="NonStk",J48&gt;I48))</formula>
    </cfRule>
  </conditionalFormatting>
  <conditionalFormatting sqref="J50">
    <cfRule type="expression" dxfId="1" priority="162">
      <formula>AND(NOT(ISBLANK(J50)),OR(I50="NonStk",J50&gt;I50))</formula>
    </cfRule>
  </conditionalFormatting>
  <conditionalFormatting sqref="J51">
    <cfRule type="expression" dxfId="1" priority="166">
      <formula>AND(NOT(ISBLANK(J51)),OR(I51="NonStk",J51&gt;I51))</formula>
    </cfRule>
  </conditionalFormatting>
  <conditionalFormatting sqref="J52">
    <cfRule type="expression" dxfId="1" priority="170">
      <formula>AND(NOT(ISBLANK(J52)),OR(I52="NonStk",J52&gt;I52))</formula>
    </cfRule>
  </conditionalFormatting>
  <conditionalFormatting sqref="J53">
    <cfRule type="expression" dxfId="1" priority="174">
      <formula>AND(NOT(ISBLANK(J53)),OR(I53="NonStk",J53&gt;I53))</formula>
    </cfRule>
  </conditionalFormatting>
  <conditionalFormatting sqref="J54">
    <cfRule type="expression" dxfId="1" priority="178">
      <formula>AND(NOT(ISBLANK(J54)),OR(I54="NonStk",J54&gt;I54))</formula>
    </cfRule>
  </conditionalFormatting>
  <conditionalFormatting sqref="J55">
    <cfRule type="expression" dxfId="1" priority="182">
      <formula>AND(NOT(ISBLANK(J55)),OR(I55="NonStk",J55&gt;I55))</formula>
    </cfRule>
  </conditionalFormatting>
  <conditionalFormatting sqref="J56">
    <cfRule type="expression" dxfId="1" priority="186">
      <formula>AND(NOT(ISBLANK(J56)),OR(I56="NonStk",J56&gt;I56))</formula>
    </cfRule>
  </conditionalFormatting>
  <conditionalFormatting sqref="J57">
    <cfRule type="expression" dxfId="1" priority="190">
      <formula>AND(NOT(ISBLANK(J57)),OR(I57="NonStk",J57&gt;I57))</formula>
    </cfRule>
  </conditionalFormatting>
  <conditionalFormatting sqref="J58">
    <cfRule type="expression" dxfId="3" priority="194">
      <formula>AND(J58&gt;0,MOD(J58,L58)&lt;&gt;0)</formula>
    </cfRule>
    <cfRule type="expression" dxfId="1" priority="195">
      <formula>AND(NOT(ISBLANK(J58)),OR(I58="NonStk",J58&gt;I58))</formula>
    </cfRule>
  </conditionalFormatting>
  <conditionalFormatting sqref="J59">
    <cfRule type="expression" dxfId="1" priority="202">
      <formula>AND(NOT(ISBLANK(J59)),OR(I59="NonStk",J59&gt;I59))</formula>
    </cfRule>
  </conditionalFormatting>
  <conditionalFormatting sqref="J60">
    <cfRule type="expression" dxfId="1" priority="206">
      <formula>AND(NOT(ISBLANK(J60)),OR(I60="NonStk",J60&gt;I60))</formula>
    </cfRule>
  </conditionalFormatting>
  <conditionalFormatting sqref="J61">
    <cfRule type="expression" dxfId="1" priority="210">
      <formula>AND(NOT(ISBLANK(J61)),OR(I61="NonStk",J61&gt;I61))</formula>
    </cfRule>
  </conditionalFormatting>
  <conditionalFormatting sqref="J62">
    <cfRule type="expression" dxfId="1" priority="214">
      <formula>AND(NOT(ISBLANK(J62)),OR(I62="NonStk",J62&gt;I62))</formula>
    </cfRule>
  </conditionalFormatting>
  <conditionalFormatting sqref="J63">
    <cfRule type="expression" dxfId="1" priority="218">
      <formula>AND(NOT(ISBLANK(J63)),OR(I63="NonStk",J63&gt;I63))</formula>
    </cfRule>
  </conditionalFormatting>
  <conditionalFormatting sqref="J64">
    <cfRule type="expression" dxfId="1" priority="222">
      <formula>AND(NOT(ISBLANK(J64)),OR(I64="NonStk",J64&gt;I64))</formula>
    </cfRule>
  </conditionalFormatting>
  <conditionalFormatting sqref="J7">
    <cfRule type="expression" dxfId="1" priority="2">
      <formula>AND(NOT(ISBLANK(J7)),OR(I7="NonStk",J7&gt;I7))</formula>
    </cfRule>
  </conditionalFormatting>
  <conditionalFormatting sqref="J8">
    <cfRule type="expression" dxfId="1" priority="6">
      <formula>AND(NOT(ISBLANK(J8)),OR(I8="NonStk",J8&gt;I8))</formula>
    </cfRule>
  </conditionalFormatting>
  <conditionalFormatting sqref="J9">
    <cfRule type="expression" dxfId="1" priority="10">
      <formula>AND(NOT(ISBLANK(J9)),OR(I9="NonStk",J9&gt;I9))</formula>
    </cfRule>
  </conditionalFormatting>
  <conditionalFormatting sqref="K10">
    <cfRule type="cellIs" dxfId="2" priority="16" operator="lessThanOrEqual">
      <formula>G10</formula>
    </cfRule>
  </conditionalFormatting>
  <conditionalFormatting sqref="K11">
    <cfRule type="cellIs" dxfId="2" priority="20" operator="lessThanOrEqual">
      <formula>G11</formula>
    </cfRule>
  </conditionalFormatting>
  <conditionalFormatting sqref="K12">
    <cfRule type="cellIs" dxfId="2" priority="24" operator="lessThanOrEqual">
      <formula>G12</formula>
    </cfRule>
  </conditionalFormatting>
  <conditionalFormatting sqref="K13">
    <cfRule type="cellIs" dxfId="2" priority="28" operator="lessThanOrEqual">
      <formula>G13</formula>
    </cfRule>
  </conditionalFormatting>
  <conditionalFormatting sqref="K14">
    <cfRule type="cellIs" dxfId="2" priority="32" operator="lessThanOrEqual">
      <formula>G14</formula>
    </cfRule>
  </conditionalFormatting>
  <conditionalFormatting sqref="K15">
    <cfRule type="cellIs" dxfId="2" priority="36" operator="lessThanOrEqual">
      <formula>G15</formula>
    </cfRule>
  </conditionalFormatting>
  <conditionalFormatting sqref="K16">
    <cfRule type="cellIs" dxfId="2" priority="40" operator="lessThanOrEqual">
      <formula>G16</formula>
    </cfRule>
  </conditionalFormatting>
  <conditionalFormatting sqref="K17">
    <cfRule type="cellIs" dxfId="2" priority="44" operator="lessThanOrEqual">
      <formula>G17</formula>
    </cfRule>
  </conditionalFormatting>
  <conditionalFormatting sqref="K18">
    <cfRule type="cellIs" dxfId="2" priority="49" operator="lessThanOrEqual">
      <formula>G18</formula>
    </cfRule>
    <cfRule type="expression" dxfId="3" priority="50">
      <formula>AND(F18&lt;7500,J18&lt;7500)</formula>
    </cfRule>
  </conditionalFormatting>
  <conditionalFormatting sqref="K19">
    <cfRule type="cellIs" dxfId="2" priority="56" operator="lessThanOrEqual">
      <formula>G19</formula>
    </cfRule>
  </conditionalFormatting>
  <conditionalFormatting sqref="K20">
    <cfRule type="cellIs" dxfId="2" priority="60" operator="lessThanOrEqual">
      <formula>G20</formula>
    </cfRule>
  </conditionalFormatting>
  <conditionalFormatting sqref="K21">
    <cfRule type="cellIs" dxfId="2" priority="64" operator="lessThanOrEqual">
      <formula>G21</formula>
    </cfRule>
  </conditionalFormatting>
  <conditionalFormatting sqref="K22">
    <cfRule type="cellIs" dxfId="2" priority="68" operator="lessThanOrEqual">
      <formula>G22</formula>
    </cfRule>
  </conditionalFormatting>
  <conditionalFormatting sqref="K25">
    <cfRule type="cellIs" dxfId="2" priority="72" operator="lessThanOrEqual">
      <formula>G25</formula>
    </cfRule>
  </conditionalFormatting>
  <conditionalFormatting sqref="K26">
    <cfRule type="cellIs" dxfId="2" priority="76" operator="lessThanOrEqual">
      <formula>G26</formula>
    </cfRule>
  </conditionalFormatting>
  <conditionalFormatting sqref="K27">
    <cfRule type="cellIs" dxfId="2" priority="80" operator="lessThanOrEqual">
      <formula>G27</formula>
    </cfRule>
  </conditionalFormatting>
  <conditionalFormatting sqref="K29">
    <cfRule type="cellIs" dxfId="2" priority="84" operator="lessThanOrEqual">
      <formula>G29</formula>
    </cfRule>
  </conditionalFormatting>
  <conditionalFormatting sqref="K30">
    <cfRule type="cellIs" dxfId="2" priority="88" operator="lessThanOrEqual">
      <formula>G30</formula>
    </cfRule>
  </conditionalFormatting>
  <conditionalFormatting sqref="K31">
    <cfRule type="cellIs" dxfId="2" priority="92" operator="lessThanOrEqual">
      <formula>G31</formula>
    </cfRule>
  </conditionalFormatting>
  <conditionalFormatting sqref="K32">
    <cfRule type="cellIs" dxfId="2" priority="96" operator="lessThanOrEqual">
      <formula>G32</formula>
    </cfRule>
  </conditionalFormatting>
  <conditionalFormatting sqref="K33">
    <cfRule type="cellIs" dxfId="2" priority="100" operator="lessThanOrEqual">
      <formula>G33</formula>
    </cfRule>
  </conditionalFormatting>
  <conditionalFormatting sqref="K34">
    <cfRule type="cellIs" dxfId="2" priority="104" operator="lessThanOrEqual">
      <formula>G34</formula>
    </cfRule>
  </conditionalFormatting>
  <conditionalFormatting sqref="K35">
    <cfRule type="cellIs" dxfId="2" priority="108" operator="lessThanOrEqual">
      <formula>G35</formula>
    </cfRule>
  </conditionalFormatting>
  <conditionalFormatting sqref="K36">
    <cfRule type="cellIs" dxfId="2" priority="112" operator="lessThanOrEqual">
      <formula>G36</formula>
    </cfRule>
  </conditionalFormatting>
  <conditionalFormatting sqref="K37">
    <cfRule type="cellIs" dxfId="2" priority="116" operator="lessThanOrEqual">
      <formula>G37</formula>
    </cfRule>
  </conditionalFormatting>
  <conditionalFormatting sqref="K38">
    <cfRule type="cellIs" dxfId="2" priority="120" operator="lessThanOrEqual">
      <formula>G38</formula>
    </cfRule>
  </conditionalFormatting>
  <conditionalFormatting sqref="K39">
    <cfRule type="cellIs" dxfId="2" priority="124" operator="lessThanOrEqual">
      <formula>G39</formula>
    </cfRule>
  </conditionalFormatting>
  <conditionalFormatting sqref="K40">
    <cfRule type="cellIs" dxfId="2" priority="128" operator="lessThanOrEqual">
      <formula>G40</formula>
    </cfRule>
  </conditionalFormatting>
  <conditionalFormatting sqref="K41">
    <cfRule type="cellIs" dxfId="2" priority="132" operator="lessThanOrEqual">
      <formula>G41</formula>
    </cfRule>
  </conditionalFormatting>
  <conditionalFormatting sqref="K42">
    <cfRule type="cellIs" dxfId="2" priority="136" operator="lessThanOrEqual">
      <formula>G42</formula>
    </cfRule>
  </conditionalFormatting>
  <conditionalFormatting sqref="K43">
    <cfRule type="cellIs" dxfId="2" priority="140" operator="lessThanOrEqual">
      <formula>G43</formula>
    </cfRule>
  </conditionalFormatting>
  <conditionalFormatting sqref="K44">
    <cfRule type="cellIs" dxfId="2" priority="144" operator="lessThanOrEqual">
      <formula>G44</formula>
    </cfRule>
  </conditionalFormatting>
  <conditionalFormatting sqref="K45">
    <cfRule type="cellIs" dxfId="2" priority="148" operator="lessThanOrEqual">
      <formula>G45</formula>
    </cfRule>
  </conditionalFormatting>
  <conditionalFormatting sqref="K46">
    <cfRule type="cellIs" dxfId="2" priority="152" operator="lessThanOrEqual">
      <formula>G46</formula>
    </cfRule>
  </conditionalFormatting>
  <conditionalFormatting sqref="K47">
    <cfRule type="cellIs" dxfId="2" priority="156" operator="lessThanOrEqual">
      <formula>G47</formula>
    </cfRule>
  </conditionalFormatting>
  <conditionalFormatting sqref="K48">
    <cfRule type="cellIs" dxfId="2" priority="160" operator="lessThanOrEqual">
      <formula>G48</formula>
    </cfRule>
  </conditionalFormatting>
  <conditionalFormatting sqref="K50">
    <cfRule type="cellIs" dxfId="2" priority="164" operator="lessThanOrEqual">
      <formula>G50</formula>
    </cfRule>
  </conditionalFormatting>
  <conditionalFormatting sqref="K51">
    <cfRule type="cellIs" dxfId="2" priority="168" operator="lessThanOrEqual">
      <formula>G51</formula>
    </cfRule>
  </conditionalFormatting>
  <conditionalFormatting sqref="K52">
    <cfRule type="cellIs" dxfId="2" priority="172" operator="lessThanOrEqual">
      <formula>G52</formula>
    </cfRule>
  </conditionalFormatting>
  <conditionalFormatting sqref="K53">
    <cfRule type="cellIs" dxfId="2" priority="176" operator="lessThanOrEqual">
      <formula>G53</formula>
    </cfRule>
  </conditionalFormatting>
  <conditionalFormatting sqref="K54">
    <cfRule type="cellIs" dxfId="2" priority="180" operator="lessThanOrEqual">
      <formula>G54</formula>
    </cfRule>
  </conditionalFormatting>
  <conditionalFormatting sqref="K55">
    <cfRule type="cellIs" dxfId="2" priority="184" operator="lessThanOrEqual">
      <formula>G55</formula>
    </cfRule>
  </conditionalFormatting>
  <conditionalFormatting sqref="K56">
    <cfRule type="cellIs" dxfId="2" priority="188" operator="lessThanOrEqual">
      <formula>G56</formula>
    </cfRule>
  </conditionalFormatting>
  <conditionalFormatting sqref="K57">
    <cfRule type="cellIs" dxfId="2" priority="192" operator="lessThanOrEqual">
      <formula>G57</formula>
    </cfRule>
  </conditionalFormatting>
  <conditionalFormatting sqref="K58">
    <cfRule type="cellIs" dxfId="2" priority="197" operator="lessThanOrEqual">
      <formula>G58</formula>
    </cfRule>
    <cfRule type="expression" dxfId="3" priority="198">
      <formula>AND(F58&lt;250,J58&lt;250)</formula>
    </cfRule>
  </conditionalFormatting>
  <conditionalFormatting sqref="K59">
    <cfRule type="cellIs" dxfId="2" priority="204" operator="lessThanOrEqual">
      <formula>G59</formula>
    </cfRule>
  </conditionalFormatting>
  <conditionalFormatting sqref="K60">
    <cfRule type="cellIs" dxfId="2" priority="208" operator="lessThanOrEqual">
      <formula>G60</formula>
    </cfRule>
  </conditionalFormatting>
  <conditionalFormatting sqref="K61">
    <cfRule type="cellIs" dxfId="2" priority="212" operator="lessThanOrEqual">
      <formula>G61</formula>
    </cfRule>
  </conditionalFormatting>
  <conditionalFormatting sqref="K62">
    <cfRule type="cellIs" dxfId="2" priority="216" operator="lessThanOrEqual">
      <formula>G62</formula>
    </cfRule>
  </conditionalFormatting>
  <conditionalFormatting sqref="K63">
    <cfRule type="cellIs" dxfId="2" priority="220" operator="lessThanOrEqual">
      <formula>G63</formula>
    </cfRule>
  </conditionalFormatting>
  <conditionalFormatting sqref="K64">
    <cfRule type="cellIs" dxfId="2" priority="224" operator="lessThanOrEqual">
      <formula>G64</formula>
    </cfRule>
  </conditionalFormatting>
  <conditionalFormatting sqref="K7">
    <cfRule type="cellIs" dxfId="2" priority="4" operator="lessThanOrEqual">
      <formula>G7</formula>
    </cfRule>
  </conditionalFormatting>
  <conditionalFormatting sqref="K8">
    <cfRule type="cellIs" dxfId="2" priority="8" operator="lessThanOrEqual">
      <formula>G8</formula>
    </cfRule>
  </conditionalFormatting>
  <conditionalFormatting sqref="K9">
    <cfRule type="cellIs" dxfId="2" priority="12" operator="lessThanOrEqual">
      <formula>G9</formula>
    </cfRule>
  </conditionalFormatting>
  <conditionalFormatting sqref="L18">
    <cfRule type="expression" dxfId="3" priority="51">
      <formula>AND(F18&lt;7500,J18&lt;7500)</formula>
    </cfRule>
  </conditionalFormatting>
  <conditionalFormatting sqref="L58">
    <cfRule type="expression" dxfId="3" priority="199">
      <formula>AND(F58&lt;250,J58&lt;250)</formula>
    </cfRule>
  </conditionalFormatting>
  <conditionalFormatting sqref="M10">
    <cfRule type="cellIs" dxfId="2" priority="15" operator="lessThanOrEqual">
      <formula>H10</formula>
    </cfRule>
  </conditionalFormatting>
  <conditionalFormatting sqref="M11">
    <cfRule type="cellIs" dxfId="2" priority="19" operator="lessThanOrEqual">
      <formula>H11</formula>
    </cfRule>
  </conditionalFormatting>
  <conditionalFormatting sqref="M12">
    <cfRule type="cellIs" dxfId="2" priority="23" operator="lessThanOrEqual">
      <formula>H12</formula>
    </cfRule>
  </conditionalFormatting>
  <conditionalFormatting sqref="M13">
    <cfRule type="cellIs" dxfId="2" priority="27" operator="lessThanOrEqual">
      <formula>H13</formula>
    </cfRule>
  </conditionalFormatting>
  <conditionalFormatting sqref="M14">
    <cfRule type="cellIs" dxfId="2" priority="31" operator="lessThanOrEqual">
      <formula>H14</formula>
    </cfRule>
  </conditionalFormatting>
  <conditionalFormatting sqref="M15">
    <cfRule type="cellIs" dxfId="2" priority="35" operator="lessThanOrEqual">
      <formula>H15</formula>
    </cfRule>
  </conditionalFormatting>
  <conditionalFormatting sqref="M16">
    <cfRule type="cellIs" dxfId="2" priority="39" operator="lessThanOrEqual">
      <formula>H16</formula>
    </cfRule>
  </conditionalFormatting>
  <conditionalFormatting sqref="M17">
    <cfRule type="cellIs" dxfId="2" priority="43" operator="lessThanOrEqual">
      <formula>H17</formula>
    </cfRule>
  </conditionalFormatting>
  <conditionalFormatting sqref="M18">
    <cfRule type="cellIs" dxfId="2" priority="48" operator="lessThanOrEqual">
      <formula>H18</formula>
    </cfRule>
    <cfRule type="expression" dxfId="3" priority="52">
      <formula>AND(F18&lt;7500,J18&lt;7500)</formula>
    </cfRule>
  </conditionalFormatting>
  <conditionalFormatting sqref="M19">
    <cfRule type="cellIs" dxfId="2" priority="55" operator="lessThanOrEqual">
      <formula>H19</formula>
    </cfRule>
  </conditionalFormatting>
  <conditionalFormatting sqref="M20">
    <cfRule type="cellIs" dxfId="2" priority="59" operator="lessThanOrEqual">
      <formula>H20</formula>
    </cfRule>
  </conditionalFormatting>
  <conditionalFormatting sqref="M21">
    <cfRule type="cellIs" dxfId="2" priority="63" operator="lessThanOrEqual">
      <formula>H21</formula>
    </cfRule>
  </conditionalFormatting>
  <conditionalFormatting sqref="M22">
    <cfRule type="cellIs" dxfId="2" priority="67" operator="lessThanOrEqual">
      <formula>H22</formula>
    </cfRule>
  </conditionalFormatting>
  <conditionalFormatting sqref="M25">
    <cfRule type="cellIs" dxfId="2" priority="71" operator="lessThanOrEqual">
      <formula>H25</formula>
    </cfRule>
  </conditionalFormatting>
  <conditionalFormatting sqref="M26">
    <cfRule type="cellIs" dxfId="2" priority="75" operator="lessThanOrEqual">
      <formula>H26</formula>
    </cfRule>
  </conditionalFormatting>
  <conditionalFormatting sqref="M27">
    <cfRule type="cellIs" dxfId="2" priority="79" operator="lessThanOrEqual">
      <formula>H27</formula>
    </cfRule>
  </conditionalFormatting>
  <conditionalFormatting sqref="M29">
    <cfRule type="cellIs" dxfId="2" priority="83" operator="lessThanOrEqual">
      <formula>H29</formula>
    </cfRule>
  </conditionalFormatting>
  <conditionalFormatting sqref="M30">
    <cfRule type="cellIs" dxfId="2" priority="87" operator="lessThanOrEqual">
      <formula>H30</formula>
    </cfRule>
  </conditionalFormatting>
  <conditionalFormatting sqref="M31">
    <cfRule type="cellIs" dxfId="2" priority="91" operator="lessThanOrEqual">
      <formula>H31</formula>
    </cfRule>
  </conditionalFormatting>
  <conditionalFormatting sqref="M32">
    <cfRule type="cellIs" dxfId="2" priority="95" operator="lessThanOrEqual">
      <formula>H32</formula>
    </cfRule>
  </conditionalFormatting>
  <conditionalFormatting sqref="M33">
    <cfRule type="cellIs" dxfId="2" priority="99" operator="lessThanOrEqual">
      <formula>H33</formula>
    </cfRule>
  </conditionalFormatting>
  <conditionalFormatting sqref="M34">
    <cfRule type="cellIs" dxfId="2" priority="103" operator="lessThanOrEqual">
      <formula>H34</formula>
    </cfRule>
  </conditionalFormatting>
  <conditionalFormatting sqref="M35">
    <cfRule type="cellIs" dxfId="2" priority="107" operator="lessThanOrEqual">
      <formula>H35</formula>
    </cfRule>
  </conditionalFormatting>
  <conditionalFormatting sqref="M36">
    <cfRule type="cellIs" dxfId="2" priority="111" operator="lessThanOrEqual">
      <formula>H36</formula>
    </cfRule>
  </conditionalFormatting>
  <conditionalFormatting sqref="M37">
    <cfRule type="cellIs" dxfId="2" priority="115" operator="lessThanOrEqual">
      <formula>H37</formula>
    </cfRule>
  </conditionalFormatting>
  <conditionalFormatting sqref="M38">
    <cfRule type="cellIs" dxfId="2" priority="119" operator="lessThanOrEqual">
      <formula>H38</formula>
    </cfRule>
  </conditionalFormatting>
  <conditionalFormatting sqref="M39">
    <cfRule type="cellIs" dxfId="2" priority="123" operator="lessThanOrEqual">
      <formula>H39</formula>
    </cfRule>
  </conditionalFormatting>
  <conditionalFormatting sqref="M40">
    <cfRule type="cellIs" dxfId="2" priority="127" operator="lessThanOrEqual">
      <formula>H40</formula>
    </cfRule>
  </conditionalFormatting>
  <conditionalFormatting sqref="M41">
    <cfRule type="cellIs" dxfId="2" priority="131" operator="lessThanOrEqual">
      <formula>H41</formula>
    </cfRule>
  </conditionalFormatting>
  <conditionalFormatting sqref="M42">
    <cfRule type="cellIs" dxfId="2" priority="135" operator="lessThanOrEqual">
      <formula>H42</formula>
    </cfRule>
  </conditionalFormatting>
  <conditionalFormatting sqref="M43">
    <cfRule type="cellIs" dxfId="2" priority="139" operator="lessThanOrEqual">
      <formula>H43</formula>
    </cfRule>
  </conditionalFormatting>
  <conditionalFormatting sqref="M44">
    <cfRule type="cellIs" dxfId="2" priority="143" operator="lessThanOrEqual">
      <formula>H44</formula>
    </cfRule>
  </conditionalFormatting>
  <conditionalFormatting sqref="M45">
    <cfRule type="cellIs" dxfId="2" priority="147" operator="lessThanOrEqual">
      <formula>H45</formula>
    </cfRule>
  </conditionalFormatting>
  <conditionalFormatting sqref="M46">
    <cfRule type="cellIs" dxfId="2" priority="151" operator="lessThanOrEqual">
      <formula>H46</formula>
    </cfRule>
  </conditionalFormatting>
  <conditionalFormatting sqref="M47">
    <cfRule type="cellIs" dxfId="2" priority="155" operator="lessThanOrEqual">
      <formula>H47</formula>
    </cfRule>
  </conditionalFormatting>
  <conditionalFormatting sqref="M48">
    <cfRule type="cellIs" dxfId="2" priority="159" operator="lessThanOrEqual">
      <formula>H48</formula>
    </cfRule>
  </conditionalFormatting>
  <conditionalFormatting sqref="M50">
    <cfRule type="cellIs" dxfId="2" priority="163" operator="lessThanOrEqual">
      <formula>H50</formula>
    </cfRule>
  </conditionalFormatting>
  <conditionalFormatting sqref="M51">
    <cfRule type="cellIs" dxfId="2" priority="167" operator="lessThanOrEqual">
      <formula>H51</formula>
    </cfRule>
  </conditionalFormatting>
  <conditionalFormatting sqref="M52">
    <cfRule type="cellIs" dxfId="2" priority="171" operator="lessThanOrEqual">
      <formula>H52</formula>
    </cfRule>
  </conditionalFormatting>
  <conditionalFormatting sqref="M53">
    <cfRule type="cellIs" dxfId="2" priority="175" operator="lessThanOrEqual">
      <formula>H53</formula>
    </cfRule>
  </conditionalFormatting>
  <conditionalFormatting sqref="M54">
    <cfRule type="cellIs" dxfId="2" priority="179" operator="lessThanOrEqual">
      <formula>H54</formula>
    </cfRule>
  </conditionalFormatting>
  <conditionalFormatting sqref="M55">
    <cfRule type="cellIs" dxfId="2" priority="183" operator="lessThanOrEqual">
      <formula>H55</formula>
    </cfRule>
  </conditionalFormatting>
  <conditionalFormatting sqref="M56">
    <cfRule type="cellIs" dxfId="2" priority="187" operator="lessThanOrEqual">
      <formula>H56</formula>
    </cfRule>
  </conditionalFormatting>
  <conditionalFormatting sqref="M57">
    <cfRule type="cellIs" dxfId="2" priority="191" operator="lessThanOrEqual">
      <formula>H57</formula>
    </cfRule>
  </conditionalFormatting>
  <conditionalFormatting sqref="M58">
    <cfRule type="cellIs" dxfId="2" priority="196" operator="lessThanOrEqual">
      <formula>H58</formula>
    </cfRule>
    <cfRule type="expression" dxfId="3" priority="200">
      <formula>AND(F58&lt;250,J58&lt;250)</formula>
    </cfRule>
  </conditionalFormatting>
  <conditionalFormatting sqref="M59">
    <cfRule type="cellIs" dxfId="2" priority="203" operator="lessThanOrEqual">
      <formula>H59</formula>
    </cfRule>
  </conditionalFormatting>
  <conditionalFormatting sqref="M60">
    <cfRule type="cellIs" dxfId="2" priority="207" operator="lessThanOrEqual">
      <formula>H60</formula>
    </cfRule>
  </conditionalFormatting>
  <conditionalFormatting sqref="M61">
    <cfRule type="cellIs" dxfId="2" priority="211" operator="lessThanOrEqual">
      <formula>H61</formula>
    </cfRule>
  </conditionalFormatting>
  <conditionalFormatting sqref="M62">
    <cfRule type="cellIs" dxfId="2" priority="215" operator="lessThanOrEqual">
      <formula>H62</formula>
    </cfRule>
  </conditionalFormatting>
  <conditionalFormatting sqref="M63">
    <cfRule type="cellIs" dxfId="2" priority="219" operator="lessThanOrEqual">
      <formula>H63</formula>
    </cfRule>
  </conditionalFormatting>
  <conditionalFormatting sqref="M64">
    <cfRule type="cellIs" dxfId="2" priority="223" operator="lessThanOrEqual">
      <formula>H64</formula>
    </cfRule>
  </conditionalFormatting>
  <conditionalFormatting sqref="M7">
    <cfRule type="cellIs" dxfId="2" priority="3" operator="lessThanOrEqual">
      <formula>H7</formula>
    </cfRule>
  </conditionalFormatting>
  <conditionalFormatting sqref="M8">
    <cfRule type="cellIs" dxfId="2" priority="7" operator="lessThanOrEqual">
      <formula>H8</formula>
    </cfRule>
  </conditionalFormatting>
  <conditionalFormatting sqref="M9">
    <cfRule type="cellIs" dxfId="2" priority="11" operator="lessThanOrEqual">
      <formula>H9</formula>
    </cfRule>
  </conditionalFormatting>
  <conditionalFormatting sqref="O10">
    <cfRule type="cellIs" dxfId="0" priority="237" operator="lessThan">
      <formula>F10</formula>
    </cfRule>
  </conditionalFormatting>
  <conditionalFormatting sqref="O11">
    <cfRule type="cellIs" dxfId="0" priority="241" operator="lessThan">
      <formula>F11</formula>
    </cfRule>
  </conditionalFormatting>
  <conditionalFormatting sqref="O12">
    <cfRule type="cellIs" dxfId="0" priority="245" operator="lessThan">
      <formula>F12</formula>
    </cfRule>
  </conditionalFormatting>
  <conditionalFormatting sqref="O13">
    <cfRule type="cellIs" dxfId="0" priority="249" operator="lessThan">
      <formula>F13</formula>
    </cfRule>
  </conditionalFormatting>
  <conditionalFormatting sqref="O14">
    <cfRule type="cellIs" dxfId="0" priority="253" operator="lessThan">
      <formula>F14</formula>
    </cfRule>
  </conditionalFormatting>
  <conditionalFormatting sqref="O15">
    <cfRule type="cellIs" dxfId="0" priority="257" operator="lessThan">
      <formula>F15</formula>
    </cfRule>
  </conditionalFormatting>
  <conditionalFormatting sqref="O16">
    <cfRule type="cellIs" dxfId="0" priority="261" operator="lessThan">
      <formula>F16</formula>
    </cfRule>
  </conditionalFormatting>
  <conditionalFormatting sqref="O17">
    <cfRule type="cellIs" dxfId="0" priority="265" operator="lessThan">
      <formula>F17</formula>
    </cfRule>
  </conditionalFormatting>
  <conditionalFormatting sqref="O18">
    <cfRule type="cellIs" dxfId="0" priority="269" operator="lessThan">
      <formula>F18</formula>
    </cfRule>
  </conditionalFormatting>
  <conditionalFormatting sqref="O19">
    <cfRule type="cellIs" dxfId="0" priority="273" operator="lessThan">
      <formula>F19</formula>
    </cfRule>
  </conditionalFormatting>
  <conditionalFormatting sqref="O20">
    <cfRule type="cellIs" dxfId="0" priority="277" operator="lessThan">
      <formula>F20</formula>
    </cfRule>
  </conditionalFormatting>
  <conditionalFormatting sqref="O21">
    <cfRule type="cellIs" dxfId="0" priority="281" operator="lessThan">
      <formula>F21</formula>
    </cfRule>
  </conditionalFormatting>
  <conditionalFormatting sqref="O22">
    <cfRule type="cellIs" dxfId="0" priority="285" operator="lessThan">
      <formula>F22</formula>
    </cfRule>
  </conditionalFormatting>
  <conditionalFormatting sqref="O25">
    <cfRule type="cellIs" dxfId="0" priority="289" operator="lessThan">
      <formula>F25</formula>
    </cfRule>
  </conditionalFormatting>
  <conditionalFormatting sqref="O26">
    <cfRule type="cellIs" dxfId="0" priority="293" operator="lessThan">
      <formula>F26</formula>
    </cfRule>
  </conditionalFormatting>
  <conditionalFormatting sqref="O27">
    <cfRule type="cellIs" dxfId="0" priority="297" operator="lessThan">
      <formula>F27</formula>
    </cfRule>
  </conditionalFormatting>
  <conditionalFormatting sqref="O29">
    <cfRule type="cellIs" dxfId="0" priority="301" operator="lessThan">
      <formula>F29</formula>
    </cfRule>
  </conditionalFormatting>
  <conditionalFormatting sqref="O30">
    <cfRule type="cellIs" dxfId="0" priority="305" operator="lessThan">
      <formula>F30</formula>
    </cfRule>
  </conditionalFormatting>
  <conditionalFormatting sqref="O31">
    <cfRule type="cellIs" dxfId="0" priority="309" operator="lessThan">
      <formula>F31</formula>
    </cfRule>
  </conditionalFormatting>
  <conditionalFormatting sqref="O32">
    <cfRule type="cellIs" dxfId="0" priority="313" operator="lessThan">
      <formula>F32</formula>
    </cfRule>
  </conditionalFormatting>
  <conditionalFormatting sqref="O33">
    <cfRule type="cellIs" dxfId="0" priority="317" operator="lessThan">
      <formula>F33</formula>
    </cfRule>
  </conditionalFormatting>
  <conditionalFormatting sqref="O34">
    <cfRule type="cellIs" dxfId="0" priority="321" operator="lessThan">
      <formula>F34</formula>
    </cfRule>
  </conditionalFormatting>
  <conditionalFormatting sqref="O35">
    <cfRule type="cellIs" dxfId="0" priority="325" operator="lessThan">
      <formula>F35</formula>
    </cfRule>
  </conditionalFormatting>
  <conditionalFormatting sqref="O36">
    <cfRule type="cellIs" dxfId="0" priority="329" operator="lessThan">
      <formula>F36</formula>
    </cfRule>
  </conditionalFormatting>
  <conditionalFormatting sqref="O37">
    <cfRule type="cellIs" dxfId="0" priority="333" operator="lessThan">
      <formula>F37</formula>
    </cfRule>
  </conditionalFormatting>
  <conditionalFormatting sqref="O38">
    <cfRule type="cellIs" dxfId="0" priority="337" operator="lessThan">
      <formula>F38</formula>
    </cfRule>
  </conditionalFormatting>
  <conditionalFormatting sqref="O39">
    <cfRule type="cellIs" dxfId="0" priority="341" operator="lessThan">
      <formula>F39</formula>
    </cfRule>
  </conditionalFormatting>
  <conditionalFormatting sqref="O40">
    <cfRule type="cellIs" dxfId="0" priority="345" operator="lessThan">
      <formula>F40</formula>
    </cfRule>
  </conditionalFormatting>
  <conditionalFormatting sqref="O41">
    <cfRule type="cellIs" dxfId="0" priority="349" operator="lessThan">
      <formula>F41</formula>
    </cfRule>
  </conditionalFormatting>
  <conditionalFormatting sqref="O42">
    <cfRule type="cellIs" dxfId="0" priority="353" operator="lessThan">
      <formula>F42</formula>
    </cfRule>
  </conditionalFormatting>
  <conditionalFormatting sqref="O43">
    <cfRule type="cellIs" dxfId="0" priority="357" operator="lessThan">
      <formula>F43</formula>
    </cfRule>
  </conditionalFormatting>
  <conditionalFormatting sqref="O44">
    <cfRule type="cellIs" dxfId="0" priority="361" operator="lessThan">
      <formula>F44</formula>
    </cfRule>
  </conditionalFormatting>
  <conditionalFormatting sqref="O45">
    <cfRule type="cellIs" dxfId="0" priority="365" operator="lessThan">
      <formula>F45</formula>
    </cfRule>
  </conditionalFormatting>
  <conditionalFormatting sqref="O46">
    <cfRule type="cellIs" dxfId="0" priority="369" operator="lessThan">
      <formula>F46</formula>
    </cfRule>
  </conditionalFormatting>
  <conditionalFormatting sqref="O47">
    <cfRule type="cellIs" dxfId="0" priority="373" operator="lessThan">
      <formula>F47</formula>
    </cfRule>
  </conditionalFormatting>
  <conditionalFormatting sqref="O48">
    <cfRule type="cellIs" dxfId="0" priority="377" operator="lessThan">
      <formula>F48</formula>
    </cfRule>
  </conditionalFormatting>
  <conditionalFormatting sqref="O50">
    <cfRule type="cellIs" dxfId="0" priority="381" operator="lessThan">
      <formula>F50</formula>
    </cfRule>
  </conditionalFormatting>
  <conditionalFormatting sqref="O51">
    <cfRule type="cellIs" dxfId="0" priority="385" operator="lessThan">
      <formula>F51</formula>
    </cfRule>
  </conditionalFormatting>
  <conditionalFormatting sqref="O52">
    <cfRule type="cellIs" dxfId="0" priority="389" operator="lessThan">
      <formula>F52</formula>
    </cfRule>
  </conditionalFormatting>
  <conditionalFormatting sqref="O53">
    <cfRule type="cellIs" dxfId="0" priority="393" operator="lessThan">
      <formula>F53</formula>
    </cfRule>
  </conditionalFormatting>
  <conditionalFormatting sqref="O54">
    <cfRule type="cellIs" dxfId="0" priority="397" operator="lessThan">
      <formula>F54</formula>
    </cfRule>
  </conditionalFormatting>
  <conditionalFormatting sqref="O55">
    <cfRule type="cellIs" dxfId="0" priority="401" operator="lessThan">
      <formula>F55</formula>
    </cfRule>
  </conditionalFormatting>
  <conditionalFormatting sqref="O56">
    <cfRule type="cellIs" dxfId="0" priority="405" operator="lessThan">
      <formula>F56</formula>
    </cfRule>
  </conditionalFormatting>
  <conditionalFormatting sqref="O57">
    <cfRule type="cellIs" dxfId="0" priority="409" operator="lessThan">
      <formula>F57</formula>
    </cfRule>
  </conditionalFormatting>
  <conditionalFormatting sqref="O58">
    <cfRule type="cellIs" dxfId="0" priority="413" operator="lessThan">
      <formula>F58</formula>
    </cfRule>
  </conditionalFormatting>
  <conditionalFormatting sqref="O59">
    <cfRule type="cellIs" dxfId="0" priority="417" operator="lessThan">
      <formula>F59</formula>
    </cfRule>
  </conditionalFormatting>
  <conditionalFormatting sqref="O60">
    <cfRule type="cellIs" dxfId="0" priority="421" operator="lessThan">
      <formula>F60</formula>
    </cfRule>
  </conditionalFormatting>
  <conditionalFormatting sqref="O61">
    <cfRule type="cellIs" dxfId="0" priority="425" operator="lessThan">
      <formula>F61</formula>
    </cfRule>
  </conditionalFormatting>
  <conditionalFormatting sqref="O62">
    <cfRule type="cellIs" dxfId="0" priority="429" operator="lessThan">
      <formula>F62</formula>
    </cfRule>
  </conditionalFormatting>
  <conditionalFormatting sqref="O63">
    <cfRule type="cellIs" dxfId="0" priority="433" operator="lessThan">
      <formula>F63</formula>
    </cfRule>
  </conditionalFormatting>
  <conditionalFormatting sqref="O64">
    <cfRule type="cellIs" dxfId="0" priority="437" operator="lessThan">
      <formula>F64</formula>
    </cfRule>
  </conditionalFormatting>
  <conditionalFormatting sqref="O7">
    <cfRule type="cellIs" dxfId="0" priority="225" operator="lessThan">
      <formula>F7</formula>
    </cfRule>
  </conditionalFormatting>
  <conditionalFormatting sqref="O8">
    <cfRule type="cellIs" dxfId="0" priority="229" operator="lessThan">
      <formula>F8</formula>
    </cfRule>
  </conditionalFormatting>
  <conditionalFormatting sqref="O9">
    <cfRule type="cellIs" dxfId="0" priority="233" operator="lessThan">
      <formula>F9</formula>
    </cfRule>
  </conditionalFormatting>
  <conditionalFormatting sqref="P10">
    <cfRule type="expression" dxfId="1" priority="238">
      <formula>AND(NOT(ISBLANK(P10)),OR(O10="NonStk",P10&gt;O10))</formula>
    </cfRule>
  </conditionalFormatting>
  <conditionalFormatting sqref="P11">
    <cfRule type="expression" dxfId="1" priority="242">
      <formula>AND(NOT(ISBLANK(P11)),OR(O11="NonStk",P11&gt;O11))</formula>
    </cfRule>
  </conditionalFormatting>
  <conditionalFormatting sqref="P12">
    <cfRule type="expression" dxfId="1" priority="246">
      <formula>AND(NOT(ISBLANK(P12)),OR(O12="NonStk",P12&gt;O12))</formula>
    </cfRule>
  </conditionalFormatting>
  <conditionalFormatting sqref="P13">
    <cfRule type="expression" dxfId="1" priority="250">
      <formula>AND(NOT(ISBLANK(P13)),OR(O13="NonStk",P13&gt;O13))</formula>
    </cfRule>
  </conditionalFormatting>
  <conditionalFormatting sqref="P14">
    <cfRule type="expression" dxfId="1" priority="254">
      <formula>AND(NOT(ISBLANK(P14)),OR(O14="NonStk",P14&gt;O14))</formula>
    </cfRule>
  </conditionalFormatting>
  <conditionalFormatting sqref="P15">
    <cfRule type="expression" dxfId="1" priority="258">
      <formula>AND(NOT(ISBLANK(P15)),OR(O15="NonStk",P15&gt;O15))</formula>
    </cfRule>
  </conditionalFormatting>
  <conditionalFormatting sqref="P16">
    <cfRule type="expression" dxfId="1" priority="262">
      <formula>AND(NOT(ISBLANK(P16)),OR(O16="NonStk",P16&gt;O16))</formula>
    </cfRule>
  </conditionalFormatting>
  <conditionalFormatting sqref="P17">
    <cfRule type="expression" dxfId="1" priority="266">
      <formula>AND(NOT(ISBLANK(P17)),OR(O17="NonStk",P17&gt;O17))</formula>
    </cfRule>
  </conditionalFormatting>
  <conditionalFormatting sqref="P18">
    <cfRule type="expression" dxfId="1" priority="270">
      <formula>AND(NOT(ISBLANK(P18)),OR(O18="NonStk",P18&gt;O18))</formula>
    </cfRule>
  </conditionalFormatting>
  <conditionalFormatting sqref="P19">
    <cfRule type="expression" dxfId="1" priority="274">
      <formula>AND(NOT(ISBLANK(P19)),OR(O19="NonStk",P19&gt;O19))</formula>
    </cfRule>
  </conditionalFormatting>
  <conditionalFormatting sqref="P20">
    <cfRule type="expression" dxfId="1" priority="278">
      <formula>AND(NOT(ISBLANK(P20)),OR(O20="NonStk",P20&gt;O20))</formula>
    </cfRule>
  </conditionalFormatting>
  <conditionalFormatting sqref="P21">
    <cfRule type="expression" dxfId="1" priority="282">
      <formula>AND(NOT(ISBLANK(P21)),OR(O21="NonStk",P21&gt;O21))</formula>
    </cfRule>
  </conditionalFormatting>
  <conditionalFormatting sqref="P22">
    <cfRule type="expression" dxfId="1" priority="286">
      <formula>AND(NOT(ISBLANK(P22)),OR(O22="NonStk",P22&gt;O22))</formula>
    </cfRule>
  </conditionalFormatting>
  <conditionalFormatting sqref="P25">
    <cfRule type="expression" dxfId="1" priority="290">
      <formula>AND(NOT(ISBLANK(P25)),OR(O25="NonStk",P25&gt;O25))</formula>
    </cfRule>
  </conditionalFormatting>
  <conditionalFormatting sqref="P26">
    <cfRule type="expression" dxfId="1" priority="294">
      <formula>AND(NOT(ISBLANK(P26)),OR(O26="NonStk",P26&gt;O26))</formula>
    </cfRule>
  </conditionalFormatting>
  <conditionalFormatting sqref="P27">
    <cfRule type="expression" dxfId="1" priority="298">
      <formula>AND(NOT(ISBLANK(P27)),OR(O27="NonStk",P27&gt;O27))</formula>
    </cfRule>
  </conditionalFormatting>
  <conditionalFormatting sqref="P29">
    <cfRule type="expression" dxfId="1" priority="302">
      <formula>AND(NOT(ISBLANK(P29)),OR(O29="NonStk",P29&gt;O29))</formula>
    </cfRule>
  </conditionalFormatting>
  <conditionalFormatting sqref="P30">
    <cfRule type="expression" dxfId="1" priority="306">
      <formula>AND(NOT(ISBLANK(P30)),OR(O30="NonStk",P30&gt;O30))</formula>
    </cfRule>
  </conditionalFormatting>
  <conditionalFormatting sqref="P31">
    <cfRule type="expression" dxfId="1" priority="310">
      <formula>AND(NOT(ISBLANK(P31)),OR(O31="NonStk",P31&gt;O31))</formula>
    </cfRule>
  </conditionalFormatting>
  <conditionalFormatting sqref="P32">
    <cfRule type="expression" dxfId="1" priority="314">
      <formula>AND(NOT(ISBLANK(P32)),OR(O32="NonStk",P32&gt;O32))</formula>
    </cfRule>
  </conditionalFormatting>
  <conditionalFormatting sqref="P33">
    <cfRule type="expression" dxfId="1" priority="318">
      <formula>AND(NOT(ISBLANK(P33)),OR(O33="NonStk",P33&gt;O33))</formula>
    </cfRule>
  </conditionalFormatting>
  <conditionalFormatting sqref="P34">
    <cfRule type="expression" dxfId="1" priority="322">
      <formula>AND(NOT(ISBLANK(P34)),OR(O34="NonStk",P34&gt;O34))</formula>
    </cfRule>
  </conditionalFormatting>
  <conditionalFormatting sqref="P35">
    <cfRule type="expression" dxfId="1" priority="326">
      <formula>AND(NOT(ISBLANK(P35)),OR(O35="NonStk",P35&gt;O35))</formula>
    </cfRule>
  </conditionalFormatting>
  <conditionalFormatting sqref="P36">
    <cfRule type="expression" dxfId="1" priority="330">
      <formula>AND(NOT(ISBLANK(P36)),OR(O36="NonStk",P36&gt;O36))</formula>
    </cfRule>
  </conditionalFormatting>
  <conditionalFormatting sqref="P37">
    <cfRule type="expression" dxfId="1" priority="334">
      <formula>AND(NOT(ISBLANK(P37)),OR(O37="NonStk",P37&gt;O37))</formula>
    </cfRule>
  </conditionalFormatting>
  <conditionalFormatting sqref="P38">
    <cfRule type="expression" dxfId="1" priority="338">
      <formula>AND(NOT(ISBLANK(P38)),OR(O38="NonStk",P38&gt;O38))</formula>
    </cfRule>
  </conditionalFormatting>
  <conditionalFormatting sqref="P39">
    <cfRule type="expression" dxfId="1" priority="342">
      <formula>AND(NOT(ISBLANK(P39)),OR(O39="NonStk",P39&gt;O39))</formula>
    </cfRule>
  </conditionalFormatting>
  <conditionalFormatting sqref="P40">
    <cfRule type="expression" dxfId="1" priority="346">
      <formula>AND(NOT(ISBLANK(P40)),OR(O40="NonStk",P40&gt;O40))</formula>
    </cfRule>
  </conditionalFormatting>
  <conditionalFormatting sqref="P41">
    <cfRule type="expression" dxfId="1" priority="350">
      <formula>AND(NOT(ISBLANK(P41)),OR(O41="NonStk",P41&gt;O41))</formula>
    </cfRule>
  </conditionalFormatting>
  <conditionalFormatting sqref="P42">
    <cfRule type="expression" dxfId="1" priority="354">
      <formula>AND(NOT(ISBLANK(P42)),OR(O42="NonStk",P42&gt;O42))</formula>
    </cfRule>
  </conditionalFormatting>
  <conditionalFormatting sqref="P43">
    <cfRule type="expression" dxfId="1" priority="358">
      <formula>AND(NOT(ISBLANK(P43)),OR(O43="NonStk",P43&gt;O43))</formula>
    </cfRule>
  </conditionalFormatting>
  <conditionalFormatting sqref="P44">
    <cfRule type="expression" dxfId="1" priority="362">
      <formula>AND(NOT(ISBLANK(P44)),OR(O44="NonStk",P44&gt;O44))</formula>
    </cfRule>
  </conditionalFormatting>
  <conditionalFormatting sqref="P45">
    <cfRule type="expression" dxfId="1" priority="366">
      <formula>AND(NOT(ISBLANK(P45)),OR(O45="NonStk",P45&gt;O45))</formula>
    </cfRule>
  </conditionalFormatting>
  <conditionalFormatting sqref="P46">
    <cfRule type="expression" dxfId="1" priority="370">
      <formula>AND(NOT(ISBLANK(P46)),OR(O46="NonStk",P46&gt;O46))</formula>
    </cfRule>
  </conditionalFormatting>
  <conditionalFormatting sqref="P47">
    <cfRule type="expression" dxfId="1" priority="374">
      <formula>AND(NOT(ISBLANK(P47)),OR(O47="NonStk",P47&gt;O47))</formula>
    </cfRule>
  </conditionalFormatting>
  <conditionalFormatting sqref="P48">
    <cfRule type="expression" dxfId="1" priority="378">
      <formula>AND(NOT(ISBLANK(P48)),OR(O48="NonStk",P48&gt;O48))</formula>
    </cfRule>
  </conditionalFormatting>
  <conditionalFormatting sqref="P50">
    <cfRule type="expression" dxfId="1" priority="382">
      <formula>AND(NOT(ISBLANK(P50)),OR(O50="NonStk",P50&gt;O50))</formula>
    </cfRule>
  </conditionalFormatting>
  <conditionalFormatting sqref="P51">
    <cfRule type="expression" dxfId="1" priority="386">
      <formula>AND(NOT(ISBLANK(P51)),OR(O51="NonStk",P51&gt;O51))</formula>
    </cfRule>
  </conditionalFormatting>
  <conditionalFormatting sqref="P52">
    <cfRule type="expression" dxfId="1" priority="390">
      <formula>AND(NOT(ISBLANK(P52)),OR(O52="NonStk",P52&gt;O52))</formula>
    </cfRule>
  </conditionalFormatting>
  <conditionalFormatting sqref="P53">
    <cfRule type="expression" dxfId="1" priority="394">
      <formula>AND(NOT(ISBLANK(P53)),OR(O53="NonStk",P53&gt;O53))</formula>
    </cfRule>
  </conditionalFormatting>
  <conditionalFormatting sqref="P54">
    <cfRule type="expression" dxfId="1" priority="398">
      <formula>AND(NOT(ISBLANK(P54)),OR(O54="NonStk",P54&gt;O54))</formula>
    </cfRule>
  </conditionalFormatting>
  <conditionalFormatting sqref="P55">
    <cfRule type="expression" dxfId="1" priority="402">
      <formula>AND(NOT(ISBLANK(P55)),OR(O55="NonStk",P55&gt;O55))</formula>
    </cfRule>
  </conditionalFormatting>
  <conditionalFormatting sqref="P56">
    <cfRule type="expression" dxfId="1" priority="406">
      <formula>AND(NOT(ISBLANK(P56)),OR(O56="NonStk",P56&gt;O56))</formula>
    </cfRule>
  </conditionalFormatting>
  <conditionalFormatting sqref="P57">
    <cfRule type="expression" dxfId="1" priority="410">
      <formula>AND(NOT(ISBLANK(P57)),OR(O57="NonStk",P57&gt;O57))</formula>
    </cfRule>
  </conditionalFormatting>
  <conditionalFormatting sqref="P58">
    <cfRule type="expression" dxfId="1" priority="414">
      <formula>AND(NOT(ISBLANK(P58)),OR(O58="NonStk",P58&gt;O58))</formula>
    </cfRule>
  </conditionalFormatting>
  <conditionalFormatting sqref="P59">
    <cfRule type="expression" dxfId="1" priority="418">
      <formula>AND(NOT(ISBLANK(P59)),OR(O59="NonStk",P59&gt;O59))</formula>
    </cfRule>
  </conditionalFormatting>
  <conditionalFormatting sqref="P60">
    <cfRule type="expression" dxfId="1" priority="422">
      <formula>AND(NOT(ISBLANK(P60)),OR(O60="NonStk",P60&gt;O60))</formula>
    </cfRule>
  </conditionalFormatting>
  <conditionalFormatting sqref="P61">
    <cfRule type="expression" dxfId="1" priority="426">
      <formula>AND(NOT(ISBLANK(P61)),OR(O61="NonStk",P61&gt;O61))</formula>
    </cfRule>
  </conditionalFormatting>
  <conditionalFormatting sqref="P62">
    <cfRule type="expression" dxfId="1" priority="430">
      <formula>AND(NOT(ISBLANK(P62)),OR(O62="NonStk",P62&gt;O62))</formula>
    </cfRule>
  </conditionalFormatting>
  <conditionalFormatting sqref="P63">
    <cfRule type="expression" dxfId="1" priority="434">
      <formula>AND(NOT(ISBLANK(P63)),OR(O63="NonStk",P63&gt;O63))</formula>
    </cfRule>
  </conditionalFormatting>
  <conditionalFormatting sqref="P64">
    <cfRule type="expression" dxfId="1" priority="438">
      <formula>AND(NOT(ISBLANK(P64)),OR(O64="NonStk",P64&gt;O64))</formula>
    </cfRule>
  </conditionalFormatting>
  <conditionalFormatting sqref="P7">
    <cfRule type="expression" dxfId="1" priority="226">
      <formula>AND(NOT(ISBLANK(P7)),OR(O7="NonStk",P7&gt;O7))</formula>
    </cfRule>
  </conditionalFormatting>
  <conditionalFormatting sqref="P8">
    <cfRule type="expression" dxfId="1" priority="230">
      <formula>AND(NOT(ISBLANK(P8)),OR(O8="NonStk",P8&gt;O8))</formula>
    </cfRule>
  </conditionalFormatting>
  <conditionalFormatting sqref="P9">
    <cfRule type="expression" dxfId="1" priority="234">
      <formula>AND(NOT(ISBLANK(P9)),OR(O9="NonStk",P9&gt;O9))</formula>
    </cfRule>
  </conditionalFormatting>
  <conditionalFormatting sqref="Q10">
    <cfRule type="cellIs" dxfId="2" priority="240" operator="lessThanOrEqual">
      <formula>G10</formula>
    </cfRule>
  </conditionalFormatting>
  <conditionalFormatting sqref="Q11">
    <cfRule type="cellIs" dxfId="2" priority="244" operator="lessThanOrEqual">
      <formula>G11</formula>
    </cfRule>
  </conditionalFormatting>
  <conditionalFormatting sqref="Q12">
    <cfRule type="cellIs" dxfId="2" priority="248" operator="lessThanOrEqual">
      <formula>G12</formula>
    </cfRule>
  </conditionalFormatting>
  <conditionalFormatting sqref="Q13">
    <cfRule type="cellIs" dxfId="2" priority="252" operator="lessThanOrEqual">
      <formula>G13</formula>
    </cfRule>
  </conditionalFormatting>
  <conditionalFormatting sqref="Q14">
    <cfRule type="cellIs" dxfId="2" priority="256" operator="lessThanOrEqual">
      <formula>G14</formula>
    </cfRule>
  </conditionalFormatting>
  <conditionalFormatting sqref="Q15">
    <cfRule type="cellIs" dxfId="2" priority="260" operator="lessThanOrEqual">
      <formula>G15</formula>
    </cfRule>
  </conditionalFormatting>
  <conditionalFormatting sqref="Q16">
    <cfRule type="cellIs" dxfId="2" priority="264" operator="lessThanOrEqual">
      <formula>G16</formula>
    </cfRule>
  </conditionalFormatting>
  <conditionalFormatting sqref="Q17">
    <cfRule type="cellIs" dxfId="2" priority="268" operator="lessThanOrEqual">
      <formula>G17</formula>
    </cfRule>
  </conditionalFormatting>
  <conditionalFormatting sqref="Q18">
    <cfRule type="cellIs" dxfId="2" priority="272" operator="lessThanOrEqual">
      <formula>G18</formula>
    </cfRule>
  </conditionalFormatting>
  <conditionalFormatting sqref="Q19">
    <cfRule type="cellIs" dxfId="2" priority="276" operator="lessThanOrEqual">
      <formula>G19</formula>
    </cfRule>
  </conditionalFormatting>
  <conditionalFormatting sqref="Q20">
    <cfRule type="cellIs" dxfId="2" priority="280" operator="lessThanOrEqual">
      <formula>G20</formula>
    </cfRule>
  </conditionalFormatting>
  <conditionalFormatting sqref="Q21">
    <cfRule type="cellIs" dxfId="2" priority="284" operator="lessThanOrEqual">
      <formula>G21</formula>
    </cfRule>
  </conditionalFormatting>
  <conditionalFormatting sqref="Q22">
    <cfRule type="cellIs" dxfId="2" priority="288" operator="lessThanOrEqual">
      <formula>G22</formula>
    </cfRule>
  </conditionalFormatting>
  <conditionalFormatting sqref="Q25">
    <cfRule type="cellIs" dxfId="2" priority="292" operator="lessThanOrEqual">
      <formula>G25</formula>
    </cfRule>
  </conditionalFormatting>
  <conditionalFormatting sqref="Q26">
    <cfRule type="cellIs" dxfId="2" priority="296" operator="lessThanOrEqual">
      <formula>G26</formula>
    </cfRule>
  </conditionalFormatting>
  <conditionalFormatting sqref="Q27">
    <cfRule type="cellIs" dxfId="2" priority="300" operator="lessThanOrEqual">
      <formula>G27</formula>
    </cfRule>
  </conditionalFormatting>
  <conditionalFormatting sqref="Q29">
    <cfRule type="cellIs" dxfId="2" priority="304" operator="lessThanOrEqual">
      <formula>G29</formula>
    </cfRule>
  </conditionalFormatting>
  <conditionalFormatting sqref="Q30">
    <cfRule type="cellIs" dxfId="2" priority="308" operator="lessThanOrEqual">
      <formula>G30</formula>
    </cfRule>
  </conditionalFormatting>
  <conditionalFormatting sqref="Q31">
    <cfRule type="cellIs" dxfId="2" priority="312" operator="lessThanOrEqual">
      <formula>G31</formula>
    </cfRule>
  </conditionalFormatting>
  <conditionalFormatting sqref="Q32">
    <cfRule type="cellIs" dxfId="2" priority="316" operator="lessThanOrEqual">
      <formula>G32</formula>
    </cfRule>
  </conditionalFormatting>
  <conditionalFormatting sqref="Q33">
    <cfRule type="cellIs" dxfId="2" priority="320" operator="lessThanOrEqual">
      <formula>G33</formula>
    </cfRule>
  </conditionalFormatting>
  <conditionalFormatting sqref="Q34">
    <cfRule type="cellIs" dxfId="2" priority="324" operator="lessThanOrEqual">
      <formula>G34</formula>
    </cfRule>
  </conditionalFormatting>
  <conditionalFormatting sqref="Q35">
    <cfRule type="cellIs" dxfId="2" priority="328" operator="lessThanOrEqual">
      <formula>G35</formula>
    </cfRule>
  </conditionalFormatting>
  <conditionalFormatting sqref="Q36">
    <cfRule type="cellIs" dxfId="2" priority="332" operator="lessThanOrEqual">
      <formula>G36</formula>
    </cfRule>
  </conditionalFormatting>
  <conditionalFormatting sqref="Q37">
    <cfRule type="cellIs" dxfId="2" priority="336" operator="lessThanOrEqual">
      <formula>G37</formula>
    </cfRule>
  </conditionalFormatting>
  <conditionalFormatting sqref="Q38">
    <cfRule type="cellIs" dxfId="2" priority="340" operator="lessThanOrEqual">
      <formula>G38</formula>
    </cfRule>
  </conditionalFormatting>
  <conditionalFormatting sqref="Q39">
    <cfRule type="cellIs" dxfId="2" priority="344" operator="lessThanOrEqual">
      <formula>G39</formula>
    </cfRule>
  </conditionalFormatting>
  <conditionalFormatting sqref="Q40">
    <cfRule type="cellIs" dxfId="2" priority="348" operator="lessThanOrEqual">
      <formula>G40</formula>
    </cfRule>
  </conditionalFormatting>
  <conditionalFormatting sqref="Q41">
    <cfRule type="cellIs" dxfId="2" priority="352" operator="lessThanOrEqual">
      <formula>G41</formula>
    </cfRule>
  </conditionalFormatting>
  <conditionalFormatting sqref="Q42">
    <cfRule type="cellIs" dxfId="2" priority="356" operator="lessThanOrEqual">
      <formula>G42</formula>
    </cfRule>
  </conditionalFormatting>
  <conditionalFormatting sqref="Q43">
    <cfRule type="cellIs" dxfId="2" priority="360" operator="lessThanOrEqual">
      <formula>G43</formula>
    </cfRule>
  </conditionalFormatting>
  <conditionalFormatting sqref="Q44">
    <cfRule type="cellIs" dxfId="2" priority="364" operator="lessThanOrEqual">
      <formula>G44</formula>
    </cfRule>
  </conditionalFormatting>
  <conditionalFormatting sqref="Q45">
    <cfRule type="cellIs" dxfId="2" priority="368" operator="lessThanOrEqual">
      <formula>G45</formula>
    </cfRule>
  </conditionalFormatting>
  <conditionalFormatting sqref="Q46">
    <cfRule type="cellIs" dxfId="2" priority="372" operator="lessThanOrEqual">
      <formula>G46</formula>
    </cfRule>
  </conditionalFormatting>
  <conditionalFormatting sqref="Q47">
    <cfRule type="cellIs" dxfId="2" priority="376" operator="lessThanOrEqual">
      <formula>G47</formula>
    </cfRule>
  </conditionalFormatting>
  <conditionalFormatting sqref="Q48">
    <cfRule type="cellIs" dxfId="2" priority="380" operator="lessThanOrEqual">
      <formula>G48</formula>
    </cfRule>
  </conditionalFormatting>
  <conditionalFormatting sqref="Q50">
    <cfRule type="cellIs" dxfId="2" priority="384" operator="lessThanOrEqual">
      <formula>G50</formula>
    </cfRule>
  </conditionalFormatting>
  <conditionalFormatting sqref="Q51">
    <cfRule type="cellIs" dxfId="2" priority="388" operator="lessThanOrEqual">
      <formula>G51</formula>
    </cfRule>
  </conditionalFormatting>
  <conditionalFormatting sqref="Q52">
    <cfRule type="cellIs" dxfId="2" priority="392" operator="lessThanOrEqual">
      <formula>G52</formula>
    </cfRule>
  </conditionalFormatting>
  <conditionalFormatting sqref="Q53">
    <cfRule type="cellIs" dxfId="2" priority="396" operator="lessThanOrEqual">
      <formula>G53</formula>
    </cfRule>
  </conditionalFormatting>
  <conditionalFormatting sqref="Q54">
    <cfRule type="cellIs" dxfId="2" priority="400" operator="lessThanOrEqual">
      <formula>G54</formula>
    </cfRule>
  </conditionalFormatting>
  <conditionalFormatting sqref="Q55">
    <cfRule type="cellIs" dxfId="2" priority="404" operator="lessThanOrEqual">
      <formula>G55</formula>
    </cfRule>
  </conditionalFormatting>
  <conditionalFormatting sqref="Q56">
    <cfRule type="cellIs" dxfId="2" priority="408" operator="lessThanOrEqual">
      <formula>G56</formula>
    </cfRule>
  </conditionalFormatting>
  <conditionalFormatting sqref="Q57">
    <cfRule type="cellIs" dxfId="2" priority="412" operator="lessThanOrEqual">
      <formula>G57</formula>
    </cfRule>
  </conditionalFormatting>
  <conditionalFormatting sqref="Q58">
    <cfRule type="cellIs" dxfId="2" priority="416" operator="lessThanOrEqual">
      <formula>G58</formula>
    </cfRule>
  </conditionalFormatting>
  <conditionalFormatting sqref="Q59">
    <cfRule type="cellIs" dxfId="2" priority="420" operator="lessThanOrEqual">
      <formula>G59</formula>
    </cfRule>
  </conditionalFormatting>
  <conditionalFormatting sqref="Q60">
    <cfRule type="cellIs" dxfId="2" priority="424" operator="lessThanOrEqual">
      <formula>G60</formula>
    </cfRule>
  </conditionalFormatting>
  <conditionalFormatting sqref="Q61">
    <cfRule type="cellIs" dxfId="2" priority="428" operator="lessThanOrEqual">
      <formula>G61</formula>
    </cfRule>
  </conditionalFormatting>
  <conditionalFormatting sqref="Q62">
    <cfRule type="cellIs" dxfId="2" priority="432" operator="lessThanOrEqual">
      <formula>G62</formula>
    </cfRule>
  </conditionalFormatting>
  <conditionalFormatting sqref="Q63">
    <cfRule type="cellIs" dxfId="2" priority="436" operator="lessThanOrEqual">
      <formula>G63</formula>
    </cfRule>
  </conditionalFormatting>
  <conditionalFormatting sqref="Q64">
    <cfRule type="cellIs" dxfId="2" priority="440" operator="lessThanOrEqual">
      <formula>G64</formula>
    </cfRule>
  </conditionalFormatting>
  <conditionalFormatting sqref="Q7">
    <cfRule type="cellIs" dxfId="2" priority="228" operator="lessThanOrEqual">
      <formula>G7</formula>
    </cfRule>
  </conditionalFormatting>
  <conditionalFormatting sqref="Q8">
    <cfRule type="cellIs" dxfId="2" priority="232" operator="lessThanOrEqual">
      <formula>G8</formula>
    </cfRule>
  </conditionalFormatting>
  <conditionalFormatting sqref="Q9">
    <cfRule type="cellIs" dxfId="2" priority="236" operator="lessThanOrEqual">
      <formula>G9</formula>
    </cfRule>
  </conditionalFormatting>
  <conditionalFormatting sqref="S10">
    <cfRule type="cellIs" dxfId="2" priority="239" operator="lessThanOrEqual">
      <formula>H10</formula>
    </cfRule>
  </conditionalFormatting>
  <conditionalFormatting sqref="S11">
    <cfRule type="cellIs" dxfId="2" priority="243" operator="lessThanOrEqual">
      <formula>H11</formula>
    </cfRule>
  </conditionalFormatting>
  <conditionalFormatting sqref="S12">
    <cfRule type="cellIs" dxfId="2" priority="247" operator="lessThanOrEqual">
      <formula>H12</formula>
    </cfRule>
  </conditionalFormatting>
  <conditionalFormatting sqref="S13">
    <cfRule type="cellIs" dxfId="2" priority="251" operator="lessThanOrEqual">
      <formula>H13</formula>
    </cfRule>
  </conditionalFormatting>
  <conditionalFormatting sqref="S14">
    <cfRule type="cellIs" dxfId="2" priority="255" operator="lessThanOrEqual">
      <formula>H14</formula>
    </cfRule>
  </conditionalFormatting>
  <conditionalFormatting sqref="S15">
    <cfRule type="cellIs" dxfId="2" priority="259" operator="lessThanOrEqual">
      <formula>H15</formula>
    </cfRule>
  </conditionalFormatting>
  <conditionalFormatting sqref="S16">
    <cfRule type="cellIs" dxfId="2" priority="263" operator="lessThanOrEqual">
      <formula>H16</formula>
    </cfRule>
  </conditionalFormatting>
  <conditionalFormatting sqref="S17">
    <cfRule type="cellIs" dxfId="2" priority="267" operator="lessThanOrEqual">
      <formula>H17</formula>
    </cfRule>
  </conditionalFormatting>
  <conditionalFormatting sqref="S18">
    <cfRule type="cellIs" dxfId="2" priority="271" operator="lessThanOrEqual">
      <formula>H18</formula>
    </cfRule>
  </conditionalFormatting>
  <conditionalFormatting sqref="S19">
    <cfRule type="cellIs" dxfId="2" priority="275" operator="lessThanOrEqual">
      <formula>H19</formula>
    </cfRule>
  </conditionalFormatting>
  <conditionalFormatting sqref="S20">
    <cfRule type="cellIs" dxfId="2" priority="279" operator="lessThanOrEqual">
      <formula>H20</formula>
    </cfRule>
  </conditionalFormatting>
  <conditionalFormatting sqref="S21">
    <cfRule type="cellIs" dxfId="2" priority="283" operator="lessThanOrEqual">
      <formula>H21</formula>
    </cfRule>
  </conditionalFormatting>
  <conditionalFormatting sqref="S22">
    <cfRule type="cellIs" dxfId="2" priority="287" operator="lessThanOrEqual">
      <formula>H22</formula>
    </cfRule>
  </conditionalFormatting>
  <conditionalFormatting sqref="S25">
    <cfRule type="cellIs" dxfId="2" priority="291" operator="lessThanOrEqual">
      <formula>H25</formula>
    </cfRule>
  </conditionalFormatting>
  <conditionalFormatting sqref="S26">
    <cfRule type="cellIs" dxfId="2" priority="295" operator="lessThanOrEqual">
      <formula>H26</formula>
    </cfRule>
  </conditionalFormatting>
  <conditionalFormatting sqref="S27">
    <cfRule type="cellIs" dxfId="2" priority="299" operator="lessThanOrEqual">
      <formula>H27</formula>
    </cfRule>
  </conditionalFormatting>
  <conditionalFormatting sqref="S29">
    <cfRule type="cellIs" dxfId="2" priority="303" operator="lessThanOrEqual">
      <formula>H29</formula>
    </cfRule>
  </conditionalFormatting>
  <conditionalFormatting sqref="S30">
    <cfRule type="cellIs" dxfId="2" priority="307" operator="lessThanOrEqual">
      <formula>H30</formula>
    </cfRule>
  </conditionalFormatting>
  <conditionalFormatting sqref="S31">
    <cfRule type="cellIs" dxfId="2" priority="311" operator="lessThanOrEqual">
      <formula>H31</formula>
    </cfRule>
  </conditionalFormatting>
  <conditionalFormatting sqref="S32">
    <cfRule type="cellIs" dxfId="2" priority="315" operator="lessThanOrEqual">
      <formula>H32</formula>
    </cfRule>
  </conditionalFormatting>
  <conditionalFormatting sqref="S33">
    <cfRule type="cellIs" dxfId="2" priority="319" operator="lessThanOrEqual">
      <formula>H33</formula>
    </cfRule>
  </conditionalFormatting>
  <conditionalFormatting sqref="S34">
    <cfRule type="cellIs" dxfId="2" priority="323" operator="lessThanOrEqual">
      <formula>H34</formula>
    </cfRule>
  </conditionalFormatting>
  <conditionalFormatting sqref="S35">
    <cfRule type="cellIs" dxfId="2" priority="327" operator="lessThanOrEqual">
      <formula>H35</formula>
    </cfRule>
  </conditionalFormatting>
  <conditionalFormatting sqref="S36">
    <cfRule type="cellIs" dxfId="2" priority="331" operator="lessThanOrEqual">
      <formula>H36</formula>
    </cfRule>
  </conditionalFormatting>
  <conditionalFormatting sqref="S37">
    <cfRule type="cellIs" dxfId="2" priority="335" operator="lessThanOrEqual">
      <formula>H37</formula>
    </cfRule>
  </conditionalFormatting>
  <conditionalFormatting sqref="S38">
    <cfRule type="cellIs" dxfId="2" priority="339" operator="lessThanOrEqual">
      <formula>H38</formula>
    </cfRule>
  </conditionalFormatting>
  <conditionalFormatting sqref="S39">
    <cfRule type="cellIs" dxfId="2" priority="343" operator="lessThanOrEqual">
      <formula>H39</formula>
    </cfRule>
  </conditionalFormatting>
  <conditionalFormatting sqref="S40">
    <cfRule type="cellIs" dxfId="2" priority="347" operator="lessThanOrEqual">
      <formula>H40</formula>
    </cfRule>
  </conditionalFormatting>
  <conditionalFormatting sqref="S41">
    <cfRule type="cellIs" dxfId="2" priority="351" operator="lessThanOrEqual">
      <formula>H41</formula>
    </cfRule>
  </conditionalFormatting>
  <conditionalFormatting sqref="S42">
    <cfRule type="cellIs" dxfId="2" priority="355" operator="lessThanOrEqual">
      <formula>H42</formula>
    </cfRule>
  </conditionalFormatting>
  <conditionalFormatting sqref="S43">
    <cfRule type="cellIs" dxfId="2" priority="359" operator="lessThanOrEqual">
      <formula>H43</formula>
    </cfRule>
  </conditionalFormatting>
  <conditionalFormatting sqref="S44">
    <cfRule type="cellIs" dxfId="2" priority="363" operator="lessThanOrEqual">
      <formula>H44</formula>
    </cfRule>
  </conditionalFormatting>
  <conditionalFormatting sqref="S45">
    <cfRule type="cellIs" dxfId="2" priority="367" operator="lessThanOrEqual">
      <formula>H45</formula>
    </cfRule>
  </conditionalFormatting>
  <conditionalFormatting sqref="S46">
    <cfRule type="cellIs" dxfId="2" priority="371" operator="lessThanOrEqual">
      <formula>H46</formula>
    </cfRule>
  </conditionalFormatting>
  <conditionalFormatting sqref="S47">
    <cfRule type="cellIs" dxfId="2" priority="375" operator="lessThanOrEqual">
      <formula>H47</formula>
    </cfRule>
  </conditionalFormatting>
  <conditionalFormatting sqref="S48">
    <cfRule type="cellIs" dxfId="2" priority="379" operator="lessThanOrEqual">
      <formula>H48</formula>
    </cfRule>
  </conditionalFormatting>
  <conditionalFormatting sqref="S50">
    <cfRule type="cellIs" dxfId="2" priority="383" operator="lessThanOrEqual">
      <formula>H50</formula>
    </cfRule>
  </conditionalFormatting>
  <conditionalFormatting sqref="S51">
    <cfRule type="cellIs" dxfId="2" priority="387" operator="lessThanOrEqual">
      <formula>H51</formula>
    </cfRule>
  </conditionalFormatting>
  <conditionalFormatting sqref="S52">
    <cfRule type="cellIs" dxfId="2" priority="391" operator="lessThanOrEqual">
      <formula>H52</formula>
    </cfRule>
  </conditionalFormatting>
  <conditionalFormatting sqref="S53">
    <cfRule type="cellIs" dxfId="2" priority="395" operator="lessThanOrEqual">
      <formula>H53</formula>
    </cfRule>
  </conditionalFormatting>
  <conditionalFormatting sqref="S54">
    <cfRule type="cellIs" dxfId="2" priority="399" operator="lessThanOrEqual">
      <formula>H54</formula>
    </cfRule>
  </conditionalFormatting>
  <conditionalFormatting sqref="S55">
    <cfRule type="cellIs" dxfId="2" priority="403" operator="lessThanOrEqual">
      <formula>H55</formula>
    </cfRule>
  </conditionalFormatting>
  <conditionalFormatting sqref="S56">
    <cfRule type="cellIs" dxfId="2" priority="407" operator="lessThanOrEqual">
      <formula>H56</formula>
    </cfRule>
  </conditionalFormatting>
  <conditionalFormatting sqref="S57">
    <cfRule type="cellIs" dxfId="2" priority="411" operator="lessThanOrEqual">
      <formula>H57</formula>
    </cfRule>
  </conditionalFormatting>
  <conditionalFormatting sqref="S58">
    <cfRule type="cellIs" dxfId="2" priority="415" operator="lessThanOrEqual">
      <formula>H58</formula>
    </cfRule>
  </conditionalFormatting>
  <conditionalFormatting sqref="S59">
    <cfRule type="cellIs" dxfId="2" priority="419" operator="lessThanOrEqual">
      <formula>H59</formula>
    </cfRule>
  </conditionalFormatting>
  <conditionalFormatting sqref="S60">
    <cfRule type="cellIs" dxfId="2" priority="423" operator="lessThanOrEqual">
      <formula>H60</formula>
    </cfRule>
  </conditionalFormatting>
  <conditionalFormatting sqref="S61">
    <cfRule type="cellIs" dxfId="2" priority="427" operator="lessThanOrEqual">
      <formula>H61</formula>
    </cfRule>
  </conditionalFormatting>
  <conditionalFormatting sqref="S62">
    <cfRule type="cellIs" dxfId="2" priority="431" operator="lessThanOrEqual">
      <formula>H62</formula>
    </cfRule>
  </conditionalFormatting>
  <conditionalFormatting sqref="S63">
    <cfRule type="cellIs" dxfId="2" priority="435" operator="lessThanOrEqual">
      <formula>H63</formula>
    </cfRule>
  </conditionalFormatting>
  <conditionalFormatting sqref="S64">
    <cfRule type="cellIs" dxfId="2" priority="439" operator="lessThanOrEqual">
      <formula>H64</formula>
    </cfRule>
  </conditionalFormatting>
  <conditionalFormatting sqref="S7">
    <cfRule type="cellIs" dxfId="2" priority="227" operator="lessThanOrEqual">
      <formula>H7</formula>
    </cfRule>
  </conditionalFormatting>
  <conditionalFormatting sqref="S8">
    <cfRule type="cellIs" dxfId="2" priority="231" operator="lessThanOrEqual">
      <formula>H8</formula>
    </cfRule>
  </conditionalFormatting>
  <conditionalFormatting sqref="S9">
    <cfRule type="cellIs" dxfId="2" priority="235" operator="lessThanOrEqual">
      <formula>H9</formula>
    </cfRule>
  </conditionalFormatting>
  <conditionalFormatting sqref="U28">
    <cfRule type="cellIs" dxfId="0" priority="441" operator="lessThan">
      <formula>F28</formula>
    </cfRule>
  </conditionalFormatting>
  <conditionalFormatting sqref="V28">
    <cfRule type="expression" dxfId="3" priority="442">
      <formula>AND(V28&gt;0,MOD(V28,X28)&lt;&gt;0)</formula>
    </cfRule>
    <cfRule type="expression" dxfId="1" priority="443">
      <formula>AND(NOT(ISBLANK(V28)),OR(U28="NonStk",V28&gt;U28))</formula>
    </cfRule>
  </conditionalFormatting>
  <conditionalFormatting sqref="W28">
    <cfRule type="cellIs" dxfId="2" priority="445" operator="lessThanOrEqual">
      <formula>G28</formula>
    </cfRule>
  </conditionalFormatting>
  <conditionalFormatting sqref="Y28">
    <cfRule type="cellIs" dxfId="2" priority="444" operator="lessThanOrEqual">
      <formula>H28</formula>
    </cfRule>
  </conditionalFormatting>
  <hyperlinks>
    <hyperlink ref="E7" r:id="rId1"/>
    <hyperlink ref="N7" r:id="rId2"/>
    <hyperlink ref="T7" r:id="rId3"/>
    <hyperlink ref="E8" r:id="rId4"/>
    <hyperlink ref="N8" r:id="rId5"/>
    <hyperlink ref="T8" r:id="rId6"/>
    <hyperlink ref="E9" r:id="rId7"/>
    <hyperlink ref="N9" r:id="rId8"/>
    <hyperlink ref="T9" r:id="rId9"/>
    <hyperlink ref="E10" r:id="rId10"/>
    <hyperlink ref="N10" r:id="rId11"/>
    <hyperlink ref="T10" r:id="rId12"/>
    <hyperlink ref="E11" r:id="rId13"/>
    <hyperlink ref="N11" r:id="rId14"/>
    <hyperlink ref="T11" r:id="rId15"/>
    <hyperlink ref="E12" r:id="rId16"/>
    <hyperlink ref="N12" r:id="rId17"/>
    <hyperlink ref="T12" r:id="rId18"/>
    <hyperlink ref="E13" r:id="rId19"/>
    <hyperlink ref="N13" r:id="rId20"/>
    <hyperlink ref="T13" r:id="rId21"/>
    <hyperlink ref="E14" r:id="rId22"/>
    <hyperlink ref="N14" r:id="rId23"/>
    <hyperlink ref="T14" r:id="rId24"/>
    <hyperlink ref="E15" r:id="rId25"/>
    <hyperlink ref="N15" r:id="rId26"/>
    <hyperlink ref="T15" r:id="rId27"/>
    <hyperlink ref="E16" r:id="rId28"/>
    <hyperlink ref="N16" r:id="rId29"/>
    <hyperlink ref="T16" r:id="rId30"/>
    <hyperlink ref="E17" r:id="rId31"/>
    <hyperlink ref="N17" r:id="rId32"/>
    <hyperlink ref="T17" r:id="rId33"/>
    <hyperlink ref="N18" r:id="rId34"/>
    <hyperlink ref="T18" r:id="rId35"/>
    <hyperlink ref="E19" r:id="rId36"/>
    <hyperlink ref="N19" r:id="rId37"/>
    <hyperlink ref="T19" r:id="rId38"/>
    <hyperlink ref="E20" r:id="rId39"/>
    <hyperlink ref="N20" r:id="rId40"/>
    <hyperlink ref="T20" r:id="rId41"/>
    <hyperlink ref="E21" r:id="rId42"/>
    <hyperlink ref="N21" r:id="rId43"/>
    <hyperlink ref="T21" r:id="rId44"/>
    <hyperlink ref="E22" r:id="rId45"/>
    <hyperlink ref="N22" r:id="rId46"/>
    <hyperlink ref="T22" r:id="rId47"/>
    <hyperlink ref="E25" r:id="rId48"/>
    <hyperlink ref="N25" r:id="rId49"/>
    <hyperlink ref="T25" r:id="rId50"/>
    <hyperlink ref="E26" r:id="rId51"/>
    <hyperlink ref="N26" r:id="rId52"/>
    <hyperlink ref="T26" r:id="rId53"/>
    <hyperlink ref="E27" r:id="rId54"/>
    <hyperlink ref="N27" r:id="rId55"/>
    <hyperlink ref="T27" r:id="rId56"/>
    <hyperlink ref="E28" r:id="rId57"/>
    <hyperlink ref="Z28" r:id="rId58"/>
    <hyperlink ref="E29" r:id="rId59"/>
    <hyperlink ref="N29" r:id="rId60"/>
    <hyperlink ref="T29" r:id="rId61"/>
    <hyperlink ref="E30" r:id="rId62"/>
    <hyperlink ref="N30" r:id="rId63"/>
    <hyperlink ref="T30" r:id="rId64"/>
    <hyperlink ref="E31" r:id="rId65"/>
    <hyperlink ref="N31" r:id="rId66"/>
    <hyperlink ref="T31" r:id="rId67"/>
    <hyperlink ref="E32" r:id="rId68"/>
    <hyperlink ref="N32" r:id="rId69"/>
    <hyperlink ref="T32" r:id="rId70"/>
    <hyperlink ref="E33" r:id="rId71"/>
    <hyperlink ref="N33" r:id="rId72"/>
    <hyperlink ref="T33" r:id="rId73"/>
    <hyperlink ref="E34" r:id="rId74"/>
    <hyperlink ref="N34" r:id="rId75"/>
    <hyperlink ref="T34" r:id="rId76"/>
    <hyperlink ref="E35" r:id="rId77"/>
    <hyperlink ref="N35" r:id="rId78"/>
    <hyperlink ref="T35" r:id="rId79"/>
    <hyperlink ref="E36" r:id="rId80"/>
    <hyperlink ref="N36" r:id="rId81"/>
    <hyperlink ref="T36" r:id="rId82"/>
    <hyperlink ref="E37" r:id="rId83"/>
    <hyperlink ref="N37" r:id="rId84"/>
    <hyperlink ref="T37" r:id="rId85"/>
    <hyperlink ref="E38" r:id="rId86"/>
    <hyperlink ref="N38" r:id="rId87"/>
    <hyperlink ref="T38" r:id="rId88"/>
    <hyperlink ref="E39" r:id="rId89"/>
    <hyperlink ref="N39" r:id="rId90"/>
    <hyperlink ref="T39" r:id="rId91"/>
    <hyperlink ref="E40" r:id="rId92"/>
    <hyperlink ref="N40" r:id="rId93"/>
    <hyperlink ref="T40" r:id="rId94"/>
    <hyperlink ref="E41" r:id="rId95"/>
    <hyperlink ref="N41" r:id="rId96"/>
    <hyperlink ref="T41" r:id="rId97"/>
    <hyperlink ref="E42" r:id="rId98"/>
    <hyperlink ref="N42" r:id="rId99"/>
    <hyperlink ref="T42" r:id="rId100"/>
    <hyperlink ref="E43" r:id="rId101"/>
    <hyperlink ref="N43" r:id="rId102"/>
    <hyperlink ref="T43" r:id="rId103"/>
    <hyperlink ref="E44" r:id="rId104"/>
    <hyperlink ref="N44" r:id="rId105"/>
    <hyperlink ref="T44" r:id="rId106"/>
    <hyperlink ref="E45" r:id="rId107"/>
    <hyperlink ref="N45" r:id="rId108"/>
    <hyperlink ref="T45" r:id="rId109"/>
    <hyperlink ref="E46" r:id="rId110"/>
    <hyperlink ref="N46" r:id="rId111"/>
    <hyperlink ref="T46" r:id="rId112"/>
    <hyperlink ref="E47" r:id="rId113"/>
    <hyperlink ref="N47" r:id="rId114"/>
    <hyperlink ref="T47" r:id="rId115"/>
    <hyperlink ref="E48" r:id="rId116"/>
    <hyperlink ref="N48" r:id="rId117"/>
    <hyperlink ref="T48" r:id="rId118"/>
    <hyperlink ref="E50" r:id="rId119"/>
    <hyperlink ref="N50" r:id="rId120"/>
    <hyperlink ref="T50" r:id="rId121"/>
    <hyperlink ref="E51" r:id="rId122"/>
    <hyperlink ref="N51" r:id="rId123"/>
    <hyperlink ref="T51" r:id="rId124"/>
    <hyperlink ref="E52" r:id="rId125"/>
    <hyperlink ref="N52" r:id="rId126"/>
    <hyperlink ref="T52" r:id="rId127"/>
    <hyperlink ref="E53" r:id="rId128"/>
    <hyperlink ref="N53" r:id="rId129"/>
    <hyperlink ref="T53" r:id="rId130"/>
    <hyperlink ref="N54" r:id="rId131"/>
    <hyperlink ref="T54" r:id="rId132"/>
    <hyperlink ref="E55" r:id="rId133"/>
    <hyperlink ref="N55" r:id="rId134"/>
    <hyperlink ref="T55" r:id="rId135"/>
    <hyperlink ref="E56" r:id="rId136"/>
    <hyperlink ref="N56" r:id="rId137"/>
    <hyperlink ref="T56" r:id="rId138"/>
    <hyperlink ref="E57" r:id="rId139"/>
    <hyperlink ref="N57" r:id="rId140"/>
    <hyperlink ref="T57" r:id="rId141"/>
    <hyperlink ref="E58" r:id="rId142"/>
    <hyperlink ref="N58" r:id="rId143"/>
    <hyperlink ref="T58" r:id="rId144"/>
    <hyperlink ref="E59" r:id="rId145"/>
    <hyperlink ref="N59" r:id="rId146"/>
    <hyperlink ref="T59" r:id="rId147"/>
    <hyperlink ref="E60" r:id="rId148"/>
    <hyperlink ref="N60" r:id="rId149"/>
    <hyperlink ref="T60" r:id="rId150"/>
    <hyperlink ref="E61" r:id="rId151"/>
    <hyperlink ref="N61" r:id="rId152"/>
    <hyperlink ref="T61" r:id="rId153"/>
    <hyperlink ref="E62" r:id="rId154"/>
    <hyperlink ref="N62" r:id="rId155"/>
    <hyperlink ref="T62" r:id="rId156"/>
    <hyperlink ref="E63" r:id="rId157"/>
    <hyperlink ref="N63" r:id="rId158"/>
    <hyperlink ref="T63" r:id="rId159"/>
    <hyperlink ref="E64" r:id="rId160"/>
    <hyperlink ref="N64" r:id="rId161"/>
    <hyperlink ref="T64" r:id="rId162"/>
    <hyperlink ref="I66" r:id="rId163"/>
    <hyperlink ref="O66" r:id="rId164"/>
  </hyperlinks>
  <pageMargins left="0.7" right="0.7" top="0.75" bottom="0.75" header="0.3" footer="0.3"/>
  <legacyDrawing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ftx</vt:lpstr>
      <vt:lpstr>'ftx'!BoardQty</vt:lpstr>
      <vt:lpstr>'ftx'!PURCHASE_DESCRIPTION</vt:lpstr>
      <vt:lpstr>'ftx'!TotalCost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2024-09-09T18:33:18Z</dcterms:created>
  <dcterms:modified xsi:type="dcterms:W3CDTF">2024-09-09T18:33:18Z</dcterms:modified>
</cp:coreProperties>
</file>