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alexl\Downloads\"/>
    </mc:Choice>
  </mc:AlternateContent>
  <xr:revisionPtr revIDLastSave="0" documentId="13_ncr:1_{432A53C0-D03B-465C-97D9-1AAD1DC2B4E9}" xr6:coauthVersionLast="47" xr6:coauthVersionMax="47" xr10:uidLastSave="{00000000-0000-0000-0000-000000000000}"/>
  <bookViews>
    <workbookView xWindow="-108" yWindow="-108" windowWidth="23256" windowHeight="12456" tabRatio="843" activeTab="1" xr2:uid="{9E937943-FBC9-4EE1-A0FD-8A017B789D10}"/>
  </bookViews>
  <sheets>
    <sheet name="Tool User Guide" sheetId="4" r:id="rId1"/>
    <sheet name="Inputs" sheetId="1" r:id="rId2"/>
    <sheet name="Calculations" sheetId="2" r:id="rId3"/>
    <sheet name="Outputs" sheetId="3" r:id="rId4"/>
    <sheet name="Portfolio tab" sheetId="7" r:id="rId5"/>
  </sheets>
  <definedNames>
    <definedName name="Capital_Costs_Details">#REF!</definedName>
    <definedName name="_xlnm.Print_Area" localSheetId="3">Outputs!$A$1:$G$210</definedName>
    <definedName name="_xlnm.Print_Titles" localSheetId="0">'Tool User Guide'!$32:$32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7" i="1" l="1"/>
  <c r="C156" i="1"/>
  <c r="C17" i="2"/>
  <c r="X7" i="7"/>
  <c r="E24" i="1" l="1"/>
  <c r="C191" i="1" l="1"/>
  <c r="E27" i="1" l="1"/>
  <c r="D198" i="1"/>
  <c r="D199" i="1"/>
  <c r="D200" i="1"/>
  <c r="D201" i="1"/>
  <c r="D202" i="1"/>
  <c r="D203" i="1"/>
  <c r="D204" i="1"/>
  <c r="B41" i="2"/>
  <c r="B40" i="2"/>
  <c r="AI123" i="1" l="1"/>
  <c r="AI125" i="1"/>
  <c r="AH123" i="1"/>
  <c r="AH125" i="1"/>
  <c r="C160" i="7" l="1"/>
  <c r="D13" i="7"/>
  <c r="E13" i="7" s="1"/>
  <c r="F13" i="7" s="1"/>
  <c r="G13" i="7" s="1"/>
  <c r="H13" i="7" s="1"/>
  <c r="I13" i="7" s="1"/>
  <c r="J13" i="7" s="1"/>
  <c r="K13" i="7" s="1"/>
  <c r="L13" i="7" s="1"/>
  <c r="M13" i="7" s="1"/>
  <c r="N13" i="7" s="1"/>
  <c r="O13" i="7" s="1"/>
  <c r="P13" i="7" s="1"/>
  <c r="Q13" i="7" s="1"/>
  <c r="R13" i="7" s="1"/>
  <c r="S13" i="7" s="1"/>
  <c r="T13" i="7" s="1"/>
  <c r="U13" i="7" s="1"/>
  <c r="V13" i="7" s="1"/>
  <c r="D11" i="7"/>
  <c r="D9" i="7"/>
  <c r="E9" i="7" s="1"/>
  <c r="F9" i="7" s="1"/>
  <c r="D168" i="7"/>
  <c r="E168" i="7"/>
  <c r="F168" i="7"/>
  <c r="G168" i="7"/>
  <c r="H168" i="7"/>
  <c r="I168" i="7"/>
  <c r="J168" i="7"/>
  <c r="K168" i="7"/>
  <c r="L168" i="7"/>
  <c r="M168" i="7"/>
  <c r="N168" i="7"/>
  <c r="O168" i="7"/>
  <c r="P168" i="7"/>
  <c r="Q168" i="7"/>
  <c r="R168" i="7"/>
  <c r="S168" i="7"/>
  <c r="T168" i="7"/>
  <c r="U168" i="7"/>
  <c r="V168" i="7"/>
  <c r="C168" i="7"/>
  <c r="X167" i="7"/>
  <c r="X166" i="7"/>
  <c r="X165" i="7"/>
  <c r="X164" i="7"/>
  <c r="X163" i="7"/>
  <c r="X162" i="7"/>
  <c r="X161" i="7"/>
  <c r="X168" i="7" s="1"/>
  <c r="X150" i="7"/>
  <c r="X151" i="7"/>
  <c r="X152" i="7"/>
  <c r="X153" i="7"/>
  <c r="X154" i="7"/>
  <c r="X155" i="7"/>
  <c r="X149" i="7"/>
  <c r="D206" i="1"/>
  <c r="E206" i="1" s="1"/>
  <c r="F206" i="1" s="1"/>
  <c r="G206" i="1" s="1"/>
  <c r="B53" i="4"/>
  <c r="AG123" i="1"/>
  <c r="AG125" i="1"/>
  <c r="AG116" i="1"/>
  <c r="AG117" i="1"/>
  <c r="AG118" i="1"/>
  <c r="AG119" i="1"/>
  <c r="AG98" i="1"/>
  <c r="AG100" i="1"/>
  <c r="AG80" i="1"/>
  <c r="AG82" i="1"/>
  <c r="AG62" i="1"/>
  <c r="AG64" i="1"/>
  <c r="AG45" i="1"/>
  <c r="AG46" i="1"/>
  <c r="AG48" i="1"/>
  <c r="AG43" i="1"/>
  <c r="C156" i="7"/>
  <c r="D156" i="7"/>
  <c r="E156" i="7"/>
  <c r="F156" i="7"/>
  <c r="G156" i="7"/>
  <c r="H156" i="7"/>
  <c r="I156" i="7"/>
  <c r="J156" i="7"/>
  <c r="K156" i="7"/>
  <c r="L156" i="7"/>
  <c r="M156" i="7"/>
  <c r="N156" i="7"/>
  <c r="O156" i="7"/>
  <c r="P156" i="7"/>
  <c r="Q156" i="7"/>
  <c r="R156" i="7"/>
  <c r="S156" i="7"/>
  <c r="T156" i="7"/>
  <c r="U156" i="7"/>
  <c r="V156" i="7"/>
  <c r="W156" i="7"/>
  <c r="D147" i="7"/>
  <c r="E147" i="7" s="1"/>
  <c r="F147" i="7" s="1"/>
  <c r="G147" i="7" s="1"/>
  <c r="H147" i="7" s="1"/>
  <c r="I147" i="7" s="1"/>
  <c r="J147" i="7" s="1"/>
  <c r="K147" i="7" s="1"/>
  <c r="L147" i="7" s="1"/>
  <c r="M147" i="7" s="1"/>
  <c r="N147" i="7" s="1"/>
  <c r="O147" i="7" s="1"/>
  <c r="P147" i="7" s="1"/>
  <c r="Q147" i="7" s="1"/>
  <c r="R147" i="7" s="1"/>
  <c r="S147" i="7" s="1"/>
  <c r="T147" i="7" s="1"/>
  <c r="U147" i="7" s="1"/>
  <c r="V147" i="7" s="1"/>
  <c r="E137" i="3"/>
  <c r="F137" i="3"/>
  <c r="G137" i="3"/>
  <c r="D137" i="3"/>
  <c r="H197" i="1"/>
  <c r="H205" i="1"/>
  <c r="C163" i="2" s="1"/>
  <c r="X5" i="7"/>
  <c r="A163" i="2"/>
  <c r="E11" i="7" l="1"/>
  <c r="F11" i="7" s="1"/>
  <c r="AG30" i="1"/>
  <c r="AG29" i="1"/>
  <c r="AG25" i="1"/>
  <c r="AG28" i="1"/>
  <c r="AG44" i="1"/>
  <c r="X13" i="7"/>
  <c r="G9" i="7"/>
  <c r="H9" i="7" s="1"/>
  <c r="I9" i="7" s="1"/>
  <c r="J9" i="7" s="1"/>
  <c r="K9" i="7" s="1"/>
  <c r="L9" i="7" s="1"/>
  <c r="M9" i="7" s="1"/>
  <c r="N9" i="7" s="1"/>
  <c r="O9" i="7" s="1"/>
  <c r="P9" i="7" s="1"/>
  <c r="Q9" i="7" s="1"/>
  <c r="R9" i="7" s="1"/>
  <c r="S9" i="7" s="1"/>
  <c r="T9" i="7" s="1"/>
  <c r="U9" i="7" s="1"/>
  <c r="V9" i="7" s="1"/>
  <c r="X156" i="7"/>
  <c r="C6" i="1"/>
  <c r="C8" i="1" s="1"/>
  <c r="B24" i="1"/>
  <c r="B216" i="1"/>
  <c r="AG27" i="1"/>
  <c r="I112" i="2"/>
  <c r="J112" i="2"/>
  <c r="K112" i="2"/>
  <c r="L112" i="2"/>
  <c r="M112" i="2"/>
  <c r="N112" i="2"/>
  <c r="O112" i="2"/>
  <c r="P112" i="2"/>
  <c r="Q112" i="2"/>
  <c r="R112" i="2"/>
  <c r="S112" i="2"/>
  <c r="T112" i="2"/>
  <c r="U112" i="2"/>
  <c r="V112" i="2"/>
  <c r="W112" i="2"/>
  <c r="X112" i="2"/>
  <c r="Y112" i="2"/>
  <c r="Z112" i="2"/>
  <c r="AA112" i="2"/>
  <c r="AB112" i="2"/>
  <c r="B228" i="1"/>
  <c r="B152" i="1"/>
  <c r="G11" i="7" l="1"/>
  <c r="H11" i="7" s="1"/>
  <c r="I11" i="7" s="1"/>
  <c r="J11" i="7" s="1"/>
  <c r="K11" i="7" s="1"/>
  <c r="L11" i="7" s="1"/>
  <c r="M11" i="7" s="1"/>
  <c r="N11" i="7" s="1"/>
  <c r="O11" i="7" s="1"/>
  <c r="P11" i="7" s="1"/>
  <c r="Q11" i="7" s="1"/>
  <c r="R11" i="7" s="1"/>
  <c r="S11" i="7" s="1"/>
  <c r="T11" i="7" s="1"/>
  <c r="U11" i="7" s="1"/>
  <c r="V11" i="7" s="1"/>
  <c r="X9" i="7"/>
  <c r="B170" i="1"/>
  <c r="B149" i="3"/>
  <c r="B23" i="7"/>
  <c r="B148" i="3"/>
  <c r="B193" i="1"/>
  <c r="B8" i="3"/>
  <c r="B100" i="2"/>
  <c r="C98" i="2"/>
  <c r="C96" i="2"/>
  <c r="C94" i="2"/>
  <c r="C92" i="2"/>
  <c r="C90" i="2"/>
  <c r="C88" i="2"/>
  <c r="C86" i="2"/>
  <c r="B82" i="2"/>
  <c r="B81" i="2"/>
  <c r="B80" i="2"/>
  <c r="B79" i="2"/>
  <c r="B78" i="2"/>
  <c r="B77" i="2"/>
  <c r="B76" i="2"/>
  <c r="C73" i="2"/>
  <c r="B68" i="2"/>
  <c r="B66" i="2"/>
  <c r="B53" i="2"/>
  <c r="B224" i="1"/>
  <c r="B223" i="1"/>
  <c r="B226" i="1"/>
  <c r="B225" i="1"/>
  <c r="B217" i="1"/>
  <c r="X11" i="7" l="1"/>
  <c r="A148" i="3"/>
  <c r="C183" i="1"/>
  <c r="B25" i="1"/>
  <c r="X143" i="7"/>
  <c r="X142" i="7"/>
  <c r="X141" i="7"/>
  <c r="X140" i="7"/>
  <c r="X139" i="7"/>
  <c r="X138" i="7"/>
  <c r="X137" i="7"/>
  <c r="W144" i="7"/>
  <c r="V144" i="7"/>
  <c r="U144" i="7"/>
  <c r="T144" i="7"/>
  <c r="S144" i="7"/>
  <c r="R144" i="7"/>
  <c r="Q144" i="7"/>
  <c r="P144" i="7"/>
  <c r="O144" i="7"/>
  <c r="N144" i="7"/>
  <c r="M144" i="7"/>
  <c r="L144" i="7"/>
  <c r="K144" i="7"/>
  <c r="J144" i="7"/>
  <c r="I144" i="7"/>
  <c r="H144" i="7"/>
  <c r="G144" i="7"/>
  <c r="F144" i="7"/>
  <c r="E144" i="7"/>
  <c r="D144" i="7"/>
  <c r="C144" i="7"/>
  <c r="X130" i="7"/>
  <c r="X129" i="7"/>
  <c r="X128" i="7"/>
  <c r="X127" i="7"/>
  <c r="X126" i="7"/>
  <c r="X125" i="7"/>
  <c r="X124" i="7"/>
  <c r="W131" i="7"/>
  <c r="D131" i="7"/>
  <c r="E131" i="7"/>
  <c r="F131" i="7"/>
  <c r="G131" i="7"/>
  <c r="H131" i="7"/>
  <c r="I131" i="7"/>
  <c r="J131" i="7"/>
  <c r="K131" i="7"/>
  <c r="L131" i="7"/>
  <c r="M131" i="7"/>
  <c r="N131" i="7"/>
  <c r="O131" i="7"/>
  <c r="P131" i="7"/>
  <c r="Q131" i="7"/>
  <c r="R131" i="7"/>
  <c r="S131" i="7"/>
  <c r="T131" i="7"/>
  <c r="U131" i="7"/>
  <c r="V131" i="7"/>
  <c r="X114" i="7"/>
  <c r="X113" i="7"/>
  <c r="X112" i="7"/>
  <c r="X111" i="7"/>
  <c r="X110" i="7"/>
  <c r="X109" i="7"/>
  <c r="X108" i="7"/>
  <c r="X107" i="7"/>
  <c r="X106" i="7"/>
  <c r="X105" i="7"/>
  <c r="X104" i="7"/>
  <c r="X103" i="7"/>
  <c r="X102" i="7"/>
  <c r="X101" i="7"/>
  <c r="X100" i="7"/>
  <c r="X99" i="7"/>
  <c r="X98" i="7"/>
  <c r="X96" i="7"/>
  <c r="X95" i="7"/>
  <c r="X94" i="7"/>
  <c r="X93" i="7"/>
  <c r="X92" i="7"/>
  <c r="X91" i="7"/>
  <c r="X90" i="7"/>
  <c r="X89" i="7"/>
  <c r="X88" i="7"/>
  <c r="X87" i="7"/>
  <c r="X86" i="7"/>
  <c r="X85" i="7"/>
  <c r="X84" i="7"/>
  <c r="X83" i="7"/>
  <c r="X82" i="7"/>
  <c r="X81" i="7"/>
  <c r="X80" i="7"/>
  <c r="X78" i="7"/>
  <c r="X40" i="7"/>
  <c r="X41" i="7"/>
  <c r="X6" i="7"/>
  <c r="V6" i="7"/>
  <c r="U6" i="7"/>
  <c r="T6" i="7"/>
  <c r="T8" i="7" s="1"/>
  <c r="T10" i="7" s="1"/>
  <c r="T12" i="7" s="1"/>
  <c r="T14" i="7" s="1"/>
  <c r="S6" i="7"/>
  <c r="R6" i="7"/>
  <c r="Q6" i="7"/>
  <c r="P6" i="7"/>
  <c r="P8" i="7" s="1"/>
  <c r="P10" i="7" s="1"/>
  <c r="P12" i="7" s="1"/>
  <c r="P14" i="7" s="1"/>
  <c r="O6" i="7"/>
  <c r="N6" i="7"/>
  <c r="M6" i="7"/>
  <c r="L6" i="7"/>
  <c r="K6" i="7"/>
  <c r="J6" i="7"/>
  <c r="I6" i="7"/>
  <c r="H6" i="7"/>
  <c r="H8" i="7" s="1"/>
  <c r="G6" i="7"/>
  <c r="G8" i="7" s="1"/>
  <c r="F6" i="7"/>
  <c r="F8" i="7" s="1"/>
  <c r="E6" i="7"/>
  <c r="D6" i="7"/>
  <c r="D8" i="7" s="1"/>
  <c r="D10" i="7" s="1"/>
  <c r="D12" i="7" s="1"/>
  <c r="D14" i="7" s="1"/>
  <c r="A134" i="7"/>
  <c r="C131" i="7"/>
  <c r="A122" i="7"/>
  <c r="A115" i="7"/>
  <c r="A97" i="7"/>
  <c r="A79" i="7"/>
  <c r="A22" i="7"/>
  <c r="A42" i="7"/>
  <c r="A45" i="7"/>
  <c r="A61" i="7"/>
  <c r="A23" i="7"/>
  <c r="X23" i="7"/>
  <c r="A24" i="7"/>
  <c r="X24" i="7"/>
  <c r="A25" i="7"/>
  <c r="X25" i="7"/>
  <c r="A26" i="7"/>
  <c r="X26" i="7"/>
  <c r="A27" i="7"/>
  <c r="X27" i="7"/>
  <c r="A28" i="7"/>
  <c r="X28" i="7"/>
  <c r="A29" i="7"/>
  <c r="X29" i="7"/>
  <c r="A30" i="7"/>
  <c r="X30" i="7"/>
  <c r="A31" i="7"/>
  <c r="X31" i="7"/>
  <c r="A32" i="7"/>
  <c r="X32" i="7"/>
  <c r="A33" i="7"/>
  <c r="X33" i="7"/>
  <c r="A34" i="7"/>
  <c r="X34" i="7"/>
  <c r="A35" i="7"/>
  <c r="X35" i="7"/>
  <c r="A36" i="7"/>
  <c r="X36" i="7"/>
  <c r="A37" i="7"/>
  <c r="X37" i="7"/>
  <c r="A38" i="7"/>
  <c r="X38" i="7"/>
  <c r="A39" i="7"/>
  <c r="X39" i="7"/>
  <c r="A40" i="7"/>
  <c r="A41" i="7"/>
  <c r="A43" i="7"/>
  <c r="X43" i="7"/>
  <c r="A44" i="7"/>
  <c r="A46" i="7"/>
  <c r="X46" i="7"/>
  <c r="A47" i="7"/>
  <c r="X47" i="7"/>
  <c r="A48" i="7"/>
  <c r="X48" i="7"/>
  <c r="A49" i="7"/>
  <c r="X49" i="7"/>
  <c r="A50" i="7"/>
  <c r="X50" i="7"/>
  <c r="A51" i="7"/>
  <c r="X51" i="7"/>
  <c r="A52" i="7"/>
  <c r="X52" i="7"/>
  <c r="A53" i="7"/>
  <c r="X53" i="7"/>
  <c r="A54" i="7"/>
  <c r="X54" i="7"/>
  <c r="A55" i="7"/>
  <c r="X55" i="7"/>
  <c r="A56" i="7"/>
  <c r="X56" i="7"/>
  <c r="A57" i="7"/>
  <c r="X57" i="7"/>
  <c r="A58" i="7"/>
  <c r="X58" i="7"/>
  <c r="A59" i="7"/>
  <c r="X59" i="7"/>
  <c r="A60" i="7"/>
  <c r="A62" i="7"/>
  <c r="X62" i="7"/>
  <c r="A63" i="7"/>
  <c r="X63" i="7"/>
  <c r="A64" i="7"/>
  <c r="X64" i="7"/>
  <c r="A65" i="7"/>
  <c r="X65" i="7"/>
  <c r="A66" i="7"/>
  <c r="X66" i="7"/>
  <c r="A67" i="7"/>
  <c r="X67" i="7"/>
  <c r="A68" i="7"/>
  <c r="X68" i="7"/>
  <c r="A69" i="7"/>
  <c r="X69" i="7"/>
  <c r="A70" i="7"/>
  <c r="X70" i="7"/>
  <c r="A71" i="7"/>
  <c r="X71" i="7"/>
  <c r="A72" i="7"/>
  <c r="X72" i="7"/>
  <c r="A73" i="7"/>
  <c r="X73" i="7"/>
  <c r="A74" i="7"/>
  <c r="X74" i="7"/>
  <c r="A75" i="7"/>
  <c r="X75" i="7"/>
  <c r="A76" i="7"/>
  <c r="X76" i="7"/>
  <c r="A77" i="7"/>
  <c r="X77" i="7"/>
  <c r="A78" i="7"/>
  <c r="A80" i="7"/>
  <c r="A81" i="7"/>
  <c r="A82" i="7"/>
  <c r="A83" i="7"/>
  <c r="A84" i="7"/>
  <c r="A85" i="7"/>
  <c r="A86" i="7"/>
  <c r="A87" i="7"/>
  <c r="A88" i="7"/>
  <c r="A89" i="7"/>
  <c r="A90" i="7"/>
  <c r="A91" i="7"/>
  <c r="A92" i="7"/>
  <c r="A93" i="7"/>
  <c r="A94" i="7"/>
  <c r="A95" i="7"/>
  <c r="A96" i="7"/>
  <c r="A116" i="7"/>
  <c r="X116" i="7"/>
  <c r="A117" i="7"/>
  <c r="X117" i="7"/>
  <c r="A118" i="7"/>
  <c r="X118" i="7"/>
  <c r="A119" i="7"/>
  <c r="X119" i="7"/>
  <c r="A120" i="7"/>
  <c r="X120" i="7"/>
  <c r="A121" i="7"/>
  <c r="X121" i="7"/>
  <c r="A124" i="7"/>
  <c r="A125" i="7"/>
  <c r="A126" i="7"/>
  <c r="C6" i="7"/>
  <c r="E108" i="1"/>
  <c r="AG108" i="1" s="1"/>
  <c r="E90" i="1"/>
  <c r="AG90" i="1" s="1"/>
  <c r="AG24" i="1"/>
  <c r="F28" i="1"/>
  <c r="X131" i="7" l="1"/>
  <c r="L8" i="7"/>
  <c r="L10" i="7" s="1"/>
  <c r="L12" i="7" s="1"/>
  <c r="L14" i="7" s="1"/>
  <c r="X144" i="7"/>
  <c r="O8" i="7"/>
  <c r="O10" i="7" s="1"/>
  <c r="O12" i="7" s="1"/>
  <c r="O14" i="7" s="1"/>
  <c r="C8" i="7"/>
  <c r="E8" i="7"/>
  <c r="E10" i="7" s="1"/>
  <c r="E12" i="7" s="1"/>
  <c r="E14" i="7" s="1"/>
  <c r="I8" i="7"/>
  <c r="I10" i="7" s="1"/>
  <c r="I12" i="7" s="1"/>
  <c r="I14" i="7" s="1"/>
  <c r="M8" i="7"/>
  <c r="M10" i="7" s="1"/>
  <c r="M12" i="7" s="1"/>
  <c r="M14" i="7" s="1"/>
  <c r="Q8" i="7"/>
  <c r="Q10" i="7" s="1"/>
  <c r="Q12" i="7" s="1"/>
  <c r="Q14" i="7" s="1"/>
  <c r="U8" i="7"/>
  <c r="U10" i="7" s="1"/>
  <c r="U12" i="7" s="1"/>
  <c r="U14" i="7" s="1"/>
  <c r="K8" i="7"/>
  <c r="K10" i="7" s="1"/>
  <c r="K12" i="7" s="1"/>
  <c r="K14" i="7" s="1"/>
  <c r="S8" i="7"/>
  <c r="S10" i="7" s="1"/>
  <c r="S12" i="7" s="1"/>
  <c r="S14" i="7" s="1"/>
  <c r="J8" i="7"/>
  <c r="J10" i="7" s="1"/>
  <c r="J12" i="7" s="1"/>
  <c r="J14" i="7" s="1"/>
  <c r="N8" i="7"/>
  <c r="N10" i="7" s="1"/>
  <c r="N12" i="7" s="1"/>
  <c r="N14" i="7" s="1"/>
  <c r="R8" i="7"/>
  <c r="R10" i="7" s="1"/>
  <c r="R12" i="7" s="1"/>
  <c r="R14" i="7" s="1"/>
  <c r="V8" i="7"/>
  <c r="V10" i="7" s="1"/>
  <c r="V12" i="7" s="1"/>
  <c r="V14" i="7" s="1"/>
  <c r="B59" i="1"/>
  <c r="B57" i="1"/>
  <c r="F10" i="7"/>
  <c r="F12" i="7" s="1"/>
  <c r="F14" i="7" s="1"/>
  <c r="G10" i="7"/>
  <c r="G12" i="7" s="1"/>
  <c r="G14" i="7" s="1"/>
  <c r="H10" i="7"/>
  <c r="H12" i="7" s="1"/>
  <c r="H14" i="7" s="1"/>
  <c r="B100" i="7"/>
  <c r="B26" i="1"/>
  <c r="B29" i="1"/>
  <c r="B28" i="1"/>
  <c r="B173" i="1" s="1"/>
  <c r="B30" i="1"/>
  <c r="B27" i="1"/>
  <c r="E25" i="2"/>
  <c r="F25" i="2"/>
  <c r="G25" i="2"/>
  <c r="H25" i="2"/>
  <c r="X8" i="7" l="1"/>
  <c r="X10" i="7" s="1"/>
  <c r="X12" i="7" s="1"/>
  <c r="X14" i="7" s="1"/>
  <c r="C10" i="7"/>
  <c r="C12" i="7" s="1"/>
  <c r="C14" i="7" s="1"/>
  <c r="B108" i="7"/>
  <c r="B109" i="7"/>
  <c r="B106" i="7"/>
  <c r="B103" i="7"/>
  <c r="B112" i="7"/>
  <c r="B43" i="7"/>
  <c r="B110" i="7"/>
  <c r="B101" i="7"/>
  <c r="B98" i="7"/>
  <c r="B99" i="7"/>
  <c r="B111" i="7"/>
  <c r="B104" i="7"/>
  <c r="B105" i="7"/>
  <c r="B102" i="7"/>
  <c r="B62" i="7"/>
  <c r="B107" i="7"/>
  <c r="E224" i="1"/>
  <c r="E223" i="1" s="1"/>
  <c r="C139" i="3"/>
  <c r="C137" i="3"/>
  <c r="A194" i="3"/>
  <c r="B87" i="4"/>
  <c r="B86" i="4"/>
  <c r="B85" i="4"/>
  <c r="B84" i="4"/>
  <c r="B83" i="4"/>
  <c r="B82" i="4"/>
  <c r="B56" i="4"/>
  <c r="B81" i="4"/>
  <c r="B80" i="4"/>
  <c r="B79" i="4"/>
  <c r="B78" i="4"/>
  <c r="B77" i="4"/>
  <c r="B76" i="4"/>
  <c r="B75" i="4"/>
  <c r="B74" i="4"/>
  <c r="B73" i="4"/>
  <c r="B71" i="4"/>
  <c r="B70" i="4"/>
  <c r="B68" i="4"/>
  <c r="B69" i="4"/>
  <c r="B67" i="4"/>
  <c r="B66" i="4"/>
  <c r="B65" i="4"/>
  <c r="B64" i="4"/>
  <c r="B63" i="4"/>
  <c r="B62" i="4"/>
  <c r="B61" i="4"/>
  <c r="B60" i="4"/>
  <c r="B59" i="4"/>
  <c r="B58" i="4"/>
  <c r="B55" i="4"/>
  <c r="B54" i="4"/>
  <c r="B52" i="4"/>
  <c r="B48" i="4"/>
  <c r="B51" i="4"/>
  <c r="B50" i="4"/>
  <c r="B49" i="4"/>
  <c r="B47" i="4"/>
  <c r="B46" i="4"/>
  <c r="B45" i="4"/>
  <c r="B44" i="4"/>
  <c r="B43" i="4"/>
  <c r="B42" i="4"/>
  <c r="B41" i="4"/>
  <c r="B40" i="4"/>
  <c r="B39" i="4"/>
  <c r="B38" i="4"/>
  <c r="B37" i="4"/>
  <c r="B36" i="4"/>
  <c r="B35" i="4"/>
  <c r="B34" i="4"/>
  <c r="B33" i="4"/>
  <c r="B115" i="1" l="1"/>
  <c r="B114" i="1"/>
  <c r="B113" i="1"/>
  <c r="B112" i="1"/>
  <c r="B111" i="1"/>
  <c r="B110" i="1"/>
  <c r="B109" i="1"/>
  <c r="B108" i="1"/>
  <c r="B107" i="1"/>
  <c r="B106" i="1"/>
  <c r="B105" i="1"/>
  <c r="B104" i="1"/>
  <c r="B103" i="1"/>
  <c r="B102" i="1"/>
  <c r="B101" i="1"/>
  <c r="B100" i="1"/>
  <c r="B99" i="1"/>
  <c r="B24" i="7"/>
  <c r="C169" i="2"/>
  <c r="C143" i="3"/>
  <c r="C168" i="2"/>
  <c r="C142" i="3"/>
  <c r="B163" i="2"/>
  <c r="A164" i="2"/>
  <c r="B164" i="2"/>
  <c r="A165" i="2"/>
  <c r="B165" i="2"/>
  <c r="A166" i="2"/>
  <c r="B166" i="2"/>
  <c r="A167" i="2"/>
  <c r="A168" i="2"/>
  <c r="A169" i="2"/>
  <c r="A170" i="2"/>
  <c r="B170" i="2"/>
  <c r="A171" i="2"/>
  <c r="B172" i="2"/>
  <c r="B44" i="7" l="1"/>
  <c r="B63" i="7"/>
  <c r="E146" i="3"/>
  <c r="F146" i="3"/>
  <c r="G146" i="3"/>
  <c r="D146" i="3"/>
  <c r="E150" i="3"/>
  <c r="F150" i="3"/>
  <c r="G150" i="3"/>
  <c r="D150" i="3"/>
  <c r="A150" i="3"/>
  <c r="E151" i="3"/>
  <c r="F151" i="3"/>
  <c r="G151" i="3"/>
  <c r="D151" i="3"/>
  <c r="E149" i="3"/>
  <c r="F149" i="3"/>
  <c r="G149" i="3"/>
  <c r="D149" i="3"/>
  <c r="A149" i="3"/>
  <c r="E138" i="3"/>
  <c r="F138" i="3"/>
  <c r="G138" i="3"/>
  <c r="D138" i="3"/>
  <c r="G143" i="3"/>
  <c r="G147" i="3"/>
  <c r="F147" i="3"/>
  <c r="E147" i="3"/>
  <c r="D147" i="3"/>
  <c r="E148" i="3"/>
  <c r="F148" i="3"/>
  <c r="G148" i="3"/>
  <c r="D148" i="3"/>
  <c r="A153" i="3"/>
  <c r="G153" i="3"/>
  <c r="F153" i="3"/>
  <c r="E153" i="3"/>
  <c r="D153" i="3"/>
  <c r="E140" i="3"/>
  <c r="F140" i="3"/>
  <c r="G140" i="3"/>
  <c r="D140" i="3"/>
  <c r="E152" i="3"/>
  <c r="F152" i="3"/>
  <c r="G152" i="3"/>
  <c r="D152" i="3"/>
  <c r="D55" i="3"/>
  <c r="E55" i="3" s="1"/>
  <c r="F55" i="3" s="1"/>
  <c r="G55" i="3" s="1"/>
  <c r="D53" i="3"/>
  <c r="E53" i="3" s="1"/>
  <c r="F53" i="3" s="1"/>
  <c r="G53" i="3" s="1"/>
  <c r="C223" i="3"/>
  <c r="C224" i="3"/>
  <c r="C225" i="3"/>
  <c r="C226" i="3"/>
  <c r="C227" i="3"/>
  <c r="C228" i="3"/>
  <c r="C229" i="3"/>
  <c r="J230" i="3"/>
  <c r="A223" i="3"/>
  <c r="A229" i="3"/>
  <c r="A224" i="3"/>
  <c r="A225" i="3"/>
  <c r="A226" i="3"/>
  <c r="A227" i="3"/>
  <c r="A228" i="3"/>
  <c r="A7" i="3"/>
  <c r="A9" i="3"/>
  <c r="E99" i="1"/>
  <c r="AG99" i="1" s="1"/>
  <c r="E101" i="1"/>
  <c r="AG101" i="1" s="1"/>
  <c r="E102" i="1"/>
  <c r="AG102" i="1" s="1"/>
  <c r="E103" i="1"/>
  <c r="AG103" i="1" s="1"/>
  <c r="E104" i="1"/>
  <c r="E105" i="1"/>
  <c r="E106" i="1"/>
  <c r="E107" i="1"/>
  <c r="F108" i="1"/>
  <c r="E110" i="1"/>
  <c r="E111" i="1"/>
  <c r="E115" i="1"/>
  <c r="AG115" i="1" s="1"/>
  <c r="E114" i="1"/>
  <c r="E113" i="1"/>
  <c r="E112" i="1"/>
  <c r="E109" i="1"/>
  <c r="E83" i="1"/>
  <c r="AG83" i="1" s="1"/>
  <c r="AI100" i="1"/>
  <c r="AH100" i="1"/>
  <c r="AI98" i="1"/>
  <c r="AH98" i="1"/>
  <c r="B84" i="3"/>
  <c r="B86" i="3"/>
  <c r="B85" i="3"/>
  <c r="A177" i="3"/>
  <c r="A157" i="3"/>
  <c r="B19" i="3"/>
  <c r="B17" i="3"/>
  <c r="B15" i="3"/>
  <c r="B13" i="3"/>
  <c r="B11" i="3"/>
  <c r="B9" i="3"/>
  <c r="B7" i="3"/>
  <c r="A17" i="3"/>
  <c r="A13" i="3"/>
  <c r="A15" i="3"/>
  <c r="B10" i="3"/>
  <c r="B12" i="3"/>
  <c r="B14" i="3"/>
  <c r="B16" i="3"/>
  <c r="B18" i="3"/>
  <c r="B20" i="3"/>
  <c r="D49" i="3"/>
  <c r="E49" i="3" s="1"/>
  <c r="F49" i="3" s="1"/>
  <c r="G49" i="3" s="1"/>
  <c r="H49" i="3" s="1"/>
  <c r="I49" i="3" s="1"/>
  <c r="J49" i="3" s="1"/>
  <c r="K49" i="3" s="1"/>
  <c r="L49" i="3" s="1"/>
  <c r="M49" i="3" s="1"/>
  <c r="N49" i="3" s="1"/>
  <c r="O49" i="3" s="1"/>
  <c r="P49" i="3" s="1"/>
  <c r="Q49" i="3" s="1"/>
  <c r="R49" i="3" s="1"/>
  <c r="S49" i="3" s="1"/>
  <c r="T49" i="3" s="1"/>
  <c r="U49" i="3" s="1"/>
  <c r="V49" i="3" s="1"/>
  <c r="W49" i="3" s="1"/>
  <c r="X49" i="3" s="1"/>
  <c r="Y49" i="3" s="1"/>
  <c r="Z49" i="3" s="1"/>
  <c r="AA49" i="3" s="1"/>
  <c r="D82" i="3"/>
  <c r="E82" i="3" s="1"/>
  <c r="F82" i="3" s="1"/>
  <c r="G82" i="3" s="1"/>
  <c r="H82" i="3" s="1"/>
  <c r="I82" i="3" s="1"/>
  <c r="J82" i="3" s="1"/>
  <c r="K82" i="3" s="1"/>
  <c r="L82" i="3" s="1"/>
  <c r="M82" i="3" s="1"/>
  <c r="N82" i="3" s="1"/>
  <c r="O82" i="3" s="1"/>
  <c r="P82" i="3" s="1"/>
  <c r="Q82" i="3" s="1"/>
  <c r="R82" i="3" s="1"/>
  <c r="S82" i="3" s="1"/>
  <c r="T82" i="3" s="1"/>
  <c r="U82" i="3" s="1"/>
  <c r="V82" i="3" s="1"/>
  <c r="W82" i="3" s="1"/>
  <c r="X82" i="3" s="1"/>
  <c r="Y82" i="3" s="1"/>
  <c r="Z82" i="3" s="1"/>
  <c r="AA82" i="3" s="1"/>
  <c r="B149" i="2"/>
  <c r="B150" i="2"/>
  <c r="E152" i="2"/>
  <c r="F152" i="2" s="1"/>
  <c r="E48" i="2"/>
  <c r="F48" i="2" s="1"/>
  <c r="G48" i="2" s="1"/>
  <c r="H48" i="2" s="1"/>
  <c r="I48" i="2" s="1"/>
  <c r="J48" i="2" s="1"/>
  <c r="K48" i="2" s="1"/>
  <c r="L48" i="2" s="1"/>
  <c r="M48" i="2" s="1"/>
  <c r="N48" i="2" s="1"/>
  <c r="O48" i="2" s="1"/>
  <c r="P48" i="2" s="1"/>
  <c r="Q48" i="2" s="1"/>
  <c r="R48" i="2" s="1"/>
  <c r="S48" i="2" s="1"/>
  <c r="T48" i="2" s="1"/>
  <c r="U48" i="2" s="1"/>
  <c r="V48" i="2" s="1"/>
  <c r="W48" i="2" s="1"/>
  <c r="X48" i="2" s="1"/>
  <c r="Y48" i="2" s="1"/>
  <c r="Z48" i="2" s="1"/>
  <c r="AA48" i="2" s="1"/>
  <c r="AB48" i="2" s="1"/>
  <c r="E42" i="2"/>
  <c r="F42" i="2" s="1"/>
  <c r="G42" i="2" s="1"/>
  <c r="H42" i="2" s="1"/>
  <c r="I42" i="2" s="1"/>
  <c r="J42" i="2" s="1"/>
  <c r="K42" i="2" s="1"/>
  <c r="L42" i="2" s="1"/>
  <c r="M42" i="2" s="1"/>
  <c r="N42" i="2" s="1"/>
  <c r="O42" i="2" s="1"/>
  <c r="P42" i="2" s="1"/>
  <c r="Q42" i="2" s="1"/>
  <c r="R42" i="2" s="1"/>
  <c r="S42" i="2" s="1"/>
  <c r="T42" i="2" s="1"/>
  <c r="U42" i="2" s="1"/>
  <c r="V42" i="2" s="1"/>
  <c r="W42" i="2" s="1"/>
  <c r="X42" i="2" s="1"/>
  <c r="Y42" i="2" s="1"/>
  <c r="Z42" i="2" s="1"/>
  <c r="AA42" i="2" s="1"/>
  <c r="AB42" i="2" s="1"/>
  <c r="E109" i="2"/>
  <c r="F109" i="2" s="1"/>
  <c r="G109" i="2" s="1"/>
  <c r="H109" i="2" s="1"/>
  <c r="I109" i="2" s="1"/>
  <c r="J109" i="2" s="1"/>
  <c r="K109" i="2" s="1"/>
  <c r="L109" i="2" s="1"/>
  <c r="M109" i="2" s="1"/>
  <c r="N109" i="2" s="1"/>
  <c r="O109" i="2" s="1"/>
  <c r="P109" i="2" s="1"/>
  <c r="Q109" i="2" s="1"/>
  <c r="R109" i="2" s="1"/>
  <c r="S109" i="2" s="1"/>
  <c r="T109" i="2" s="1"/>
  <c r="U109" i="2" s="1"/>
  <c r="V109" i="2" s="1"/>
  <c r="W109" i="2" s="1"/>
  <c r="X109" i="2" s="1"/>
  <c r="Y109" i="2" s="1"/>
  <c r="Z109" i="2" s="1"/>
  <c r="AA109" i="2" s="1"/>
  <c r="AB109" i="2" s="1"/>
  <c r="A87" i="2"/>
  <c r="A89" i="2"/>
  <c r="A91" i="2"/>
  <c r="A93" i="2"/>
  <c r="A95" i="2"/>
  <c r="A97" i="2"/>
  <c r="A85" i="2"/>
  <c r="A76" i="2"/>
  <c r="A81" i="2"/>
  <c r="A82" i="2"/>
  <c r="A77" i="2"/>
  <c r="A78" i="2"/>
  <c r="A79" i="2"/>
  <c r="A80" i="2"/>
  <c r="P229" i="3"/>
  <c r="P225" i="3"/>
  <c r="P226" i="3"/>
  <c r="P227" i="3"/>
  <c r="P228" i="3"/>
  <c r="D11" i="2"/>
  <c r="E60" i="2"/>
  <c r="F60" i="2" s="1"/>
  <c r="G60" i="2" s="1"/>
  <c r="H60" i="2" s="1"/>
  <c r="I60" i="2" s="1"/>
  <c r="J60" i="2" s="1"/>
  <c r="K60" i="2" s="1"/>
  <c r="L60" i="2" s="1"/>
  <c r="M60" i="2" s="1"/>
  <c r="N60" i="2" s="1"/>
  <c r="O60" i="2" s="1"/>
  <c r="P60" i="2" s="1"/>
  <c r="Q60" i="2" s="1"/>
  <c r="R60" i="2" s="1"/>
  <c r="S60" i="2" s="1"/>
  <c r="T60" i="2" s="1"/>
  <c r="U60" i="2" s="1"/>
  <c r="V60" i="2" s="1"/>
  <c r="W60" i="2" s="1"/>
  <c r="X60" i="2" s="1"/>
  <c r="Y60" i="2" s="1"/>
  <c r="Z60" i="2" s="1"/>
  <c r="AA60" i="2" s="1"/>
  <c r="AB60" i="2" s="1"/>
  <c r="A11" i="3"/>
  <c r="A19" i="3"/>
  <c r="P223" i="3" l="1"/>
  <c r="K114" i="1"/>
  <c r="AG114" i="1"/>
  <c r="F104" i="1"/>
  <c r="G104" i="1" s="1"/>
  <c r="AG104" i="1"/>
  <c r="F109" i="1"/>
  <c r="G109" i="1" s="1"/>
  <c r="AG109" i="1"/>
  <c r="F107" i="1"/>
  <c r="G107" i="1" s="1"/>
  <c r="AG107" i="1"/>
  <c r="F112" i="1"/>
  <c r="G112" i="1" s="1"/>
  <c r="AG112" i="1"/>
  <c r="F111" i="1"/>
  <c r="G111" i="1" s="1"/>
  <c r="AG111" i="1"/>
  <c r="F106" i="1"/>
  <c r="G106" i="1" s="1"/>
  <c r="H106" i="1" s="1"/>
  <c r="I106" i="1" s="1"/>
  <c r="J106" i="1" s="1"/>
  <c r="AG106" i="1"/>
  <c r="F113" i="1"/>
  <c r="G113" i="1" s="1"/>
  <c r="H113" i="1" s="1"/>
  <c r="I113" i="1" s="1"/>
  <c r="AG113" i="1"/>
  <c r="F110" i="1"/>
  <c r="G110" i="1" s="1"/>
  <c r="H110" i="1" s="1"/>
  <c r="I110" i="1" s="1"/>
  <c r="J110" i="1" s="1"/>
  <c r="AG110" i="1"/>
  <c r="F105" i="1"/>
  <c r="G105" i="1" s="1"/>
  <c r="AG105" i="1"/>
  <c r="P224" i="3"/>
  <c r="G108" i="1"/>
  <c r="H108" i="1" s="1"/>
  <c r="F99" i="1"/>
  <c r="F101" i="1"/>
  <c r="F102" i="1"/>
  <c r="F103" i="1"/>
  <c r="K115" i="1"/>
  <c r="G152" i="2"/>
  <c r="H152" i="2" s="1"/>
  <c r="I152" i="2" s="1"/>
  <c r="J152" i="2" s="1"/>
  <c r="K152" i="2" s="1"/>
  <c r="L152" i="2" s="1"/>
  <c r="M152" i="2" s="1"/>
  <c r="N152" i="2" s="1"/>
  <c r="O152" i="2" s="1"/>
  <c r="P152" i="2" s="1"/>
  <c r="Q152" i="2" s="1"/>
  <c r="R152" i="2" s="1"/>
  <c r="S152" i="2" s="1"/>
  <c r="T152" i="2" s="1"/>
  <c r="U152" i="2" s="1"/>
  <c r="V152" i="2" s="1"/>
  <c r="W152" i="2" s="1"/>
  <c r="X152" i="2" s="1"/>
  <c r="Y152" i="2" s="1"/>
  <c r="Z152" i="2" s="1"/>
  <c r="AA152" i="2" s="1"/>
  <c r="AB152" i="2" s="1"/>
  <c r="B251" i="1"/>
  <c r="B234" i="1"/>
  <c r="B237" i="1"/>
  <c r="E91" i="1"/>
  <c r="AG91" i="1" s="1"/>
  <c r="E36" i="1"/>
  <c r="AG36" i="1" s="1"/>
  <c r="E35" i="1"/>
  <c r="AG35" i="1" s="1"/>
  <c r="E55" i="1"/>
  <c r="AG55" i="1" s="1"/>
  <c r="E73" i="1"/>
  <c r="E72" i="1"/>
  <c r="F250" i="1"/>
  <c r="E250" i="1"/>
  <c r="C250" i="1"/>
  <c r="P230" i="3" l="1"/>
  <c r="H109" i="1"/>
  <c r="I109" i="1" s="1"/>
  <c r="J109" i="1" s="1"/>
  <c r="K109" i="1" s="1"/>
  <c r="H107" i="1"/>
  <c r="I107" i="1" s="1"/>
  <c r="J107" i="1" s="1"/>
  <c r="H105" i="1"/>
  <c r="I105" i="1" s="1"/>
  <c r="H111" i="1"/>
  <c r="I111" i="1" s="1"/>
  <c r="F73" i="1"/>
  <c r="G73" i="1" s="1"/>
  <c r="H73" i="1" s="1"/>
  <c r="AG73" i="1"/>
  <c r="F72" i="1"/>
  <c r="G72" i="1" s="1"/>
  <c r="AG72" i="1"/>
  <c r="H112" i="1"/>
  <c r="I112" i="1" s="1"/>
  <c r="J112" i="1" s="1"/>
  <c r="K112" i="1" s="1"/>
  <c r="K106" i="1"/>
  <c r="G101" i="1"/>
  <c r="G102" i="1"/>
  <c r="I108" i="1"/>
  <c r="J108" i="1" s="1"/>
  <c r="K108" i="1" s="1"/>
  <c r="G99" i="1"/>
  <c r="H104" i="1"/>
  <c r="I104" i="1" s="1"/>
  <c r="G103" i="1"/>
  <c r="J113" i="1"/>
  <c r="K113" i="1" s="1"/>
  <c r="K110" i="1"/>
  <c r="D110" i="3"/>
  <c r="E110" i="3" s="1"/>
  <c r="F110" i="3" s="1"/>
  <c r="G110" i="3" s="1"/>
  <c r="H110" i="3" s="1"/>
  <c r="I110" i="3" s="1"/>
  <c r="J110" i="3" s="1"/>
  <c r="K110" i="3" s="1"/>
  <c r="L110" i="3" s="1"/>
  <c r="M110" i="3" s="1"/>
  <c r="N110" i="3" s="1"/>
  <c r="O110" i="3" s="1"/>
  <c r="P110" i="3" s="1"/>
  <c r="Q110" i="3" s="1"/>
  <c r="R110" i="3" s="1"/>
  <c r="S110" i="3" s="1"/>
  <c r="T110" i="3" s="1"/>
  <c r="U110" i="3" s="1"/>
  <c r="V110" i="3" s="1"/>
  <c r="W110" i="3" s="1"/>
  <c r="X110" i="3" s="1"/>
  <c r="Y110" i="3" s="1"/>
  <c r="Z110" i="3" s="1"/>
  <c r="AA110" i="3" s="1"/>
  <c r="A135" i="7"/>
  <c r="A138" i="7"/>
  <c r="A139" i="7"/>
  <c r="A140" i="7"/>
  <c r="A141" i="7"/>
  <c r="A142" i="7"/>
  <c r="A143" i="7"/>
  <c r="A144" i="7"/>
  <c r="A137" i="7"/>
  <c r="A127" i="7"/>
  <c r="A128" i="7"/>
  <c r="A129" i="7"/>
  <c r="A130" i="7"/>
  <c r="D150" i="1"/>
  <c r="E150" i="1" s="1"/>
  <c r="F150" i="1" s="1"/>
  <c r="G150" i="1" s="1"/>
  <c r="B167" i="2"/>
  <c r="E97" i="1"/>
  <c r="E96" i="1"/>
  <c r="AG96" i="1" s="1"/>
  <c r="E95" i="1"/>
  <c r="AG95" i="1" s="1"/>
  <c r="E94" i="1"/>
  <c r="AG94" i="1" s="1"/>
  <c r="E93" i="1"/>
  <c r="AG93" i="1" s="1"/>
  <c r="E92" i="1"/>
  <c r="AG92" i="1" s="1"/>
  <c r="E89" i="1"/>
  <c r="AG89" i="1" s="1"/>
  <c r="E88" i="1"/>
  <c r="AG88" i="1" s="1"/>
  <c r="E87" i="1"/>
  <c r="AG87" i="1" s="1"/>
  <c r="E86" i="1"/>
  <c r="AG86" i="1" s="1"/>
  <c r="E85" i="1"/>
  <c r="E84" i="1"/>
  <c r="E81" i="1"/>
  <c r="AG81" i="1" s="1"/>
  <c r="E63" i="1"/>
  <c r="AG63" i="1" s="1"/>
  <c r="AI82" i="1"/>
  <c r="AH82" i="1"/>
  <c r="AI80" i="1"/>
  <c r="AH80" i="1"/>
  <c r="I185" i="1"/>
  <c r="I186" i="1"/>
  <c r="J185" i="1"/>
  <c r="J186" i="1"/>
  <c r="F224" i="1"/>
  <c r="E225" i="1"/>
  <c r="C224" i="1"/>
  <c r="L171" i="1"/>
  <c r="L170" i="1"/>
  <c r="I172" i="1"/>
  <c r="J172" i="1"/>
  <c r="H172" i="1"/>
  <c r="K170" i="1"/>
  <c r="K171" i="1"/>
  <c r="K169" i="1"/>
  <c r="G172" i="1"/>
  <c r="G171" i="1"/>
  <c r="G170" i="1"/>
  <c r="G169" i="1"/>
  <c r="B169" i="1"/>
  <c r="J105" i="1" l="1"/>
  <c r="K105" i="1" s="1"/>
  <c r="H72" i="1"/>
  <c r="I72" i="1" s="1"/>
  <c r="F84" i="1"/>
  <c r="G84" i="1" s="1"/>
  <c r="AG84" i="1"/>
  <c r="F85" i="1"/>
  <c r="G85" i="1" s="1"/>
  <c r="AG85" i="1"/>
  <c r="K97" i="1"/>
  <c r="AG97" i="1"/>
  <c r="A153" i="7"/>
  <c r="A165" i="7" s="1"/>
  <c r="A151" i="7"/>
  <c r="A163" i="7" s="1"/>
  <c r="A149" i="7"/>
  <c r="A161" i="7" s="1"/>
  <c r="A152" i="7"/>
  <c r="A164" i="7" s="1"/>
  <c r="A154" i="7"/>
  <c r="A166" i="7" s="1"/>
  <c r="A150" i="7"/>
  <c r="A162" i="7" s="1"/>
  <c r="F223" i="1"/>
  <c r="G224" i="1" s="1"/>
  <c r="K107" i="1"/>
  <c r="H103" i="1"/>
  <c r="H101" i="1"/>
  <c r="I101" i="1" s="1"/>
  <c r="J101" i="1" s="1"/>
  <c r="K101" i="1" s="1"/>
  <c r="H99" i="1"/>
  <c r="I99" i="1" s="1"/>
  <c r="J104" i="1"/>
  <c r="K104" i="1" s="1"/>
  <c r="H102" i="1"/>
  <c r="I102" i="1" s="1"/>
  <c r="J102" i="1" s="1"/>
  <c r="J111" i="1"/>
  <c r="K111" i="1" s="1"/>
  <c r="B42" i="1"/>
  <c r="B41" i="7" s="1"/>
  <c r="B94" i="1"/>
  <c r="B93" i="7" s="1"/>
  <c r="B90" i="1"/>
  <c r="B89" i="7" s="1"/>
  <c r="B86" i="1"/>
  <c r="B85" i="7" s="1"/>
  <c r="B82" i="1"/>
  <c r="B81" i="7" s="1"/>
  <c r="B97" i="1"/>
  <c r="B96" i="7" s="1"/>
  <c r="B93" i="1"/>
  <c r="B92" i="7" s="1"/>
  <c r="B89" i="1"/>
  <c r="B88" i="7" s="1"/>
  <c r="B85" i="1"/>
  <c r="B84" i="7" s="1"/>
  <c r="B81" i="1"/>
  <c r="B80" i="7" s="1"/>
  <c r="B96" i="1"/>
  <c r="B95" i="7" s="1"/>
  <c r="B92" i="1"/>
  <c r="B91" i="7" s="1"/>
  <c r="B88" i="1"/>
  <c r="B87" i="7" s="1"/>
  <c r="B84" i="1"/>
  <c r="B83" i="7" s="1"/>
  <c r="B77" i="1"/>
  <c r="B95" i="1"/>
  <c r="B94" i="7" s="1"/>
  <c r="B91" i="1"/>
  <c r="B90" i="7" s="1"/>
  <c r="B87" i="1"/>
  <c r="B86" i="7" s="1"/>
  <c r="B83" i="1"/>
  <c r="B82" i="7" s="1"/>
  <c r="I73" i="1"/>
  <c r="J73" i="1" s="1"/>
  <c r="K73" i="1" s="1"/>
  <c r="F55" i="1"/>
  <c r="G55" i="1" s="1"/>
  <c r="F91" i="1"/>
  <c r="G91" i="1" s="1"/>
  <c r="F36" i="1"/>
  <c r="G36" i="1" s="1"/>
  <c r="F83" i="1"/>
  <c r="G83" i="1" s="1"/>
  <c r="K172" i="1"/>
  <c r="L169" i="1" s="1"/>
  <c r="F81" i="1"/>
  <c r="F86" i="1"/>
  <c r="F87" i="1"/>
  <c r="F88" i="1"/>
  <c r="F89" i="1"/>
  <c r="F90" i="1"/>
  <c r="F92" i="1"/>
  <c r="F93" i="1"/>
  <c r="F94" i="1"/>
  <c r="F95" i="1"/>
  <c r="K96" i="1"/>
  <c r="D2" i="3"/>
  <c r="E2" i="3" s="1"/>
  <c r="F2" i="3" s="1"/>
  <c r="G2" i="3" s="1"/>
  <c r="H2" i="3" s="1"/>
  <c r="I2" i="3" s="1"/>
  <c r="J2" i="3" s="1"/>
  <c r="K2" i="3" s="1"/>
  <c r="L2" i="3" s="1"/>
  <c r="M2" i="3" s="1"/>
  <c r="N2" i="3" s="1"/>
  <c r="O2" i="3" s="1"/>
  <c r="P2" i="3" s="1"/>
  <c r="Q2" i="3" s="1"/>
  <c r="R2" i="3" s="1"/>
  <c r="S2" i="3" s="1"/>
  <c r="T2" i="3" s="1"/>
  <c r="U2" i="3" s="1"/>
  <c r="V2" i="3" s="1"/>
  <c r="W2" i="3" s="1"/>
  <c r="X2" i="3" s="1"/>
  <c r="Y2" i="3" s="1"/>
  <c r="Z2" i="3" s="1"/>
  <c r="AA2" i="3" s="1"/>
  <c r="A223" i="1"/>
  <c r="A224" i="1"/>
  <c r="D46" i="2"/>
  <c r="D51" i="2" s="1"/>
  <c r="H84" i="1" l="1"/>
  <c r="I84" i="1" s="1"/>
  <c r="J84" i="1" s="1"/>
  <c r="J72" i="1"/>
  <c r="K72" i="1" s="1"/>
  <c r="G223" i="1"/>
  <c r="H224" i="1" s="1"/>
  <c r="H223" i="1" s="1"/>
  <c r="F225" i="1"/>
  <c r="I103" i="1"/>
  <c r="J103" i="1" s="1"/>
  <c r="K103" i="1" s="1"/>
  <c r="J99" i="1"/>
  <c r="K99" i="1" s="1"/>
  <c r="K102" i="1"/>
  <c r="H91" i="1"/>
  <c r="I91" i="1" s="1"/>
  <c r="H55" i="1"/>
  <c r="H36" i="1"/>
  <c r="I36" i="1" s="1"/>
  <c r="H83" i="1"/>
  <c r="I83" i="1" s="1"/>
  <c r="J83" i="1" s="1"/>
  <c r="K83" i="1" s="1"/>
  <c r="G94" i="1"/>
  <c r="H94" i="1" s="1"/>
  <c r="G93" i="1"/>
  <c r="G92" i="1"/>
  <c r="H92" i="1" s="1"/>
  <c r="G90" i="1"/>
  <c r="G89" i="1"/>
  <c r="G88" i="1"/>
  <c r="G87" i="1"/>
  <c r="H87" i="1" s="1"/>
  <c r="G86" i="1"/>
  <c r="G81" i="1"/>
  <c r="G95" i="1"/>
  <c r="H85" i="1"/>
  <c r="I85" i="1" s="1"/>
  <c r="AH25" i="1"/>
  <c r="AH43" i="1"/>
  <c r="AH46" i="1"/>
  <c r="AH48" i="1"/>
  <c r="AH62" i="1"/>
  <c r="AH64" i="1"/>
  <c r="AH116" i="1"/>
  <c r="K84" i="1" l="1"/>
  <c r="I224" i="1"/>
  <c r="I223" i="1" s="1"/>
  <c r="I225" i="1" s="1"/>
  <c r="H225" i="1"/>
  <c r="G225" i="1"/>
  <c r="J91" i="1"/>
  <c r="K91" i="1" s="1"/>
  <c r="I55" i="1"/>
  <c r="J36" i="1"/>
  <c r="K36" i="1" s="1"/>
  <c r="J85" i="1"/>
  <c r="K85" i="1" s="1"/>
  <c r="I92" i="1"/>
  <c r="J92" i="1" s="1"/>
  <c r="K92" i="1" s="1"/>
  <c r="I87" i="1"/>
  <c r="J87" i="1" s="1"/>
  <c r="K87" i="1" s="1"/>
  <c r="H89" i="1"/>
  <c r="I89" i="1" s="1"/>
  <c r="H81" i="1"/>
  <c r="I81" i="1" s="1"/>
  <c r="H88" i="1"/>
  <c r="H93" i="1"/>
  <c r="I94" i="1"/>
  <c r="H95" i="1"/>
  <c r="H86" i="1"/>
  <c r="I86" i="1" s="1"/>
  <c r="H90" i="1"/>
  <c r="I90" i="1" s="1"/>
  <c r="AI25" i="1"/>
  <c r="AI43" i="1"/>
  <c r="AI46" i="1"/>
  <c r="AI48" i="1"/>
  <c r="AI62" i="1"/>
  <c r="AI64" i="1"/>
  <c r="AI116" i="1"/>
  <c r="B163" i="1"/>
  <c r="B162" i="1"/>
  <c r="B157" i="1"/>
  <c r="B156" i="1"/>
  <c r="B235" i="3" s="1"/>
  <c r="B143" i="1"/>
  <c r="B129" i="7" s="1"/>
  <c r="B144" i="1"/>
  <c r="B127" i="1"/>
  <c r="B128" i="1"/>
  <c r="B126" i="1"/>
  <c r="B145" i="1"/>
  <c r="B142" i="1"/>
  <c r="B128" i="7" s="1"/>
  <c r="E26" i="2"/>
  <c r="F26" i="2"/>
  <c r="G26" i="2"/>
  <c r="H26" i="2"/>
  <c r="H158" i="1"/>
  <c r="E23" i="2"/>
  <c r="F23" i="2"/>
  <c r="G23" i="2"/>
  <c r="H23" i="2"/>
  <c r="H112" i="2" s="1"/>
  <c r="D23" i="2"/>
  <c r="D112" i="2" s="1"/>
  <c r="L23" i="1"/>
  <c r="E3" i="2"/>
  <c r="G112" i="2" l="1"/>
  <c r="F112" i="2"/>
  <c r="E112" i="2"/>
  <c r="B131" i="7"/>
  <c r="B130" i="7"/>
  <c r="L113" i="1"/>
  <c r="L112" i="1"/>
  <c r="L111" i="1"/>
  <c r="L110" i="1"/>
  <c r="L109" i="1"/>
  <c r="L108" i="1"/>
  <c r="L107" i="1"/>
  <c r="L106" i="1"/>
  <c r="L105" i="1"/>
  <c r="L104" i="1"/>
  <c r="L114" i="1"/>
  <c r="L101" i="1"/>
  <c r="L103" i="1"/>
  <c r="L100" i="1"/>
  <c r="L102" i="1"/>
  <c r="L99" i="1"/>
  <c r="L115" i="1"/>
  <c r="L98" i="1"/>
  <c r="E11" i="2"/>
  <c r="L91" i="1"/>
  <c r="J55" i="1"/>
  <c r="L36" i="1"/>
  <c r="J89" i="1"/>
  <c r="K89" i="1" s="1"/>
  <c r="L89" i="1" s="1"/>
  <c r="J90" i="1"/>
  <c r="K90" i="1" s="1"/>
  <c r="L90" i="1" s="1"/>
  <c r="I88" i="1"/>
  <c r="J88" i="1" s="1"/>
  <c r="J86" i="1"/>
  <c r="K86" i="1" s="1"/>
  <c r="I95" i="1"/>
  <c r="J95" i="1" s="1"/>
  <c r="K95" i="1" s="1"/>
  <c r="L97" i="1"/>
  <c r="L85" i="1"/>
  <c r="L84" i="1"/>
  <c r="L92" i="1"/>
  <c r="L87" i="1"/>
  <c r="L83" i="1"/>
  <c r="L96" i="1"/>
  <c r="L82" i="1"/>
  <c r="L80" i="1"/>
  <c r="J81" i="1"/>
  <c r="K81" i="1" s="1"/>
  <c r="L81" i="1" s="1"/>
  <c r="J94" i="1"/>
  <c r="K94" i="1" s="1"/>
  <c r="I93" i="1"/>
  <c r="L116" i="1"/>
  <c r="L123" i="1"/>
  <c r="L62" i="1"/>
  <c r="L64" i="1"/>
  <c r="L48" i="1"/>
  <c r="L43" i="1"/>
  <c r="L46" i="1"/>
  <c r="L25" i="1"/>
  <c r="M23" i="1"/>
  <c r="F3" i="2"/>
  <c r="M113" i="1" l="1"/>
  <c r="M112" i="1"/>
  <c r="M111" i="1"/>
  <c r="M110" i="1"/>
  <c r="M109" i="1"/>
  <c r="M108" i="1"/>
  <c r="M107" i="1"/>
  <c r="M106" i="1"/>
  <c r="M105" i="1"/>
  <c r="M104" i="1"/>
  <c r="M114" i="1"/>
  <c r="M103" i="1"/>
  <c r="M102" i="1"/>
  <c r="M101" i="1"/>
  <c r="M100" i="1"/>
  <c r="M115" i="1"/>
  <c r="M98" i="1"/>
  <c r="M99" i="1"/>
  <c r="F11" i="2"/>
  <c r="L73" i="1"/>
  <c r="M91" i="1"/>
  <c r="M73" i="1"/>
  <c r="M36" i="1"/>
  <c r="K55" i="1"/>
  <c r="L55" i="1" s="1"/>
  <c r="K88" i="1"/>
  <c r="L88" i="1" s="1"/>
  <c r="L94" i="1"/>
  <c r="L95" i="1"/>
  <c r="J93" i="1"/>
  <c r="L86" i="1"/>
  <c r="M97" i="1"/>
  <c r="M85" i="1"/>
  <c r="M84" i="1"/>
  <c r="M83" i="1"/>
  <c r="M82" i="1"/>
  <c r="M92" i="1"/>
  <c r="M87" i="1"/>
  <c r="M81" i="1"/>
  <c r="M95" i="1"/>
  <c r="M90" i="1"/>
  <c r="M86" i="1"/>
  <c r="M80" i="1"/>
  <c r="M96" i="1"/>
  <c r="M94" i="1"/>
  <c r="M89" i="1"/>
  <c r="M116" i="1"/>
  <c r="M123" i="1"/>
  <c r="M64" i="1"/>
  <c r="M48" i="1"/>
  <c r="M62" i="1"/>
  <c r="M46" i="1"/>
  <c r="M43" i="1"/>
  <c r="M25" i="1"/>
  <c r="N23" i="1"/>
  <c r="G3" i="2"/>
  <c r="N114" i="1" l="1"/>
  <c r="N115" i="1"/>
  <c r="N113" i="1"/>
  <c r="N111" i="1"/>
  <c r="N109" i="1"/>
  <c r="N107" i="1"/>
  <c r="N105" i="1"/>
  <c r="N103" i="1"/>
  <c r="N102" i="1"/>
  <c r="N101" i="1"/>
  <c r="N100" i="1"/>
  <c r="N98" i="1"/>
  <c r="N99" i="1"/>
  <c r="N106" i="1"/>
  <c r="N110" i="1"/>
  <c r="N104" i="1"/>
  <c r="N108" i="1"/>
  <c r="N112" i="1"/>
  <c r="G11" i="2"/>
  <c r="N91" i="1"/>
  <c r="N73" i="1"/>
  <c r="M88" i="1"/>
  <c r="N36" i="1"/>
  <c r="N55" i="1"/>
  <c r="M55" i="1"/>
  <c r="K93" i="1"/>
  <c r="N93" i="1" s="1"/>
  <c r="N95" i="1"/>
  <c r="N94" i="1"/>
  <c r="N92" i="1"/>
  <c r="N90" i="1"/>
  <c r="N89" i="1"/>
  <c r="N88" i="1"/>
  <c r="N87" i="1"/>
  <c r="N86" i="1"/>
  <c r="N97" i="1"/>
  <c r="N96" i="1"/>
  <c r="N81" i="1"/>
  <c r="N83" i="1"/>
  <c r="N80" i="1"/>
  <c r="N85" i="1"/>
  <c r="N82" i="1"/>
  <c r="N84" i="1"/>
  <c r="N123" i="1"/>
  <c r="N64" i="1"/>
  <c r="N62" i="1"/>
  <c r="N116" i="1"/>
  <c r="N46" i="1"/>
  <c r="N48" i="1"/>
  <c r="N43" i="1"/>
  <c r="N25" i="1"/>
  <c r="O23" i="1"/>
  <c r="H3" i="2"/>
  <c r="O115" i="1" l="1"/>
  <c r="O114" i="1"/>
  <c r="O99" i="1"/>
  <c r="O112" i="1"/>
  <c r="O110" i="1"/>
  <c r="O108" i="1"/>
  <c r="O106" i="1"/>
  <c r="O104" i="1"/>
  <c r="O107" i="1"/>
  <c r="O102" i="1"/>
  <c r="O105" i="1"/>
  <c r="O101" i="1"/>
  <c r="O98" i="1"/>
  <c r="O109" i="1"/>
  <c r="O103" i="1"/>
  <c r="O100" i="1"/>
  <c r="O111" i="1"/>
  <c r="O113" i="1"/>
  <c r="H11" i="2"/>
  <c r="O91" i="1"/>
  <c r="O73" i="1"/>
  <c r="O36" i="1"/>
  <c r="O55" i="1"/>
  <c r="M93" i="1"/>
  <c r="L93" i="1"/>
  <c r="O96" i="1"/>
  <c r="O95" i="1"/>
  <c r="O94" i="1"/>
  <c r="O93" i="1"/>
  <c r="O92" i="1"/>
  <c r="O90" i="1"/>
  <c r="O89" i="1"/>
  <c r="O88" i="1"/>
  <c r="O87" i="1"/>
  <c r="O86" i="1"/>
  <c r="O97" i="1"/>
  <c r="O85" i="1"/>
  <c r="O82" i="1"/>
  <c r="O83" i="1"/>
  <c r="O81" i="1"/>
  <c r="O84" i="1"/>
  <c r="O80" i="1"/>
  <c r="O116" i="1"/>
  <c r="O62" i="1"/>
  <c r="O123" i="1"/>
  <c r="O64" i="1"/>
  <c r="O48" i="1"/>
  <c r="O25" i="1"/>
  <c r="O43" i="1"/>
  <c r="O46" i="1"/>
  <c r="P23" i="1"/>
  <c r="I3" i="2"/>
  <c r="P113" i="1" l="1"/>
  <c r="P112" i="1"/>
  <c r="P111" i="1"/>
  <c r="P110" i="1"/>
  <c r="P109" i="1"/>
  <c r="P108" i="1"/>
  <c r="P107" i="1"/>
  <c r="P106" i="1"/>
  <c r="P105" i="1"/>
  <c r="P104" i="1"/>
  <c r="P115" i="1"/>
  <c r="P103" i="1"/>
  <c r="P100" i="1"/>
  <c r="P114" i="1"/>
  <c r="P102" i="1"/>
  <c r="P99" i="1"/>
  <c r="P101" i="1"/>
  <c r="P98" i="1"/>
  <c r="P154" i="2"/>
  <c r="P127" i="2" s="1"/>
  <c r="P132" i="2" s="1"/>
  <c r="I11" i="2"/>
  <c r="P91" i="1"/>
  <c r="P73" i="1"/>
  <c r="P36" i="1"/>
  <c r="P55" i="1"/>
  <c r="P97" i="1"/>
  <c r="P85" i="1"/>
  <c r="P84" i="1"/>
  <c r="P96" i="1"/>
  <c r="P95" i="1"/>
  <c r="P94" i="1"/>
  <c r="P93" i="1"/>
  <c r="P92" i="1"/>
  <c r="P90" i="1"/>
  <c r="P89" i="1"/>
  <c r="P88" i="1"/>
  <c r="P87" i="1"/>
  <c r="P86" i="1"/>
  <c r="P83" i="1"/>
  <c r="P81" i="1"/>
  <c r="P80" i="1"/>
  <c r="P82" i="1"/>
  <c r="P116" i="1"/>
  <c r="P123" i="1"/>
  <c r="P62" i="1"/>
  <c r="P64" i="1"/>
  <c r="P48" i="1"/>
  <c r="P43" i="1"/>
  <c r="P46" i="1"/>
  <c r="P25" i="1"/>
  <c r="Q23" i="1"/>
  <c r="J3" i="2"/>
  <c r="Q113" i="1" l="1"/>
  <c r="Q112" i="1"/>
  <c r="Q111" i="1"/>
  <c r="Q110" i="1"/>
  <c r="Q109" i="1"/>
  <c r="Q108" i="1"/>
  <c r="Q107" i="1"/>
  <c r="Q106" i="1"/>
  <c r="Q105" i="1"/>
  <c r="Q104" i="1"/>
  <c r="Q114" i="1"/>
  <c r="Q115" i="1"/>
  <c r="Q103" i="1"/>
  <c r="Q102" i="1"/>
  <c r="Q101" i="1"/>
  <c r="Q100" i="1"/>
  <c r="Q98" i="1"/>
  <c r="Q99" i="1"/>
  <c r="Q154" i="2"/>
  <c r="Q127" i="2" s="1"/>
  <c r="Q132" i="2" s="1"/>
  <c r="J11" i="2"/>
  <c r="Q91" i="1"/>
  <c r="Q73" i="1"/>
  <c r="Q36" i="1"/>
  <c r="Q55" i="1"/>
  <c r="Q97" i="1"/>
  <c r="Q85" i="1"/>
  <c r="Q84" i="1"/>
  <c r="Q83" i="1"/>
  <c r="Q82" i="1"/>
  <c r="Q95" i="1"/>
  <c r="Q90" i="1"/>
  <c r="Q86" i="1"/>
  <c r="Q96" i="1"/>
  <c r="Q94" i="1"/>
  <c r="Q89" i="1"/>
  <c r="Q81" i="1"/>
  <c r="Q80" i="1"/>
  <c r="Q92" i="1"/>
  <c r="Q93" i="1"/>
  <c r="Q88" i="1"/>
  <c r="Q87" i="1"/>
  <c r="Q116" i="1"/>
  <c r="Q123" i="1"/>
  <c r="Q64" i="1"/>
  <c r="Q62" i="1"/>
  <c r="Q48" i="1"/>
  <c r="Q46" i="1"/>
  <c r="Q25" i="1"/>
  <c r="Q43" i="1"/>
  <c r="R23" i="1"/>
  <c r="K3" i="2"/>
  <c r="R114" i="1" l="1"/>
  <c r="R115" i="1"/>
  <c r="R112" i="1"/>
  <c r="R110" i="1"/>
  <c r="R108" i="1"/>
  <c r="R106" i="1"/>
  <c r="R104" i="1"/>
  <c r="R103" i="1"/>
  <c r="R102" i="1"/>
  <c r="R101" i="1"/>
  <c r="R100" i="1"/>
  <c r="R98" i="1"/>
  <c r="R99" i="1"/>
  <c r="R109" i="1"/>
  <c r="R113" i="1"/>
  <c r="R107" i="1"/>
  <c r="R111" i="1"/>
  <c r="R105" i="1"/>
  <c r="R154" i="2"/>
  <c r="R127" i="2" s="1"/>
  <c r="R132" i="2" s="1"/>
  <c r="K11" i="2"/>
  <c r="R91" i="1"/>
  <c r="R73" i="1"/>
  <c r="R36" i="1"/>
  <c r="R55" i="1"/>
  <c r="R95" i="1"/>
  <c r="R94" i="1"/>
  <c r="R93" i="1"/>
  <c r="R92" i="1"/>
  <c r="R90" i="1"/>
  <c r="R89" i="1"/>
  <c r="R88" i="1"/>
  <c r="R87" i="1"/>
  <c r="R86" i="1"/>
  <c r="R97" i="1"/>
  <c r="R81" i="1"/>
  <c r="R96" i="1"/>
  <c r="R84" i="1"/>
  <c r="R80" i="1"/>
  <c r="R83" i="1"/>
  <c r="R85" i="1"/>
  <c r="R82" i="1"/>
  <c r="R123" i="1"/>
  <c r="R64" i="1"/>
  <c r="R116" i="1"/>
  <c r="R62" i="1"/>
  <c r="R48" i="1"/>
  <c r="R43" i="1"/>
  <c r="R46" i="1"/>
  <c r="R25" i="1"/>
  <c r="S23" i="1"/>
  <c r="L3" i="2"/>
  <c r="S115" i="1" l="1"/>
  <c r="S99" i="1"/>
  <c r="S113" i="1"/>
  <c r="S111" i="1"/>
  <c r="S109" i="1"/>
  <c r="S107" i="1"/>
  <c r="S105" i="1"/>
  <c r="S114" i="1"/>
  <c r="S108" i="1"/>
  <c r="S102" i="1"/>
  <c r="S104" i="1"/>
  <c r="S103" i="1"/>
  <c r="S100" i="1"/>
  <c r="S110" i="1"/>
  <c r="S101" i="1"/>
  <c r="S98" i="1"/>
  <c r="S112" i="1"/>
  <c r="S106" i="1"/>
  <c r="S154" i="2"/>
  <c r="S127" i="2" s="1"/>
  <c r="S132" i="2" s="1"/>
  <c r="L11" i="2"/>
  <c r="S91" i="1"/>
  <c r="S73" i="1"/>
  <c r="S36" i="1"/>
  <c r="S55" i="1"/>
  <c r="S96" i="1"/>
  <c r="S97" i="1"/>
  <c r="S94" i="1"/>
  <c r="S89" i="1"/>
  <c r="S83" i="1"/>
  <c r="S81" i="1"/>
  <c r="S93" i="1"/>
  <c r="S88" i="1"/>
  <c r="S82" i="1"/>
  <c r="S95" i="1"/>
  <c r="S92" i="1"/>
  <c r="S87" i="1"/>
  <c r="S85" i="1"/>
  <c r="S90" i="1"/>
  <c r="S86" i="1"/>
  <c r="S84" i="1"/>
  <c r="S80" i="1"/>
  <c r="S116" i="1"/>
  <c r="S123" i="1"/>
  <c r="S62" i="1"/>
  <c r="S64" i="1"/>
  <c r="S48" i="1"/>
  <c r="S25" i="1"/>
  <c r="S43" i="1"/>
  <c r="S46" i="1"/>
  <c r="T23" i="1"/>
  <c r="M3" i="2"/>
  <c r="T113" i="1" l="1"/>
  <c r="T112" i="1"/>
  <c r="T111" i="1"/>
  <c r="T110" i="1"/>
  <c r="T109" i="1"/>
  <c r="T108" i="1"/>
  <c r="T107" i="1"/>
  <c r="T106" i="1"/>
  <c r="T105" i="1"/>
  <c r="T104" i="1"/>
  <c r="T114" i="1"/>
  <c r="T101" i="1"/>
  <c r="T98" i="1"/>
  <c r="T100" i="1"/>
  <c r="T115" i="1"/>
  <c r="T103" i="1"/>
  <c r="T102" i="1"/>
  <c r="T99" i="1"/>
  <c r="T154" i="2"/>
  <c r="T127" i="2" s="1"/>
  <c r="T132" i="2" s="1"/>
  <c r="M11" i="2"/>
  <c r="T91" i="1"/>
  <c r="T73" i="1"/>
  <c r="T36" i="1"/>
  <c r="T55" i="1"/>
  <c r="T97" i="1"/>
  <c r="T96" i="1"/>
  <c r="T95" i="1"/>
  <c r="T94" i="1"/>
  <c r="T93" i="1"/>
  <c r="T92" i="1"/>
  <c r="T90" i="1"/>
  <c r="T89" i="1"/>
  <c r="T88" i="1"/>
  <c r="T87" i="1"/>
  <c r="T86" i="1"/>
  <c r="T85" i="1"/>
  <c r="T84" i="1"/>
  <c r="T83" i="1"/>
  <c r="T82" i="1"/>
  <c r="T81" i="1"/>
  <c r="T80" i="1"/>
  <c r="U23" i="1"/>
  <c r="T116" i="1"/>
  <c r="T123" i="1"/>
  <c r="T62" i="1"/>
  <c r="T64" i="1"/>
  <c r="T48" i="1"/>
  <c r="T43" i="1"/>
  <c r="T46" i="1"/>
  <c r="T25" i="1"/>
  <c r="N3" i="2"/>
  <c r="U113" i="1" l="1"/>
  <c r="U112" i="1"/>
  <c r="U111" i="1"/>
  <c r="U110" i="1"/>
  <c r="U109" i="1"/>
  <c r="U108" i="1"/>
  <c r="U107" i="1"/>
  <c r="U106" i="1"/>
  <c r="U105" i="1"/>
  <c r="U104" i="1"/>
  <c r="U114" i="1"/>
  <c r="U103" i="1"/>
  <c r="U102" i="1"/>
  <c r="U101" i="1"/>
  <c r="U100" i="1"/>
  <c r="U98" i="1"/>
  <c r="U115" i="1"/>
  <c r="U99" i="1"/>
  <c r="U154" i="2"/>
  <c r="U127" i="2" s="1"/>
  <c r="U132" i="2" s="1"/>
  <c r="N11" i="2"/>
  <c r="U91" i="1"/>
  <c r="U73" i="1"/>
  <c r="U36" i="1"/>
  <c r="U55" i="1"/>
  <c r="U97" i="1"/>
  <c r="U96" i="1"/>
  <c r="U95" i="1"/>
  <c r="U94" i="1"/>
  <c r="U93" i="1"/>
  <c r="U92" i="1"/>
  <c r="U90" i="1"/>
  <c r="U89" i="1"/>
  <c r="U88" i="1"/>
  <c r="U87" i="1"/>
  <c r="U86" i="1"/>
  <c r="U85" i="1"/>
  <c r="U84" i="1"/>
  <c r="U83" i="1"/>
  <c r="U82" i="1"/>
  <c r="U80" i="1"/>
  <c r="U81" i="1"/>
  <c r="V23" i="1"/>
  <c r="U116" i="1"/>
  <c r="U123" i="1"/>
  <c r="U64" i="1"/>
  <c r="U48" i="1"/>
  <c r="U46" i="1"/>
  <c r="U43" i="1"/>
  <c r="U62" i="1"/>
  <c r="U25" i="1"/>
  <c r="O3" i="2"/>
  <c r="V114" i="1" l="1"/>
  <c r="V115" i="1"/>
  <c r="V113" i="1"/>
  <c r="V111" i="1"/>
  <c r="V109" i="1"/>
  <c r="V107" i="1"/>
  <c r="V105" i="1"/>
  <c r="V103" i="1"/>
  <c r="V102" i="1"/>
  <c r="V101" i="1"/>
  <c r="V100" i="1"/>
  <c r="V98" i="1"/>
  <c r="V99" i="1"/>
  <c r="V110" i="1"/>
  <c r="V108" i="1"/>
  <c r="V112" i="1"/>
  <c r="V104" i="1"/>
  <c r="V106" i="1"/>
  <c r="V154" i="2"/>
  <c r="V127" i="2" s="1"/>
  <c r="V132" i="2" s="1"/>
  <c r="O11" i="2"/>
  <c r="V91" i="1"/>
  <c r="V73" i="1"/>
  <c r="V36" i="1"/>
  <c r="V55" i="1"/>
  <c r="W23" i="1"/>
  <c r="V95" i="1"/>
  <c r="V94" i="1"/>
  <c r="V93" i="1"/>
  <c r="V92" i="1"/>
  <c r="V90" i="1"/>
  <c r="V89" i="1"/>
  <c r="V88" i="1"/>
  <c r="V87" i="1"/>
  <c r="V86" i="1"/>
  <c r="V97" i="1"/>
  <c r="V81" i="1"/>
  <c r="V80" i="1"/>
  <c r="V85" i="1"/>
  <c r="V82" i="1"/>
  <c r="V84" i="1"/>
  <c r="V96" i="1"/>
  <c r="V83" i="1"/>
  <c r="V123" i="1"/>
  <c r="V64" i="1"/>
  <c r="V116" i="1"/>
  <c r="V62" i="1"/>
  <c r="V48" i="1"/>
  <c r="V46" i="1"/>
  <c r="V43" i="1"/>
  <c r="V25" i="1"/>
  <c r="P3" i="2"/>
  <c r="W64" i="1" l="1"/>
  <c r="W115" i="1"/>
  <c r="W114" i="1"/>
  <c r="W99" i="1"/>
  <c r="W112" i="1"/>
  <c r="W110" i="1"/>
  <c r="W108" i="1"/>
  <c r="W106" i="1"/>
  <c r="W104" i="1"/>
  <c r="W111" i="1"/>
  <c r="W107" i="1"/>
  <c r="W109" i="1"/>
  <c r="W113" i="1"/>
  <c r="W105" i="1"/>
  <c r="W103" i="1"/>
  <c r="W100" i="1"/>
  <c r="W102" i="1"/>
  <c r="W101" i="1"/>
  <c r="W98" i="1"/>
  <c r="X23" i="1"/>
  <c r="X73" i="1" s="1"/>
  <c r="W154" i="2"/>
  <c r="W127" i="2" s="1"/>
  <c r="W132" i="2" s="1"/>
  <c r="P11" i="2"/>
  <c r="W43" i="1"/>
  <c r="W62" i="1"/>
  <c r="W46" i="1"/>
  <c r="X91" i="1"/>
  <c r="W91" i="1"/>
  <c r="W73" i="1"/>
  <c r="W25" i="1"/>
  <c r="W123" i="1"/>
  <c r="W48" i="1"/>
  <c r="W116" i="1"/>
  <c r="W36" i="1"/>
  <c r="W55" i="1"/>
  <c r="W96" i="1"/>
  <c r="W97" i="1"/>
  <c r="W93" i="1"/>
  <c r="W88" i="1"/>
  <c r="W85" i="1"/>
  <c r="W92" i="1"/>
  <c r="W87" i="1"/>
  <c r="W84" i="1"/>
  <c r="W81" i="1"/>
  <c r="W94" i="1"/>
  <c r="W95" i="1"/>
  <c r="W90" i="1"/>
  <c r="W86" i="1"/>
  <c r="W83" i="1"/>
  <c r="W82" i="1"/>
  <c r="W89" i="1"/>
  <c r="W80" i="1"/>
  <c r="Q3" i="2"/>
  <c r="X116" i="1" l="1"/>
  <c r="X95" i="1"/>
  <c r="X48" i="1"/>
  <c r="X88" i="1"/>
  <c r="X55" i="1"/>
  <c r="X97" i="1"/>
  <c r="X80" i="1"/>
  <c r="X25" i="1"/>
  <c r="X64" i="1"/>
  <c r="X89" i="1"/>
  <c r="X93" i="1"/>
  <c r="X81" i="1"/>
  <c r="Y23" i="1"/>
  <c r="Y111" i="1" s="1"/>
  <c r="X36" i="1"/>
  <c r="X46" i="1"/>
  <c r="X62" i="1"/>
  <c r="X94" i="1"/>
  <c r="X82" i="1"/>
  <c r="X92" i="1"/>
  <c r="X43" i="1"/>
  <c r="X123" i="1"/>
  <c r="X96" i="1"/>
  <c r="X90" i="1"/>
  <c r="X83" i="1"/>
  <c r="X84" i="1"/>
  <c r="X86" i="1"/>
  <c r="X87" i="1"/>
  <c r="X85" i="1"/>
  <c r="X113" i="1"/>
  <c r="X112" i="1"/>
  <c r="X111" i="1"/>
  <c r="X110" i="1"/>
  <c r="X109" i="1"/>
  <c r="X108" i="1"/>
  <c r="X107" i="1"/>
  <c r="X106" i="1"/>
  <c r="X105" i="1"/>
  <c r="X104" i="1"/>
  <c r="X115" i="1"/>
  <c r="X103" i="1"/>
  <c r="X100" i="1"/>
  <c r="X101" i="1"/>
  <c r="X98" i="1"/>
  <c r="X114" i="1"/>
  <c r="X102" i="1"/>
  <c r="X99" i="1"/>
  <c r="X154" i="2"/>
  <c r="X127" i="2" s="1"/>
  <c r="X132" i="2" s="1"/>
  <c r="Q11" i="2"/>
  <c r="R3" i="2"/>
  <c r="Y113" i="1" l="1"/>
  <c r="Y86" i="1"/>
  <c r="Y95" i="1"/>
  <c r="Z23" i="1"/>
  <c r="Z115" i="1" s="1"/>
  <c r="Y98" i="1"/>
  <c r="Y123" i="1"/>
  <c r="Y105" i="1"/>
  <c r="Y80" i="1"/>
  <c r="Y108" i="1"/>
  <c r="Y55" i="1"/>
  <c r="Y102" i="1"/>
  <c r="Y82" i="1"/>
  <c r="Y90" i="1"/>
  <c r="Y36" i="1"/>
  <c r="Y43" i="1"/>
  <c r="Y103" i="1"/>
  <c r="Y109" i="1"/>
  <c r="Y89" i="1"/>
  <c r="Y64" i="1"/>
  <c r="Y85" i="1"/>
  <c r="Y94" i="1"/>
  <c r="Y62" i="1"/>
  <c r="Y46" i="1"/>
  <c r="Y99" i="1"/>
  <c r="Y104" i="1"/>
  <c r="Y112" i="1"/>
  <c r="Y83" i="1"/>
  <c r="Y87" i="1"/>
  <c r="Y92" i="1"/>
  <c r="Y96" i="1"/>
  <c r="Y73" i="1"/>
  <c r="Y116" i="1"/>
  <c r="Y100" i="1"/>
  <c r="Y115" i="1"/>
  <c r="Y106" i="1"/>
  <c r="Y110" i="1"/>
  <c r="Y81" i="1"/>
  <c r="Y84" i="1"/>
  <c r="Y88" i="1"/>
  <c r="Y93" i="1"/>
  <c r="Y97" i="1"/>
  <c r="Y91" i="1"/>
  <c r="Y25" i="1"/>
  <c r="Y48" i="1"/>
  <c r="Y101" i="1"/>
  <c r="Y114" i="1"/>
  <c r="Y107" i="1"/>
  <c r="Y154" i="2"/>
  <c r="Y127" i="2" s="1"/>
  <c r="Y132" i="2" s="1"/>
  <c r="R11" i="2"/>
  <c r="S3" i="2"/>
  <c r="Z114" i="1" l="1"/>
  <c r="Z87" i="1"/>
  <c r="Z64" i="1"/>
  <c r="Z73" i="1"/>
  <c r="Z107" i="1"/>
  <c r="Z82" i="1"/>
  <c r="Z84" i="1"/>
  <c r="Z98" i="1"/>
  <c r="Z25" i="1"/>
  <c r="AA23" i="1"/>
  <c r="AA81" i="1" s="1"/>
  <c r="Z102" i="1"/>
  <c r="Z93" i="1"/>
  <c r="Z111" i="1"/>
  <c r="Z103" i="1"/>
  <c r="Z55" i="1"/>
  <c r="Z81" i="1"/>
  <c r="Z43" i="1"/>
  <c r="Z97" i="1"/>
  <c r="Z80" i="1"/>
  <c r="Z46" i="1"/>
  <c r="Z90" i="1"/>
  <c r="Z99" i="1"/>
  <c r="Z110" i="1"/>
  <c r="Z108" i="1"/>
  <c r="Z88" i="1"/>
  <c r="Z83" i="1"/>
  <c r="Z95" i="1"/>
  <c r="Z86" i="1"/>
  <c r="Z91" i="1"/>
  <c r="Z105" i="1"/>
  <c r="Z100" i="1"/>
  <c r="Z104" i="1"/>
  <c r="Z112" i="1"/>
  <c r="Z94" i="1"/>
  <c r="Z123" i="1"/>
  <c r="Z48" i="1"/>
  <c r="Z89" i="1"/>
  <c r="Z62" i="1"/>
  <c r="Z96" i="1"/>
  <c r="Z92" i="1"/>
  <c r="Z116" i="1"/>
  <c r="Z85" i="1"/>
  <c r="Z36" i="1"/>
  <c r="Z109" i="1"/>
  <c r="Z113" i="1"/>
  <c r="Z101" i="1"/>
  <c r="Z106" i="1"/>
  <c r="Z154" i="2"/>
  <c r="Z127" i="2" s="1"/>
  <c r="Z132" i="2" s="1"/>
  <c r="S11" i="2"/>
  <c r="T3" i="2"/>
  <c r="AA123" i="1" l="1"/>
  <c r="AA91" i="1"/>
  <c r="AA110" i="1"/>
  <c r="AA105" i="1"/>
  <c r="AA92" i="1"/>
  <c r="AA96" i="1"/>
  <c r="AA36" i="1"/>
  <c r="AA113" i="1"/>
  <c r="AA87" i="1"/>
  <c r="AA90" i="1"/>
  <c r="AA97" i="1"/>
  <c r="AA98" i="1"/>
  <c r="AA86" i="1"/>
  <c r="AA85" i="1"/>
  <c r="AA89" i="1"/>
  <c r="AA88" i="1"/>
  <c r="AA103" i="1"/>
  <c r="AA80" i="1"/>
  <c r="AA116" i="1"/>
  <c r="AA82" i="1"/>
  <c r="AA84" i="1"/>
  <c r="AA46" i="1"/>
  <c r="AA83" i="1"/>
  <c r="AA108" i="1"/>
  <c r="AA106" i="1"/>
  <c r="AA104" i="1"/>
  <c r="AA109" i="1"/>
  <c r="AA115" i="1"/>
  <c r="AA64" i="1"/>
  <c r="AA94" i="1"/>
  <c r="AA101" i="1"/>
  <c r="AA102" i="1"/>
  <c r="AA107" i="1"/>
  <c r="AA99" i="1"/>
  <c r="AA55" i="1"/>
  <c r="AA95" i="1"/>
  <c r="AB23" i="1"/>
  <c r="AB111" i="1" s="1"/>
  <c r="AA93" i="1"/>
  <c r="AA43" i="1"/>
  <c r="AA62" i="1"/>
  <c r="AA48" i="1"/>
  <c r="AA73" i="1"/>
  <c r="AA25" i="1"/>
  <c r="AA114" i="1"/>
  <c r="AA100" i="1"/>
  <c r="AA112" i="1"/>
  <c r="AA111" i="1"/>
  <c r="AB154" i="2"/>
  <c r="AB127" i="2" s="1"/>
  <c r="AB132" i="2" s="1"/>
  <c r="AA154" i="2"/>
  <c r="AA127" i="2" s="1"/>
  <c r="AA132" i="2" s="1"/>
  <c r="T11" i="2"/>
  <c r="U3" i="2"/>
  <c r="AB46" i="1" l="1"/>
  <c r="AB55" i="1"/>
  <c r="AB82" i="1"/>
  <c r="AB84" i="1"/>
  <c r="AB97" i="1"/>
  <c r="AB90" i="1"/>
  <c r="AB48" i="1"/>
  <c r="AB99" i="1"/>
  <c r="AB85" i="1"/>
  <c r="AB92" i="1"/>
  <c r="AB123" i="1"/>
  <c r="AB100" i="1"/>
  <c r="AB94" i="1"/>
  <c r="AB62" i="1"/>
  <c r="AB101" i="1"/>
  <c r="AB81" i="1"/>
  <c r="AB95" i="1"/>
  <c r="AB96" i="1"/>
  <c r="AB43" i="1"/>
  <c r="AB73" i="1"/>
  <c r="AB105" i="1"/>
  <c r="AB106" i="1"/>
  <c r="AB86" i="1"/>
  <c r="AB91" i="1"/>
  <c r="AB116" i="1"/>
  <c r="AB89" i="1"/>
  <c r="AB25" i="1"/>
  <c r="AB98" i="1"/>
  <c r="AB107" i="1"/>
  <c r="AB36" i="1"/>
  <c r="AB88" i="1"/>
  <c r="AB83" i="1"/>
  <c r="AB80" i="1"/>
  <c r="AB93" i="1"/>
  <c r="AB87" i="1"/>
  <c r="AC23" i="1"/>
  <c r="AD23" i="1" s="1"/>
  <c r="AD113" i="1" s="1"/>
  <c r="AB64" i="1"/>
  <c r="AB102" i="1"/>
  <c r="AB114" i="1"/>
  <c r="AB109" i="1"/>
  <c r="AB110" i="1"/>
  <c r="AB112" i="1"/>
  <c r="AB115" i="1"/>
  <c r="AB103" i="1"/>
  <c r="AB104" i="1"/>
  <c r="AB108" i="1"/>
  <c r="AB113" i="1"/>
  <c r="U11" i="2"/>
  <c r="V3" i="2"/>
  <c r="AC36" i="1" l="1"/>
  <c r="AD87" i="1"/>
  <c r="AC101" i="1"/>
  <c r="AD91" i="1"/>
  <c r="AD100" i="1"/>
  <c r="AD123" i="1"/>
  <c r="AC55" i="1"/>
  <c r="AD80" i="1"/>
  <c r="AC81" i="1"/>
  <c r="AD25" i="1"/>
  <c r="AD82" i="1"/>
  <c r="AD55" i="1"/>
  <c r="AC91" i="1"/>
  <c r="AC100" i="1"/>
  <c r="AD104" i="1"/>
  <c r="AC107" i="1"/>
  <c r="AD115" i="1"/>
  <c r="AD90" i="1"/>
  <c r="AC80" i="1"/>
  <c r="AC86" i="1"/>
  <c r="AC108" i="1"/>
  <c r="AD110" i="1"/>
  <c r="AD101" i="1"/>
  <c r="AD114" i="1"/>
  <c r="AD48" i="1"/>
  <c r="AD81" i="1"/>
  <c r="AC85" i="1"/>
  <c r="AC92" i="1"/>
  <c r="AC95" i="1"/>
  <c r="AC73" i="1"/>
  <c r="AC103" i="1"/>
  <c r="AC111" i="1"/>
  <c r="AD106" i="1"/>
  <c r="AD107" i="1"/>
  <c r="AD92" i="1"/>
  <c r="AD116" i="1"/>
  <c r="AD84" i="1"/>
  <c r="AD86" i="1"/>
  <c r="AD95" i="1"/>
  <c r="AC90" i="1"/>
  <c r="AC25" i="1"/>
  <c r="AC62" i="1"/>
  <c r="AC99" i="1"/>
  <c r="AC104" i="1"/>
  <c r="AC112" i="1"/>
  <c r="AD99" i="1"/>
  <c r="AD109" i="1"/>
  <c r="AD46" i="1"/>
  <c r="AD62" i="1"/>
  <c r="AE23" i="1"/>
  <c r="AE114" i="1" s="1"/>
  <c r="AD85" i="1"/>
  <c r="AD96" i="1"/>
  <c r="AD88" i="1"/>
  <c r="AD93" i="1"/>
  <c r="AD36" i="1"/>
  <c r="AC96" i="1"/>
  <c r="AC83" i="1"/>
  <c r="AC116" i="1"/>
  <c r="AC97" i="1"/>
  <c r="AC87" i="1"/>
  <c r="AC46" i="1"/>
  <c r="AC88" i="1"/>
  <c r="AC43" i="1"/>
  <c r="AC115" i="1"/>
  <c r="AC102" i="1"/>
  <c r="AC105" i="1"/>
  <c r="AC109" i="1"/>
  <c r="AC113" i="1"/>
  <c r="AD108" i="1"/>
  <c r="AD103" i="1"/>
  <c r="AD102" i="1"/>
  <c r="AD111" i="1"/>
  <c r="AD43" i="1"/>
  <c r="AD64" i="1"/>
  <c r="AD83" i="1"/>
  <c r="AD97" i="1"/>
  <c r="AD89" i="1"/>
  <c r="AD94" i="1"/>
  <c r="AD73" i="1"/>
  <c r="AC93" i="1"/>
  <c r="AC89" i="1"/>
  <c r="AC48" i="1"/>
  <c r="AC82" i="1"/>
  <c r="AC123" i="1"/>
  <c r="AC64" i="1"/>
  <c r="AC84" i="1"/>
  <c r="AC98" i="1"/>
  <c r="AC114" i="1"/>
  <c r="AC106" i="1"/>
  <c r="AC110" i="1"/>
  <c r="AC94" i="1"/>
  <c r="AD112" i="1"/>
  <c r="AD98" i="1"/>
  <c r="AD105" i="1"/>
  <c r="V11" i="2"/>
  <c r="W3" i="2"/>
  <c r="AE83" i="1" l="1"/>
  <c r="AE116" i="1"/>
  <c r="AE96" i="1"/>
  <c r="AE111" i="1"/>
  <c r="AE80" i="1"/>
  <c r="AE73" i="1"/>
  <c r="AE104" i="1"/>
  <c r="AE87" i="1"/>
  <c r="AE106" i="1"/>
  <c r="AE46" i="1"/>
  <c r="AE90" i="1"/>
  <c r="AE113" i="1"/>
  <c r="AE115" i="1"/>
  <c r="AE48" i="1"/>
  <c r="AE82" i="1"/>
  <c r="AE98" i="1"/>
  <c r="AE112" i="1"/>
  <c r="AE92" i="1"/>
  <c r="AE91" i="1"/>
  <c r="AE64" i="1"/>
  <c r="AE86" i="1"/>
  <c r="AE95" i="1"/>
  <c r="AE101" i="1"/>
  <c r="AE99" i="1"/>
  <c r="AE43" i="1"/>
  <c r="AE123" i="1"/>
  <c r="AF23" i="1"/>
  <c r="AF112" i="1" s="1"/>
  <c r="AE81" i="1"/>
  <c r="AE85" i="1"/>
  <c r="AE88" i="1"/>
  <c r="AE93" i="1"/>
  <c r="AE55" i="1"/>
  <c r="AE100" i="1"/>
  <c r="AE102" i="1"/>
  <c r="AE108" i="1"/>
  <c r="AE103" i="1"/>
  <c r="AE25" i="1"/>
  <c r="AE62" i="1"/>
  <c r="AE84" i="1"/>
  <c r="AE97" i="1"/>
  <c r="AE89" i="1"/>
  <c r="AE94" i="1"/>
  <c r="AE36" i="1"/>
  <c r="AE105" i="1"/>
  <c r="AE109" i="1"/>
  <c r="AE107" i="1"/>
  <c r="AE110" i="1"/>
  <c r="W11" i="2"/>
  <c r="X3" i="2"/>
  <c r="AF106" i="1" l="1"/>
  <c r="AF88" i="1"/>
  <c r="AF25" i="1"/>
  <c r="AF83" i="1"/>
  <c r="AF102" i="1"/>
  <c r="AF48" i="1"/>
  <c r="AF89" i="1"/>
  <c r="AF84" i="1"/>
  <c r="AF101" i="1"/>
  <c r="AF109" i="1"/>
  <c r="AF64" i="1"/>
  <c r="AF81" i="1"/>
  <c r="AF93" i="1"/>
  <c r="AF55" i="1"/>
  <c r="AF100" i="1"/>
  <c r="AF110" i="1"/>
  <c r="AF116" i="1"/>
  <c r="AF82" i="1"/>
  <c r="AF94" i="1"/>
  <c r="AF36" i="1"/>
  <c r="AF99" i="1"/>
  <c r="AF105" i="1"/>
  <c r="AF113" i="1"/>
  <c r="AF46" i="1"/>
  <c r="AF62" i="1"/>
  <c r="AF86" i="1"/>
  <c r="AF90" i="1"/>
  <c r="AF95" i="1"/>
  <c r="AF85" i="1"/>
  <c r="AF73" i="1"/>
  <c r="AF103" i="1"/>
  <c r="AF115" i="1"/>
  <c r="AF107" i="1"/>
  <c r="AF111" i="1"/>
  <c r="AF43" i="1"/>
  <c r="AF123" i="1"/>
  <c r="AF80" i="1"/>
  <c r="AF87" i="1"/>
  <c r="AF92" i="1"/>
  <c r="AF96" i="1"/>
  <c r="AF97" i="1"/>
  <c r="AF91" i="1"/>
  <c r="AF98" i="1"/>
  <c r="AF114" i="1"/>
  <c r="AF104" i="1"/>
  <c r="AF108" i="1"/>
  <c r="AH115" i="1"/>
  <c r="AH114" i="1"/>
  <c r="AH113" i="1"/>
  <c r="AH112" i="1"/>
  <c r="AH111" i="1"/>
  <c r="AH110" i="1"/>
  <c r="AH109" i="1"/>
  <c r="AH108" i="1"/>
  <c r="AH107" i="1"/>
  <c r="AH106" i="1"/>
  <c r="AH105" i="1"/>
  <c r="AH104" i="1"/>
  <c r="AH103" i="1"/>
  <c r="AH101" i="1"/>
  <c r="AH102" i="1"/>
  <c r="AH99" i="1"/>
  <c r="X11" i="2"/>
  <c r="AH91" i="1"/>
  <c r="AH36" i="1"/>
  <c r="AH55" i="1"/>
  <c r="AH73" i="1"/>
  <c r="AH96" i="1"/>
  <c r="AH95" i="1"/>
  <c r="AH94" i="1"/>
  <c r="AH93" i="1"/>
  <c r="AH92" i="1"/>
  <c r="AH90" i="1"/>
  <c r="AH89" i="1"/>
  <c r="AH88" i="1"/>
  <c r="AH87" i="1"/>
  <c r="AH97" i="1"/>
  <c r="AH86" i="1"/>
  <c r="AH85" i="1"/>
  <c r="AH84" i="1"/>
  <c r="AH83" i="1"/>
  <c r="AH81" i="1"/>
  <c r="Y3" i="2"/>
  <c r="Y11" i="2" l="1"/>
  <c r="Z3" i="2"/>
  <c r="Z11" i="2" l="1"/>
  <c r="AA3" i="2"/>
  <c r="AA11" i="2" l="1"/>
  <c r="AB3" i="2"/>
  <c r="AB11" i="2" l="1"/>
  <c r="E42" i="1"/>
  <c r="AG42" i="1" s="1"/>
  <c r="E41" i="1"/>
  <c r="AG41" i="1" s="1"/>
  <c r="E79" i="1"/>
  <c r="AG79" i="1" s="1"/>
  <c r="E78" i="1"/>
  <c r="AG78" i="1" s="1"/>
  <c r="E122" i="1"/>
  <c r="AG122" i="1" s="1"/>
  <c r="E121" i="1"/>
  <c r="AG121" i="1" s="1"/>
  <c r="E120" i="1"/>
  <c r="AG120" i="1" s="1"/>
  <c r="E34" i="1"/>
  <c r="AG34" i="1" s="1"/>
  <c r="F121" i="1" l="1"/>
  <c r="G121" i="1" s="1"/>
  <c r="K41" i="1"/>
  <c r="L41" i="1" s="1"/>
  <c r="K42" i="1"/>
  <c r="O42" i="1" s="1"/>
  <c r="F122" i="1"/>
  <c r="G122" i="1" s="1"/>
  <c r="AE41" i="1" l="1"/>
  <c r="AC41" i="1"/>
  <c r="AB41" i="1"/>
  <c r="AF41" i="1"/>
  <c r="X41" i="1"/>
  <c r="N42" i="1"/>
  <c r="Y41" i="1"/>
  <c r="U41" i="1"/>
  <c r="T41" i="1"/>
  <c r="AD42" i="1"/>
  <c r="AA41" i="1"/>
  <c r="V41" i="1"/>
  <c r="S41" i="1"/>
  <c r="X42" i="1"/>
  <c r="AD41" i="1"/>
  <c r="Z41" i="1"/>
  <c r="W41" i="1"/>
  <c r="R41" i="1"/>
  <c r="Q41" i="1"/>
  <c r="P41" i="1"/>
  <c r="AC42" i="1"/>
  <c r="N41" i="1"/>
  <c r="W42" i="1"/>
  <c r="Q42" i="1"/>
  <c r="M41" i="1"/>
  <c r="O41" i="1"/>
  <c r="U42" i="1"/>
  <c r="M42" i="1"/>
  <c r="Z42" i="1"/>
  <c r="R42" i="1"/>
  <c r="AF42" i="1"/>
  <c r="AB42" i="1"/>
  <c r="Y42" i="1"/>
  <c r="T42" i="1"/>
  <c r="P42" i="1"/>
  <c r="L42" i="1"/>
  <c r="AE42" i="1"/>
  <c r="AA42" i="1"/>
  <c r="V42" i="1"/>
  <c r="S42" i="1"/>
  <c r="H122" i="1"/>
  <c r="I122" i="1" s="1"/>
  <c r="H121" i="1"/>
  <c r="AH41" i="1" l="1"/>
  <c r="AH42" i="1"/>
  <c r="J122" i="1"/>
  <c r="K122" i="1" s="1"/>
  <c r="I121" i="1"/>
  <c r="J121" i="1" s="1"/>
  <c r="AE122" i="1" l="1"/>
  <c r="P122" i="1"/>
  <c r="V122" i="1"/>
  <c r="AD122" i="1"/>
  <c r="M122" i="1"/>
  <c r="O122" i="1"/>
  <c r="AC122" i="1"/>
  <c r="N122" i="1"/>
  <c r="AB122" i="1"/>
  <c r="U122" i="1"/>
  <c r="Y122" i="1"/>
  <c r="Q122" i="1"/>
  <c r="T122" i="1"/>
  <c r="AA122" i="1"/>
  <c r="L122" i="1"/>
  <c r="Z122" i="1"/>
  <c r="S122" i="1"/>
  <c r="W122" i="1"/>
  <c r="R122" i="1"/>
  <c r="AF122" i="1"/>
  <c r="X122" i="1"/>
  <c r="K78" i="1"/>
  <c r="K79" i="1"/>
  <c r="K121" i="1"/>
  <c r="O121" i="1" s="1"/>
  <c r="B205" i="1"/>
  <c r="C205" i="1"/>
  <c r="D184" i="1"/>
  <c r="E69" i="1"/>
  <c r="AG69" i="1" s="1"/>
  <c r="F29" i="1"/>
  <c r="F120" i="1"/>
  <c r="E76" i="1"/>
  <c r="AG76" i="1" s="1"/>
  <c r="B171" i="1"/>
  <c r="B158" i="1"/>
  <c r="B141" i="1"/>
  <c r="B127" i="7" s="1"/>
  <c r="B140" i="1"/>
  <c r="B126" i="7" s="1"/>
  <c r="B139" i="1"/>
  <c r="B125" i="7" s="1"/>
  <c r="B138" i="1"/>
  <c r="B124" i="7" s="1"/>
  <c r="F117" i="1"/>
  <c r="F118" i="1"/>
  <c r="F119" i="1"/>
  <c r="F44" i="1"/>
  <c r="F30" i="1"/>
  <c r="E77" i="1"/>
  <c r="AG77" i="1" s="1"/>
  <c r="E75" i="1"/>
  <c r="AG75" i="1" s="1"/>
  <c r="E74" i="1"/>
  <c r="AG74" i="1" s="1"/>
  <c r="E71" i="1"/>
  <c r="AG71" i="1" s="1"/>
  <c r="E70" i="1"/>
  <c r="AG70" i="1" s="1"/>
  <c r="E68" i="1"/>
  <c r="AG68" i="1" s="1"/>
  <c r="E67" i="1"/>
  <c r="AG67" i="1" s="1"/>
  <c r="E66" i="1"/>
  <c r="AG66" i="1" s="1"/>
  <c r="E65" i="1"/>
  <c r="AG65" i="1" s="1"/>
  <c r="E61" i="1"/>
  <c r="AG61" i="1" s="1"/>
  <c r="E60" i="1"/>
  <c r="AG60" i="1" s="1"/>
  <c r="E59" i="1"/>
  <c r="AG59" i="1" s="1"/>
  <c r="E58" i="1"/>
  <c r="AG58" i="1" s="1"/>
  <c r="E57" i="1"/>
  <c r="AG57" i="1" s="1"/>
  <c r="E56" i="1"/>
  <c r="AG56" i="1" s="1"/>
  <c r="E54" i="1"/>
  <c r="AG54" i="1" s="1"/>
  <c r="E53" i="1"/>
  <c r="E52" i="1"/>
  <c r="AG52" i="1" s="1"/>
  <c r="E51" i="1"/>
  <c r="AG51" i="1" s="1"/>
  <c r="E50" i="1"/>
  <c r="AG50" i="1" s="1"/>
  <c r="E49" i="1"/>
  <c r="AG49" i="1" s="1"/>
  <c r="E47" i="1"/>
  <c r="AG47" i="1" s="1"/>
  <c r="E40" i="1"/>
  <c r="AG40" i="1" s="1"/>
  <c r="E39" i="1"/>
  <c r="AG39" i="1" s="1"/>
  <c r="E38" i="1"/>
  <c r="E37" i="1"/>
  <c r="AG37" i="1" s="1"/>
  <c r="F34" i="1"/>
  <c r="E33" i="1"/>
  <c r="AG33" i="1" s="1"/>
  <c r="E32" i="1"/>
  <c r="AG32" i="1" s="1"/>
  <c r="E31" i="1"/>
  <c r="AG31" i="1" s="1"/>
  <c r="E26" i="1"/>
  <c r="B47" i="1"/>
  <c r="B46" i="7" s="1"/>
  <c r="E124" i="1" l="1"/>
  <c r="E127" i="1"/>
  <c r="F26" i="1"/>
  <c r="AG26" i="1"/>
  <c r="F38" i="1"/>
  <c r="G38" i="1" s="1"/>
  <c r="AG38" i="1"/>
  <c r="F53" i="1"/>
  <c r="G53" i="1" s="1"/>
  <c r="H53" i="1" s="1"/>
  <c r="I53" i="1" s="1"/>
  <c r="AG53" i="1"/>
  <c r="D26" i="2"/>
  <c r="H157" i="1"/>
  <c r="D183" i="1"/>
  <c r="C192" i="1"/>
  <c r="C138" i="3"/>
  <c r="C164" i="2"/>
  <c r="C230" i="3"/>
  <c r="F74" i="1"/>
  <c r="G74" i="1" s="1"/>
  <c r="F49" i="1"/>
  <c r="G49" i="1" s="1"/>
  <c r="H49" i="1" s="1"/>
  <c r="F58" i="1"/>
  <c r="G58" i="1" s="1"/>
  <c r="H58" i="1" s="1"/>
  <c r="F75" i="1"/>
  <c r="G75" i="1" s="1"/>
  <c r="H75" i="1" s="1"/>
  <c r="I75" i="1" s="1"/>
  <c r="F51" i="1"/>
  <c r="G51" i="1" s="1"/>
  <c r="F56" i="1"/>
  <c r="G56" i="1" s="1"/>
  <c r="F60" i="1"/>
  <c r="G60" i="1" s="1"/>
  <c r="F66" i="1"/>
  <c r="G66" i="1" s="1"/>
  <c r="F77" i="1"/>
  <c r="G77" i="1" s="1"/>
  <c r="F39" i="1"/>
  <c r="G39" i="1" s="1"/>
  <c r="H39" i="1" s="1"/>
  <c r="F70" i="1"/>
  <c r="G70" i="1" s="1"/>
  <c r="H70" i="1" s="1"/>
  <c r="F32" i="1"/>
  <c r="G32" i="1" s="1"/>
  <c r="F47" i="1"/>
  <c r="G47" i="1" s="1"/>
  <c r="F33" i="1"/>
  <c r="G33" i="1" s="1"/>
  <c r="F63" i="1"/>
  <c r="G63" i="1" s="1"/>
  <c r="F27" i="1"/>
  <c r="G27" i="1" s="1"/>
  <c r="F54" i="1"/>
  <c r="G54" i="1" s="1"/>
  <c r="H54" i="1" s="1"/>
  <c r="I54" i="1" s="1"/>
  <c r="F65" i="1"/>
  <c r="G65" i="1" s="1"/>
  <c r="H65" i="1" s="1"/>
  <c r="F69" i="1"/>
  <c r="G69" i="1" s="1"/>
  <c r="H69" i="1" s="1"/>
  <c r="AH122" i="1"/>
  <c r="F24" i="1"/>
  <c r="G24" i="1" s="1"/>
  <c r="F50" i="1"/>
  <c r="G50" i="1" s="1"/>
  <c r="F59" i="1"/>
  <c r="G59" i="1" s="1"/>
  <c r="F31" i="1"/>
  <c r="G31" i="1" s="1"/>
  <c r="F35" i="1"/>
  <c r="G35" i="1" s="1"/>
  <c r="F40" i="1"/>
  <c r="G40" i="1" s="1"/>
  <c r="F52" i="1"/>
  <c r="G52" i="1" s="1"/>
  <c r="F57" i="1"/>
  <c r="G57" i="1" s="1"/>
  <c r="F61" i="1"/>
  <c r="G61" i="1" s="1"/>
  <c r="F67" i="1"/>
  <c r="G67" i="1" s="1"/>
  <c r="G29" i="1"/>
  <c r="H29" i="1" s="1"/>
  <c r="L78" i="1"/>
  <c r="M78" i="1"/>
  <c r="N78" i="1"/>
  <c r="O78" i="1"/>
  <c r="P78" i="1"/>
  <c r="Q78" i="1"/>
  <c r="R78" i="1"/>
  <c r="S78" i="1"/>
  <c r="T78" i="1"/>
  <c r="U78" i="1"/>
  <c r="W78" i="1"/>
  <c r="V78" i="1"/>
  <c r="Y78" i="1"/>
  <c r="X78" i="1"/>
  <c r="Z78" i="1"/>
  <c r="AA78" i="1"/>
  <c r="AB78" i="1"/>
  <c r="AC78" i="1"/>
  <c r="AD78" i="1"/>
  <c r="AE78" i="1"/>
  <c r="AF78" i="1"/>
  <c r="S121" i="1"/>
  <c r="AE121" i="1"/>
  <c r="P121" i="1"/>
  <c r="AB121" i="1"/>
  <c r="G44" i="1"/>
  <c r="H44" i="1" s="1"/>
  <c r="L45" i="1"/>
  <c r="M45" i="1"/>
  <c r="N45" i="1"/>
  <c r="O45" i="1"/>
  <c r="P45" i="1"/>
  <c r="Q45" i="1"/>
  <c r="R45" i="1"/>
  <c r="S45" i="1"/>
  <c r="T45" i="1"/>
  <c r="U45" i="1"/>
  <c r="V45" i="1"/>
  <c r="W45" i="1"/>
  <c r="Y45" i="1"/>
  <c r="X45" i="1"/>
  <c r="Z45" i="1"/>
  <c r="AA45" i="1"/>
  <c r="AB45" i="1"/>
  <c r="AC45" i="1"/>
  <c r="AD45" i="1"/>
  <c r="AE45" i="1"/>
  <c r="AF45" i="1"/>
  <c r="AA121" i="1"/>
  <c r="V121" i="1"/>
  <c r="R121" i="1"/>
  <c r="W121" i="1"/>
  <c r="N121" i="1"/>
  <c r="AF121" i="1"/>
  <c r="G119" i="1"/>
  <c r="L121" i="1"/>
  <c r="AD121" i="1"/>
  <c r="T121" i="1"/>
  <c r="Q121" i="1"/>
  <c r="Z121" i="1"/>
  <c r="M121" i="1"/>
  <c r="Y121" i="1"/>
  <c r="G30" i="1"/>
  <c r="G118" i="1"/>
  <c r="H118" i="1" s="1"/>
  <c r="L79" i="1"/>
  <c r="M79" i="1"/>
  <c r="N79" i="1"/>
  <c r="O79" i="1"/>
  <c r="P79" i="1"/>
  <c r="Q79" i="1"/>
  <c r="R79" i="1"/>
  <c r="S79" i="1"/>
  <c r="T79" i="1"/>
  <c r="U79" i="1"/>
  <c r="W79" i="1"/>
  <c r="V79" i="1"/>
  <c r="X79" i="1"/>
  <c r="Y79" i="1"/>
  <c r="Z79" i="1"/>
  <c r="AA79" i="1"/>
  <c r="AB79" i="1"/>
  <c r="AC79" i="1"/>
  <c r="AD79" i="1"/>
  <c r="AE79" i="1"/>
  <c r="AF79" i="1"/>
  <c r="AC121" i="1"/>
  <c r="X121" i="1"/>
  <c r="U121" i="1"/>
  <c r="G28" i="1"/>
  <c r="H28" i="1" s="1"/>
  <c r="B41" i="1"/>
  <c r="B40" i="7" s="1"/>
  <c r="G34" i="1"/>
  <c r="H34" i="1" s="1"/>
  <c r="F68" i="1"/>
  <c r="G120" i="1"/>
  <c r="F37" i="1"/>
  <c r="F71" i="1"/>
  <c r="F76" i="1"/>
  <c r="G117" i="1"/>
  <c r="B78" i="1"/>
  <c r="C193" i="1" l="1"/>
  <c r="C124" i="1" s="1"/>
  <c r="B168" i="2"/>
  <c r="B25" i="7"/>
  <c r="B64" i="7" s="1"/>
  <c r="H74" i="1"/>
  <c r="I74" i="1" s="1"/>
  <c r="B73" i="1"/>
  <c r="B36" i="1"/>
  <c r="B35" i="7" s="1"/>
  <c r="B74" i="7" s="1"/>
  <c r="B55" i="1"/>
  <c r="B54" i="7" s="1"/>
  <c r="AH78" i="1"/>
  <c r="AH45" i="1"/>
  <c r="H119" i="1"/>
  <c r="AH79" i="1"/>
  <c r="AH121" i="1"/>
  <c r="I29" i="1"/>
  <c r="H66" i="1"/>
  <c r="I66" i="1" s="1"/>
  <c r="H40" i="1"/>
  <c r="I40" i="1" s="1"/>
  <c r="J40" i="1" s="1"/>
  <c r="H52" i="1"/>
  <c r="I52" i="1" s="1"/>
  <c r="H35" i="1"/>
  <c r="I35" i="1" s="1"/>
  <c r="H57" i="1"/>
  <c r="I57" i="1" s="1"/>
  <c r="H31" i="1"/>
  <c r="I31" i="1" s="1"/>
  <c r="J31" i="1" s="1"/>
  <c r="H30" i="1"/>
  <c r="I30" i="1" s="1"/>
  <c r="H51" i="1"/>
  <c r="I51" i="1" s="1"/>
  <c r="H61" i="1"/>
  <c r="I39" i="1"/>
  <c r="H60" i="1"/>
  <c r="I60" i="1" s="1"/>
  <c r="J60" i="1" s="1"/>
  <c r="I65" i="1"/>
  <c r="I49" i="1"/>
  <c r="H120" i="1"/>
  <c r="H117" i="1"/>
  <c r="G26" i="1"/>
  <c r="G37" i="1"/>
  <c r="H59" i="1"/>
  <c r="H50" i="1"/>
  <c r="I58" i="1"/>
  <c r="I118" i="1"/>
  <c r="H47" i="1"/>
  <c r="H27" i="1"/>
  <c r="H63" i="1"/>
  <c r="H24" i="1"/>
  <c r="J54" i="1"/>
  <c r="G68" i="1"/>
  <c r="H33" i="1"/>
  <c r="H77" i="1"/>
  <c r="G71" i="1"/>
  <c r="G76" i="1"/>
  <c r="H38" i="1"/>
  <c r="H32" i="1"/>
  <c r="H56" i="1"/>
  <c r="J53" i="1"/>
  <c r="H67" i="1"/>
  <c r="I69" i="1"/>
  <c r="I70" i="1"/>
  <c r="J75" i="1"/>
  <c r="I44" i="1"/>
  <c r="I34" i="1"/>
  <c r="I28" i="1"/>
  <c r="B56" i="1"/>
  <c r="B55" i="7" s="1"/>
  <c r="B79" i="1"/>
  <c r="B37" i="1"/>
  <c r="B36" i="7" s="1"/>
  <c r="B75" i="7" s="1"/>
  <c r="B44" i="1"/>
  <c r="B120" i="1"/>
  <c r="B119" i="7" s="1"/>
  <c r="B119" i="1"/>
  <c r="B118" i="7" s="1"/>
  <c r="B118" i="1"/>
  <c r="B117" i="7" s="1"/>
  <c r="B117" i="1"/>
  <c r="B116" i="7" s="1"/>
  <c r="B76" i="1"/>
  <c r="B75" i="1"/>
  <c r="B74" i="1"/>
  <c r="B72" i="1"/>
  <c r="B71" i="1"/>
  <c r="B70" i="1"/>
  <c r="B69" i="1"/>
  <c r="B63" i="1"/>
  <c r="B68" i="1"/>
  <c r="B67" i="1"/>
  <c r="B66" i="1"/>
  <c r="B65" i="1"/>
  <c r="B64" i="1"/>
  <c r="B61" i="1"/>
  <c r="B60" i="7" s="1"/>
  <c r="B60" i="1"/>
  <c r="B59" i="7" s="1"/>
  <c r="B58" i="7"/>
  <c r="B58" i="1"/>
  <c r="B57" i="7" s="1"/>
  <c r="B56" i="7"/>
  <c r="B54" i="1"/>
  <c r="B53" i="7" s="1"/>
  <c r="B53" i="1"/>
  <c r="B52" i="7" s="1"/>
  <c r="B52" i="1"/>
  <c r="B51" i="7" s="1"/>
  <c r="B51" i="1"/>
  <c r="B50" i="7" s="1"/>
  <c r="B50" i="1"/>
  <c r="B49" i="7" s="1"/>
  <c r="B49" i="1"/>
  <c r="B48" i="7" s="1"/>
  <c r="B48" i="1"/>
  <c r="B47" i="7" s="1"/>
  <c r="B124" i="1"/>
  <c r="B40" i="1"/>
  <c r="B39" i="7" s="1"/>
  <c r="B78" i="7" s="1"/>
  <c r="B39" i="1"/>
  <c r="B38" i="7" s="1"/>
  <c r="B77" i="7" s="1"/>
  <c r="B38" i="1"/>
  <c r="B37" i="7" s="1"/>
  <c r="B76" i="7" s="1"/>
  <c r="B35" i="1"/>
  <c r="B34" i="7" s="1"/>
  <c r="B73" i="7" s="1"/>
  <c r="B34" i="1"/>
  <c r="B33" i="7" s="1"/>
  <c r="B72" i="7" s="1"/>
  <c r="B33" i="1"/>
  <c r="B32" i="7" s="1"/>
  <c r="B71" i="7" s="1"/>
  <c r="B32" i="1"/>
  <c r="B31" i="7" s="1"/>
  <c r="B70" i="7" s="1"/>
  <c r="B31" i="1"/>
  <c r="B29" i="7"/>
  <c r="B68" i="7" s="1"/>
  <c r="B28" i="7"/>
  <c r="B67" i="7" s="1"/>
  <c r="B27" i="7"/>
  <c r="B66" i="7" s="1"/>
  <c r="C10" i="1"/>
  <c r="C12" i="1" s="1"/>
  <c r="C14" i="1" s="1"/>
  <c r="D7" i="2" s="1"/>
  <c r="C126" i="1" l="1"/>
  <c r="AG124" i="1"/>
  <c r="AH124" i="1" s="1"/>
  <c r="D205" i="1"/>
  <c r="C209" i="1"/>
  <c r="B30" i="7"/>
  <c r="B69" i="7" s="1"/>
  <c r="B172" i="1"/>
  <c r="B169" i="2"/>
  <c r="B26" i="7"/>
  <c r="B65" i="7" s="1"/>
  <c r="I119" i="1"/>
  <c r="J119" i="1" s="1"/>
  <c r="K119" i="1" s="1"/>
  <c r="P119" i="1" s="1"/>
  <c r="B282" i="1"/>
  <c r="J74" i="1"/>
  <c r="K74" i="1" s="1"/>
  <c r="J52" i="1"/>
  <c r="K52" i="1" s="1"/>
  <c r="V52" i="1" s="1"/>
  <c r="J29" i="1"/>
  <c r="J44" i="1"/>
  <c r="K44" i="1" s="1"/>
  <c r="AD44" i="1" s="1"/>
  <c r="I120" i="1"/>
  <c r="J120" i="1" s="1"/>
  <c r="H76" i="1"/>
  <c r="I76" i="1" s="1"/>
  <c r="K75" i="1"/>
  <c r="Q75" i="1" s="1"/>
  <c r="H68" i="1"/>
  <c r="I68" i="1" s="1"/>
  <c r="H26" i="1"/>
  <c r="I26" i="1" s="1"/>
  <c r="J26" i="1" s="1"/>
  <c r="J49" i="1"/>
  <c r="K49" i="1" s="1"/>
  <c r="AB49" i="1" s="1"/>
  <c r="H37" i="1"/>
  <c r="I37" i="1" s="1"/>
  <c r="K54" i="1"/>
  <c r="X54" i="1" s="1"/>
  <c r="I117" i="1"/>
  <c r="J117" i="1" s="1"/>
  <c r="J65" i="1"/>
  <c r="K65" i="1" s="1"/>
  <c r="R65" i="1" s="1"/>
  <c r="J69" i="1"/>
  <c r="K69" i="1" s="1"/>
  <c r="S69" i="1" s="1"/>
  <c r="J39" i="1"/>
  <c r="K39" i="1" s="1"/>
  <c r="N39" i="1" s="1"/>
  <c r="K53" i="1"/>
  <c r="T53" i="1" s="1"/>
  <c r="I61" i="1"/>
  <c r="K31" i="1"/>
  <c r="R31" i="1" s="1"/>
  <c r="K40" i="1"/>
  <c r="Z40" i="1" s="1"/>
  <c r="K60" i="1"/>
  <c r="Q60" i="1" s="1"/>
  <c r="J35" i="1"/>
  <c r="I59" i="1"/>
  <c r="I67" i="1"/>
  <c r="I38" i="1"/>
  <c r="I32" i="1"/>
  <c r="J118" i="1"/>
  <c r="W124" i="1"/>
  <c r="I63" i="1"/>
  <c r="I77" i="1"/>
  <c r="I33" i="1"/>
  <c r="J34" i="1"/>
  <c r="J66" i="1"/>
  <c r="J51" i="1"/>
  <c r="I24" i="1"/>
  <c r="I27" i="1"/>
  <c r="I47" i="1"/>
  <c r="J58" i="1"/>
  <c r="I50" i="1"/>
  <c r="J70" i="1"/>
  <c r="H71" i="1"/>
  <c r="J57" i="1"/>
  <c r="J28" i="1"/>
  <c r="J30" i="1"/>
  <c r="I56" i="1"/>
  <c r="B122" i="1"/>
  <c r="B121" i="7" s="1"/>
  <c r="B121" i="1"/>
  <c r="B120" i="7" s="1"/>
  <c r="C140" i="3" l="1"/>
  <c r="E202" i="1"/>
  <c r="G202" i="1" s="1"/>
  <c r="L119" i="1"/>
  <c r="V119" i="1"/>
  <c r="Q119" i="1"/>
  <c r="D9" i="2"/>
  <c r="AD74" i="1"/>
  <c r="Q44" i="1"/>
  <c r="AE52" i="1"/>
  <c r="AA53" i="1"/>
  <c r="T54" i="1"/>
  <c r="Q53" i="1"/>
  <c r="L53" i="1"/>
  <c r="AA75" i="1"/>
  <c r="AA119" i="1"/>
  <c r="AA44" i="1"/>
  <c r="AC53" i="1"/>
  <c r="R54" i="1"/>
  <c r="Y53" i="1"/>
  <c r="X52" i="1"/>
  <c r="Z52" i="1"/>
  <c r="Y54" i="1"/>
  <c r="U52" i="1"/>
  <c r="P52" i="1"/>
  <c r="R53" i="1"/>
  <c r="P53" i="1"/>
  <c r="AF52" i="1"/>
  <c r="AE75" i="1"/>
  <c r="S75" i="1"/>
  <c r="M74" i="1"/>
  <c r="S53" i="1"/>
  <c r="AB53" i="1"/>
  <c r="K117" i="1"/>
  <c r="W117" i="1" s="1"/>
  <c r="U53" i="1"/>
  <c r="Z54" i="1"/>
  <c r="P75" i="1"/>
  <c r="R75" i="1"/>
  <c r="AE54" i="1"/>
  <c r="X119" i="1"/>
  <c r="V54" i="1"/>
  <c r="Z75" i="1"/>
  <c r="X75" i="1"/>
  <c r="K26" i="1"/>
  <c r="AB26" i="1" s="1"/>
  <c r="R52" i="1"/>
  <c r="M52" i="1"/>
  <c r="N52" i="1"/>
  <c r="Y31" i="1"/>
  <c r="Y75" i="1"/>
  <c r="W54" i="1"/>
  <c r="AD54" i="1"/>
  <c r="U54" i="1"/>
  <c r="O75" i="1"/>
  <c r="N75" i="1"/>
  <c r="AC75" i="1"/>
  <c r="K29" i="1"/>
  <c r="O29" i="1" s="1"/>
  <c r="O52" i="1"/>
  <c r="AC52" i="1"/>
  <c r="Y65" i="1"/>
  <c r="AE31" i="1"/>
  <c r="Z69" i="1"/>
  <c r="T75" i="1"/>
  <c r="AA54" i="1"/>
  <c r="M54" i="1"/>
  <c r="AF75" i="1"/>
  <c r="W75" i="1"/>
  <c r="AD75" i="1"/>
  <c r="M75" i="1"/>
  <c r="J24" i="1"/>
  <c r="K24" i="1" s="1"/>
  <c r="Q24" i="1" s="1"/>
  <c r="W40" i="1"/>
  <c r="T40" i="1"/>
  <c r="J61" i="1"/>
  <c r="K51" i="1"/>
  <c r="AD51" i="1" s="1"/>
  <c r="K30" i="1"/>
  <c r="U30" i="1" s="1"/>
  <c r="I71" i="1"/>
  <c r="J71" i="1" s="1"/>
  <c r="K71" i="1" s="1"/>
  <c r="J77" i="1"/>
  <c r="J32" i="1"/>
  <c r="K32" i="1" s="1"/>
  <c r="V32" i="1" s="1"/>
  <c r="AC60" i="1"/>
  <c r="AF60" i="1"/>
  <c r="AB60" i="1"/>
  <c r="M60" i="1"/>
  <c r="P60" i="1"/>
  <c r="L60" i="1"/>
  <c r="T60" i="1"/>
  <c r="W60" i="1"/>
  <c r="V60" i="1"/>
  <c r="R60" i="1"/>
  <c r="S60" i="1"/>
  <c r="Z60" i="1"/>
  <c r="AA60" i="1"/>
  <c r="Y60" i="1"/>
  <c r="U60" i="1"/>
  <c r="L40" i="1"/>
  <c r="X40" i="1"/>
  <c r="AC40" i="1"/>
  <c r="AD40" i="1"/>
  <c r="AF69" i="1"/>
  <c r="O44" i="1"/>
  <c r="AE60" i="1"/>
  <c r="AD60" i="1"/>
  <c r="Q69" i="1"/>
  <c r="V74" i="1"/>
  <c r="P74" i="1"/>
  <c r="W74" i="1"/>
  <c r="Y74" i="1"/>
  <c r="AA74" i="1"/>
  <c r="AE74" i="1"/>
  <c r="L74" i="1"/>
  <c r="AB74" i="1"/>
  <c r="X74" i="1"/>
  <c r="S74" i="1"/>
  <c r="O74" i="1"/>
  <c r="O124" i="1"/>
  <c r="S124" i="1"/>
  <c r="V53" i="1"/>
  <c r="AE53" i="1"/>
  <c r="O53" i="1"/>
  <c r="Z53" i="1"/>
  <c r="W53" i="1"/>
  <c r="N53" i="1"/>
  <c r="X53" i="1"/>
  <c r="AD53" i="1"/>
  <c r="M53" i="1"/>
  <c r="AF53" i="1"/>
  <c r="AA69" i="1"/>
  <c r="AB69" i="1"/>
  <c r="R69" i="1"/>
  <c r="W49" i="1"/>
  <c r="J76" i="1"/>
  <c r="K76" i="1" s="1"/>
  <c r="Q124" i="1"/>
  <c r="X124" i="1"/>
  <c r="Y124" i="1"/>
  <c r="U124" i="1"/>
  <c r="R124" i="1"/>
  <c r="V40" i="1"/>
  <c r="P40" i="1"/>
  <c r="O40" i="1"/>
  <c r="AF40" i="1"/>
  <c r="AA124" i="1"/>
  <c r="AD39" i="1"/>
  <c r="J56" i="1"/>
  <c r="K56" i="1" s="1"/>
  <c r="Q56" i="1" s="1"/>
  <c r="K28" i="1"/>
  <c r="AD28" i="1" s="1"/>
  <c r="K66" i="1"/>
  <c r="O66" i="1" s="1"/>
  <c r="J38" i="1"/>
  <c r="J37" i="1"/>
  <c r="U65" i="1"/>
  <c r="AE65" i="1"/>
  <c r="P65" i="1"/>
  <c r="X65" i="1"/>
  <c r="AC65" i="1"/>
  <c r="W65" i="1"/>
  <c r="N65" i="1"/>
  <c r="Q65" i="1"/>
  <c r="M65" i="1"/>
  <c r="AD65" i="1"/>
  <c r="T65" i="1"/>
  <c r="AF65" i="1"/>
  <c r="AA65" i="1"/>
  <c r="Y44" i="1"/>
  <c r="R44" i="1"/>
  <c r="AF44" i="1"/>
  <c r="L44" i="1"/>
  <c r="M44" i="1"/>
  <c r="S44" i="1"/>
  <c r="AE44" i="1"/>
  <c r="Z44" i="1"/>
  <c r="T44" i="1"/>
  <c r="V44" i="1"/>
  <c r="AC44" i="1"/>
  <c r="P44" i="1"/>
  <c r="Q31" i="1"/>
  <c r="W31" i="1"/>
  <c r="S31" i="1"/>
  <c r="L31" i="1"/>
  <c r="AA31" i="1"/>
  <c r="T31" i="1"/>
  <c r="Z31" i="1"/>
  <c r="V31" i="1"/>
  <c r="AB31" i="1"/>
  <c r="AD31" i="1"/>
  <c r="AC31" i="1"/>
  <c r="X31" i="1"/>
  <c r="P31" i="1"/>
  <c r="N31" i="1"/>
  <c r="M31" i="1"/>
  <c r="AF31" i="1"/>
  <c r="S40" i="1"/>
  <c r="AE40" i="1"/>
  <c r="M40" i="1"/>
  <c r="N40" i="1"/>
  <c r="R74" i="1"/>
  <c r="AC49" i="1"/>
  <c r="O31" i="1"/>
  <c r="X60" i="1"/>
  <c r="AF74" i="1"/>
  <c r="T74" i="1"/>
  <c r="U74" i="1"/>
  <c r="AE124" i="1"/>
  <c r="P124" i="1"/>
  <c r="V124" i="1"/>
  <c r="AA52" i="1"/>
  <c r="T52" i="1"/>
  <c r="W52" i="1"/>
  <c r="Q52" i="1"/>
  <c r="AD52" i="1"/>
  <c r="Y52" i="1"/>
  <c r="AB52" i="1"/>
  <c r="AE69" i="1"/>
  <c r="O69" i="1"/>
  <c r="Y40" i="1"/>
  <c r="W119" i="1"/>
  <c r="R49" i="1"/>
  <c r="Q74" i="1"/>
  <c r="N74" i="1"/>
  <c r="N124" i="1"/>
  <c r="L124" i="1"/>
  <c r="AF124" i="1"/>
  <c r="T124" i="1"/>
  <c r="L52" i="1"/>
  <c r="R39" i="1"/>
  <c r="V39" i="1"/>
  <c r="AA39" i="1"/>
  <c r="AE39" i="1"/>
  <c r="U39" i="1"/>
  <c r="O39" i="1"/>
  <c r="X39" i="1"/>
  <c r="Y39" i="1"/>
  <c r="Z39" i="1"/>
  <c r="M39" i="1"/>
  <c r="S39" i="1"/>
  <c r="AB39" i="1"/>
  <c r="Q39" i="1"/>
  <c r="AF39" i="1"/>
  <c r="W39" i="1"/>
  <c r="L39" i="1"/>
  <c r="T39" i="1"/>
  <c r="AC39" i="1"/>
  <c r="X69" i="1"/>
  <c r="M69" i="1"/>
  <c r="P69" i="1"/>
  <c r="AC69" i="1"/>
  <c r="W69" i="1"/>
  <c r="Y69" i="1"/>
  <c r="U69" i="1"/>
  <c r="N69" i="1"/>
  <c r="V69" i="1"/>
  <c r="L69" i="1"/>
  <c r="T69" i="1"/>
  <c r="J67" i="1"/>
  <c r="K67" i="1" s="1"/>
  <c r="AD67" i="1" s="1"/>
  <c r="AD49" i="1"/>
  <c r="Q49" i="1"/>
  <c r="T49" i="1"/>
  <c r="N49" i="1"/>
  <c r="AF49" i="1"/>
  <c r="M49" i="1"/>
  <c r="X49" i="1"/>
  <c r="U49" i="1"/>
  <c r="P49" i="1"/>
  <c r="O49" i="1"/>
  <c r="L49" i="1"/>
  <c r="U40" i="1"/>
  <c r="J68" i="1"/>
  <c r="J33" i="1"/>
  <c r="J59" i="1"/>
  <c r="M119" i="1"/>
  <c r="AE119" i="1"/>
  <c r="AF119" i="1"/>
  <c r="O119" i="1"/>
  <c r="T119" i="1"/>
  <c r="S119" i="1"/>
  <c r="R119" i="1"/>
  <c r="N119" i="1"/>
  <c r="AB40" i="1"/>
  <c r="Q40" i="1"/>
  <c r="R40" i="1"/>
  <c r="AA40" i="1"/>
  <c r="P39" i="1"/>
  <c r="U119" i="1"/>
  <c r="Z124" i="1"/>
  <c r="U31" i="1"/>
  <c r="O60" i="1"/>
  <c r="N60" i="1"/>
  <c r="AC124" i="1"/>
  <c r="AC74" i="1"/>
  <c r="Z74" i="1"/>
  <c r="AD124" i="1"/>
  <c r="AB124" i="1"/>
  <c r="M124" i="1"/>
  <c r="S52" i="1"/>
  <c r="AD69" i="1"/>
  <c r="AB44" i="1"/>
  <c r="V65" i="1"/>
  <c r="Y119" i="1"/>
  <c r="AC119" i="1"/>
  <c r="Z119" i="1"/>
  <c r="N54" i="1"/>
  <c r="O54" i="1"/>
  <c r="Q54" i="1"/>
  <c r="S65" i="1"/>
  <c r="AE49" i="1"/>
  <c r="Z49" i="1"/>
  <c r="Y49" i="1"/>
  <c r="V75" i="1"/>
  <c r="U75" i="1"/>
  <c r="U44" i="1"/>
  <c r="X44" i="1"/>
  <c r="AD119" i="1"/>
  <c r="O65" i="1"/>
  <c r="P54" i="1"/>
  <c r="L75" i="1"/>
  <c r="AB75" i="1"/>
  <c r="S54" i="1"/>
  <c r="W44" i="1"/>
  <c r="N44" i="1"/>
  <c r="AB119" i="1"/>
  <c r="AC54" i="1"/>
  <c r="AB65" i="1"/>
  <c r="AB54" i="1"/>
  <c r="L54" i="1"/>
  <c r="Z65" i="1"/>
  <c r="V49" i="1"/>
  <c r="S49" i="1"/>
  <c r="AA49" i="1"/>
  <c r="L65" i="1"/>
  <c r="AF54" i="1"/>
  <c r="K70" i="1"/>
  <c r="AC70" i="1" s="1"/>
  <c r="K120" i="1"/>
  <c r="P120" i="1" s="1"/>
  <c r="K57" i="1"/>
  <c r="Q57" i="1" s="1"/>
  <c r="K118" i="1"/>
  <c r="T118" i="1" s="1"/>
  <c r="K58" i="1"/>
  <c r="AC58" i="1" s="1"/>
  <c r="K35" i="1"/>
  <c r="AA35" i="1" s="1"/>
  <c r="K34" i="1"/>
  <c r="S34" i="1" s="1"/>
  <c r="J50" i="1"/>
  <c r="J63" i="1"/>
  <c r="J47" i="1"/>
  <c r="J27" i="1"/>
  <c r="AF76" i="1" l="1"/>
  <c r="C145" i="1"/>
  <c r="D22" i="2" s="1"/>
  <c r="C170" i="2"/>
  <c r="C144" i="3"/>
  <c r="E200" i="1"/>
  <c r="G200" i="1" s="1"/>
  <c r="E204" i="1"/>
  <c r="G204" i="1" s="1"/>
  <c r="E199" i="1"/>
  <c r="G199" i="1" s="1"/>
  <c r="E198" i="1"/>
  <c r="G198" i="1" s="1"/>
  <c r="E203" i="1"/>
  <c r="C173" i="2"/>
  <c r="C152" i="3"/>
  <c r="C147" i="3"/>
  <c r="E201" i="1"/>
  <c r="G201" i="1" s="1"/>
  <c r="AF32" i="1"/>
  <c r="Q118" i="1"/>
  <c r="L117" i="1"/>
  <c r="V117" i="1"/>
  <c r="Q117" i="1"/>
  <c r="D12" i="2"/>
  <c r="R230" i="3" s="1"/>
  <c r="E227" i="1"/>
  <c r="D10" i="2"/>
  <c r="E8" i="2"/>
  <c r="E9" i="2" s="1"/>
  <c r="D209" i="1" s="1"/>
  <c r="L28" i="1"/>
  <c r="AA28" i="1"/>
  <c r="Q28" i="1"/>
  <c r="AF56" i="1"/>
  <c r="AC117" i="1"/>
  <c r="AF30" i="1"/>
  <c r="AE117" i="1"/>
  <c r="X76" i="1"/>
  <c r="N76" i="1"/>
  <c r="O76" i="1"/>
  <c r="AD76" i="1"/>
  <c r="U76" i="1"/>
  <c r="T76" i="1"/>
  <c r="AE76" i="1"/>
  <c r="P32" i="1"/>
  <c r="S26" i="1"/>
  <c r="AD30" i="1"/>
  <c r="W76" i="1"/>
  <c r="X26" i="1"/>
  <c r="Z28" i="1"/>
  <c r="O26" i="1"/>
  <c r="N26" i="1"/>
  <c r="Z26" i="1"/>
  <c r="Y66" i="1"/>
  <c r="R76" i="1"/>
  <c r="P28" i="1"/>
  <c r="M28" i="1"/>
  <c r="U28" i="1"/>
  <c r="R28" i="1"/>
  <c r="V76" i="1"/>
  <c r="R117" i="1"/>
  <c r="R29" i="1"/>
  <c r="AA117" i="1"/>
  <c r="AA118" i="1"/>
  <c r="AB117" i="1"/>
  <c r="AD117" i="1"/>
  <c r="U56" i="1"/>
  <c r="X29" i="1"/>
  <c r="AA29" i="1"/>
  <c r="AC30" i="1"/>
  <c r="O30" i="1"/>
  <c r="Z30" i="1"/>
  <c r="AE30" i="1"/>
  <c r="W30" i="1"/>
  <c r="AC29" i="1"/>
  <c r="AE29" i="1"/>
  <c r="W29" i="1"/>
  <c r="W28" i="1"/>
  <c r="O28" i="1"/>
  <c r="S28" i="1"/>
  <c r="W56" i="1"/>
  <c r="AC71" i="1"/>
  <c r="L30" i="1"/>
  <c r="AH54" i="1"/>
  <c r="S120" i="1"/>
  <c r="O117" i="1"/>
  <c r="M117" i="1"/>
  <c r="AB28" i="1"/>
  <c r="Y56" i="1"/>
  <c r="Q76" i="1"/>
  <c r="AH53" i="1"/>
  <c r="AD32" i="1"/>
  <c r="AF71" i="1"/>
  <c r="M30" i="1"/>
  <c r="AB30" i="1"/>
  <c r="S117" i="1"/>
  <c r="AF117" i="1"/>
  <c r="P117" i="1"/>
  <c r="Z117" i="1"/>
  <c r="T117" i="1"/>
  <c r="Y117" i="1"/>
  <c r="N117" i="1"/>
  <c r="AC66" i="1"/>
  <c r="N30" i="1"/>
  <c r="P30" i="1"/>
  <c r="X117" i="1"/>
  <c r="U117" i="1"/>
  <c r="AH119" i="1"/>
  <c r="Y34" i="1"/>
  <c r="AH31" i="1"/>
  <c r="AH44" i="1"/>
  <c r="AB71" i="1"/>
  <c r="AH74" i="1"/>
  <c r="AH60" i="1"/>
  <c r="M71" i="1"/>
  <c r="L71" i="1"/>
  <c r="X28" i="1"/>
  <c r="V28" i="1"/>
  <c r="Y28" i="1"/>
  <c r="AD34" i="1"/>
  <c r="V71" i="1"/>
  <c r="AC26" i="1"/>
  <c r="R26" i="1"/>
  <c r="T71" i="1"/>
  <c r="W71" i="1"/>
  <c r="Q71" i="1"/>
  <c r="Y51" i="1"/>
  <c r="Z71" i="1"/>
  <c r="AH49" i="1"/>
  <c r="P71" i="1"/>
  <c r="N28" i="1"/>
  <c r="T28" i="1"/>
  <c r="AH65" i="1"/>
  <c r="AH75" i="1"/>
  <c r="AE118" i="1"/>
  <c r="AE28" i="1"/>
  <c r="V26" i="1"/>
  <c r="AH69" i="1"/>
  <c r="AH39" i="1"/>
  <c r="AH52" i="1"/>
  <c r="U34" i="1"/>
  <c r="X35" i="1"/>
  <c r="T66" i="1"/>
  <c r="AF28" i="1"/>
  <c r="T56" i="1"/>
  <c r="AD26" i="1"/>
  <c r="W26" i="1"/>
  <c r="L26" i="1"/>
  <c r="R32" i="1"/>
  <c r="AD71" i="1"/>
  <c r="AA71" i="1"/>
  <c r="U71" i="1"/>
  <c r="X71" i="1"/>
  <c r="X51" i="1"/>
  <c r="O32" i="1"/>
  <c r="AF35" i="1"/>
  <c r="W67" i="1"/>
  <c r="AE32" i="1"/>
  <c r="AF24" i="1"/>
  <c r="AB29" i="1"/>
  <c r="Q29" i="1"/>
  <c r="P29" i="1"/>
  <c r="V29" i="1"/>
  <c r="Y29" i="1"/>
  <c r="L29" i="1"/>
  <c r="U29" i="1"/>
  <c r="T29" i="1"/>
  <c r="M29" i="1"/>
  <c r="AF29" i="1"/>
  <c r="N29" i="1"/>
  <c r="Z29" i="1"/>
  <c r="AA26" i="1"/>
  <c r="R57" i="1"/>
  <c r="O67" i="1"/>
  <c r="Y35" i="1"/>
  <c r="O118" i="1"/>
  <c r="AF34" i="1"/>
  <c r="AE56" i="1"/>
  <c r="AC56" i="1"/>
  <c r="Q26" i="1"/>
  <c r="M26" i="1"/>
  <c r="AF26" i="1"/>
  <c r="U26" i="1"/>
  <c r="AC32" i="1"/>
  <c r="M32" i="1"/>
  <c r="L32" i="1"/>
  <c r="Q30" i="1"/>
  <c r="AA30" i="1"/>
  <c r="Y30" i="1"/>
  <c r="T30" i="1"/>
  <c r="S51" i="1"/>
  <c r="Z76" i="1"/>
  <c r="T67" i="1"/>
  <c r="AB57" i="1"/>
  <c r="V24" i="1"/>
  <c r="N67" i="1"/>
  <c r="Y32" i="1"/>
  <c r="T32" i="1"/>
  <c r="K38" i="1"/>
  <c r="AB38" i="1" s="1"/>
  <c r="AA51" i="1"/>
  <c r="Q67" i="1"/>
  <c r="Q34" i="1"/>
  <c r="N118" i="1"/>
  <c r="X30" i="1"/>
  <c r="AD66" i="1"/>
  <c r="AC28" i="1"/>
  <c r="X56" i="1"/>
  <c r="Z56" i="1"/>
  <c r="AA56" i="1"/>
  <c r="AA76" i="1"/>
  <c r="AE26" i="1"/>
  <c r="Y26" i="1"/>
  <c r="T26" i="1"/>
  <c r="P26" i="1"/>
  <c r="X32" i="1"/>
  <c r="N32" i="1"/>
  <c r="Q32" i="1"/>
  <c r="S30" i="1"/>
  <c r="R30" i="1"/>
  <c r="V30" i="1"/>
  <c r="L51" i="1"/>
  <c r="AD29" i="1"/>
  <c r="S29" i="1"/>
  <c r="N58" i="1"/>
  <c r="Y70" i="1"/>
  <c r="N70" i="1"/>
  <c r="Z70" i="1"/>
  <c r="Q70" i="1"/>
  <c r="AF70" i="1"/>
  <c r="M118" i="1"/>
  <c r="Z57" i="1"/>
  <c r="AE67" i="1"/>
  <c r="O35" i="1"/>
  <c r="U35" i="1"/>
  <c r="Q120" i="1"/>
  <c r="AC120" i="1"/>
  <c r="Z120" i="1"/>
  <c r="AE120" i="1"/>
  <c r="T120" i="1"/>
  <c r="AB118" i="1"/>
  <c r="AD57" i="1"/>
  <c r="O24" i="1"/>
  <c r="AE24" i="1"/>
  <c r="Y24" i="1"/>
  <c r="Z24" i="1"/>
  <c r="AB24" i="1"/>
  <c r="O58" i="1"/>
  <c r="K33" i="1"/>
  <c r="S33" i="1" s="1"/>
  <c r="AF57" i="1"/>
  <c r="M35" i="1"/>
  <c r="K59" i="1"/>
  <c r="AF59" i="1" s="1"/>
  <c r="AA58" i="1"/>
  <c r="W58" i="1"/>
  <c r="S58" i="1"/>
  <c r="Z58" i="1"/>
  <c r="AE58" i="1"/>
  <c r="K68" i="1"/>
  <c r="AA68" i="1" s="1"/>
  <c r="Z67" i="1"/>
  <c r="V67" i="1"/>
  <c r="S67" i="1"/>
  <c r="P67" i="1"/>
  <c r="AD118" i="1"/>
  <c r="T34" i="1"/>
  <c r="P34" i="1"/>
  <c r="AB34" i="1"/>
  <c r="AE34" i="1"/>
  <c r="W34" i="1"/>
  <c r="R35" i="1"/>
  <c r="AE57" i="1"/>
  <c r="X66" i="1"/>
  <c r="AF66" i="1"/>
  <c r="N66" i="1"/>
  <c r="M66" i="1"/>
  <c r="X70" i="1"/>
  <c r="T70" i="1"/>
  <c r="AE70" i="1"/>
  <c r="U70" i="1"/>
  <c r="AD70" i="1"/>
  <c r="AD56" i="1"/>
  <c r="AB56" i="1"/>
  <c r="O56" i="1"/>
  <c r="P56" i="1"/>
  <c r="M56" i="1"/>
  <c r="M76" i="1"/>
  <c r="L76" i="1"/>
  <c r="AC76" i="1"/>
  <c r="V118" i="1"/>
  <c r="U57" i="1"/>
  <c r="P35" i="1"/>
  <c r="T35" i="1"/>
  <c r="AD35" i="1"/>
  <c r="S32" i="1"/>
  <c r="U32" i="1"/>
  <c r="AB32" i="1"/>
  <c r="W32" i="1"/>
  <c r="Z32" i="1"/>
  <c r="K77" i="1"/>
  <c r="X120" i="1"/>
  <c r="R120" i="1"/>
  <c r="N120" i="1"/>
  <c r="O120" i="1"/>
  <c r="Y71" i="1"/>
  <c r="R71" i="1"/>
  <c r="S71" i="1"/>
  <c r="AE71" i="1"/>
  <c r="AF118" i="1"/>
  <c r="W118" i="1"/>
  <c r="W51" i="1"/>
  <c r="V51" i="1"/>
  <c r="M51" i="1"/>
  <c r="AB51" i="1"/>
  <c r="X57" i="1"/>
  <c r="P76" i="1"/>
  <c r="U24" i="1"/>
  <c r="S24" i="1"/>
  <c r="L24" i="1"/>
  <c r="AC24" i="1"/>
  <c r="AC67" i="1"/>
  <c r="R66" i="1"/>
  <c r="AF58" i="1"/>
  <c r="Y57" i="1"/>
  <c r="L57" i="1"/>
  <c r="O57" i="1"/>
  <c r="M57" i="1"/>
  <c r="S72" i="1"/>
  <c r="AC118" i="1"/>
  <c r="T57" i="1"/>
  <c r="W66" i="1"/>
  <c r="X58" i="1"/>
  <c r="T58" i="1"/>
  <c r="U58" i="1"/>
  <c r="L58" i="1"/>
  <c r="V58" i="1"/>
  <c r="Y67" i="1"/>
  <c r="AB67" i="1"/>
  <c r="L67" i="1"/>
  <c r="R67" i="1"/>
  <c r="W70" i="1"/>
  <c r="O34" i="1"/>
  <c r="X34" i="1"/>
  <c r="AA34" i="1"/>
  <c r="L34" i="1"/>
  <c r="M34" i="1"/>
  <c r="W35" i="1"/>
  <c r="Y118" i="1"/>
  <c r="N51" i="1"/>
  <c r="V57" i="1"/>
  <c r="AA66" i="1"/>
  <c r="K37" i="1"/>
  <c r="Z37" i="1" s="1"/>
  <c r="Z66" i="1"/>
  <c r="U66" i="1"/>
  <c r="P66" i="1"/>
  <c r="V66" i="1"/>
  <c r="AB70" i="1"/>
  <c r="O70" i="1"/>
  <c r="P70" i="1"/>
  <c r="AA70" i="1"/>
  <c r="V56" i="1"/>
  <c r="N56" i="1"/>
  <c r="L56" i="1"/>
  <c r="R56" i="1"/>
  <c r="S56" i="1"/>
  <c r="M67" i="1"/>
  <c r="AB76" i="1"/>
  <c r="Y76" i="1"/>
  <c r="S76" i="1"/>
  <c r="Q35" i="1"/>
  <c r="L118" i="1"/>
  <c r="T51" i="1"/>
  <c r="P57" i="1"/>
  <c r="U120" i="1"/>
  <c r="AB35" i="1"/>
  <c r="AC35" i="1"/>
  <c r="AE35" i="1"/>
  <c r="AA32" i="1"/>
  <c r="W120" i="1"/>
  <c r="V120" i="1"/>
  <c r="AF120" i="1"/>
  <c r="AB120" i="1"/>
  <c r="AD120" i="1"/>
  <c r="N71" i="1"/>
  <c r="O71" i="1"/>
  <c r="P118" i="1"/>
  <c r="X118" i="1"/>
  <c r="Z51" i="1"/>
  <c r="Q51" i="1"/>
  <c r="P51" i="1"/>
  <c r="AC51" i="1"/>
  <c r="AA57" i="1"/>
  <c r="AF67" i="1"/>
  <c r="K61" i="1"/>
  <c r="P61" i="1" s="1"/>
  <c r="X24" i="1"/>
  <c r="T24" i="1"/>
  <c r="P24" i="1"/>
  <c r="R24" i="1"/>
  <c r="M24" i="1"/>
  <c r="Y58" i="1"/>
  <c r="S35" i="1"/>
  <c r="N24" i="1"/>
  <c r="R118" i="1"/>
  <c r="M58" i="1"/>
  <c r="W57" i="1"/>
  <c r="R58" i="1"/>
  <c r="AD58" i="1"/>
  <c r="P58" i="1"/>
  <c r="AB58" i="1"/>
  <c r="Q58" i="1"/>
  <c r="AA67" i="1"/>
  <c r="U67" i="1"/>
  <c r="X67" i="1"/>
  <c r="L35" i="1"/>
  <c r="U118" i="1"/>
  <c r="AC34" i="1"/>
  <c r="Z34" i="1"/>
  <c r="V34" i="1"/>
  <c r="R34" i="1"/>
  <c r="N34" i="1"/>
  <c r="S118" i="1"/>
  <c r="M70" i="1"/>
  <c r="AC57" i="1"/>
  <c r="AE66" i="1"/>
  <c r="S66" i="1"/>
  <c r="Q66" i="1"/>
  <c r="AB66" i="1"/>
  <c r="L66" i="1"/>
  <c r="V70" i="1"/>
  <c r="S70" i="1"/>
  <c r="R70" i="1"/>
  <c r="L70" i="1"/>
  <c r="V35" i="1"/>
  <c r="S57" i="1"/>
  <c r="N35" i="1"/>
  <c r="Z35" i="1"/>
  <c r="M120" i="1"/>
  <c r="Y120" i="1"/>
  <c r="AA120" i="1"/>
  <c r="L120" i="1"/>
  <c r="Z118" i="1"/>
  <c r="U51" i="1"/>
  <c r="R51" i="1"/>
  <c r="O51" i="1"/>
  <c r="AE51" i="1"/>
  <c r="AF51" i="1"/>
  <c r="N57" i="1"/>
  <c r="AA24" i="1"/>
  <c r="W24" i="1"/>
  <c r="AD24" i="1"/>
  <c r="K27" i="1"/>
  <c r="S27" i="1" s="1"/>
  <c r="K50" i="1"/>
  <c r="AB50" i="1" s="1"/>
  <c r="K47" i="1"/>
  <c r="AC47" i="1" s="1"/>
  <c r="K63" i="1"/>
  <c r="D113" i="2" l="1"/>
  <c r="D30" i="2"/>
  <c r="E22" i="2"/>
  <c r="C149" i="3"/>
  <c r="E205" i="1"/>
  <c r="M37" i="1"/>
  <c r="E12" i="2"/>
  <c r="F8" i="2"/>
  <c r="F9" i="2" s="1"/>
  <c r="E209" i="1" s="1"/>
  <c r="Q33" i="1"/>
  <c r="C141" i="3"/>
  <c r="C166" i="2"/>
  <c r="C171" i="2"/>
  <c r="E10" i="2"/>
  <c r="C145" i="3"/>
  <c r="D24" i="2"/>
  <c r="AH40" i="1"/>
  <c r="Q61" i="1"/>
  <c r="T38" i="1"/>
  <c r="V59" i="1"/>
  <c r="M72" i="1"/>
  <c r="AA38" i="1"/>
  <c r="M59" i="1"/>
  <c r="L59" i="1"/>
  <c r="AH28" i="1"/>
  <c r="AH70" i="1"/>
  <c r="AH66" i="1"/>
  <c r="AH120" i="1"/>
  <c r="AH117" i="1"/>
  <c r="AD33" i="1"/>
  <c r="V33" i="1"/>
  <c r="W33" i="1"/>
  <c r="AE33" i="1"/>
  <c r="T33" i="1"/>
  <c r="L38" i="1"/>
  <c r="X33" i="1"/>
  <c r="N38" i="1"/>
  <c r="AH30" i="1"/>
  <c r="P33" i="1"/>
  <c r="U38" i="1"/>
  <c r="P68" i="1"/>
  <c r="AB33" i="1"/>
  <c r="AH34" i="1"/>
  <c r="Q38" i="1"/>
  <c r="AH67" i="1"/>
  <c r="AH58" i="1"/>
  <c r="T59" i="1"/>
  <c r="AH29" i="1"/>
  <c r="S38" i="1"/>
  <c r="AH26" i="1"/>
  <c r="AH57" i="1"/>
  <c r="AH35" i="1"/>
  <c r="AH51" i="1"/>
  <c r="AH32" i="1"/>
  <c r="AH118" i="1"/>
  <c r="AD38" i="1"/>
  <c r="V47" i="1"/>
  <c r="R59" i="1"/>
  <c r="W38" i="1"/>
  <c r="AH56" i="1"/>
  <c r="AC37" i="1"/>
  <c r="Z33" i="1"/>
  <c r="Z38" i="1"/>
  <c r="AC33" i="1"/>
  <c r="AH76" i="1"/>
  <c r="AF38" i="1"/>
  <c r="V38" i="1"/>
  <c r="AH71" i="1"/>
  <c r="AB61" i="1"/>
  <c r="N61" i="1"/>
  <c r="O61" i="1"/>
  <c r="L61" i="1"/>
  <c r="AF68" i="1"/>
  <c r="AC59" i="1"/>
  <c r="R38" i="1"/>
  <c r="P38" i="1"/>
  <c r="W61" i="1"/>
  <c r="X47" i="1"/>
  <c r="O38" i="1"/>
  <c r="AE38" i="1"/>
  <c r="O33" i="1"/>
  <c r="AA33" i="1"/>
  <c r="Y38" i="1"/>
  <c r="M38" i="1"/>
  <c r="AC38" i="1"/>
  <c r="AF33" i="1"/>
  <c r="Y33" i="1"/>
  <c r="M33" i="1"/>
  <c r="U33" i="1"/>
  <c r="R33" i="1"/>
  <c r="X38" i="1"/>
  <c r="M63" i="1"/>
  <c r="AC63" i="1"/>
  <c r="O63" i="1"/>
  <c r="T63" i="1"/>
  <c r="AE47" i="1"/>
  <c r="AC27" i="1"/>
  <c r="Y63" i="1"/>
  <c r="N50" i="1"/>
  <c r="W50" i="1"/>
  <c r="AC50" i="1"/>
  <c r="AE61" i="1"/>
  <c r="P47" i="1"/>
  <c r="R27" i="1"/>
  <c r="Y27" i="1"/>
  <c r="AD50" i="1"/>
  <c r="U72" i="1"/>
  <c r="AD72" i="1"/>
  <c r="T72" i="1"/>
  <c r="S50" i="1"/>
  <c r="N47" i="1"/>
  <c r="N77" i="1"/>
  <c r="T77" i="1"/>
  <c r="Y77" i="1"/>
  <c r="X77" i="1"/>
  <c r="AB77" i="1"/>
  <c r="W77" i="1"/>
  <c r="AF77" i="1"/>
  <c r="Q77" i="1"/>
  <c r="U77" i="1"/>
  <c r="AE77" i="1"/>
  <c r="L77" i="1"/>
  <c r="AC77" i="1"/>
  <c r="P77" i="1"/>
  <c r="AA77" i="1"/>
  <c r="AD77" i="1"/>
  <c r="O77" i="1"/>
  <c r="R77" i="1"/>
  <c r="M77" i="1"/>
  <c r="V77" i="1"/>
  <c r="Z77" i="1"/>
  <c r="L27" i="1"/>
  <c r="Z27" i="1"/>
  <c r="R37" i="1"/>
  <c r="X63" i="1"/>
  <c r="P50" i="1"/>
  <c r="S59" i="1"/>
  <c r="AE59" i="1"/>
  <c r="Y59" i="1"/>
  <c r="U59" i="1"/>
  <c r="N59" i="1"/>
  <c r="Z59" i="1"/>
  <c r="AD59" i="1"/>
  <c r="W59" i="1"/>
  <c r="P59" i="1"/>
  <c r="O59" i="1"/>
  <c r="X59" i="1"/>
  <c r="AA59" i="1"/>
  <c r="N63" i="1"/>
  <c r="AB47" i="1"/>
  <c r="U27" i="1"/>
  <c r="L50" i="1"/>
  <c r="N37" i="1"/>
  <c r="AA47" i="1"/>
  <c r="T27" i="1"/>
  <c r="Z47" i="1"/>
  <c r="X50" i="1"/>
  <c r="AA50" i="1"/>
  <c r="R61" i="1"/>
  <c r="X61" i="1"/>
  <c r="V61" i="1"/>
  <c r="Z61" i="1"/>
  <c r="S61" i="1"/>
  <c r="S47" i="1"/>
  <c r="AE63" i="1"/>
  <c r="AB27" i="1"/>
  <c r="AF47" i="1"/>
  <c r="R50" i="1"/>
  <c r="AF72" i="1"/>
  <c r="W72" i="1"/>
  <c r="R72" i="1"/>
  <c r="AD61" i="1"/>
  <c r="AD47" i="1"/>
  <c r="AD63" i="1"/>
  <c r="S63" i="1"/>
  <c r="AA27" i="1"/>
  <c r="V63" i="1"/>
  <c r="W37" i="1"/>
  <c r="AF61" i="1"/>
  <c r="Q50" i="1"/>
  <c r="T50" i="1"/>
  <c r="U50" i="1"/>
  <c r="W47" i="1"/>
  <c r="Q63" i="1"/>
  <c r="Q27" i="1"/>
  <c r="AB59" i="1"/>
  <c r="N27" i="1"/>
  <c r="AE50" i="1"/>
  <c r="Z63" i="1"/>
  <c r="R47" i="1"/>
  <c r="L47" i="1"/>
  <c r="AE27" i="1"/>
  <c r="AF27" i="1"/>
  <c r="M50" i="1"/>
  <c r="L72" i="1"/>
  <c r="Z72" i="1"/>
  <c r="AE72" i="1"/>
  <c r="P72" i="1"/>
  <c r="Q72" i="1"/>
  <c r="N72" i="1"/>
  <c r="V72" i="1"/>
  <c r="O72" i="1"/>
  <c r="U61" i="1"/>
  <c r="M61" i="1"/>
  <c r="Q47" i="1"/>
  <c r="Y47" i="1"/>
  <c r="AD27" i="1"/>
  <c r="AB63" i="1"/>
  <c r="W63" i="1"/>
  <c r="O50" i="1"/>
  <c r="AA72" i="1"/>
  <c r="M47" i="1"/>
  <c r="P27" i="1"/>
  <c r="Y50" i="1"/>
  <c r="V50" i="1"/>
  <c r="AA63" i="1"/>
  <c r="U47" i="1"/>
  <c r="V27" i="1"/>
  <c r="AF63" i="1"/>
  <c r="L63" i="1"/>
  <c r="Z50" i="1"/>
  <c r="W27" i="1"/>
  <c r="T61" i="1"/>
  <c r="AC61" i="1"/>
  <c r="T47" i="1"/>
  <c r="O27" i="1"/>
  <c r="P63" i="1"/>
  <c r="AA37" i="1"/>
  <c r="AE37" i="1"/>
  <c r="L37" i="1"/>
  <c r="P37" i="1"/>
  <c r="T37" i="1"/>
  <c r="Y37" i="1"/>
  <c r="AB37" i="1"/>
  <c r="AF37" i="1"/>
  <c r="U37" i="1"/>
  <c r="X37" i="1"/>
  <c r="AD37" i="1"/>
  <c r="O37" i="1"/>
  <c r="S37" i="1"/>
  <c r="V37" i="1"/>
  <c r="U63" i="1"/>
  <c r="AF50" i="1"/>
  <c r="Y72" i="1"/>
  <c r="AB72" i="1"/>
  <c r="X72" i="1"/>
  <c r="AC72" i="1"/>
  <c r="Y61" i="1"/>
  <c r="O47" i="1"/>
  <c r="S77" i="1"/>
  <c r="M27" i="1"/>
  <c r="Q37" i="1"/>
  <c r="AC68" i="1"/>
  <c r="S68" i="1"/>
  <c r="Y68" i="1"/>
  <c r="R68" i="1"/>
  <c r="AD68" i="1"/>
  <c r="V68" i="1"/>
  <c r="U68" i="1"/>
  <c r="Q68" i="1"/>
  <c r="AB68" i="1"/>
  <c r="AE68" i="1"/>
  <c r="N68" i="1"/>
  <c r="X68" i="1"/>
  <c r="M68" i="1"/>
  <c r="W68" i="1"/>
  <c r="L68" i="1"/>
  <c r="T68" i="1"/>
  <c r="Z68" i="1"/>
  <c r="O68" i="1"/>
  <c r="Q59" i="1"/>
  <c r="R63" i="1"/>
  <c r="N33" i="1"/>
  <c r="X27" i="1"/>
  <c r="AA61" i="1"/>
  <c r="L33" i="1"/>
  <c r="E113" i="2" l="1"/>
  <c r="E30" i="2"/>
  <c r="E62" i="2" s="1"/>
  <c r="F22" i="2"/>
  <c r="F205" i="1"/>
  <c r="G203" i="1"/>
  <c r="G205" i="1" s="1"/>
  <c r="C167" i="2"/>
  <c r="F227" i="1"/>
  <c r="F10" i="2"/>
  <c r="F12" i="2"/>
  <c r="G8" i="2"/>
  <c r="G9" i="2" s="1"/>
  <c r="F209" i="1" s="1"/>
  <c r="AH24" i="1"/>
  <c r="AH68" i="1"/>
  <c r="AH63" i="1"/>
  <c r="R126" i="1"/>
  <c r="AH27" i="1"/>
  <c r="P126" i="1"/>
  <c r="L24" i="2" s="1"/>
  <c r="AH72" i="1"/>
  <c r="AH37" i="1"/>
  <c r="AH77" i="1"/>
  <c r="AH50" i="1"/>
  <c r="AH61" i="1"/>
  <c r="AD126" i="1"/>
  <c r="Z24" i="2" s="1"/>
  <c r="AH47" i="1"/>
  <c r="AH33" i="1"/>
  <c r="AA126" i="1"/>
  <c r="W24" i="2" s="1"/>
  <c r="U126" i="1"/>
  <c r="Q24" i="2" s="1"/>
  <c r="AE126" i="1"/>
  <c r="AA24" i="2" s="1"/>
  <c r="AC126" i="1"/>
  <c r="Y24" i="2" s="1"/>
  <c r="T126" i="1"/>
  <c r="P24" i="2" s="1"/>
  <c r="Q126" i="1"/>
  <c r="M24" i="2" s="1"/>
  <c r="N126" i="1"/>
  <c r="J24" i="2" s="1"/>
  <c r="W126" i="1"/>
  <c r="S24" i="2" s="1"/>
  <c r="O126" i="1"/>
  <c r="K24" i="2" s="1"/>
  <c r="V126" i="1"/>
  <c r="R24" i="2" s="1"/>
  <c r="X126" i="1"/>
  <c r="T24" i="2" s="1"/>
  <c r="L126" i="1"/>
  <c r="H24" i="2" s="1"/>
  <c r="S126" i="1"/>
  <c r="O24" i="2" s="1"/>
  <c r="AF126" i="1"/>
  <c r="AB24" i="2" s="1"/>
  <c r="Y126" i="1"/>
  <c r="U24" i="2" s="1"/>
  <c r="Z126" i="1"/>
  <c r="V24" i="2" s="1"/>
  <c r="M126" i="1"/>
  <c r="I24" i="2" s="1"/>
  <c r="AB126" i="1"/>
  <c r="X24" i="2" s="1"/>
  <c r="F113" i="2" l="1"/>
  <c r="G22" i="2"/>
  <c r="F30" i="2"/>
  <c r="F62" i="2" s="1"/>
  <c r="G227" i="1"/>
  <c r="H8" i="2"/>
  <c r="H9" i="2" s="1"/>
  <c r="G209" i="1" s="1"/>
  <c r="G10" i="2"/>
  <c r="G12" i="2"/>
  <c r="AH38" i="1"/>
  <c r="AH59" i="1"/>
  <c r="AG126" i="1"/>
  <c r="R128" i="1"/>
  <c r="N24" i="2"/>
  <c r="AF128" i="1"/>
  <c r="Q128" i="1"/>
  <c r="M128" i="1"/>
  <c r="O128" i="1"/>
  <c r="AA128" i="1"/>
  <c r="AD128" i="1"/>
  <c r="Z128" i="1"/>
  <c r="W128" i="1"/>
  <c r="AC128" i="1"/>
  <c r="AB128" i="1"/>
  <c r="V128" i="1"/>
  <c r="U128" i="1"/>
  <c r="P128" i="1"/>
  <c r="S128" i="1"/>
  <c r="T128" i="1"/>
  <c r="Y128" i="1"/>
  <c r="X128" i="1"/>
  <c r="N128" i="1"/>
  <c r="AE128" i="1"/>
  <c r="L128" i="1"/>
  <c r="H22" i="2" l="1"/>
  <c r="G30" i="2"/>
  <c r="G62" i="2" s="1"/>
  <c r="G113" i="2"/>
  <c r="H227" i="1"/>
  <c r="H12" i="2"/>
  <c r="H10" i="2"/>
  <c r="I8" i="2"/>
  <c r="I9" i="2" s="1"/>
  <c r="I227" i="1" s="1"/>
  <c r="AH126" i="1"/>
  <c r="D55" i="2"/>
  <c r="E55" i="2" s="1"/>
  <c r="F55" i="2" s="1"/>
  <c r="G55" i="2" s="1"/>
  <c r="H55" i="2" s="1"/>
  <c r="I55" i="2" s="1"/>
  <c r="J55" i="2" s="1"/>
  <c r="K55" i="2" s="1"/>
  <c r="L55" i="2" s="1"/>
  <c r="M55" i="2" s="1"/>
  <c r="N55" i="2" s="1"/>
  <c r="O55" i="2" s="1"/>
  <c r="P55" i="2" s="1"/>
  <c r="Q55" i="2" s="1"/>
  <c r="R55" i="2" s="1"/>
  <c r="S55" i="2" s="1"/>
  <c r="T55" i="2" s="1"/>
  <c r="U55" i="2" s="1"/>
  <c r="V55" i="2" s="1"/>
  <c r="W55" i="2" s="1"/>
  <c r="X55" i="2" s="1"/>
  <c r="Y55" i="2" s="1"/>
  <c r="Z55" i="2" s="1"/>
  <c r="AA55" i="2" s="1"/>
  <c r="AB55" i="2" s="1"/>
  <c r="D56" i="2"/>
  <c r="E56" i="2" s="1"/>
  <c r="F56" i="2" s="1"/>
  <c r="G56" i="2" s="1"/>
  <c r="H56" i="2" s="1"/>
  <c r="I56" i="2" s="1"/>
  <c r="J56" i="2" s="1"/>
  <c r="K56" i="2" s="1"/>
  <c r="L56" i="2" s="1"/>
  <c r="M56" i="2" s="1"/>
  <c r="N56" i="2" s="1"/>
  <c r="O56" i="2" s="1"/>
  <c r="P56" i="2" s="1"/>
  <c r="Q56" i="2" s="1"/>
  <c r="R56" i="2" s="1"/>
  <c r="S56" i="2" s="1"/>
  <c r="T56" i="2" s="1"/>
  <c r="U56" i="2" s="1"/>
  <c r="V56" i="2" s="1"/>
  <c r="W56" i="2" s="1"/>
  <c r="X56" i="2" s="1"/>
  <c r="Y56" i="2" s="1"/>
  <c r="Z56" i="2" s="1"/>
  <c r="AA56" i="2" s="1"/>
  <c r="AB56" i="2" s="1"/>
  <c r="H30" i="2" l="1"/>
  <c r="H62" i="2" s="1"/>
  <c r="H113" i="2"/>
  <c r="I22" i="2"/>
  <c r="J8" i="2"/>
  <c r="J9" i="2" s="1"/>
  <c r="J12" i="2" s="1"/>
  <c r="C217" i="1"/>
  <c r="C223" i="1" s="1"/>
  <c r="C225" i="1" s="1"/>
  <c r="I12" i="2"/>
  <c r="I10" i="2"/>
  <c r="C227" i="1"/>
  <c r="D54" i="2"/>
  <c r="E54" i="2" s="1"/>
  <c r="F54" i="2" s="1"/>
  <c r="G54" i="2" s="1"/>
  <c r="H54" i="2" s="1"/>
  <c r="I54" i="2" s="1"/>
  <c r="J54" i="2" s="1"/>
  <c r="K54" i="2" s="1"/>
  <c r="L54" i="2" s="1"/>
  <c r="M54" i="2" s="1"/>
  <c r="N54" i="2" s="1"/>
  <c r="O54" i="2" s="1"/>
  <c r="P54" i="2" s="1"/>
  <c r="Q54" i="2" s="1"/>
  <c r="R54" i="2" s="1"/>
  <c r="S54" i="2" s="1"/>
  <c r="T54" i="2" s="1"/>
  <c r="U54" i="2" s="1"/>
  <c r="V54" i="2" s="1"/>
  <c r="W54" i="2" s="1"/>
  <c r="X54" i="2" s="1"/>
  <c r="Y54" i="2" s="1"/>
  <c r="Z54" i="2" s="1"/>
  <c r="AA54" i="2" s="1"/>
  <c r="AB54" i="2" s="1"/>
  <c r="I113" i="2" l="1"/>
  <c r="J22" i="2"/>
  <c r="I30" i="2"/>
  <c r="I62" i="2" s="1"/>
  <c r="J10" i="2"/>
  <c r="K8" i="2"/>
  <c r="K9" i="2" s="1"/>
  <c r="L8" i="2" s="1"/>
  <c r="L9" i="2" s="1"/>
  <c r="J113" i="2" l="1"/>
  <c r="J30" i="2"/>
  <c r="K22" i="2"/>
  <c r="J62" i="2"/>
  <c r="K12" i="2"/>
  <c r="K10" i="2"/>
  <c r="L10" i="2" s="1"/>
  <c r="L12" i="2"/>
  <c r="M8" i="2"/>
  <c r="M9" i="2" s="1"/>
  <c r="L22" i="2" l="1"/>
  <c r="K113" i="2"/>
  <c r="K30" i="2"/>
  <c r="K62" i="2" s="1"/>
  <c r="M12" i="2"/>
  <c r="N8" i="2"/>
  <c r="N9" i="2" s="1"/>
  <c r="M10" i="2"/>
  <c r="M22" i="2" l="1"/>
  <c r="L113" i="2"/>
  <c r="L30" i="2"/>
  <c r="L62" i="2" s="1"/>
  <c r="N12" i="2"/>
  <c r="O8" i="2"/>
  <c r="O9" i="2" s="1"/>
  <c r="N10" i="2"/>
  <c r="M113" i="2" l="1"/>
  <c r="M30" i="2"/>
  <c r="M62" i="2" s="1"/>
  <c r="N22" i="2"/>
  <c r="O12" i="2"/>
  <c r="P8" i="2"/>
  <c r="P9" i="2" s="1"/>
  <c r="O10" i="2"/>
  <c r="O22" i="2" l="1"/>
  <c r="N113" i="2"/>
  <c r="N30" i="2"/>
  <c r="N62" i="2" s="1"/>
  <c r="P12" i="2"/>
  <c r="Q8" i="2"/>
  <c r="Q9" i="2" s="1"/>
  <c r="P10" i="2"/>
  <c r="P22" i="2" l="1"/>
  <c r="O113" i="2"/>
  <c r="O30" i="2"/>
  <c r="O62" i="2" s="1"/>
  <c r="Q12" i="2"/>
  <c r="R8" i="2"/>
  <c r="R9" i="2" s="1"/>
  <c r="Q10" i="2"/>
  <c r="P113" i="2" l="1"/>
  <c r="Q22" i="2"/>
  <c r="P30" i="2"/>
  <c r="P62" i="2" s="1"/>
  <c r="R12" i="2"/>
  <c r="S8" i="2"/>
  <c r="S9" i="2" s="1"/>
  <c r="R10" i="2"/>
  <c r="Q30" i="2" l="1"/>
  <c r="R22" i="2"/>
  <c r="Q113" i="2"/>
  <c r="Q62" i="2"/>
  <c r="S12" i="2"/>
  <c r="T8" i="2"/>
  <c r="T9" i="2" s="1"/>
  <c r="S10" i="2"/>
  <c r="R30" i="2" l="1"/>
  <c r="S22" i="2"/>
  <c r="R113" i="2"/>
  <c r="R62" i="2"/>
  <c r="T12" i="2"/>
  <c r="U8" i="2"/>
  <c r="U9" i="2" s="1"/>
  <c r="T10" i="2"/>
  <c r="S30" i="2" l="1"/>
  <c r="S62" i="2" s="1"/>
  <c r="T22" i="2"/>
  <c r="S113" i="2"/>
  <c r="U12" i="2"/>
  <c r="V8" i="2"/>
  <c r="V9" i="2" s="1"/>
  <c r="U10" i="2"/>
  <c r="T113" i="2" l="1"/>
  <c r="T30" i="2"/>
  <c r="T62" i="2" s="1"/>
  <c r="U22" i="2"/>
  <c r="V12" i="2"/>
  <c r="W8" i="2"/>
  <c r="W9" i="2" s="1"/>
  <c r="V10" i="2"/>
  <c r="U113" i="2" l="1"/>
  <c r="V22" i="2"/>
  <c r="U30" i="2"/>
  <c r="U62" i="2" s="1"/>
  <c r="W12" i="2"/>
  <c r="X8" i="2"/>
  <c r="X9" i="2" s="1"/>
  <c r="W10" i="2"/>
  <c r="V30" i="2" l="1"/>
  <c r="V113" i="2"/>
  <c r="W22" i="2"/>
  <c r="V62" i="2"/>
  <c r="X12" i="2"/>
  <c r="Y8" i="2"/>
  <c r="Y9" i="2" s="1"/>
  <c r="X10" i="2"/>
  <c r="W113" i="2" l="1"/>
  <c r="X22" i="2"/>
  <c r="W30" i="2"/>
  <c r="W62" i="2" s="1"/>
  <c r="Y12" i="2"/>
  <c r="Z8" i="2"/>
  <c r="Z9" i="2" s="1"/>
  <c r="Y10" i="2"/>
  <c r="X30" i="2" l="1"/>
  <c r="X113" i="2"/>
  <c r="Y22" i="2"/>
  <c r="AA8" i="2"/>
  <c r="AA9" i="2" s="1"/>
  <c r="Z12" i="2"/>
  <c r="Z10" i="2"/>
  <c r="Y30" i="2" l="1"/>
  <c r="Y62" i="2" s="1"/>
  <c r="Z22" i="2"/>
  <c r="Y113" i="2"/>
  <c r="AA12" i="2"/>
  <c r="AB8" i="2"/>
  <c r="AB9" i="2" s="1"/>
  <c r="AB12" i="2" s="1"/>
  <c r="AA10" i="2"/>
  <c r="Z30" i="2" l="1"/>
  <c r="Z62" i="2" s="1"/>
  <c r="Z113" i="2"/>
  <c r="AA22" i="2"/>
  <c r="AB10" i="2"/>
  <c r="AI124" i="1" s="1"/>
  <c r="AA30" i="2" l="1"/>
  <c r="AA113" i="2"/>
  <c r="AB22" i="2"/>
  <c r="AA62" i="2"/>
  <c r="AI115" i="1"/>
  <c r="AI111" i="1"/>
  <c r="AI107" i="1"/>
  <c r="AI112" i="1"/>
  <c r="AI108" i="1"/>
  <c r="AI106" i="1"/>
  <c r="AI104" i="1"/>
  <c r="AI101" i="1"/>
  <c r="AI114" i="1"/>
  <c r="AI110" i="1"/>
  <c r="AI99" i="1"/>
  <c r="AI113" i="1"/>
  <c r="AI109" i="1"/>
  <c r="AI105" i="1"/>
  <c r="AI103" i="1"/>
  <c r="AI102" i="1"/>
  <c r="AI91" i="1"/>
  <c r="AI55" i="1"/>
  <c r="AI73" i="1"/>
  <c r="AI36" i="1"/>
  <c r="AI94" i="1"/>
  <c r="AI92" i="1"/>
  <c r="AI89" i="1"/>
  <c r="AI87" i="1"/>
  <c r="AI86" i="1"/>
  <c r="AI83" i="1"/>
  <c r="AI96" i="1"/>
  <c r="AI84" i="1"/>
  <c r="AI81" i="1"/>
  <c r="AI95" i="1"/>
  <c r="AI93" i="1"/>
  <c r="AI90" i="1"/>
  <c r="AI88" i="1"/>
  <c r="AI97" i="1"/>
  <c r="AI85" i="1"/>
  <c r="AI69" i="1"/>
  <c r="AI67" i="1"/>
  <c r="AI45" i="1"/>
  <c r="AI26" i="1"/>
  <c r="AI44" i="1"/>
  <c r="AI118" i="1"/>
  <c r="AI42" i="1"/>
  <c r="AI32" i="1"/>
  <c r="AI78" i="1"/>
  <c r="AI24" i="1"/>
  <c r="AI79" i="1"/>
  <c r="AI29" i="1"/>
  <c r="AI72" i="1"/>
  <c r="AI59" i="1"/>
  <c r="AI38" i="1"/>
  <c r="AI51" i="1"/>
  <c r="AI37" i="1"/>
  <c r="AI33" i="1"/>
  <c r="AI52" i="1"/>
  <c r="AI39" i="1"/>
  <c r="AI77" i="1"/>
  <c r="AI66" i="1"/>
  <c r="AI71" i="1"/>
  <c r="AI28" i="1"/>
  <c r="AI49" i="1"/>
  <c r="AI76" i="1"/>
  <c r="AI53" i="1"/>
  <c r="AI54" i="1"/>
  <c r="AI65" i="1"/>
  <c r="AI40" i="1"/>
  <c r="AI34" i="1"/>
  <c r="AI47" i="1"/>
  <c r="AI57" i="1"/>
  <c r="AI30" i="1"/>
  <c r="AI31" i="1"/>
  <c r="AI74" i="1"/>
  <c r="AI63" i="1"/>
  <c r="AI117" i="1"/>
  <c r="AI120" i="1"/>
  <c r="AI121" i="1"/>
  <c r="AI70" i="1"/>
  <c r="AI60" i="1"/>
  <c r="AI75" i="1"/>
  <c r="AI122" i="1"/>
  <c r="AI41" i="1"/>
  <c r="AI119" i="1"/>
  <c r="AI35" i="1"/>
  <c r="AI61" i="1"/>
  <c r="AI27" i="1"/>
  <c r="AI50" i="1"/>
  <c r="AI56" i="1"/>
  <c r="AI58" i="1"/>
  <c r="AI68" i="1"/>
  <c r="AB30" i="2" l="1"/>
  <c r="AB113" i="2"/>
  <c r="C146" i="3"/>
  <c r="AI126" i="1"/>
  <c r="X62" i="2" l="1"/>
  <c r="L172" i="1" l="1"/>
  <c r="A172" i="2" l="1"/>
  <c r="AB62" i="2"/>
  <c r="D25" i="2" l="1"/>
  <c r="H156" i="1"/>
  <c r="C127" i="1" l="1"/>
  <c r="D171" i="1" s="1"/>
  <c r="D62" i="2"/>
  <c r="D27" i="2"/>
  <c r="C128" i="1" l="1"/>
  <c r="AG127" i="1"/>
  <c r="AH127" i="1" s="1"/>
  <c r="AH128" i="1" s="1"/>
  <c r="C171" i="1"/>
  <c r="D31" i="2"/>
  <c r="E27" i="2"/>
  <c r="C126" i="2" l="1"/>
  <c r="C169" i="1"/>
  <c r="D170" i="1"/>
  <c r="AI127" i="1"/>
  <c r="AI128" i="1" s="1"/>
  <c r="AG128" i="1"/>
  <c r="F27" i="2"/>
  <c r="V16" i="2"/>
  <c r="J16" i="2"/>
  <c r="N16" i="2"/>
  <c r="W112" i="3"/>
  <c r="P112" i="3"/>
  <c r="R112" i="3"/>
  <c r="O112" i="3"/>
  <c r="H112" i="3"/>
  <c r="K112" i="3"/>
  <c r="I112" i="3"/>
  <c r="N112" i="3"/>
  <c r="Z112" i="3"/>
  <c r="C112" i="3"/>
  <c r="X16" i="2"/>
  <c r="F16" i="2"/>
  <c r="G16" i="2"/>
  <c r="AA16" i="2"/>
  <c r="S16" i="2"/>
  <c r="Y16" i="2"/>
  <c r="R16" i="2"/>
  <c r="O16" i="2"/>
  <c r="D16" i="2"/>
  <c r="X112" i="3"/>
  <c r="J112" i="3"/>
  <c r="T112" i="3"/>
  <c r="L112" i="3"/>
  <c r="G112" i="3"/>
  <c r="P16" i="2"/>
  <c r="V112" i="3"/>
  <c r="T16" i="2"/>
  <c r="W16" i="2"/>
  <c r="Q16" i="2"/>
  <c r="U16" i="2"/>
  <c r="H16" i="2"/>
  <c r="E16" i="2"/>
  <c r="K16" i="2"/>
  <c r="Z16" i="2"/>
  <c r="L16" i="2"/>
  <c r="I16" i="2"/>
  <c r="U112" i="3"/>
  <c r="Q112" i="3"/>
  <c r="M112" i="3"/>
  <c r="Y112" i="3"/>
  <c r="AA112" i="3"/>
  <c r="S112" i="3"/>
  <c r="M16" i="2"/>
  <c r="E112" i="3"/>
  <c r="D112" i="3"/>
  <c r="AB16" i="2"/>
  <c r="F112" i="3"/>
  <c r="Y113" i="3" l="1"/>
  <c r="C173" i="1"/>
  <c r="E222" i="1" s="1"/>
  <c r="C170" i="1"/>
  <c r="C172" i="1" s="1"/>
  <c r="B147" i="2"/>
  <c r="B146" i="2"/>
  <c r="D172" i="1"/>
  <c r="U113" i="3"/>
  <c r="I113" i="3"/>
  <c r="G113" i="3"/>
  <c r="K113" i="3"/>
  <c r="M113" i="3"/>
  <c r="E113" i="3"/>
  <c r="D113" i="3"/>
  <c r="H113" i="3"/>
  <c r="V113" i="3"/>
  <c r="W113" i="3"/>
  <c r="F113" i="3"/>
  <c r="J113" i="3"/>
  <c r="S113" i="3"/>
  <c r="O113" i="3"/>
  <c r="N113" i="3"/>
  <c r="Z113" i="3"/>
  <c r="L113" i="3"/>
  <c r="T113" i="3"/>
  <c r="P113" i="3"/>
  <c r="Q113" i="3"/>
  <c r="C113" i="3"/>
  <c r="AA113" i="3"/>
  <c r="R113" i="3"/>
  <c r="X113" i="3"/>
  <c r="AB112" i="3"/>
  <c r="G27" i="2"/>
  <c r="AC16" i="2"/>
  <c r="C185" i="1" l="1"/>
  <c r="C186" i="1" s="1"/>
  <c r="D186" i="1" s="1"/>
  <c r="D173" i="1"/>
  <c r="E226" i="1"/>
  <c r="F228" i="1" s="1"/>
  <c r="F222" i="1"/>
  <c r="F226" i="1" s="1"/>
  <c r="G228" i="1" s="1"/>
  <c r="H222" i="1"/>
  <c r="H226" i="1" s="1"/>
  <c r="I228" i="1" s="1"/>
  <c r="G222" i="1"/>
  <c r="G226" i="1" s="1"/>
  <c r="H228" i="1" s="1"/>
  <c r="I222" i="1"/>
  <c r="I226" i="1" s="1"/>
  <c r="C222" i="1"/>
  <c r="C226" i="1" s="1"/>
  <c r="C228" i="1" s="1"/>
  <c r="B148" i="2"/>
  <c r="G154" i="2" s="1"/>
  <c r="G127" i="2" s="1"/>
  <c r="AB113" i="3"/>
  <c r="H27" i="2"/>
  <c r="H185" i="1" l="1"/>
  <c r="D185" i="1"/>
  <c r="D34" i="2" s="1"/>
  <c r="D72" i="2" s="1"/>
  <c r="D154" i="2"/>
  <c r="D127" i="2" s="1"/>
  <c r="J154" i="2"/>
  <c r="J127" i="2" s="1"/>
  <c r="F154" i="2"/>
  <c r="F127" i="2" s="1"/>
  <c r="K154" i="2"/>
  <c r="K127" i="2" s="1"/>
  <c r="L154" i="2"/>
  <c r="L127" i="2" s="1"/>
  <c r="M154" i="2"/>
  <c r="M127" i="2" s="1"/>
  <c r="N154" i="2"/>
  <c r="N127" i="2" s="1"/>
  <c r="O154" i="2"/>
  <c r="O127" i="2" s="1"/>
  <c r="C157" i="2"/>
  <c r="D155" i="2" s="1"/>
  <c r="D117" i="2" s="1"/>
  <c r="I154" i="2"/>
  <c r="I127" i="2" s="1"/>
  <c r="H154" i="2"/>
  <c r="H127" i="2" s="1"/>
  <c r="E154" i="2"/>
  <c r="E127" i="2" s="1"/>
  <c r="C187" i="1"/>
  <c r="H186" i="1"/>
  <c r="C128" i="2"/>
  <c r="I27" i="2"/>
  <c r="D156" i="2" l="1"/>
  <c r="D157" i="2" s="1"/>
  <c r="E155" i="2" s="1"/>
  <c r="E117" i="2" s="1"/>
  <c r="H187" i="1"/>
  <c r="G186" i="1"/>
  <c r="D87" i="2"/>
  <c r="D93" i="2"/>
  <c r="D85" i="2"/>
  <c r="D95" i="2"/>
  <c r="D89" i="2"/>
  <c r="D97" i="2"/>
  <c r="D91" i="2"/>
  <c r="K186" i="1"/>
  <c r="D35" i="2"/>
  <c r="D36" i="2" s="1"/>
  <c r="E222" i="3" s="1"/>
  <c r="D187" i="1"/>
  <c r="J27" i="2"/>
  <c r="I114" i="3" s="1"/>
  <c r="E156" i="2" l="1"/>
  <c r="E157" i="2" s="1"/>
  <c r="F155" i="2" s="1"/>
  <c r="F156" i="2" s="1"/>
  <c r="F157" i="2" s="1"/>
  <c r="G155" i="2" s="1"/>
  <c r="G156" i="2" s="1"/>
  <c r="G157" i="2" s="1"/>
  <c r="H155" i="2" s="1"/>
  <c r="H156" i="2" s="1"/>
  <c r="H157" i="2" s="1"/>
  <c r="C114" i="3"/>
  <c r="D114" i="3"/>
  <c r="E114" i="3"/>
  <c r="F114" i="3"/>
  <c r="G114" i="3"/>
  <c r="H114" i="3"/>
  <c r="W32" i="2"/>
  <c r="W63" i="2" s="1"/>
  <c r="U32" i="2"/>
  <c r="U63" i="2" s="1"/>
  <c r="H32" i="2"/>
  <c r="R32" i="2"/>
  <c r="R63" i="2" s="1"/>
  <c r="J32" i="2"/>
  <c r="J63" i="2" s="1"/>
  <c r="V32" i="2"/>
  <c r="V63" i="2" s="1"/>
  <c r="E32" i="2"/>
  <c r="AB32" i="2"/>
  <c r="AB63" i="2" s="1"/>
  <c r="Z32" i="2"/>
  <c r="Z63" i="2" s="1"/>
  <c r="K32" i="2"/>
  <c r="K63" i="2" s="1"/>
  <c r="N32" i="2"/>
  <c r="N63" i="2" s="1"/>
  <c r="Y32" i="2"/>
  <c r="Y63" i="2" s="1"/>
  <c r="S32" i="2"/>
  <c r="S63" i="2" s="1"/>
  <c r="L32" i="2"/>
  <c r="L63" i="2" s="1"/>
  <c r="I32" i="2"/>
  <c r="AA32" i="2"/>
  <c r="AA63" i="2" s="1"/>
  <c r="P32" i="2"/>
  <c r="P63" i="2" s="1"/>
  <c r="M32" i="2"/>
  <c r="M63" i="2" s="1"/>
  <c r="D32" i="2"/>
  <c r="O32" i="2"/>
  <c r="O63" i="2" s="1"/>
  <c r="T32" i="2"/>
  <c r="T63" i="2" s="1"/>
  <c r="X32" i="2"/>
  <c r="X63" i="2" s="1"/>
  <c r="F32" i="2"/>
  <c r="G32" i="2"/>
  <c r="Q32" i="2"/>
  <c r="Q63" i="2" s="1"/>
  <c r="K185" i="1"/>
  <c r="K187" i="1" s="1"/>
  <c r="G185" i="1"/>
  <c r="G187" i="1" s="1"/>
  <c r="E229" i="3"/>
  <c r="E223" i="3"/>
  <c r="E228" i="3"/>
  <c r="E224" i="3"/>
  <c r="E226" i="3"/>
  <c r="E227" i="3"/>
  <c r="E225" i="3"/>
  <c r="K27" i="2"/>
  <c r="J114" i="3" s="1"/>
  <c r="F117" i="2" l="1"/>
  <c r="G117" i="2"/>
  <c r="I155" i="2"/>
  <c r="I156" i="2" s="1"/>
  <c r="I157" i="2" s="1"/>
  <c r="H117" i="2"/>
  <c r="G63" i="2"/>
  <c r="O64" i="2"/>
  <c r="O65" i="2"/>
  <c r="AA65" i="2"/>
  <c r="AA64" i="2"/>
  <c r="Y64" i="2"/>
  <c r="Y65" i="2"/>
  <c r="AB65" i="2"/>
  <c r="AB64" i="2"/>
  <c r="R64" i="2"/>
  <c r="R65" i="2"/>
  <c r="F63" i="2"/>
  <c r="D33" i="2"/>
  <c r="D63" i="2"/>
  <c r="I63" i="2"/>
  <c r="N64" i="2"/>
  <c r="N65" i="2"/>
  <c r="E63" i="2"/>
  <c r="H63" i="2"/>
  <c r="E230" i="3"/>
  <c r="X65" i="2"/>
  <c r="X64" i="2"/>
  <c r="M64" i="2"/>
  <c r="M65" i="2"/>
  <c r="L65" i="2"/>
  <c r="L64" i="2"/>
  <c r="K64" i="2"/>
  <c r="K65" i="2"/>
  <c r="V64" i="2"/>
  <c r="V65" i="2"/>
  <c r="U64" i="2"/>
  <c r="U65" i="2"/>
  <c r="Q65" i="2"/>
  <c r="Q64" i="2"/>
  <c r="T64" i="2"/>
  <c r="T65" i="2"/>
  <c r="P64" i="2"/>
  <c r="P65" i="2"/>
  <c r="S64" i="2"/>
  <c r="S65" i="2"/>
  <c r="Z64" i="2"/>
  <c r="Z65" i="2"/>
  <c r="J65" i="2"/>
  <c r="J64" i="2"/>
  <c r="W65" i="2"/>
  <c r="W64" i="2"/>
  <c r="L27" i="2"/>
  <c r="K114" i="3" s="1"/>
  <c r="J155" i="2" l="1"/>
  <c r="J156" i="2" s="1"/>
  <c r="J157" i="2" s="1"/>
  <c r="I117" i="2"/>
  <c r="E64" i="2"/>
  <c r="E65" i="2"/>
  <c r="I65" i="2"/>
  <c r="I64" i="2"/>
  <c r="F65" i="2"/>
  <c r="F64" i="2"/>
  <c r="H65" i="2"/>
  <c r="H64" i="2"/>
  <c r="D64" i="2"/>
  <c r="D65" i="2"/>
  <c r="G65" i="2"/>
  <c r="G64" i="2"/>
  <c r="M27" i="2"/>
  <c r="L114" i="3" s="1"/>
  <c r="K155" i="2" l="1"/>
  <c r="K117" i="2" s="1"/>
  <c r="J117" i="2"/>
  <c r="D66" i="2"/>
  <c r="D100" i="2" s="1"/>
  <c r="N27" i="2"/>
  <c r="M114" i="3" s="1"/>
  <c r="K156" i="2" l="1"/>
  <c r="K157" i="2" s="1"/>
  <c r="L155" i="2" s="1"/>
  <c r="L117" i="2" s="1"/>
  <c r="D133" i="2"/>
  <c r="C54" i="3" s="1"/>
  <c r="E100" i="2"/>
  <c r="F100" i="2" s="1"/>
  <c r="G100" i="2" s="1"/>
  <c r="H100" i="2" s="1"/>
  <c r="I100" i="2" s="1"/>
  <c r="J100" i="2" s="1"/>
  <c r="K100" i="2" s="1"/>
  <c r="L100" i="2" s="1"/>
  <c r="M100" i="2" s="1"/>
  <c r="N100" i="2" s="1"/>
  <c r="O100" i="2" s="1"/>
  <c r="P100" i="2" s="1"/>
  <c r="Q100" i="2" s="1"/>
  <c r="R100" i="2" s="1"/>
  <c r="S100" i="2" s="1"/>
  <c r="T100" i="2" s="1"/>
  <c r="U100" i="2" s="1"/>
  <c r="V100" i="2" s="1"/>
  <c r="W100" i="2" s="1"/>
  <c r="X100" i="2" s="1"/>
  <c r="Y100" i="2" s="1"/>
  <c r="Z100" i="2" s="1"/>
  <c r="AA100" i="2" s="1"/>
  <c r="AB100" i="2" s="1"/>
  <c r="C151" i="3"/>
  <c r="C150" i="3"/>
  <c r="O27" i="2"/>
  <c r="N114" i="3" s="1"/>
  <c r="L156" i="2" l="1"/>
  <c r="L157" i="2" s="1"/>
  <c r="M155" i="2" s="1"/>
  <c r="M117" i="2" s="1"/>
  <c r="P27" i="2"/>
  <c r="O114" i="3" s="1"/>
  <c r="M156" i="2" l="1"/>
  <c r="M157" i="2" s="1"/>
  <c r="N155" i="2" s="1"/>
  <c r="N117" i="2" s="1"/>
  <c r="Q27" i="2"/>
  <c r="P114" i="3" s="1"/>
  <c r="N156" i="2" l="1"/>
  <c r="N157" i="2" s="1"/>
  <c r="O155" i="2" s="1"/>
  <c r="O117" i="2" s="1"/>
  <c r="E132" i="2"/>
  <c r="D52" i="3" s="1"/>
  <c r="E133" i="2"/>
  <c r="D54" i="3" s="1"/>
  <c r="R27" i="2"/>
  <c r="Q114" i="3" s="1"/>
  <c r="O156" i="2" l="1"/>
  <c r="O157" i="2" s="1"/>
  <c r="P155" i="2" s="1"/>
  <c r="P117" i="2" s="1"/>
  <c r="S27" i="2"/>
  <c r="R114" i="3" s="1"/>
  <c r="P156" i="2" l="1"/>
  <c r="P157" i="2" s="1"/>
  <c r="Q155" i="2" s="1"/>
  <c r="Q117" i="2" s="1"/>
  <c r="T27" i="2"/>
  <c r="S114" i="3" s="1"/>
  <c r="Q156" i="2" l="1"/>
  <c r="Q157" i="2" s="1"/>
  <c r="R155" i="2" s="1"/>
  <c r="R117" i="2" s="1"/>
  <c r="F132" i="2"/>
  <c r="E52" i="3" s="1"/>
  <c r="F133" i="2"/>
  <c r="E54" i="3" s="1"/>
  <c r="U27" i="2"/>
  <c r="T114" i="3" s="1"/>
  <c r="R156" i="2" l="1"/>
  <c r="R157" i="2" s="1"/>
  <c r="S155" i="2" s="1"/>
  <c r="S117" i="2" s="1"/>
  <c r="G132" i="2"/>
  <c r="F52" i="3" s="1"/>
  <c r="G133" i="2"/>
  <c r="F54" i="3" s="1"/>
  <c r="V27" i="2"/>
  <c r="U114" i="3" s="1"/>
  <c r="S156" i="2" l="1"/>
  <c r="S157" i="2" s="1"/>
  <c r="T155" i="2" s="1"/>
  <c r="T117" i="2" s="1"/>
  <c r="W27" i="2"/>
  <c r="V114" i="3" s="1"/>
  <c r="H133" i="2"/>
  <c r="G54" i="3" s="1"/>
  <c r="H132" i="2"/>
  <c r="G52" i="3" s="1"/>
  <c r="T156" i="2" l="1"/>
  <c r="T157" i="2" s="1"/>
  <c r="U155" i="2" s="1"/>
  <c r="U117" i="2" s="1"/>
  <c r="I133" i="2"/>
  <c r="I132" i="2"/>
  <c r="J133" i="2"/>
  <c r="J132" i="2"/>
  <c r="X27" i="2"/>
  <c r="W114" i="3" s="1"/>
  <c r="U156" i="2" l="1"/>
  <c r="U157" i="2" s="1"/>
  <c r="V155" i="2" s="1"/>
  <c r="V117" i="2" s="1"/>
  <c r="Y27" i="2"/>
  <c r="X114" i="3" s="1"/>
  <c r="L133" i="2" l="1"/>
  <c r="L132" i="2"/>
  <c r="K133" i="2"/>
  <c r="K132" i="2"/>
  <c r="V156" i="2"/>
  <c r="V157" i="2" s="1"/>
  <c r="W155" i="2" s="1"/>
  <c r="W117" i="2" s="1"/>
  <c r="Z27" i="2"/>
  <c r="Y114" i="3" s="1"/>
  <c r="W156" i="2" l="1"/>
  <c r="W157" i="2" s="1"/>
  <c r="X155" i="2" s="1"/>
  <c r="X117" i="2" s="1"/>
  <c r="AA27" i="2"/>
  <c r="Z114" i="3" s="1"/>
  <c r="N133" i="2" l="1"/>
  <c r="N132" i="2"/>
  <c r="X156" i="2"/>
  <c r="X157" i="2" s="1"/>
  <c r="Y155" i="2" s="1"/>
  <c r="Y117" i="2" s="1"/>
  <c r="M133" i="2"/>
  <c r="AB27" i="2"/>
  <c r="AA114" i="3" s="1"/>
  <c r="AB114" i="3" l="1"/>
  <c r="Y156" i="2"/>
  <c r="Y157" i="2" s="1"/>
  <c r="Z155" i="2" s="1"/>
  <c r="Z117" i="2" s="1"/>
  <c r="O133" i="2"/>
  <c r="Z156" i="2" l="1"/>
  <c r="Z157" i="2" s="1"/>
  <c r="AA155" i="2" s="1"/>
  <c r="AA117" i="2" l="1"/>
  <c r="AA156" i="2"/>
  <c r="AA157" i="2" s="1"/>
  <c r="AB155" i="2" s="1"/>
  <c r="AB117" i="2" s="1"/>
  <c r="P133" i="2"/>
  <c r="Q133" i="2" l="1"/>
  <c r="AB156" i="2"/>
  <c r="AB157" i="2" s="1"/>
  <c r="R133" i="2" l="1"/>
  <c r="S133" i="2" l="1"/>
  <c r="T133" i="2" l="1"/>
  <c r="U133" i="2" l="1"/>
  <c r="W133" i="2" l="1"/>
  <c r="AB133" i="2" l="1"/>
  <c r="AA133" i="2"/>
  <c r="Z133" i="2"/>
  <c r="Y133" i="2"/>
  <c r="X133" i="2"/>
  <c r="V133" i="2"/>
  <c r="O132" i="2"/>
  <c r="M132" i="2"/>
  <c r="G20" i="3"/>
  <c r="G8" i="3"/>
  <c r="G14" i="3"/>
  <c r="G10" i="3"/>
  <c r="G12" i="3"/>
  <c r="G18" i="3"/>
  <c r="G16" i="3"/>
  <c r="F18" i="3"/>
  <c r="F12" i="3"/>
  <c r="F10" i="3"/>
  <c r="F14" i="3"/>
  <c r="F20" i="3"/>
  <c r="F8" i="3"/>
  <c r="F16" i="3"/>
  <c r="E18" i="3"/>
  <c r="E10" i="3"/>
  <c r="E12" i="3"/>
  <c r="E14" i="3"/>
  <c r="E8" i="3"/>
  <c r="E16" i="3"/>
  <c r="E20" i="3"/>
  <c r="D18" i="3"/>
  <c r="D12" i="3"/>
  <c r="D20" i="3"/>
  <c r="D14" i="3"/>
  <c r="D8" i="3"/>
  <c r="D10" i="3"/>
  <c r="D16" i="3"/>
  <c r="D132" i="2"/>
  <c r="C52" i="3" s="1"/>
  <c r="C10" i="3"/>
  <c r="C20" i="3"/>
  <c r="C16" i="3"/>
  <c r="C12" i="3"/>
  <c r="C18" i="3"/>
  <c r="C8" i="3"/>
  <c r="C14" i="3"/>
  <c r="K17" i="2"/>
  <c r="K18" i="2" l="1"/>
  <c r="K19" i="2" s="1"/>
  <c r="K28" i="2" s="1"/>
  <c r="G18" i="2"/>
  <c r="X18" i="2"/>
  <c r="Y18" i="2"/>
  <c r="D18" i="2"/>
  <c r="U18" i="2"/>
  <c r="AB18" i="2"/>
  <c r="Z18" i="2"/>
  <c r="I18" i="2"/>
  <c r="Q18" i="2"/>
  <c r="P18" i="2"/>
  <c r="S18" i="2"/>
  <c r="V18" i="2"/>
  <c r="T18" i="2"/>
  <c r="N18" i="2"/>
  <c r="W18" i="2"/>
  <c r="L18" i="2"/>
  <c r="F18" i="2"/>
  <c r="O18" i="2"/>
  <c r="AA18" i="2"/>
  <c r="E18" i="2"/>
  <c r="H18" i="2"/>
  <c r="M18" i="2"/>
  <c r="R18" i="2"/>
  <c r="J18" i="2"/>
  <c r="D17" i="2"/>
  <c r="AB17" i="2"/>
  <c r="AA17" i="2"/>
  <c r="AA19" i="2" s="1"/>
  <c r="AA28" i="2" s="1"/>
  <c r="F17" i="2"/>
  <c r="G17" i="2"/>
  <c r="E17" i="2"/>
  <c r="L17" i="2"/>
  <c r="J17" i="2"/>
  <c r="H17" i="2"/>
  <c r="M17" i="2"/>
  <c r="I17" i="2"/>
  <c r="P17" i="2"/>
  <c r="U17" i="2"/>
  <c r="V17" i="2"/>
  <c r="Y17" i="2"/>
  <c r="Y19" i="2" s="1"/>
  <c r="Y28" i="2" s="1"/>
  <c r="Q17" i="2"/>
  <c r="R17" i="2"/>
  <c r="S17" i="2"/>
  <c r="Z17" i="2"/>
  <c r="Z19" i="2" s="1"/>
  <c r="Z28" i="2" s="1"/>
  <c r="W17" i="2"/>
  <c r="N17" i="2"/>
  <c r="O17" i="2"/>
  <c r="T17" i="2"/>
  <c r="X17" i="2"/>
  <c r="G19" i="2" l="1"/>
  <c r="G28" i="2" s="1"/>
  <c r="G115" i="2" s="1"/>
  <c r="T19" i="2"/>
  <c r="T28" i="2" s="1"/>
  <c r="T115" i="2" s="1"/>
  <c r="L19" i="2"/>
  <c r="L28" i="2" s="1"/>
  <c r="L115" i="2" s="1"/>
  <c r="H19" i="2"/>
  <c r="H28" i="2" s="1"/>
  <c r="H115" i="2" s="1"/>
  <c r="V19" i="2"/>
  <c r="V28" i="2" s="1"/>
  <c r="I19" i="2"/>
  <c r="I28" i="2" s="1"/>
  <c r="I115" i="2" s="1"/>
  <c r="U19" i="2"/>
  <c r="U28" i="2" s="1"/>
  <c r="U115" i="2" s="1"/>
  <c r="M19" i="2"/>
  <c r="M28" i="2" s="1"/>
  <c r="M115" i="2" s="1"/>
  <c r="J19" i="2"/>
  <c r="J28" i="2" s="1"/>
  <c r="J115" i="2" s="1"/>
  <c r="Q19" i="2"/>
  <c r="Q28" i="2" s="1"/>
  <c r="Q115" i="2" s="1"/>
  <c r="F19" i="2"/>
  <c r="F28" i="2" s="1"/>
  <c r="F115" i="2" s="1"/>
  <c r="N19" i="2"/>
  <c r="N28" i="2" s="1"/>
  <c r="N115" i="2" s="1"/>
  <c r="AC18" i="2"/>
  <c r="S19" i="2"/>
  <c r="S28" i="2" s="1"/>
  <c r="S115" i="2" s="1"/>
  <c r="E19" i="2"/>
  <c r="E28" i="2" s="1"/>
  <c r="E115" i="2" s="1"/>
  <c r="R19" i="2"/>
  <c r="R28" i="2" s="1"/>
  <c r="R115" i="2" s="1"/>
  <c r="W19" i="2"/>
  <c r="W28" i="2" s="1"/>
  <c r="W115" i="2" s="1"/>
  <c r="K115" i="2"/>
  <c r="P19" i="2"/>
  <c r="P28" i="2" s="1"/>
  <c r="Y115" i="2"/>
  <c r="AA115" i="2"/>
  <c r="AC17" i="2"/>
  <c r="D19" i="2"/>
  <c r="D28" i="2" s="1"/>
  <c r="X19" i="2"/>
  <c r="X28" i="2" s="1"/>
  <c r="Z115" i="2"/>
  <c r="O19" i="2"/>
  <c r="O28" i="2" s="1"/>
  <c r="V115" i="2"/>
  <c r="AB19" i="2"/>
  <c r="AB28" i="2" s="1"/>
  <c r="P115" i="2" l="1"/>
  <c r="AB115" i="2"/>
  <c r="X115" i="2"/>
  <c r="O115" i="2"/>
  <c r="D115" i="2"/>
  <c r="D29" i="2"/>
  <c r="D37" i="2"/>
  <c r="D70" i="2" l="1"/>
  <c r="D73" i="2"/>
  <c r="C148" i="3"/>
  <c r="E45" i="2"/>
  <c r="D40" i="2"/>
  <c r="C172" i="2"/>
  <c r="E44" i="2"/>
  <c r="D111" i="2"/>
  <c r="D50" i="2"/>
  <c r="D53" i="2" s="1"/>
  <c r="E31" i="2"/>
  <c r="E29" i="2"/>
  <c r="E46" i="2" l="1"/>
  <c r="E51" i="2" s="1"/>
  <c r="E33" i="2"/>
  <c r="E34" i="2"/>
  <c r="E72" i="2" s="1"/>
  <c r="E35" i="2"/>
  <c r="E36" i="2" s="1"/>
  <c r="D41" i="2"/>
  <c r="D68" i="2"/>
  <c r="D86" i="2"/>
  <c r="D96" i="2"/>
  <c r="D98" i="2"/>
  <c r="D94" i="2"/>
  <c r="D92" i="2"/>
  <c r="D88" i="2"/>
  <c r="D90" i="2"/>
  <c r="F31" i="2"/>
  <c r="E50" i="2"/>
  <c r="F29" i="2"/>
  <c r="C85" i="3"/>
  <c r="C84" i="3"/>
  <c r="C86" i="3"/>
  <c r="D114" i="2"/>
  <c r="E53" i="2" l="1"/>
  <c r="D85" i="3" s="1"/>
  <c r="E37" i="2"/>
  <c r="F45" i="2" s="1"/>
  <c r="C87" i="3"/>
  <c r="F35" i="2"/>
  <c r="F36" i="2" s="1"/>
  <c r="F33" i="2"/>
  <c r="F34" i="2"/>
  <c r="F72" i="2" s="1"/>
  <c r="D81" i="2"/>
  <c r="D79" i="2"/>
  <c r="D76" i="2"/>
  <c r="D77" i="2"/>
  <c r="D82" i="2"/>
  <c r="D80" i="2"/>
  <c r="D78" i="2"/>
  <c r="F44" i="2"/>
  <c r="E87" i="2"/>
  <c r="E91" i="2"/>
  <c r="E97" i="2"/>
  <c r="E95" i="2"/>
  <c r="E93" i="2"/>
  <c r="E85" i="2"/>
  <c r="E89" i="2"/>
  <c r="D124" i="2"/>
  <c r="D116" i="2"/>
  <c r="D118" i="2" s="1"/>
  <c r="G31" i="2"/>
  <c r="F50" i="2"/>
  <c r="G29" i="2"/>
  <c r="B229" i="3" l="1"/>
  <c r="D229" i="3" s="1"/>
  <c r="C19" i="3"/>
  <c r="B228" i="3"/>
  <c r="D228" i="3" s="1"/>
  <c r="C17" i="3"/>
  <c r="B226" i="3"/>
  <c r="F226" i="3" s="1"/>
  <c r="G226" i="3" s="1"/>
  <c r="H226" i="3" s="1"/>
  <c r="C13" i="3"/>
  <c r="B224" i="3"/>
  <c r="D224" i="3" s="1"/>
  <c r="C9" i="3"/>
  <c r="B227" i="3"/>
  <c r="D227" i="3" s="1"/>
  <c r="C15" i="3"/>
  <c r="B225" i="3"/>
  <c r="F225" i="3" s="1"/>
  <c r="G225" i="3" s="1"/>
  <c r="H225" i="3" s="1"/>
  <c r="C11" i="3"/>
  <c r="B223" i="3"/>
  <c r="B230" i="3" s="1"/>
  <c r="D230" i="3" s="1"/>
  <c r="C7" i="3"/>
  <c r="D86" i="3"/>
  <c r="E40" i="2"/>
  <c r="E68" i="2" s="1"/>
  <c r="E78" i="2" s="1"/>
  <c r="D11" i="3" s="1"/>
  <c r="E73" i="2"/>
  <c r="E94" i="2" s="1"/>
  <c r="D84" i="3"/>
  <c r="E70" i="2"/>
  <c r="E111" i="2"/>
  <c r="E114" i="2" s="1"/>
  <c r="F37" i="2"/>
  <c r="F70" i="2" s="1"/>
  <c r="G33" i="2"/>
  <c r="G35" i="2"/>
  <c r="G36" i="2" s="1"/>
  <c r="G34" i="2"/>
  <c r="G72" i="2" s="1"/>
  <c r="F95" i="2"/>
  <c r="F93" i="2"/>
  <c r="F91" i="2"/>
  <c r="F85" i="2"/>
  <c r="F97" i="2"/>
  <c r="F87" i="2"/>
  <c r="F89" i="2"/>
  <c r="D119" i="2"/>
  <c r="D120" i="2" s="1"/>
  <c r="H31" i="2"/>
  <c r="G50" i="2"/>
  <c r="H29" i="2"/>
  <c r="F46" i="2"/>
  <c r="E88" i="2" l="1"/>
  <c r="E86" i="2"/>
  <c r="F229" i="3"/>
  <c r="G229" i="3" s="1"/>
  <c r="H229" i="3" s="1"/>
  <c r="I229" i="3" s="1"/>
  <c r="K229" i="3" s="1"/>
  <c r="L229" i="3" s="1"/>
  <c r="M229" i="3" s="1"/>
  <c r="E92" i="2"/>
  <c r="F227" i="3"/>
  <c r="G227" i="3" s="1"/>
  <c r="H227" i="3" s="1"/>
  <c r="F73" i="2"/>
  <c r="F96" i="2" s="1"/>
  <c r="G44" i="2"/>
  <c r="D226" i="3"/>
  <c r="F223" i="3"/>
  <c r="F230" i="3" s="1"/>
  <c r="D223" i="3"/>
  <c r="D225" i="3"/>
  <c r="I225" i="3" s="1"/>
  <c r="K225" i="3" s="1"/>
  <c r="L225" i="3" s="1"/>
  <c r="M225" i="3" s="1"/>
  <c r="Q225" i="3" s="1"/>
  <c r="F228" i="3"/>
  <c r="G228" i="3" s="1"/>
  <c r="H228" i="3" s="1"/>
  <c r="I228" i="3" s="1"/>
  <c r="K228" i="3" s="1"/>
  <c r="L228" i="3" s="1"/>
  <c r="M228" i="3" s="1"/>
  <c r="F224" i="3"/>
  <c r="G224" i="3" s="1"/>
  <c r="H224" i="3" s="1"/>
  <c r="I224" i="3" s="1"/>
  <c r="K224" i="3" s="1"/>
  <c r="L224" i="3" s="1"/>
  <c r="M224" i="3" s="1"/>
  <c r="D87" i="3"/>
  <c r="E82" i="2"/>
  <c r="D19" i="3" s="1"/>
  <c r="E81" i="2"/>
  <c r="D17" i="3" s="1"/>
  <c r="E80" i="2"/>
  <c r="D15" i="3" s="1"/>
  <c r="E79" i="2"/>
  <c r="D13" i="3" s="1"/>
  <c r="E76" i="2"/>
  <c r="D7" i="3" s="1"/>
  <c r="G45" i="2"/>
  <c r="E90" i="2"/>
  <c r="E98" i="2"/>
  <c r="F111" i="2"/>
  <c r="F114" i="2" s="1"/>
  <c r="E96" i="2"/>
  <c r="E77" i="2"/>
  <c r="D9" i="3" s="1"/>
  <c r="F40" i="2"/>
  <c r="F68" i="2" s="1"/>
  <c r="F82" i="2" s="1"/>
  <c r="E19" i="3" s="1"/>
  <c r="G37" i="2"/>
  <c r="H44" i="2" s="1"/>
  <c r="G223" i="3"/>
  <c r="H223" i="3" s="1"/>
  <c r="I223" i="3" s="1"/>
  <c r="K223" i="3" s="1"/>
  <c r="L223" i="3" s="1"/>
  <c r="I226" i="3"/>
  <c r="K226" i="3" s="1"/>
  <c r="L226" i="3" s="1"/>
  <c r="M226" i="3" s="1"/>
  <c r="H50" i="2"/>
  <c r="I31" i="2"/>
  <c r="I29" i="2"/>
  <c r="D125" i="2"/>
  <c r="D126" i="2" s="1"/>
  <c r="D134" i="2"/>
  <c r="C56" i="3" s="1"/>
  <c r="G89" i="2"/>
  <c r="G87" i="2"/>
  <c r="G85" i="2"/>
  <c r="G93" i="2"/>
  <c r="G95" i="2"/>
  <c r="G91" i="2"/>
  <c r="G97" i="2"/>
  <c r="I227" i="3"/>
  <c r="K227" i="3" s="1"/>
  <c r="L227" i="3" s="1"/>
  <c r="M227" i="3" s="1"/>
  <c r="E116" i="2"/>
  <c r="E118" i="2" s="1"/>
  <c r="E124" i="2"/>
  <c r="F51" i="2"/>
  <c r="F53" i="2" s="1"/>
  <c r="H35" i="2"/>
  <c r="H36" i="2" s="1"/>
  <c r="H33" i="2"/>
  <c r="H34" i="2"/>
  <c r="H72" i="2" s="1"/>
  <c r="F92" i="2" l="1"/>
  <c r="F94" i="2"/>
  <c r="F98" i="2"/>
  <c r="F88" i="2"/>
  <c r="G46" i="2"/>
  <c r="G51" i="2" s="1"/>
  <c r="G53" i="2" s="1"/>
  <c r="F86" i="2"/>
  <c r="F90" i="2"/>
  <c r="G230" i="3"/>
  <c r="F81" i="2"/>
  <c r="E17" i="3" s="1"/>
  <c r="N225" i="3"/>
  <c r="O225" i="3"/>
  <c r="F77" i="2"/>
  <c r="E9" i="3" s="1"/>
  <c r="F80" i="2"/>
  <c r="E15" i="3" s="1"/>
  <c r="F79" i="2"/>
  <c r="E13" i="3" s="1"/>
  <c r="F76" i="2"/>
  <c r="E7" i="3" s="1"/>
  <c r="G111" i="2"/>
  <c r="G114" i="2" s="1"/>
  <c r="H45" i="2"/>
  <c r="F78" i="2"/>
  <c r="E11" i="3" s="1"/>
  <c r="G40" i="2"/>
  <c r="G68" i="2" s="1"/>
  <c r="G76" i="2" s="1"/>
  <c r="F7" i="3" s="1"/>
  <c r="G70" i="2"/>
  <c r="G73" i="2"/>
  <c r="G96" i="2" s="1"/>
  <c r="H37" i="2"/>
  <c r="C235" i="3" s="1"/>
  <c r="E119" i="2"/>
  <c r="H87" i="2"/>
  <c r="H93" i="2"/>
  <c r="H95" i="2"/>
  <c r="H89" i="2"/>
  <c r="H91" i="2"/>
  <c r="H85" i="2"/>
  <c r="H97" i="2"/>
  <c r="E84" i="3"/>
  <c r="E85" i="3"/>
  <c r="E86" i="3"/>
  <c r="N228" i="3"/>
  <c r="Q228" i="3"/>
  <c r="O228" i="3"/>
  <c r="F116" i="2"/>
  <c r="F118" i="2" s="1"/>
  <c r="F124" i="2"/>
  <c r="I33" i="2"/>
  <c r="I34" i="2"/>
  <c r="I72" i="2" s="1"/>
  <c r="I35" i="2"/>
  <c r="I36" i="2" s="1"/>
  <c r="N227" i="3"/>
  <c r="Q227" i="3"/>
  <c r="O227" i="3"/>
  <c r="Q229" i="3"/>
  <c r="N229" i="3"/>
  <c r="O229" i="3"/>
  <c r="L230" i="3"/>
  <c r="M223" i="3"/>
  <c r="N224" i="3"/>
  <c r="O224" i="3"/>
  <c r="Q224" i="3"/>
  <c r="I50" i="2"/>
  <c r="J31" i="2"/>
  <c r="J29" i="2"/>
  <c r="D128" i="2"/>
  <c r="O226" i="3"/>
  <c r="Q226" i="3"/>
  <c r="N226" i="3"/>
  <c r="H46" i="2" l="1"/>
  <c r="H51" i="2" s="1"/>
  <c r="H53" i="2" s="1"/>
  <c r="G88" i="2"/>
  <c r="G90" i="2"/>
  <c r="G94" i="2"/>
  <c r="G79" i="2"/>
  <c r="F13" i="3" s="1"/>
  <c r="G81" i="2"/>
  <c r="F17" i="3" s="1"/>
  <c r="G78" i="2"/>
  <c r="F11" i="3" s="1"/>
  <c r="G77" i="2"/>
  <c r="F9" i="3" s="1"/>
  <c r="G80" i="2"/>
  <c r="F15" i="3" s="1"/>
  <c r="G82" i="2"/>
  <c r="F19" i="3" s="1"/>
  <c r="H40" i="2"/>
  <c r="H68" i="2" s="1"/>
  <c r="H76" i="2" s="1"/>
  <c r="G7" i="3" s="1"/>
  <c r="H111" i="2"/>
  <c r="H114" i="2" s="1"/>
  <c r="I44" i="2"/>
  <c r="G98" i="2"/>
  <c r="G86" i="2"/>
  <c r="I45" i="2"/>
  <c r="H70" i="2"/>
  <c r="H73" i="2"/>
  <c r="H96" i="2" s="1"/>
  <c r="G92" i="2"/>
  <c r="E87" i="3"/>
  <c r="I37" i="2"/>
  <c r="J45" i="2" s="1"/>
  <c r="I97" i="2"/>
  <c r="I91" i="2"/>
  <c r="I87" i="2"/>
  <c r="I95" i="2"/>
  <c r="I89" i="2"/>
  <c r="I93" i="2"/>
  <c r="I85" i="2"/>
  <c r="E125" i="2"/>
  <c r="E126" i="2" s="1"/>
  <c r="E134" i="2"/>
  <c r="D56" i="3" s="1"/>
  <c r="F86" i="3"/>
  <c r="F84" i="3"/>
  <c r="F85" i="3"/>
  <c r="G116" i="2"/>
  <c r="G118" i="2" s="1"/>
  <c r="G119" i="2" s="1"/>
  <c r="G124" i="2"/>
  <c r="K31" i="2"/>
  <c r="J50" i="2"/>
  <c r="K29" i="2"/>
  <c r="F119" i="2"/>
  <c r="J35" i="2"/>
  <c r="J36" i="2" s="1"/>
  <c r="J33" i="2"/>
  <c r="J34" i="2"/>
  <c r="J72" i="2" s="1"/>
  <c r="N223" i="3"/>
  <c r="O223" i="3"/>
  <c r="Q223" i="3"/>
  <c r="Q230" i="3" s="1"/>
  <c r="S230" i="3" s="1"/>
  <c r="S231" i="3" s="1"/>
  <c r="M230" i="3"/>
  <c r="E120" i="2"/>
  <c r="I46" i="2" l="1"/>
  <c r="I111" i="2"/>
  <c r="I114" i="2" s="1"/>
  <c r="J44" i="2"/>
  <c r="I73" i="2"/>
  <c r="I88" i="2" s="1"/>
  <c r="H81" i="2"/>
  <c r="G17" i="3" s="1"/>
  <c r="H82" i="2"/>
  <c r="G19" i="3" s="1"/>
  <c r="H80" i="2"/>
  <c r="G15" i="3" s="1"/>
  <c r="H78" i="2"/>
  <c r="G11" i="3" s="1"/>
  <c r="H79" i="2"/>
  <c r="G13" i="3" s="1"/>
  <c r="H77" i="2"/>
  <c r="G9" i="3" s="1"/>
  <c r="I70" i="2"/>
  <c r="I40" i="2"/>
  <c r="I68" i="2" s="1"/>
  <c r="I81" i="2" s="1"/>
  <c r="H98" i="2"/>
  <c r="H94" i="2"/>
  <c r="H88" i="2"/>
  <c r="H92" i="2"/>
  <c r="H90" i="2"/>
  <c r="H86" i="2"/>
  <c r="J37" i="2"/>
  <c r="J70" i="2" s="1"/>
  <c r="H124" i="2"/>
  <c r="H116" i="2"/>
  <c r="H118" i="2" s="1"/>
  <c r="G125" i="2"/>
  <c r="G126" i="2" s="1"/>
  <c r="G128" i="2" s="1"/>
  <c r="G134" i="2"/>
  <c r="F56" i="3" s="1"/>
  <c r="I96" i="2"/>
  <c r="G120" i="2"/>
  <c r="F125" i="2"/>
  <c r="F126" i="2" s="1"/>
  <c r="F128" i="2" s="1"/>
  <c r="F134" i="2"/>
  <c r="E56" i="3" s="1"/>
  <c r="K50" i="2"/>
  <c r="L31" i="2"/>
  <c r="L29" i="2"/>
  <c r="I51" i="2"/>
  <c r="I53" i="2" s="1"/>
  <c r="J46" i="2"/>
  <c r="E128" i="2"/>
  <c r="K33" i="2"/>
  <c r="K34" i="2"/>
  <c r="K72" i="2" s="1"/>
  <c r="K35" i="2"/>
  <c r="K36" i="2" s="1"/>
  <c r="O230" i="3"/>
  <c r="N230" i="3"/>
  <c r="J85" i="2"/>
  <c r="J87" i="2"/>
  <c r="J91" i="2"/>
  <c r="J97" i="2"/>
  <c r="J95" i="2"/>
  <c r="J89" i="2"/>
  <c r="J93" i="2"/>
  <c r="F120" i="2"/>
  <c r="G84" i="3"/>
  <c r="G85" i="3"/>
  <c r="G86" i="3"/>
  <c r="F87" i="3"/>
  <c r="I90" i="2" l="1"/>
  <c r="I86" i="2"/>
  <c r="I94" i="2"/>
  <c r="I98" i="2"/>
  <c r="I92" i="2"/>
  <c r="I78" i="2"/>
  <c r="I77" i="2"/>
  <c r="I80" i="2"/>
  <c r="I79" i="2"/>
  <c r="I76" i="2"/>
  <c r="I82" i="2"/>
  <c r="J111" i="2"/>
  <c r="J114" i="2" s="1"/>
  <c r="K44" i="2"/>
  <c r="J73" i="2"/>
  <c r="J98" i="2" s="1"/>
  <c r="K45" i="2"/>
  <c r="J40" i="2"/>
  <c r="J68" i="2" s="1"/>
  <c r="J79" i="2" s="1"/>
  <c r="G87" i="3"/>
  <c r="K85" i="2"/>
  <c r="K89" i="2"/>
  <c r="K93" i="2"/>
  <c r="K91" i="2"/>
  <c r="K95" i="2"/>
  <c r="K87" i="2"/>
  <c r="K97" i="2"/>
  <c r="J51" i="2"/>
  <c r="J53" i="2" s="1"/>
  <c r="K37" i="2"/>
  <c r="I116" i="2"/>
  <c r="I118" i="2" s="1"/>
  <c r="I119" i="2" s="1"/>
  <c r="I124" i="2"/>
  <c r="M31" i="2"/>
  <c r="L50" i="2"/>
  <c r="M29" i="2"/>
  <c r="H119" i="2"/>
  <c r="H120" i="2" s="1"/>
  <c r="L33" i="2"/>
  <c r="L35" i="2"/>
  <c r="L36" i="2" s="1"/>
  <c r="L34" i="2"/>
  <c r="L72" i="2" s="1"/>
  <c r="J86" i="2" l="1"/>
  <c r="J88" i="2"/>
  <c r="J82" i="2"/>
  <c r="J78" i="2"/>
  <c r="K46" i="2"/>
  <c r="K51" i="2" s="1"/>
  <c r="K53" i="2" s="1"/>
  <c r="J77" i="2"/>
  <c r="J81" i="2"/>
  <c r="J76" i="2"/>
  <c r="J80" i="2"/>
  <c r="J90" i="2"/>
  <c r="J96" i="2"/>
  <c r="J92" i="2"/>
  <c r="J94" i="2"/>
  <c r="L37" i="2"/>
  <c r="L73" i="2" s="1"/>
  <c r="N31" i="2"/>
  <c r="M50" i="2"/>
  <c r="N29" i="2"/>
  <c r="I120" i="2"/>
  <c r="J124" i="2"/>
  <c r="J116" i="2"/>
  <c r="J118" i="2" s="1"/>
  <c r="L89" i="2"/>
  <c r="L93" i="2"/>
  <c r="L91" i="2"/>
  <c r="L85" i="2"/>
  <c r="L87" i="2"/>
  <c r="L97" i="2"/>
  <c r="L95" i="2"/>
  <c r="H125" i="2"/>
  <c r="H126" i="2" s="1"/>
  <c r="H134" i="2"/>
  <c r="G56" i="3" s="1"/>
  <c r="L44" i="2"/>
  <c r="L45" i="2"/>
  <c r="K73" i="2"/>
  <c r="K40" i="2"/>
  <c r="K68" i="2" s="1"/>
  <c r="K70" i="2"/>
  <c r="K111" i="2"/>
  <c r="I125" i="2"/>
  <c r="I126" i="2" s="1"/>
  <c r="I128" i="2" s="1"/>
  <c r="I134" i="2"/>
  <c r="M35" i="2"/>
  <c r="M36" i="2" s="1"/>
  <c r="M33" i="2"/>
  <c r="M34" i="2"/>
  <c r="M72" i="2" s="1"/>
  <c r="M45" i="2" l="1"/>
  <c r="L70" i="2"/>
  <c r="M44" i="2"/>
  <c r="L111" i="2"/>
  <c r="L114" i="2" s="1"/>
  <c r="L40" i="2"/>
  <c r="L68" i="2" s="1"/>
  <c r="L76" i="2" s="1"/>
  <c r="M37" i="2"/>
  <c r="M40" i="2" s="1"/>
  <c r="M68" i="2" s="1"/>
  <c r="L46" i="2"/>
  <c r="L51" i="2" s="1"/>
  <c r="L53" i="2" s="1"/>
  <c r="K114" i="2"/>
  <c r="H128" i="2"/>
  <c r="J119" i="2"/>
  <c r="N50" i="2"/>
  <c r="O29" i="2"/>
  <c r="O31" i="2"/>
  <c r="L86" i="2"/>
  <c r="L98" i="2"/>
  <c r="L88" i="2"/>
  <c r="L90" i="2"/>
  <c r="L94" i="2"/>
  <c r="L92" i="2"/>
  <c r="L96" i="2"/>
  <c r="K98" i="2"/>
  <c r="K94" i="2"/>
  <c r="K86" i="2"/>
  <c r="K88" i="2"/>
  <c r="K90" i="2"/>
  <c r="K96" i="2"/>
  <c r="K92" i="2"/>
  <c r="M93" i="2"/>
  <c r="M85" i="2"/>
  <c r="M89" i="2"/>
  <c r="M95" i="2"/>
  <c r="M97" i="2"/>
  <c r="M87" i="2"/>
  <c r="M91" i="2"/>
  <c r="K78" i="2"/>
  <c r="K79" i="2"/>
  <c r="K76" i="2"/>
  <c r="K81" i="2"/>
  <c r="K82" i="2"/>
  <c r="K77" i="2"/>
  <c r="K80" i="2"/>
  <c r="N35" i="2"/>
  <c r="N36" i="2" s="1"/>
  <c r="N34" i="2"/>
  <c r="N72" i="2" s="1"/>
  <c r="N33" i="2"/>
  <c r="L81" i="2" l="1"/>
  <c r="L77" i="2"/>
  <c r="L79" i="2"/>
  <c r="M70" i="2"/>
  <c r="M111" i="2"/>
  <c r="M114" i="2" s="1"/>
  <c r="M73" i="2"/>
  <c r="M98" i="2" s="1"/>
  <c r="L82" i="2"/>
  <c r="L80" i="2"/>
  <c r="N45" i="2"/>
  <c r="N44" i="2"/>
  <c r="L78" i="2"/>
  <c r="M46" i="2"/>
  <c r="M51" i="2" s="1"/>
  <c r="M53" i="2" s="1"/>
  <c r="N37" i="2"/>
  <c r="O45" i="2" s="1"/>
  <c r="J125" i="2"/>
  <c r="J126" i="2" s="1"/>
  <c r="J134" i="2"/>
  <c r="N89" i="2"/>
  <c r="N85" i="2"/>
  <c r="N93" i="2"/>
  <c r="N95" i="2"/>
  <c r="N87" i="2"/>
  <c r="N97" i="2"/>
  <c r="N91" i="2"/>
  <c r="O34" i="2"/>
  <c r="O72" i="2" s="1"/>
  <c r="O33" i="2"/>
  <c r="O35" i="2"/>
  <c r="O36" i="2" s="1"/>
  <c r="M92" i="2"/>
  <c r="O50" i="2"/>
  <c r="P31" i="2"/>
  <c r="P29" i="2"/>
  <c r="J120" i="2"/>
  <c r="K116" i="2"/>
  <c r="K118" i="2" s="1"/>
  <c r="K124" i="2"/>
  <c r="M81" i="2"/>
  <c r="M76" i="2"/>
  <c r="M79" i="2"/>
  <c r="M80" i="2"/>
  <c r="M78" i="2"/>
  <c r="M82" i="2"/>
  <c r="M77" i="2"/>
  <c r="L116" i="2"/>
  <c r="L118" i="2" s="1"/>
  <c r="L124" i="2"/>
  <c r="N40" i="2" l="1"/>
  <c r="N68" i="2" s="1"/>
  <c r="N80" i="2" s="1"/>
  <c r="N70" i="2"/>
  <c r="N111" i="2"/>
  <c r="N114" i="2" s="1"/>
  <c r="N73" i="2"/>
  <c r="N96" i="2" s="1"/>
  <c r="M90" i="2"/>
  <c r="O44" i="2"/>
  <c r="M94" i="2"/>
  <c r="M88" i="2"/>
  <c r="M96" i="2"/>
  <c r="M86" i="2"/>
  <c r="N46" i="2"/>
  <c r="M116" i="2"/>
  <c r="M118" i="2" s="1"/>
  <c r="M124" i="2"/>
  <c r="Q31" i="2"/>
  <c r="Q29" i="2"/>
  <c r="P50" i="2"/>
  <c r="O37" i="2"/>
  <c r="P33" i="2"/>
  <c r="P35" i="2"/>
  <c r="P36" i="2" s="1"/>
  <c r="P34" i="2"/>
  <c r="P72" i="2" s="1"/>
  <c r="O89" i="2"/>
  <c r="O97" i="2"/>
  <c r="O93" i="2"/>
  <c r="O85" i="2"/>
  <c r="O87" i="2"/>
  <c r="O91" i="2"/>
  <c r="O95" i="2"/>
  <c r="L119" i="2"/>
  <c r="L120" i="2" s="1"/>
  <c r="K119" i="2"/>
  <c r="J128" i="2"/>
  <c r="N79" i="2" l="1"/>
  <c r="N76" i="2"/>
  <c r="N82" i="2"/>
  <c r="N81" i="2"/>
  <c r="N78" i="2"/>
  <c r="N77" i="2"/>
  <c r="N90" i="2"/>
  <c r="N94" i="2"/>
  <c r="N92" i="2"/>
  <c r="N86" i="2"/>
  <c r="N88" i="2"/>
  <c r="N98" i="2"/>
  <c r="O46" i="2"/>
  <c r="O51" i="2" s="1"/>
  <c r="O53" i="2" s="1"/>
  <c r="N51" i="2"/>
  <c r="N53" i="2" s="1"/>
  <c r="O70" i="2"/>
  <c r="P44" i="2"/>
  <c r="O73" i="2"/>
  <c r="P45" i="2"/>
  <c r="O111" i="2"/>
  <c r="O40" i="2"/>
  <c r="O68" i="2" s="1"/>
  <c r="K125" i="2"/>
  <c r="K126" i="2" s="1"/>
  <c r="K134" i="2"/>
  <c r="Q33" i="2"/>
  <c r="Q35" i="2"/>
  <c r="Q36" i="2" s="1"/>
  <c r="Q34" i="2"/>
  <c r="Q72" i="2" s="1"/>
  <c r="P37" i="2"/>
  <c r="P91" i="2"/>
  <c r="P89" i="2"/>
  <c r="P87" i="2"/>
  <c r="P93" i="2"/>
  <c r="P95" i="2"/>
  <c r="P97" i="2"/>
  <c r="P85" i="2"/>
  <c r="M119" i="2"/>
  <c r="M120" i="2" s="1"/>
  <c r="L125" i="2"/>
  <c r="L126" i="2" s="1"/>
  <c r="L128" i="2" s="1"/>
  <c r="L134" i="2"/>
  <c r="K120" i="2"/>
  <c r="N124" i="2"/>
  <c r="N116" i="2"/>
  <c r="N118" i="2" s="1"/>
  <c r="Q50" i="2"/>
  <c r="R31" i="2"/>
  <c r="R29" i="2"/>
  <c r="P46" i="2" l="1"/>
  <c r="P51" i="2" s="1"/>
  <c r="P53" i="2" s="1"/>
  <c r="R50" i="2"/>
  <c r="S29" i="2"/>
  <c r="S31" i="2"/>
  <c r="R35" i="2"/>
  <c r="R36" i="2" s="1"/>
  <c r="R33" i="2"/>
  <c r="R34" i="2"/>
  <c r="R72" i="2" s="1"/>
  <c r="Q37" i="2"/>
  <c r="O90" i="2"/>
  <c r="O88" i="2"/>
  <c r="O94" i="2"/>
  <c r="O96" i="2"/>
  <c r="O86" i="2"/>
  <c r="O98" i="2"/>
  <c r="O92" i="2"/>
  <c r="M125" i="2"/>
  <c r="M126" i="2" s="1"/>
  <c r="M128" i="2" s="1"/>
  <c r="M134" i="2"/>
  <c r="P111" i="2"/>
  <c r="P73" i="2"/>
  <c r="Q45" i="2"/>
  <c r="Q44" i="2"/>
  <c r="P70" i="2"/>
  <c r="P40" i="2"/>
  <c r="P68" i="2" s="1"/>
  <c r="O77" i="2"/>
  <c r="O82" i="2"/>
  <c r="O78" i="2"/>
  <c r="O80" i="2"/>
  <c r="O79" i="2"/>
  <c r="O81" i="2"/>
  <c r="O76" i="2"/>
  <c r="N119" i="2"/>
  <c r="Q89" i="2"/>
  <c r="Q93" i="2"/>
  <c r="Q87" i="2"/>
  <c r="Q91" i="2"/>
  <c r="Q95" i="2"/>
  <c r="Q85" i="2"/>
  <c r="Q97" i="2"/>
  <c r="K128" i="2"/>
  <c r="O114" i="2"/>
  <c r="R37" i="2" l="1"/>
  <c r="R70" i="2" s="1"/>
  <c r="Q46" i="2"/>
  <c r="Q51" i="2" s="1"/>
  <c r="Q53" i="2" s="1"/>
  <c r="P114" i="2"/>
  <c r="N125" i="2"/>
  <c r="N126" i="2" s="1"/>
  <c r="N128" i="2" s="1"/>
  <c r="N134" i="2"/>
  <c r="S50" i="2"/>
  <c r="T31" i="2"/>
  <c r="T29" i="2"/>
  <c r="O124" i="2"/>
  <c r="O116" i="2"/>
  <c r="O118" i="2" s="1"/>
  <c r="N120" i="2"/>
  <c r="R95" i="2"/>
  <c r="R85" i="2"/>
  <c r="R97" i="2"/>
  <c r="R91" i="2"/>
  <c r="R93" i="2"/>
  <c r="R89" i="2"/>
  <c r="R87" i="2"/>
  <c r="P78" i="2"/>
  <c r="P79" i="2"/>
  <c r="P81" i="2"/>
  <c r="P77" i="2"/>
  <c r="P82" i="2"/>
  <c r="P76" i="2"/>
  <c r="P80" i="2"/>
  <c r="P96" i="2"/>
  <c r="P88" i="2"/>
  <c r="P86" i="2"/>
  <c r="P98" i="2"/>
  <c r="P90" i="2"/>
  <c r="P94" i="2"/>
  <c r="P92" i="2"/>
  <c r="R45" i="2"/>
  <c r="Q70" i="2"/>
  <c r="Q73" i="2"/>
  <c r="Q111" i="2"/>
  <c r="R44" i="2"/>
  <c r="Q40" i="2"/>
  <c r="Q68" i="2" s="1"/>
  <c r="S35" i="2"/>
  <c r="S36" i="2" s="1"/>
  <c r="S33" i="2"/>
  <c r="S34" i="2"/>
  <c r="S72" i="2" s="1"/>
  <c r="R40" i="2" l="1"/>
  <c r="R68" i="2" s="1"/>
  <c r="R77" i="2" s="1"/>
  <c r="R46" i="2"/>
  <c r="R51" i="2" s="1"/>
  <c r="R53" i="2" s="1"/>
  <c r="R111" i="2"/>
  <c r="R114" i="2" s="1"/>
  <c r="S45" i="2"/>
  <c r="R73" i="2"/>
  <c r="R86" i="2" s="1"/>
  <c r="S44" i="2"/>
  <c r="S37" i="2"/>
  <c r="T45" i="2" s="1"/>
  <c r="P124" i="2"/>
  <c r="P116" i="2"/>
  <c r="P118" i="2" s="1"/>
  <c r="Q86" i="2"/>
  <c r="Q88" i="2"/>
  <c r="Q92" i="2"/>
  <c r="Q96" i="2"/>
  <c r="Q94" i="2"/>
  <c r="Q98" i="2"/>
  <c r="Q90" i="2"/>
  <c r="T35" i="2"/>
  <c r="T36" i="2" s="1"/>
  <c r="T33" i="2"/>
  <c r="T34" i="2"/>
  <c r="T72" i="2" s="1"/>
  <c r="Q81" i="2"/>
  <c r="Q82" i="2"/>
  <c r="Q80" i="2"/>
  <c r="Q79" i="2"/>
  <c r="Q78" i="2"/>
  <c r="Q76" i="2"/>
  <c r="Q77" i="2"/>
  <c r="O119" i="2"/>
  <c r="Q114" i="2"/>
  <c r="U31" i="2"/>
  <c r="U29" i="2"/>
  <c r="T50" i="2"/>
  <c r="S87" i="2"/>
  <c r="S95" i="2"/>
  <c r="S97" i="2"/>
  <c r="S89" i="2"/>
  <c r="S91" i="2"/>
  <c r="S93" i="2"/>
  <c r="S85" i="2"/>
  <c r="S46" i="2" l="1"/>
  <c r="R81" i="2"/>
  <c r="R78" i="2"/>
  <c r="R82" i="2"/>
  <c r="R76" i="2"/>
  <c r="R79" i="2"/>
  <c r="R80" i="2"/>
  <c r="R96" i="2"/>
  <c r="R92" i="2"/>
  <c r="R98" i="2"/>
  <c r="R90" i="2"/>
  <c r="R94" i="2"/>
  <c r="R88" i="2"/>
  <c r="S40" i="2"/>
  <c r="S68" i="2" s="1"/>
  <c r="S79" i="2" s="1"/>
  <c r="T44" i="2"/>
  <c r="T46" i="2" s="1"/>
  <c r="S73" i="2"/>
  <c r="S88" i="2" s="1"/>
  <c r="S70" i="2"/>
  <c r="S111" i="2"/>
  <c r="S114" i="2" s="1"/>
  <c r="T37" i="2"/>
  <c r="U44" i="2" s="1"/>
  <c r="O125" i="2"/>
  <c r="O126" i="2" s="1"/>
  <c r="O128" i="2" s="1"/>
  <c r="O134" i="2"/>
  <c r="P119" i="2"/>
  <c r="P120" i="2" s="1"/>
  <c r="Q124" i="2"/>
  <c r="Q116" i="2"/>
  <c r="Q118" i="2" s="1"/>
  <c r="U50" i="2"/>
  <c r="V29" i="2"/>
  <c r="V31" i="2"/>
  <c r="O120" i="2"/>
  <c r="S51" i="2"/>
  <c r="S53" i="2" s="1"/>
  <c r="U33" i="2"/>
  <c r="U35" i="2"/>
  <c r="U36" i="2" s="1"/>
  <c r="U34" i="2"/>
  <c r="U72" i="2" s="1"/>
  <c r="R124" i="2"/>
  <c r="R116" i="2"/>
  <c r="R118" i="2" s="1"/>
  <c r="T85" i="2"/>
  <c r="T89" i="2"/>
  <c r="T97" i="2"/>
  <c r="T87" i="2"/>
  <c r="T93" i="2"/>
  <c r="T95" i="2"/>
  <c r="T91" i="2"/>
  <c r="S78" i="2" l="1"/>
  <c r="T40" i="2"/>
  <c r="T68" i="2" s="1"/>
  <c r="T78" i="2" s="1"/>
  <c r="S76" i="2"/>
  <c r="S77" i="2"/>
  <c r="S82" i="2"/>
  <c r="S81" i="2"/>
  <c r="S80" i="2"/>
  <c r="S96" i="2"/>
  <c r="S90" i="2"/>
  <c r="T111" i="2"/>
  <c r="T114" i="2" s="1"/>
  <c r="S92" i="2"/>
  <c r="S98" i="2"/>
  <c r="S94" i="2"/>
  <c r="S86" i="2"/>
  <c r="U45" i="2"/>
  <c r="U46" i="2" s="1"/>
  <c r="T70" i="2"/>
  <c r="T73" i="2"/>
  <c r="T94" i="2" s="1"/>
  <c r="Q119" i="2"/>
  <c r="T51" i="2"/>
  <c r="T53" i="2" s="1"/>
  <c r="U37" i="2"/>
  <c r="V35" i="2"/>
  <c r="V36" i="2" s="1"/>
  <c r="V33" i="2"/>
  <c r="V34" i="2"/>
  <c r="V72" i="2" s="1"/>
  <c r="U87" i="2"/>
  <c r="U89" i="2"/>
  <c r="U97" i="2"/>
  <c r="U91" i="2"/>
  <c r="U85" i="2"/>
  <c r="U95" i="2"/>
  <c r="U93" i="2"/>
  <c r="R119" i="2"/>
  <c r="R120" i="2" s="1"/>
  <c r="S124" i="2"/>
  <c r="S116" i="2"/>
  <c r="S118" i="2" s="1"/>
  <c r="V50" i="2"/>
  <c r="W29" i="2"/>
  <c r="W31" i="2"/>
  <c r="P125" i="2"/>
  <c r="P126" i="2" s="1"/>
  <c r="P128" i="2" s="1"/>
  <c r="P134" i="2"/>
  <c r="T79" i="2" l="1"/>
  <c r="T80" i="2"/>
  <c r="T77" i="2"/>
  <c r="T82" i="2"/>
  <c r="T76" i="2"/>
  <c r="T81" i="2"/>
  <c r="T88" i="2"/>
  <c r="T86" i="2"/>
  <c r="T90" i="2"/>
  <c r="T96" i="2"/>
  <c r="T92" i="2"/>
  <c r="T98" i="2"/>
  <c r="S119" i="2"/>
  <c r="U51" i="2"/>
  <c r="U53" i="2" s="1"/>
  <c r="V37" i="2"/>
  <c r="Q125" i="2"/>
  <c r="Q126" i="2" s="1"/>
  <c r="Q128" i="2" s="1"/>
  <c r="Q134" i="2"/>
  <c r="V93" i="2"/>
  <c r="V89" i="2"/>
  <c r="V91" i="2"/>
  <c r="V95" i="2"/>
  <c r="V85" i="2"/>
  <c r="V87" i="2"/>
  <c r="V97" i="2"/>
  <c r="X31" i="2"/>
  <c r="W50" i="2"/>
  <c r="X29" i="2"/>
  <c r="Q120" i="2"/>
  <c r="W35" i="2"/>
  <c r="W36" i="2" s="1"/>
  <c r="W33" i="2"/>
  <c r="W34" i="2"/>
  <c r="W72" i="2" s="1"/>
  <c r="T124" i="2"/>
  <c r="T116" i="2"/>
  <c r="T118" i="2" s="1"/>
  <c r="R125" i="2"/>
  <c r="R126" i="2" s="1"/>
  <c r="R128" i="2" s="1"/>
  <c r="R134" i="2"/>
  <c r="U111" i="2"/>
  <c r="V44" i="2"/>
  <c r="U40" i="2"/>
  <c r="U68" i="2" s="1"/>
  <c r="U70" i="2"/>
  <c r="U73" i="2"/>
  <c r="V45" i="2"/>
  <c r="V46" i="2" l="1"/>
  <c r="V51" i="2" s="1"/>
  <c r="V53" i="2" s="1"/>
  <c r="U96" i="2"/>
  <c r="U94" i="2"/>
  <c r="U92" i="2"/>
  <c r="U90" i="2"/>
  <c r="U98" i="2"/>
  <c r="U88" i="2"/>
  <c r="U86" i="2"/>
  <c r="U114" i="2"/>
  <c r="X33" i="2"/>
  <c r="X34" i="2"/>
  <c r="X72" i="2" s="1"/>
  <c r="X35" i="2"/>
  <c r="X36" i="2" s="1"/>
  <c r="U82" i="2"/>
  <c r="U78" i="2"/>
  <c r="U76" i="2"/>
  <c r="U80" i="2"/>
  <c r="U81" i="2"/>
  <c r="U77" i="2"/>
  <c r="U79" i="2"/>
  <c r="W97" i="2"/>
  <c r="W91" i="2"/>
  <c r="W93" i="2"/>
  <c r="W95" i="2"/>
  <c r="W85" i="2"/>
  <c r="W89" i="2"/>
  <c r="W87" i="2"/>
  <c r="X50" i="2"/>
  <c r="Y29" i="2"/>
  <c r="Y31" i="2"/>
  <c r="V70" i="2"/>
  <c r="V73" i="2"/>
  <c r="V111" i="2"/>
  <c r="W44" i="2"/>
  <c r="W45" i="2"/>
  <c r="V40" i="2"/>
  <c r="V68" i="2" s="1"/>
  <c r="S125" i="2"/>
  <c r="S126" i="2" s="1"/>
  <c r="S128" i="2" s="1"/>
  <c r="S134" i="2"/>
  <c r="T119" i="2"/>
  <c r="W37" i="2"/>
  <c r="S120" i="2"/>
  <c r="W46" i="2" l="1"/>
  <c r="W51" i="2" s="1"/>
  <c r="W53" i="2" s="1"/>
  <c r="V114" i="2"/>
  <c r="Y50" i="2"/>
  <c r="Z31" i="2"/>
  <c r="Z29" i="2"/>
  <c r="X93" i="2"/>
  <c r="X85" i="2"/>
  <c r="X87" i="2"/>
  <c r="X95" i="2"/>
  <c r="X97" i="2"/>
  <c r="X89" i="2"/>
  <c r="X91" i="2"/>
  <c r="Y35" i="2"/>
  <c r="Y36" i="2" s="1"/>
  <c r="Y34" i="2"/>
  <c r="Y72" i="2" s="1"/>
  <c r="Y33" i="2"/>
  <c r="W73" i="2"/>
  <c r="W70" i="2"/>
  <c r="W111" i="2"/>
  <c r="X44" i="2"/>
  <c r="W40" i="2"/>
  <c r="W68" i="2" s="1"/>
  <c r="X45" i="2"/>
  <c r="V79" i="2"/>
  <c r="V81" i="2"/>
  <c r="V80" i="2"/>
  <c r="V77" i="2"/>
  <c r="V76" i="2"/>
  <c r="V82" i="2"/>
  <c r="V78" i="2"/>
  <c r="X37" i="2"/>
  <c r="T125" i="2"/>
  <c r="T126" i="2" s="1"/>
  <c r="T128" i="2" s="1"/>
  <c r="T134" i="2"/>
  <c r="V92" i="2"/>
  <c r="V88" i="2"/>
  <c r="V96" i="2"/>
  <c r="V86" i="2"/>
  <c r="V98" i="2"/>
  <c r="V90" i="2"/>
  <c r="V94" i="2"/>
  <c r="T120" i="2"/>
  <c r="U124" i="2"/>
  <c r="U116" i="2"/>
  <c r="U118" i="2" s="1"/>
  <c r="X46" i="2" l="1"/>
  <c r="X51" i="2" s="1"/>
  <c r="X53" i="2" s="1"/>
  <c r="Y85" i="2"/>
  <c r="Y89" i="2"/>
  <c r="Y95" i="2"/>
  <c r="Y91" i="2"/>
  <c r="Y97" i="2"/>
  <c r="Y87" i="2"/>
  <c r="Y93" i="2"/>
  <c r="Z50" i="2"/>
  <c r="AA31" i="2"/>
  <c r="AA29" i="2"/>
  <c r="Y44" i="2"/>
  <c r="X40" i="2"/>
  <c r="X68" i="2" s="1"/>
  <c r="X111" i="2"/>
  <c r="Y45" i="2"/>
  <c r="X73" i="2"/>
  <c r="X70" i="2"/>
  <c r="W81" i="2"/>
  <c r="W76" i="2"/>
  <c r="W79" i="2"/>
  <c r="W80" i="2"/>
  <c r="W78" i="2"/>
  <c r="W82" i="2"/>
  <c r="W77" i="2"/>
  <c r="W94" i="2"/>
  <c r="W92" i="2"/>
  <c r="W96" i="2"/>
  <c r="W98" i="2"/>
  <c r="W90" i="2"/>
  <c r="W86" i="2"/>
  <c r="W88" i="2"/>
  <c r="Z34" i="2"/>
  <c r="Z72" i="2" s="1"/>
  <c r="Z33" i="2"/>
  <c r="Z35" i="2"/>
  <c r="Z36" i="2" s="1"/>
  <c r="U119" i="2"/>
  <c r="W114" i="2"/>
  <c r="V116" i="2"/>
  <c r="V118" i="2" s="1"/>
  <c r="V124" i="2"/>
  <c r="Y37" i="2"/>
  <c r="Y46" i="2" l="1"/>
  <c r="Y51" i="2" s="1"/>
  <c r="Y53" i="2" s="1"/>
  <c r="AA50" i="2"/>
  <c r="AB31" i="2"/>
  <c r="AB29" i="2"/>
  <c r="Y111" i="2"/>
  <c r="Z45" i="2"/>
  <c r="Y70" i="2"/>
  <c r="Y40" i="2"/>
  <c r="Y68" i="2" s="1"/>
  <c r="Y73" i="2"/>
  <c r="Z44" i="2"/>
  <c r="W124" i="2"/>
  <c r="W116" i="2"/>
  <c r="W118" i="2" s="1"/>
  <c r="Z37" i="2"/>
  <c r="X114" i="2"/>
  <c r="AA35" i="2"/>
  <c r="AA36" i="2" s="1"/>
  <c r="AA34" i="2"/>
  <c r="AA72" i="2" s="1"/>
  <c r="AA33" i="2"/>
  <c r="U125" i="2"/>
  <c r="U126" i="2" s="1"/>
  <c r="U128" i="2" s="1"/>
  <c r="U134" i="2"/>
  <c r="X78" i="2"/>
  <c r="X81" i="2"/>
  <c r="X77" i="2"/>
  <c r="X79" i="2"/>
  <c r="X80" i="2"/>
  <c r="X76" i="2"/>
  <c r="X82" i="2"/>
  <c r="Z97" i="2"/>
  <c r="Z89" i="2"/>
  <c r="Z91" i="2"/>
  <c r="Z87" i="2"/>
  <c r="Z85" i="2"/>
  <c r="Z93" i="2"/>
  <c r="Z95" i="2"/>
  <c r="V119" i="2"/>
  <c r="U120" i="2"/>
  <c r="X88" i="2"/>
  <c r="X96" i="2"/>
  <c r="X94" i="2"/>
  <c r="X92" i="2"/>
  <c r="X98" i="2"/>
  <c r="X90" i="2"/>
  <c r="X86" i="2"/>
  <c r="Z46" i="2" l="1"/>
  <c r="Z51" i="2" s="1"/>
  <c r="Z53" i="2" s="1"/>
  <c r="AA37" i="2"/>
  <c r="AA73" i="2" s="1"/>
  <c r="X116" i="2"/>
  <c r="X118" i="2" s="1"/>
  <c r="X124" i="2"/>
  <c r="V125" i="2"/>
  <c r="V126" i="2" s="1"/>
  <c r="V128" i="2" s="1"/>
  <c r="V134" i="2"/>
  <c r="AB35" i="2"/>
  <c r="AB36" i="2" s="1"/>
  <c r="AB33" i="2"/>
  <c r="AB34" i="2"/>
  <c r="AB72" i="2" s="1"/>
  <c r="AA89" i="2"/>
  <c r="AA93" i="2"/>
  <c r="AA85" i="2"/>
  <c r="AA97" i="2"/>
  <c r="AA87" i="2"/>
  <c r="AA91" i="2"/>
  <c r="AA95" i="2"/>
  <c r="AA45" i="2"/>
  <c r="Z111" i="2"/>
  <c r="AA44" i="2"/>
  <c r="Z40" i="2"/>
  <c r="Z68" i="2" s="1"/>
  <c r="Z73" i="2"/>
  <c r="Z70" i="2"/>
  <c r="Y90" i="2"/>
  <c r="Y98" i="2"/>
  <c r="Y86" i="2"/>
  <c r="Y94" i="2"/>
  <c r="Y92" i="2"/>
  <c r="Y88" i="2"/>
  <c r="Y96" i="2"/>
  <c r="Y114" i="2"/>
  <c r="V120" i="2"/>
  <c r="W119" i="2"/>
  <c r="Y77" i="2"/>
  <c r="Y82" i="2"/>
  <c r="Y78" i="2"/>
  <c r="Y76" i="2"/>
  <c r="Y80" i="2"/>
  <c r="Y81" i="2"/>
  <c r="Y79" i="2"/>
  <c r="AB50" i="2"/>
  <c r="AC29" i="2"/>
  <c r="AA70" i="2" l="1"/>
  <c r="AA40" i="2"/>
  <c r="AA68" i="2" s="1"/>
  <c r="AA79" i="2" s="1"/>
  <c r="AB45" i="2"/>
  <c r="AB44" i="2"/>
  <c r="AA111" i="2"/>
  <c r="AA114" i="2" s="1"/>
  <c r="AB37" i="2"/>
  <c r="AB40" i="2" s="1"/>
  <c r="AB68" i="2" s="1"/>
  <c r="AA46" i="2"/>
  <c r="AA51" i="2" s="1"/>
  <c r="AA53" i="2" s="1"/>
  <c r="AA94" i="2"/>
  <c r="AA90" i="2"/>
  <c r="AA96" i="2"/>
  <c r="AA86" i="2"/>
  <c r="AA98" i="2"/>
  <c r="AA88" i="2"/>
  <c r="AA92" i="2"/>
  <c r="X119" i="2"/>
  <c r="Z82" i="2"/>
  <c r="Z76" i="2"/>
  <c r="Z81" i="2"/>
  <c r="Z78" i="2"/>
  <c r="Z79" i="2"/>
  <c r="Z77" i="2"/>
  <c r="Z80" i="2"/>
  <c r="Y116" i="2"/>
  <c r="Y118" i="2" s="1"/>
  <c r="Y124" i="2"/>
  <c r="Z114" i="2"/>
  <c r="W125" i="2"/>
  <c r="W126" i="2" s="1"/>
  <c r="W128" i="2" s="1"/>
  <c r="W134" i="2"/>
  <c r="W120" i="2"/>
  <c r="Z96" i="2"/>
  <c r="Z94" i="2"/>
  <c r="Z88" i="2"/>
  <c r="Z90" i="2"/>
  <c r="Z86" i="2"/>
  <c r="Z92" i="2"/>
  <c r="Z98" i="2"/>
  <c r="AB87" i="2"/>
  <c r="AB93" i="2"/>
  <c r="AB97" i="2"/>
  <c r="AB95" i="2"/>
  <c r="AB89" i="2"/>
  <c r="AB91" i="2"/>
  <c r="AB85" i="2"/>
  <c r="AA81" i="2"/>
  <c r="AA80" i="2"/>
  <c r="AA77" i="2"/>
  <c r="AB70" i="2" l="1"/>
  <c r="AA82" i="2"/>
  <c r="AA76" i="2"/>
  <c r="AA78" i="2"/>
  <c r="AB111" i="2"/>
  <c r="AB114" i="2" s="1"/>
  <c r="C153" i="3"/>
  <c r="AB73" i="2"/>
  <c r="AB92" i="2" s="1"/>
  <c r="AB46" i="2"/>
  <c r="AB51" i="2" s="1"/>
  <c r="AB53" i="2" s="1"/>
  <c r="AA116" i="2"/>
  <c r="AA118" i="2" s="1"/>
  <c r="AA124" i="2"/>
  <c r="AB78" i="2"/>
  <c r="AB82" i="2"/>
  <c r="AB76" i="2"/>
  <c r="AB81" i="2"/>
  <c r="AB77" i="2"/>
  <c r="AB80" i="2"/>
  <c r="AB79" i="2"/>
  <c r="X125" i="2"/>
  <c r="X126" i="2" s="1"/>
  <c r="X128" i="2" s="1"/>
  <c r="X134" i="2"/>
  <c r="X120" i="2"/>
  <c r="Z124" i="2"/>
  <c r="Z116" i="2"/>
  <c r="Z118" i="2" s="1"/>
  <c r="Y119" i="2"/>
  <c r="AB86" i="2" l="1"/>
  <c r="AB94" i="2"/>
  <c r="AB96" i="2"/>
  <c r="AB88" i="2"/>
  <c r="AB90" i="2"/>
  <c r="AB98" i="2"/>
  <c r="AB124" i="2"/>
  <c r="AB116" i="2"/>
  <c r="AB118" i="2" s="1"/>
  <c r="Z119" i="2"/>
  <c r="Y125" i="2"/>
  <c r="Y126" i="2" s="1"/>
  <c r="Y128" i="2" s="1"/>
  <c r="Y134" i="2"/>
  <c r="Y120" i="2"/>
  <c r="AA119" i="2"/>
  <c r="AA120" i="2" s="1"/>
  <c r="AB119" i="2" l="1"/>
  <c r="AA125" i="2"/>
  <c r="AA126" i="2" s="1"/>
  <c r="AA128" i="2" s="1"/>
  <c r="AA134" i="2"/>
  <c r="Z125" i="2"/>
  <c r="Z126" i="2" s="1"/>
  <c r="Z128" i="2" s="1"/>
  <c r="Z134" i="2"/>
  <c r="Z120" i="2"/>
  <c r="AB125" i="2" l="1"/>
  <c r="AB126" i="2" s="1"/>
  <c r="AB134" i="2"/>
  <c r="AB120" i="2"/>
  <c r="AB128" i="2" l="1"/>
  <c r="B140" i="2" s="1"/>
  <c r="C61" i="3" s="1"/>
  <c r="B139" i="2"/>
  <c r="C60" i="3" s="1"/>
  <c r="B138" i="2"/>
  <c r="C59" i="3" s="1"/>
  <c r="C234"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Robert Opini</author>
    <author>Robert</author>
  </authors>
  <commentList>
    <comment ref="C13" authorId="0" shapeId="0" xr:uid="{14672AF6-6DA1-4B73-9CB4-E3F42A48FCD3}">
      <text>
        <r>
          <rPr>
            <b/>
            <sz val="9"/>
            <color indexed="81"/>
            <rFont val="Tahoma"/>
            <family val="2"/>
          </rPr>
          <t>Robert Opini:</t>
        </r>
        <r>
          <rPr>
            <sz val="9"/>
            <color indexed="81"/>
            <rFont val="Tahoma"/>
            <family val="2"/>
          </rPr>
          <t xml:space="preserve">
Reserve margin is (capacity minus demand)/demand, where "capacity" is the expected maximum available supply and "demand" is expected peak demand. For example, a reserve margin of 15% means that the mini grid system has excess capacity in the amount of 15% of expected peak demand.</t>
        </r>
      </text>
    </comment>
    <comment ref="A24" authorId="1" shapeId="0" xr:uid="{C80B75C0-C8DA-4D44-AB07-869BDBF1428B}">
      <text>
        <r>
          <rPr>
            <b/>
            <sz val="9"/>
            <color indexed="81"/>
            <rFont val="Tahoma"/>
            <family val="2"/>
          </rPr>
          <t xml:space="preserve">Note: </t>
        </r>
        <r>
          <rPr>
            <sz val="9"/>
            <color indexed="81"/>
            <rFont val="Tahoma"/>
            <family val="2"/>
          </rPr>
          <t>includes
1) permits
2) environmental impact assessment
3) land lease
4) company foundation and establishment
5) contract and legal
6) site survey/resource assessment
7) technical design
8) hiring site agents
8) technical assistance
9) demand assessment
10) client development
11) community and government approval
12) travel and accommodation
13) acquisition of capital including due diligence</t>
        </r>
      </text>
    </comment>
    <comment ref="A31" authorId="1" shapeId="0" xr:uid="{CFFE1BDA-EA13-432C-A5B9-61D2FB465305}">
      <text>
        <r>
          <rPr>
            <b/>
            <sz val="9"/>
            <color indexed="81"/>
            <rFont val="Tahoma"/>
            <family val="2"/>
          </rPr>
          <t>Note:</t>
        </r>
        <r>
          <rPr>
            <sz val="9"/>
            <color indexed="81"/>
            <rFont val="Tahoma"/>
            <family val="2"/>
          </rPr>
          <t xml:space="preserve">
1) cabling/wiring/conductors
2) conduits
3) combiner boxes
4) protection devices
5) disconnects
6) monitoring and control devices
7) safety and security equipment</t>
        </r>
      </text>
    </comment>
    <comment ref="A34" authorId="1" shapeId="0" xr:uid="{9BD012A6-E7C4-42B3-AF07-11E6621579B5}">
      <text>
        <r>
          <rPr>
            <b/>
            <sz val="9"/>
            <color indexed="81"/>
            <rFont val="Tahoma"/>
            <family val="2"/>
          </rPr>
          <t>Note:</t>
        </r>
        <r>
          <rPr>
            <sz val="9"/>
            <color indexed="81"/>
            <rFont val="Tahoma"/>
            <family val="2"/>
          </rPr>
          <t xml:space="preserve">
1) costs associated with transporting equipment
2) storage costs and 
3) logistics during planning</t>
        </r>
      </text>
    </comment>
    <comment ref="A35" authorId="1" shapeId="0" xr:uid="{50D0E671-908D-4C0A-852F-ED4BBADE0FA1}">
      <text>
        <r>
          <rPr>
            <b/>
            <sz val="9"/>
            <color indexed="81"/>
            <rFont val="Tahoma"/>
            <family val="2"/>
          </rPr>
          <t>Note:</t>
        </r>
        <r>
          <rPr>
            <sz val="9"/>
            <color indexed="81"/>
            <rFont val="Tahoma"/>
            <family val="2"/>
          </rPr>
          <t xml:space="preserve">
Includes
1) any VAT and duties paid on mini grid assets that are not reimbursed or exempt from taxes by government in terms of the applicable VAT and duty exemption laws</t>
        </r>
      </text>
    </comment>
    <comment ref="A36" authorId="1" shapeId="0" xr:uid="{B4F38034-1216-4019-9FF7-E5E39A825244}">
      <text>
        <r>
          <rPr>
            <b/>
            <sz val="9"/>
            <color indexed="81"/>
            <rFont val="Tahoma"/>
            <family val="2"/>
          </rPr>
          <t>Note:</t>
        </r>
        <r>
          <rPr>
            <sz val="9"/>
            <color indexed="81"/>
            <rFont val="Tahoma"/>
            <family val="2"/>
          </rPr>
          <t xml:space="preserve">
Includes
1) any VAT and duties paid on mini grid assets that are not reimbursed or exempt from taxes by government in terms of the applicable VAT and duty exemption laws</t>
        </r>
      </text>
    </comment>
    <comment ref="A37" authorId="1" shapeId="0" xr:uid="{83E1BA85-8BF2-4683-8D31-567337567DBB}">
      <text>
        <r>
          <rPr>
            <b/>
            <sz val="9"/>
            <color indexed="81"/>
            <rFont val="Tahoma"/>
            <family val="2"/>
          </rPr>
          <t>Note:</t>
        </r>
        <r>
          <rPr>
            <sz val="9"/>
            <color indexed="81"/>
            <rFont val="Tahoma"/>
            <family val="2"/>
          </rPr>
          <t xml:space="preserve">
assembly and installation</t>
        </r>
      </text>
    </comment>
    <comment ref="A38" authorId="1" shapeId="0" xr:uid="{2A3A825E-5F47-4185-A67A-AB2572D3EEB5}">
      <text>
        <r>
          <rPr>
            <b/>
            <sz val="9"/>
            <color indexed="81"/>
            <rFont val="Tahoma"/>
            <family val="2"/>
          </rPr>
          <t>Note:</t>
        </r>
        <r>
          <rPr>
            <sz val="9"/>
            <color indexed="81"/>
            <rFont val="Tahoma"/>
            <family val="2"/>
          </rPr>
          <t xml:space="preserve">
includes 
1) the cost and installation of assets and equipment related to delivering
electricity to the end-user
2) wiring
3) poles insulators
4) safety equipment
5) poles</t>
        </r>
      </text>
    </comment>
    <comment ref="A40" authorId="1" shapeId="0" xr:uid="{14F76822-FAE9-4016-B887-75B62087B64C}">
      <text>
        <r>
          <rPr>
            <b/>
            <sz val="9"/>
            <color indexed="81"/>
            <rFont val="Tahoma"/>
            <family val="2"/>
          </rPr>
          <t>Note:</t>
        </r>
        <r>
          <rPr>
            <sz val="9"/>
            <color indexed="81"/>
            <rFont val="Tahoma"/>
            <family val="2"/>
          </rPr>
          <t xml:space="preserve">
1) overhead accessories for dropline to the home
2) meters 
3) other costs for customer connection, including internal wiring and basic power kit of light &amp; socket</t>
        </r>
      </text>
    </comment>
    <comment ref="A47" authorId="1" shapeId="0" xr:uid="{7135D944-355E-4816-A8EB-29A26A14E560}">
      <text>
        <r>
          <rPr>
            <b/>
            <sz val="9"/>
            <color indexed="81"/>
            <rFont val="Tahoma"/>
            <family val="2"/>
          </rPr>
          <t xml:space="preserve">Note: </t>
        </r>
        <r>
          <rPr>
            <sz val="9"/>
            <color indexed="81"/>
            <rFont val="Tahoma"/>
            <family val="2"/>
          </rPr>
          <t>includes
1) permits
2) environmental impact assessment
3) land lease
4) company foundation and establishment
5) contract and legal
6) site survey/resource assessment
7) technical design
8) hiring site agents
8) technical assistance
9) demand assessment
10) client development
11) community and government approval
12) travel and accommodation
13) acquisition of capital including due diligence</t>
        </r>
      </text>
    </comment>
    <comment ref="A49" authorId="1" shapeId="0" xr:uid="{BAB87142-3747-4805-AE84-EB4092C54855}">
      <text>
        <r>
          <rPr>
            <b/>
            <sz val="9"/>
            <color indexed="81"/>
            <rFont val="Tahoma"/>
            <family val="2"/>
          </rPr>
          <t>Note:</t>
        </r>
        <r>
          <rPr>
            <sz val="9"/>
            <color indexed="81"/>
            <rFont val="Tahoma"/>
            <family val="2"/>
          </rPr>
          <t xml:space="preserve">
Rotor, Nacelle, Tower</t>
        </r>
      </text>
    </comment>
    <comment ref="A50" authorId="1" shapeId="0" xr:uid="{1D27284E-98FB-4C4F-BAF3-38D66BD95F3B}">
      <text>
        <r>
          <rPr>
            <b/>
            <sz val="9"/>
            <color indexed="81"/>
            <rFont val="Tahoma"/>
            <family val="2"/>
          </rPr>
          <t>Note:</t>
        </r>
        <r>
          <rPr>
            <sz val="9"/>
            <color indexed="81"/>
            <rFont val="Tahoma"/>
            <family val="2"/>
          </rPr>
          <t xml:space="preserve">
1) crane pads/hard standings
2) road upgrades and construction/site access and staging 
3) cabling to substation and grid, 
4) SCADA
5) engineering and management, 
6) electrical infrastructure</t>
        </r>
      </text>
    </comment>
    <comment ref="A53" authorId="1" shapeId="0" xr:uid="{1E0A8A1C-7164-48DC-A3C8-A556855B666D}">
      <text>
        <r>
          <rPr>
            <b/>
            <sz val="9"/>
            <color indexed="81"/>
            <rFont val="Tahoma"/>
            <family val="2"/>
          </rPr>
          <t>Note:</t>
        </r>
        <r>
          <rPr>
            <sz val="9"/>
            <color indexed="81"/>
            <rFont val="Tahoma"/>
            <family val="2"/>
          </rPr>
          <t xml:space="preserve">
1) costs associated with transporting equipment
2) storage costs and 
3) logistics during planning</t>
        </r>
      </text>
    </comment>
    <comment ref="A54" authorId="1" shapeId="0" xr:uid="{71EC774C-A868-4A2B-A7E3-610E7816B841}">
      <text>
        <r>
          <rPr>
            <b/>
            <sz val="9"/>
            <color indexed="81"/>
            <rFont val="Tahoma"/>
            <family val="2"/>
          </rPr>
          <t>Note:</t>
        </r>
        <r>
          <rPr>
            <sz val="9"/>
            <color indexed="81"/>
            <rFont val="Tahoma"/>
            <family val="2"/>
          </rPr>
          <t xml:space="preserve">
Includes
1) any VAT and duties paid on mini grid assets that are not reimbursed or exempt from taxes by government in terms of the applicable VAT and duty exemption laws</t>
        </r>
      </text>
    </comment>
    <comment ref="A55" authorId="1" shapeId="0" xr:uid="{F19C41B1-E5B7-4AF2-B8F3-C7E4B7FA1E3C}">
      <text>
        <r>
          <rPr>
            <b/>
            <sz val="9"/>
            <color indexed="81"/>
            <rFont val="Tahoma"/>
            <family val="2"/>
          </rPr>
          <t>Note:</t>
        </r>
        <r>
          <rPr>
            <sz val="9"/>
            <color indexed="81"/>
            <rFont val="Tahoma"/>
            <family val="2"/>
          </rPr>
          <t xml:space="preserve">
Includes
1) any VAT and duties paid on mini grid assets that are not reimbursed or exempt from taxes by government in terms of the applicable VAT and duty exemption laws</t>
        </r>
      </text>
    </comment>
    <comment ref="A56" authorId="1" shapeId="0" xr:uid="{8A700E49-C981-491B-8C5E-65CA1327D974}">
      <text>
        <r>
          <rPr>
            <b/>
            <sz val="9"/>
            <color indexed="81"/>
            <rFont val="Tahoma"/>
            <family val="2"/>
          </rPr>
          <t>Note:</t>
        </r>
        <r>
          <rPr>
            <sz val="9"/>
            <color indexed="81"/>
            <rFont val="Tahoma"/>
            <family val="2"/>
          </rPr>
          <t xml:space="preserve">
assembly and installation</t>
        </r>
      </text>
    </comment>
    <comment ref="A57" authorId="1" shapeId="0" xr:uid="{C7E10363-786F-42EC-9123-4ACC2A4A3431}">
      <text>
        <r>
          <rPr>
            <b/>
            <sz val="9"/>
            <color indexed="81"/>
            <rFont val="Tahoma"/>
            <family val="2"/>
          </rPr>
          <t>Note:</t>
        </r>
        <r>
          <rPr>
            <sz val="9"/>
            <color indexed="81"/>
            <rFont val="Tahoma"/>
            <family val="2"/>
          </rPr>
          <t xml:space="preserve">
includes 
1) the cost and installation of assets and equipment related to delivering electricity to the end-user
2) wiring
3) poles insulators
4) safety equipment</t>
        </r>
      </text>
    </comment>
    <comment ref="A59" authorId="1" shapeId="0" xr:uid="{29F30E53-E1B4-46EF-83C6-AAC1871E9FCD}">
      <text>
        <r>
          <rPr>
            <b/>
            <sz val="9"/>
            <color indexed="81"/>
            <rFont val="Tahoma"/>
            <family val="2"/>
          </rPr>
          <t>Note:</t>
        </r>
        <r>
          <rPr>
            <sz val="9"/>
            <color indexed="81"/>
            <rFont val="Tahoma"/>
            <family val="2"/>
          </rPr>
          <t xml:space="preserve">
1) overhead accessories for dropline to the home
2) meters 
3) other costs for customer connection, including internal wiring and basic power kit of light &amp; socket</t>
        </r>
      </text>
    </comment>
    <comment ref="A63" authorId="1" shapeId="0" xr:uid="{6DBBFAD0-CA13-4475-B259-34D5BF349A20}">
      <text>
        <r>
          <rPr>
            <b/>
            <sz val="9"/>
            <color indexed="81"/>
            <rFont val="Tahoma"/>
            <family val="2"/>
          </rPr>
          <t xml:space="preserve">Note: </t>
        </r>
        <r>
          <rPr>
            <sz val="9"/>
            <color indexed="81"/>
            <rFont val="Tahoma"/>
            <family val="2"/>
          </rPr>
          <t>includes
1) permits
2) environmental impact assessment
3) land lease
4) company foundation and establishment
5) contract and legal
6) site survey/resource assessment
7) technical design
8) hiring site agents
8) technical assistance
9) demand assessment
10) client development
11) community and government approval
12) travel and accommodation
13) acquisition of capital including due diligence</t>
        </r>
      </text>
    </comment>
    <comment ref="A68" authorId="1" shapeId="0" xr:uid="{344907B0-BC17-4F24-9BE2-4B4150236597}">
      <text>
        <r>
          <rPr>
            <b/>
            <sz val="9"/>
            <color indexed="81"/>
            <rFont val="Tahoma"/>
            <family val="2"/>
          </rPr>
          <t>Note:</t>
        </r>
        <r>
          <rPr>
            <sz val="9"/>
            <color indexed="81"/>
            <rFont val="Tahoma"/>
            <family val="2"/>
          </rPr>
          <t xml:space="preserve">
Cabling/wiring/conductors, conduits, combiner boxes, protection devices, disconnects, grounding conductors, monitoring and control devices, communication equipment, safety and security equipment</t>
        </r>
      </text>
    </comment>
    <comment ref="A71" authorId="1" shapeId="0" xr:uid="{772274FB-DCA0-453B-8925-6008221F874F}">
      <text>
        <r>
          <rPr>
            <b/>
            <sz val="9"/>
            <color indexed="81"/>
            <rFont val="Tahoma"/>
            <family val="2"/>
          </rPr>
          <t>Note:</t>
        </r>
        <r>
          <rPr>
            <sz val="9"/>
            <color indexed="81"/>
            <rFont val="Tahoma"/>
            <family val="2"/>
          </rPr>
          <t xml:space="preserve">
1) costs associated with transporting equipment
2) storage costs and 
3) logistics during planning</t>
        </r>
      </text>
    </comment>
    <comment ref="A72" authorId="1" shapeId="0" xr:uid="{FD2DBA55-0010-4DB6-B9CA-35D86E695038}">
      <text>
        <r>
          <rPr>
            <b/>
            <sz val="9"/>
            <color indexed="81"/>
            <rFont val="Tahoma"/>
            <family val="2"/>
          </rPr>
          <t>Note:</t>
        </r>
        <r>
          <rPr>
            <sz val="9"/>
            <color indexed="81"/>
            <rFont val="Tahoma"/>
            <family val="2"/>
          </rPr>
          <t xml:space="preserve">
Includes
1) any VAT and duties paid on mini grid assets that are not reimbursed or exempt from taxes by government in terms of the applicable VAT and duty exemption laws</t>
        </r>
      </text>
    </comment>
    <comment ref="A73" authorId="1" shapeId="0" xr:uid="{0A41322C-13DC-42A1-905F-ED58A70D6AF3}">
      <text>
        <r>
          <rPr>
            <b/>
            <sz val="9"/>
            <color indexed="81"/>
            <rFont val="Tahoma"/>
            <family val="2"/>
          </rPr>
          <t>Note:</t>
        </r>
        <r>
          <rPr>
            <sz val="9"/>
            <color indexed="81"/>
            <rFont val="Tahoma"/>
            <family val="2"/>
          </rPr>
          <t xml:space="preserve">
Includes
1) any VAT and duties paid on mini grid assets that are not reimbursed or exempt from taxes by government in terms of the applicable VAT and duty exemption laws</t>
        </r>
      </text>
    </comment>
    <comment ref="A74" authorId="1" shapeId="0" xr:uid="{E822697B-5647-4789-A7A9-FCE1E65D796A}">
      <text>
        <r>
          <rPr>
            <b/>
            <sz val="9"/>
            <color indexed="81"/>
            <rFont val="Tahoma"/>
            <family val="2"/>
          </rPr>
          <t>Note:</t>
        </r>
        <r>
          <rPr>
            <sz val="9"/>
            <color indexed="81"/>
            <rFont val="Tahoma"/>
            <family val="2"/>
          </rPr>
          <t xml:space="preserve">
assembly and installation</t>
        </r>
      </text>
    </comment>
    <comment ref="A75" authorId="1" shapeId="0" xr:uid="{D3C11B9F-2223-483D-A219-A97CDF67F9A4}">
      <text>
        <r>
          <rPr>
            <b/>
            <sz val="9"/>
            <color indexed="81"/>
            <rFont val="Tahoma"/>
            <family val="2"/>
          </rPr>
          <t>Note:</t>
        </r>
        <r>
          <rPr>
            <sz val="9"/>
            <color indexed="81"/>
            <rFont val="Tahoma"/>
            <family val="2"/>
          </rPr>
          <t xml:space="preserve">
includes 
1) the cost and installation of assets and equipment related to delivering electricity to the end-user
2) wiring
3) poles insulators
4) safety equipment</t>
        </r>
      </text>
    </comment>
    <comment ref="A77" authorId="1" shapeId="0" xr:uid="{B67080E3-4F57-40BD-916D-CA7A1415EB46}">
      <text>
        <r>
          <rPr>
            <b/>
            <sz val="9"/>
            <color indexed="81"/>
            <rFont val="Tahoma"/>
            <family val="2"/>
          </rPr>
          <t>Note:</t>
        </r>
        <r>
          <rPr>
            <sz val="9"/>
            <color indexed="81"/>
            <rFont val="Tahoma"/>
            <family val="2"/>
          </rPr>
          <t xml:space="preserve">
1) overhead accessories for dropline to the home
2) meters 
3) other costs for customer connection, including internal wiring and basic power kit of light &amp; socket</t>
        </r>
      </text>
    </comment>
    <comment ref="A81" authorId="1" shapeId="0" xr:uid="{FC25E8D0-62DA-424D-B817-4D38CC9CCE06}">
      <text>
        <r>
          <rPr>
            <b/>
            <sz val="9"/>
            <color indexed="81"/>
            <rFont val="Tahoma"/>
            <family val="2"/>
          </rPr>
          <t xml:space="preserve">Note: </t>
        </r>
        <r>
          <rPr>
            <sz val="9"/>
            <color indexed="81"/>
            <rFont val="Tahoma"/>
            <family val="2"/>
          </rPr>
          <t>includes
1) permits
2) environmental impact assessment
3) land lease
4) company foundation and establishment
5) contract and legal
6) site survey/resource assessment
7) technical design
8) hiring site agents
8) technical assistance
9) demand assessment
10) client development
11) community and government approval
12) travel and accommodation
13) acquisition of capital including due diligence</t>
        </r>
      </text>
    </comment>
    <comment ref="A86" authorId="0" shapeId="0" xr:uid="{6FEAB03D-DC4F-4E30-9E9C-5ADD3DA6F2C4}">
      <text>
        <r>
          <rPr>
            <b/>
            <sz val="9"/>
            <color indexed="81"/>
            <rFont val="Tahoma"/>
            <family val="2"/>
          </rPr>
          <t>Note:</t>
        </r>
        <r>
          <rPr>
            <sz val="9"/>
            <color indexed="81"/>
            <rFont val="Tahoma"/>
            <family val="2"/>
          </rPr>
          <t xml:space="preserve">
1) pumps
2) fans
3: exhaust/emissions controls
4) systems controls
5) cranes, stackers, reclaimers, front-end loaders, belts, augers, and pneumatic transport</t>
        </r>
      </text>
    </comment>
    <comment ref="A89" authorId="1" shapeId="0" xr:uid="{680B7C97-8453-436D-9A8D-F97D9CECA119}">
      <text>
        <r>
          <rPr>
            <b/>
            <sz val="9"/>
            <color indexed="81"/>
            <rFont val="Tahoma"/>
            <family val="2"/>
          </rPr>
          <t>Note:</t>
        </r>
        <r>
          <rPr>
            <sz val="9"/>
            <color indexed="81"/>
            <rFont val="Tahoma"/>
            <family val="2"/>
          </rPr>
          <t xml:space="preserve">
1) costs associated with transporting equipment
2) storage costs and 
3) logistics during planning</t>
        </r>
      </text>
    </comment>
    <comment ref="A90" authorId="1" shapeId="0" xr:uid="{3CFA196F-959C-4B12-AB73-36E4CAAA08C8}">
      <text>
        <r>
          <rPr>
            <b/>
            <sz val="9"/>
            <color indexed="81"/>
            <rFont val="Tahoma"/>
            <family val="2"/>
          </rPr>
          <t>Note:</t>
        </r>
        <r>
          <rPr>
            <sz val="9"/>
            <color indexed="81"/>
            <rFont val="Tahoma"/>
            <family val="2"/>
          </rPr>
          <t xml:space="preserve">
Includes
1) any VAT and duties paid on mini grid assets that are not reimbursed or exempt from taxes by government in terms of the applicable VAT and duty exemption laws</t>
        </r>
      </text>
    </comment>
    <comment ref="A91" authorId="1" shapeId="0" xr:uid="{52A056AF-4E70-4963-9E91-5BF637E203C1}">
      <text>
        <r>
          <rPr>
            <b/>
            <sz val="9"/>
            <color indexed="81"/>
            <rFont val="Tahoma"/>
            <family val="2"/>
          </rPr>
          <t>Note:</t>
        </r>
        <r>
          <rPr>
            <sz val="9"/>
            <color indexed="81"/>
            <rFont val="Tahoma"/>
            <family val="2"/>
          </rPr>
          <t xml:space="preserve">
Includes
1) any VAT and duties paid on mini grid assets that are not reimbursed or exempt from taxes by government in terms of the applicable VAT and duty exemption laws</t>
        </r>
      </text>
    </comment>
    <comment ref="A92" authorId="1" shapeId="0" xr:uid="{E17F64C3-4343-45EF-B919-5C9EB3C855B4}">
      <text>
        <r>
          <rPr>
            <b/>
            <sz val="9"/>
            <color indexed="81"/>
            <rFont val="Tahoma"/>
            <family val="2"/>
          </rPr>
          <t>Note:</t>
        </r>
        <r>
          <rPr>
            <sz val="9"/>
            <color indexed="81"/>
            <rFont val="Tahoma"/>
            <family val="2"/>
          </rPr>
          <t xml:space="preserve">
assembly and installation</t>
        </r>
      </text>
    </comment>
    <comment ref="A93" authorId="1" shapeId="0" xr:uid="{927D9D15-2A96-4748-B1F6-D1BDD92DC483}">
      <text>
        <r>
          <rPr>
            <b/>
            <sz val="9"/>
            <color indexed="81"/>
            <rFont val="Tahoma"/>
            <family val="2"/>
          </rPr>
          <t>Note:</t>
        </r>
        <r>
          <rPr>
            <sz val="9"/>
            <color indexed="81"/>
            <rFont val="Tahoma"/>
            <family val="2"/>
          </rPr>
          <t xml:space="preserve">
includes 
1) the cost and installation of assets and equipment related to delivering electricity to the end-user
2) wiring
3) poles insulators
4) safety equipment</t>
        </r>
      </text>
    </comment>
    <comment ref="A95" authorId="1" shapeId="0" xr:uid="{949B7164-2320-4E45-A407-0D09E7A0911B}">
      <text>
        <r>
          <rPr>
            <b/>
            <sz val="9"/>
            <color indexed="81"/>
            <rFont val="Tahoma"/>
            <family val="2"/>
          </rPr>
          <t>Note:</t>
        </r>
        <r>
          <rPr>
            <sz val="9"/>
            <color indexed="81"/>
            <rFont val="Tahoma"/>
            <family val="2"/>
          </rPr>
          <t xml:space="preserve">
1) overhead accessories for dropline to the home
2) meters 
3) other costs for customer connection, including internal wiring and basic power kit of light &amp; socket</t>
        </r>
      </text>
    </comment>
    <comment ref="A99" authorId="1" shapeId="0" xr:uid="{02D2A6F8-1597-43A7-95DF-BDB63BFE5BB3}">
      <text>
        <r>
          <rPr>
            <b/>
            <sz val="9"/>
            <color indexed="81"/>
            <rFont val="Tahoma"/>
            <family val="2"/>
          </rPr>
          <t xml:space="preserve">Note: </t>
        </r>
        <r>
          <rPr>
            <sz val="9"/>
            <color indexed="81"/>
            <rFont val="Tahoma"/>
            <family val="2"/>
          </rPr>
          <t>includes
1) permits
2) environmental impact assessment
3) land lease
4) company foundation and establishment
5) contract and legal
6) site survey/resource assessment
7) technical design
8) hiring site agents
8) technical assistance
9) demand assessment
10) client development
11) community and government approval
12) travel and accommodation
13) acquisition of capital including due diligence</t>
        </r>
      </text>
    </comment>
    <comment ref="A107" authorId="1" shapeId="0" xr:uid="{C8795B8C-30DB-47C4-89CD-B0FCCFBF893A}">
      <text>
        <r>
          <rPr>
            <b/>
            <sz val="9"/>
            <color indexed="81"/>
            <rFont val="Tahoma"/>
            <family val="2"/>
          </rPr>
          <t>Note:</t>
        </r>
        <r>
          <rPr>
            <sz val="9"/>
            <color indexed="81"/>
            <rFont val="Tahoma"/>
            <family val="2"/>
          </rPr>
          <t xml:space="preserve">
1) costs associated with transporting equipment
2) storage costs and 
3) logistics during planning</t>
        </r>
      </text>
    </comment>
    <comment ref="A108" authorId="1" shapeId="0" xr:uid="{657930BF-5ABD-4954-98B3-2F24FAF18A7B}">
      <text>
        <r>
          <rPr>
            <b/>
            <sz val="9"/>
            <color indexed="81"/>
            <rFont val="Tahoma"/>
            <family val="2"/>
          </rPr>
          <t>Note:</t>
        </r>
        <r>
          <rPr>
            <sz val="9"/>
            <color indexed="81"/>
            <rFont val="Tahoma"/>
            <family val="2"/>
          </rPr>
          <t xml:space="preserve">
Includes
1) any VAT and duties paid on mini grid assets that are not reimbursed or exempt from taxes by government in terms of the applicable VAT and duty exemption laws</t>
        </r>
      </text>
    </comment>
    <comment ref="A109" authorId="1" shapeId="0" xr:uid="{8B6D4751-3608-4138-9E1C-ABF345245F7E}">
      <text>
        <r>
          <rPr>
            <b/>
            <sz val="9"/>
            <color indexed="81"/>
            <rFont val="Tahoma"/>
            <family val="2"/>
          </rPr>
          <t>Note:</t>
        </r>
        <r>
          <rPr>
            <sz val="9"/>
            <color indexed="81"/>
            <rFont val="Tahoma"/>
            <family val="2"/>
          </rPr>
          <t xml:space="preserve">
Includes
1) any VAT and duties paid on mini grid assets that are not reimbursed or exempt from taxes by government in terms of the applicable VAT and duty exemption laws</t>
        </r>
      </text>
    </comment>
    <comment ref="A110" authorId="1" shapeId="0" xr:uid="{6A39A7E4-169A-4780-B7EB-A6211AF22C8A}">
      <text>
        <r>
          <rPr>
            <b/>
            <sz val="9"/>
            <color indexed="81"/>
            <rFont val="Tahoma"/>
            <family val="2"/>
          </rPr>
          <t>Note:</t>
        </r>
        <r>
          <rPr>
            <sz val="9"/>
            <color indexed="81"/>
            <rFont val="Tahoma"/>
            <family val="2"/>
          </rPr>
          <t xml:space="preserve">
assembly and installation</t>
        </r>
      </text>
    </comment>
    <comment ref="A111" authorId="1" shapeId="0" xr:uid="{C22AFCCE-1A3B-42FE-B0DD-95E078CE7C39}">
      <text>
        <r>
          <rPr>
            <b/>
            <sz val="9"/>
            <color indexed="81"/>
            <rFont val="Tahoma"/>
            <family val="2"/>
          </rPr>
          <t>Note:</t>
        </r>
        <r>
          <rPr>
            <sz val="9"/>
            <color indexed="81"/>
            <rFont val="Tahoma"/>
            <family val="2"/>
          </rPr>
          <t xml:space="preserve">
includes 
1) the cost and installation of assets and equipment related to delivering electricity to the end-user
2) wiring
3) poles insulators
4) safety equipment</t>
        </r>
      </text>
    </comment>
    <comment ref="A113" authorId="1" shapeId="0" xr:uid="{E2F97641-921E-4E62-9107-C13A0F53E8DA}">
      <text>
        <r>
          <rPr>
            <b/>
            <sz val="9"/>
            <color indexed="81"/>
            <rFont val="Tahoma"/>
            <family val="2"/>
          </rPr>
          <t>Note:</t>
        </r>
        <r>
          <rPr>
            <sz val="9"/>
            <color indexed="81"/>
            <rFont val="Tahoma"/>
            <family val="2"/>
          </rPr>
          <t xml:space="preserve">
1) overhead accessories for dropline to the home
2) meters 
3) other costs for customer connection, including internal wiring and basic power kit of light &amp; socket</t>
        </r>
      </text>
    </comment>
    <comment ref="A131" authorId="1" shapeId="0" xr:uid="{AA30BE4E-4D05-4B4E-862E-DE9DEAACF5A2}">
      <text>
        <r>
          <rPr>
            <b/>
            <sz val="9"/>
            <color indexed="81"/>
            <rFont val="Tahoma"/>
            <family val="2"/>
          </rPr>
          <t xml:space="preserve">Note:
</t>
        </r>
        <r>
          <rPr>
            <sz val="9"/>
            <color indexed="81"/>
            <rFont val="Tahoma"/>
            <family val="2"/>
          </rPr>
          <t xml:space="preserve">The money needed to finance the time gap between payments to suppliers and receipt of payments from customers:
In this model we use the following which we have modified from the Zambia WC formula:
WC = 1/12(Operating and Maintenance Cost Allowance+Power Purchase Cost allowance) </t>
        </r>
      </text>
    </comment>
    <comment ref="A136" authorId="1" shapeId="0" xr:uid="{E23DE6AC-D848-4B83-92CD-1E70E33309D4}">
      <text>
        <r>
          <rPr>
            <b/>
            <sz val="9"/>
            <color indexed="81"/>
            <rFont val="Tahoma"/>
            <family val="2"/>
          </rPr>
          <t>Note:</t>
        </r>
        <r>
          <rPr>
            <sz val="9"/>
            <color indexed="81"/>
            <rFont val="Tahoma"/>
            <family val="2"/>
          </rPr>
          <t xml:space="preserve">
Operational costs of minigrids consist of expenses incurred on a recurring basis such as staff salaries, repairs and routine maintenance of equipment, fuel for a diesel generator, payment collection and security</t>
        </r>
      </text>
    </comment>
    <comment ref="A138" authorId="1" shapeId="0" xr:uid="{29E161E5-66DC-454B-BB8F-2329F1C01F91}">
      <text>
        <r>
          <rPr>
            <b/>
            <sz val="9"/>
            <color indexed="81"/>
            <rFont val="Tahoma"/>
            <family val="2"/>
          </rPr>
          <t>Note:</t>
        </r>
        <r>
          <rPr>
            <sz val="9"/>
            <color indexed="81"/>
            <rFont val="Tahoma"/>
            <family val="2"/>
          </rPr>
          <t xml:space="preserve">
the costs of the day-to-day operations and technical maintenance of the minigrid, fuel costs, lubrication oil, transportation and logistics, replacement of components, customer acquisition, variable taxes, customer service and community meetings associated with community engagement</t>
        </r>
      </text>
    </comment>
    <comment ref="A139" authorId="1" shapeId="0" xr:uid="{350F7315-5048-4EBF-B97B-CA34E0725787}">
      <text>
        <r>
          <rPr>
            <b/>
            <sz val="9"/>
            <color indexed="81"/>
            <rFont val="Tahoma"/>
            <family val="2"/>
          </rPr>
          <t>Note:</t>
        </r>
        <r>
          <rPr>
            <sz val="9"/>
            <color indexed="81"/>
            <rFont val="Tahoma"/>
            <family val="2"/>
          </rPr>
          <t xml:space="preserve">
costs including billing and payment collection expenses, customer relationship management, mobile money infrastructure and data, software platform costs, metering, and land leasing, security/guards, local power plant operations, travel and transaction costs, taxes and fees, insurance, cleaning staff</t>
        </r>
      </text>
    </comment>
    <comment ref="A140" authorId="1" shapeId="0" xr:uid="{6DC6F858-E5A4-4AA1-B072-C59E33DFC42F}">
      <text>
        <r>
          <rPr>
            <b/>
            <sz val="9"/>
            <color indexed="81"/>
            <rFont val="Tahoma"/>
            <family val="2"/>
          </rPr>
          <t>Note:</t>
        </r>
        <r>
          <rPr>
            <sz val="9"/>
            <color indexed="81"/>
            <rFont val="Tahoma"/>
            <family val="2"/>
          </rPr>
          <t xml:space="preserve">
expenditures including legal, senior management and central staff labour costs, training expenses and non-site-specific travel expenses</t>
        </r>
      </text>
    </comment>
    <comment ref="H194" authorId="0" shapeId="0" xr:uid="{FE9388BE-BC5B-4F6F-B421-5FF529A81CEA}">
      <text>
        <r>
          <rPr>
            <b/>
            <sz val="9"/>
            <color indexed="81"/>
            <rFont val="Tahoma"/>
            <family val="2"/>
          </rPr>
          <t>Robert Opini:</t>
        </r>
        <r>
          <rPr>
            <sz val="9"/>
            <color indexed="81"/>
            <rFont val="Tahoma"/>
            <family val="2"/>
          </rPr>
          <t xml:space="preserve">
Under the avoided-cost tariff approach, mini-grid operators design tariffs that translate into monthly bills. The bills are equal to or less than what consumers would otherwise have paid for other energy sources, such as kerosene.
(Source:https://www.usaid.gov/energy/mini-grids/regulation/tariffs#:~:text=Under%20the%20avoided%2Dcost%20tariff,energy%20sources%2C%20such%20as%20kerosene.)</t>
        </r>
      </text>
    </comment>
    <comment ref="C197" authorId="0" shapeId="0" xr:uid="{97EF0F84-8E51-4A7E-9521-A62BC48E573C}">
      <text>
        <r>
          <rPr>
            <b/>
            <sz val="9"/>
            <color indexed="81"/>
            <rFont val="Tahoma"/>
            <family val="2"/>
          </rPr>
          <t>Robert Opini:</t>
        </r>
        <r>
          <rPr>
            <sz val="9"/>
            <color indexed="81"/>
            <rFont val="Tahoma"/>
            <family val="2"/>
          </rPr>
          <t xml:space="preserve">
ACPC = Average Consumption Per Customer Per Month</t>
        </r>
      </text>
    </comment>
    <comment ref="A235" authorId="1" shapeId="0" xr:uid="{76AF528D-D99B-41BD-BA41-8E39489C29BA}">
      <text>
        <r>
          <rPr>
            <b/>
            <sz val="9"/>
            <color indexed="81"/>
            <rFont val="Tahoma"/>
            <family val="2"/>
          </rPr>
          <t>Note:</t>
        </r>
        <r>
          <rPr>
            <sz val="9"/>
            <color indexed="81"/>
            <rFont val="Tahoma"/>
            <family val="2"/>
          </rPr>
          <t xml:space="preserve">
If a strategic, long term view on rural electrification was taken, the enormous cost savings minigrids offer per connection could be reallocated to subsidize the consumer price of power for up to a decade at almost any kWh price and still save donors, African governments, and their taxpaying citizens hundreds of millions of dollars compared to grid extension costs</t>
        </r>
      </text>
    </comment>
    <comment ref="C235" authorId="0" shapeId="0" xr:uid="{C1EDD9D4-60CD-41B7-9FC5-96225474CF61}">
      <text>
        <r>
          <rPr>
            <sz val="9"/>
            <color indexed="81"/>
            <rFont val="Tahoma"/>
            <family val="2"/>
          </rPr>
          <t xml:space="preserve">Note:
This is the Connection Subsidy that was in place in Nigeria before it was increased
</t>
        </r>
      </text>
    </comment>
    <comment ref="D235" authorId="0" shapeId="0" xr:uid="{C3212A88-7BB8-452F-BD79-98C940DEF506}">
      <text>
        <r>
          <rPr>
            <b/>
            <sz val="9"/>
            <color indexed="81"/>
            <rFont val="Tahoma"/>
            <family val="2"/>
          </rPr>
          <t>Note:
This is the new connection subsidy to be given in Nigeria</t>
        </r>
      </text>
    </comment>
    <comment ref="E235" authorId="0" shapeId="0" xr:uid="{0C21C6C9-CD03-42BE-9B42-C9A0047DDC4A}">
      <text>
        <r>
          <rPr>
            <b/>
            <sz val="9"/>
            <color indexed="81"/>
            <rFont val="Tahoma"/>
            <family val="2"/>
          </rPr>
          <t>Note:</t>
        </r>
        <r>
          <rPr>
            <sz val="9"/>
            <color indexed="81"/>
            <rFont val="Tahoma"/>
            <family val="2"/>
          </rPr>
          <t xml:space="preserve">
Average cost per connection as per referenced AMDA study</t>
        </r>
      </text>
    </comment>
    <comment ref="C237" authorId="1" shapeId="0" xr:uid="{488B276F-D1F7-498D-BB31-FF3C18128580}">
      <text>
        <r>
          <rPr>
            <b/>
            <sz val="9"/>
            <color indexed="81"/>
            <rFont val="Tahoma"/>
            <family val="2"/>
          </rPr>
          <t>Note:</t>
        </r>
        <r>
          <rPr>
            <sz val="9"/>
            <color indexed="81"/>
            <rFont val="Tahoma"/>
            <family val="2"/>
          </rPr>
          <t xml:space="preserve">
Cost of grid extension
per household (USD) 
in Kenya(2014) $1047,
 Rwanda (2011)=$840, Mozambique(2017)=$690</t>
        </r>
      </text>
    </comment>
    <comment ref="A243" authorId="1" shapeId="0" xr:uid="{C17CA7BD-583F-409F-8605-5ABF3A4B19A3}">
      <text>
        <r>
          <rPr>
            <b/>
            <sz val="9"/>
            <color indexed="81"/>
            <rFont val="Tahoma"/>
            <family val="2"/>
          </rPr>
          <t>Note:</t>
        </r>
        <r>
          <rPr>
            <sz val="9"/>
            <color indexed="81"/>
            <rFont val="Tahoma"/>
            <family val="2"/>
          </rPr>
          <t xml:space="preserve">
There is a positive correlation between utilization rates and ARPUs. Higher daytime utilization of the solar mini-grid benefits the mini-grid operator as providing power directly from PV panels represents zero marginal costs.</t>
        </r>
      </text>
    </comment>
    <comment ref="G252" authorId="1" shapeId="0" xr:uid="{CCA30CA6-56FD-4BB1-A621-D6E2FBB4FA39}">
      <text>
        <r>
          <rPr>
            <b/>
            <sz val="9"/>
            <color indexed="81"/>
            <rFont val="Tahoma"/>
            <family val="2"/>
          </rPr>
          <t>Robert:</t>
        </r>
        <r>
          <rPr>
            <sz val="9"/>
            <color indexed="81"/>
            <rFont val="Tahoma"/>
            <family val="2"/>
          </rPr>
          <t xml:space="preserve">
STATE OF THE GLOBAL MINI-GRIDS MARKET REPORT 2020</t>
        </r>
      </text>
    </comment>
    <comment ref="G253" authorId="1" shapeId="0" xr:uid="{15BB18CC-A234-407D-87EA-81A508BEC226}">
      <text>
        <r>
          <rPr>
            <b/>
            <sz val="9"/>
            <color indexed="81"/>
            <rFont val="Tahoma"/>
            <family val="2"/>
          </rPr>
          <t>Robert:</t>
        </r>
        <r>
          <rPr>
            <sz val="9"/>
            <color indexed="81"/>
            <rFont val="Tahoma"/>
            <family val="2"/>
          </rPr>
          <t xml:space="preserve">
STATE OF THE GLOBAL MINI-GRIDS MARKET REPORT 2020</t>
        </r>
      </text>
    </comment>
    <comment ref="E257" authorId="1" shapeId="0" xr:uid="{8FE74ACA-EB10-44B2-9FC7-738D7965CA1B}">
      <text>
        <r>
          <rPr>
            <b/>
            <sz val="9"/>
            <color indexed="81"/>
            <rFont val="Tahoma"/>
            <family val="2"/>
          </rPr>
          <t>Note:</t>
        </r>
        <r>
          <rPr>
            <sz val="9"/>
            <color indexed="81"/>
            <rFont val="Tahoma"/>
            <family val="2"/>
          </rPr>
          <t xml:space="preserve">
In contrast, national utility service rates in rural areas, electrification rates remain very low, averaging 5% for rural households and 22% for rural businesses (University of California, Berkeley study)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Robert Opini</author>
    <author>Robert</author>
  </authors>
  <commentList>
    <comment ref="A18" authorId="0" shapeId="0" xr:uid="{DC9EBDEE-5522-4132-9A6A-70998CC80BE4}">
      <text>
        <r>
          <rPr>
            <b/>
            <sz val="9"/>
            <color indexed="81"/>
            <rFont val="Tahoma"/>
            <family val="2"/>
          </rPr>
          <t xml:space="preserve">Note: </t>
        </r>
        <r>
          <rPr>
            <sz val="9"/>
            <color indexed="81"/>
            <rFont val="Tahoma"/>
            <family val="2"/>
          </rPr>
          <t>ANNUITY METHOD
The principle underlying this method is that in calculating depreciation regard
should be held, not only to the cost of an asset but also to the interest which the
capital locked in that asset would have earned had it been invested outside the
business. So under this method, a fixed installment of depreciation is charged against
revenue for each year of the life of the asset in such a way that at a given rate of
interest the present value of the sum of all those installments equals to the cost of the
asset. Stated otherwise, depreciation for each year is made to include an interest on
unrecovered capital outlay but the interest which is credited annually to Profit and
Loss Account, gradually diminishes. On the other hand, depreciation excluding
interest i.e. net depreciation goes on increasing. It may also be noted that Annuity
Method of depreciation recovers more than the original cost of the asset. The excess
being interest on investment.
Source: http://www.accioneduca.org/admin/archivos/clases/material/depreciation_1564412042.pdf</t>
        </r>
      </text>
    </comment>
    <comment ref="A43" authorId="1" shapeId="0" xr:uid="{ABB95FA6-CB2A-42D1-88A9-8046EC6838E3}">
      <text>
        <r>
          <rPr>
            <b/>
            <sz val="9"/>
            <color indexed="81"/>
            <rFont val="Tahoma"/>
            <family val="2"/>
          </rPr>
          <t>Robert:</t>
        </r>
        <r>
          <rPr>
            <sz val="9"/>
            <color indexed="81"/>
            <rFont val="Tahoma"/>
            <family val="2"/>
          </rPr>
          <t xml:space="preserve">
A regulatory deferral account balance is an amount of expense or income that would not be recognised as an asset or liability, but that qualifies to be deferred in accordance with IFRS 14, because the amount is included, or is expected to be included, by a rate regulator in establishing the tariffs/prices that an entity can charge to customers for rate-regulated goods or services.</t>
        </r>
      </text>
    </comment>
    <comment ref="AB50" authorId="0" shapeId="0" xr:uid="{99EAC190-857C-4C50-B966-7090CFDFCC97}">
      <text>
        <r>
          <rPr>
            <b/>
            <sz val="9"/>
            <color indexed="81"/>
            <rFont val="Tahoma"/>
            <family val="2"/>
          </rPr>
          <t>Note:</t>
        </r>
        <r>
          <rPr>
            <sz val="9"/>
            <color indexed="81"/>
            <rFont val="Tahoma"/>
            <family val="2"/>
          </rPr>
          <t xml:space="preserve">
This balance is the cost of land and residual value. Land is not a depreciable asset.</t>
        </r>
      </text>
    </comment>
    <comment ref="C112" authorId="1" shapeId="0" xr:uid="{D8644F00-37B4-4F72-9964-3071D80C2EEE}">
      <text>
        <r>
          <rPr>
            <b/>
            <sz val="9"/>
            <color indexed="81"/>
            <rFont val="Tahoma"/>
            <family val="2"/>
          </rPr>
          <t>Note:</t>
        </r>
        <r>
          <rPr>
            <sz val="9"/>
            <color indexed="81"/>
            <rFont val="Tahoma"/>
            <family val="2"/>
          </rPr>
          <t xml:space="preserve">
IAS/IFRS requires as follows:
1) A grant is recognised only when there is reasonable assurance that (a) the entity will comply with any conditions attached to the grant and (b) the grant will be received. [IAS 20.7];
2) The grant is recognised as income over the period necessary to match them with the related costs, for which they are intended to compensate, on a systematic basis. [IAS 20.12];
3) A grant receivable as compensation for costs already incurred or for immediate financial support, with no future related costs, should be recognised as income in the period in which it is receivable. [IAS 20.20]
4) A grant relating to income may be reported separately as 'other income' or deducted from the related expense. [IAS 20.29]</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Robert Opini</author>
  </authors>
  <commentList>
    <comment ref="A53" authorId="0" shapeId="0" xr:uid="{C59720D2-D035-414A-AFF9-8EC48057BF3B}">
      <text>
        <r>
          <rPr>
            <b/>
            <sz val="9"/>
            <color indexed="81"/>
            <rFont val="Tahoma"/>
            <family val="2"/>
          </rPr>
          <t>Note:</t>
        </r>
        <r>
          <rPr>
            <sz val="9"/>
            <color indexed="81"/>
            <rFont val="Tahoma"/>
            <family val="2"/>
          </rPr>
          <t xml:space="preserve">
A debt service coverage ratio of 1 or above indicates that a company is generating sufficient operating income to cover its annual debt and interest payments. As a general rule of thumb, an ideal ratio is 2 or higher. A ratio that high suggests that the company is capable of taking on more debt.</t>
        </r>
      </text>
    </comment>
    <comment ref="A55" authorId="0" shapeId="0" xr:uid="{B03DC2A8-E4B5-4FF9-8DFC-EBE68E2B06F0}">
      <text>
        <r>
          <rPr>
            <b/>
            <sz val="9"/>
            <color indexed="81"/>
            <rFont val="Tahoma"/>
            <family val="2"/>
          </rPr>
          <t>Note:</t>
        </r>
        <r>
          <rPr>
            <sz val="9"/>
            <color indexed="81"/>
            <rFont val="Tahoma"/>
            <family val="2"/>
          </rPr>
          <t xml:space="preserve">
As a rule of thumb, an ICR above 2 would be barely acceptable for companies with consistent revenues and cash flows. In some cases, analysts would like to see an ICR above 3. An ICR lower than 1 implies poor financial health, as it shows that the company cannot pay off its short-term interest obligations.</t>
        </r>
      </text>
    </comment>
    <comment ref="A56" authorId="0" shapeId="0" xr:uid="{8FB4C4F6-70C0-4DFE-B690-A34727C956F4}">
      <text>
        <r>
          <rPr>
            <b/>
            <sz val="9"/>
            <color indexed="81"/>
            <rFont val="Tahoma"/>
            <family val="2"/>
          </rPr>
          <t>Note:</t>
        </r>
        <r>
          <rPr>
            <sz val="9"/>
            <color indexed="81"/>
            <rFont val="Tahoma"/>
            <family val="2"/>
          </rPr>
          <t xml:space="preserve">
After calculating CFADS, it can be graphed against interest and principal repayments to determine if there is sufficient cash flow available to pay this debt obligation.</t>
        </r>
      </text>
    </comment>
    <comment ref="A114" authorId="0" shapeId="0" xr:uid="{093E6F62-9D03-43C0-910C-41DFD3F0F752}">
      <text>
        <r>
          <rPr>
            <b/>
            <sz val="9"/>
            <color indexed="81"/>
            <rFont val="Tahoma"/>
            <family val="2"/>
          </rPr>
          <t xml:space="preserve">Note: </t>
        </r>
        <r>
          <rPr>
            <sz val="9"/>
            <color indexed="81"/>
            <rFont val="Tahoma"/>
            <family val="2"/>
          </rPr>
          <t>ANNUITY METHOD
The principle underlying this method is that in calculating depreciation regard
should be held, not only to the cost of an asset but also to the interest which the
capital locked in that asset would have earned had it been invested outside the
business. So under this method, a fixed installment of depreciation is charged against
revenue for each year of the life of the asset in such a way that at a given rate of
interest the present value of the sum of all those installments equals to the cost of the
asset. Stated otherwise, depreciation for each year is made to include an interest on
unrecovered capital outlay but the interest which is credited annually to Profit and
Loss Account, gradually diminishes. On the other hand, depreciation excluding
interest i.e. net depreciation goes on increasing. It may also be noted that Annuity
Method of depreciation recovers more than the original cost of the asset. The excess
being interest on investment.
Source: http://www.accioneduca.org/admin/archivos/clases/material/depreciation_1564412042.pdf</t>
        </r>
      </text>
    </comment>
    <comment ref="J223" authorId="0" shapeId="0" xr:uid="{D4C9EE07-3E08-489E-B555-6EFE948FE870}">
      <text>
        <r>
          <rPr>
            <b/>
            <sz val="9"/>
            <color indexed="81"/>
            <rFont val="Tahoma"/>
            <family val="2"/>
          </rPr>
          <t>Note:</t>
        </r>
        <r>
          <rPr>
            <sz val="9"/>
            <color indexed="81"/>
            <rFont val="Tahoma"/>
            <family val="2"/>
          </rPr>
          <t xml:space="preserve">
According to CBEA pilot, "for every $1 they saved on price, customers spent $0.93 on increasing their energy consumption.</t>
        </r>
      </text>
    </comment>
    <comment ref="J224" authorId="0" shapeId="0" xr:uid="{66610AFD-401F-474F-B3E9-BE9FAE5DA93C}">
      <text>
        <r>
          <rPr>
            <b/>
            <sz val="9"/>
            <color indexed="81"/>
            <rFont val="Tahoma"/>
            <family val="2"/>
          </rPr>
          <t>Note:</t>
        </r>
        <r>
          <rPr>
            <sz val="9"/>
            <color indexed="81"/>
            <rFont val="Tahoma"/>
            <family val="2"/>
          </rPr>
          <t xml:space="preserve">
According to CBEA pilot, "for every $1 they saved on price, customers spent $0.93 on increasing their energy consumption.</t>
        </r>
      </text>
    </comment>
    <comment ref="J225" authorId="0" shapeId="0" xr:uid="{0F37031F-FE12-4FB3-9A78-74F2450930FD}">
      <text>
        <r>
          <rPr>
            <b/>
            <sz val="9"/>
            <color indexed="81"/>
            <rFont val="Tahoma"/>
            <family val="2"/>
          </rPr>
          <t>Note:</t>
        </r>
        <r>
          <rPr>
            <sz val="9"/>
            <color indexed="81"/>
            <rFont val="Tahoma"/>
            <family val="2"/>
          </rPr>
          <t xml:space="preserve">
According to CBEA pilot, "for every $1 they saved on price, customers spent $0.93 on increasing their energy consumption.</t>
        </r>
      </text>
    </comment>
    <comment ref="J226" authorId="0" shapeId="0" xr:uid="{25C33CE0-6926-4CAB-B223-66B87E27C491}">
      <text>
        <r>
          <rPr>
            <b/>
            <sz val="9"/>
            <color indexed="81"/>
            <rFont val="Tahoma"/>
            <family val="2"/>
          </rPr>
          <t>Note:</t>
        </r>
        <r>
          <rPr>
            <sz val="9"/>
            <color indexed="81"/>
            <rFont val="Tahoma"/>
            <family val="2"/>
          </rPr>
          <t xml:space="preserve">
According to CBEA pilot, "for every $1 they saved on price, customers spent $0.93 on increasing their energy consumption.</t>
        </r>
      </text>
    </comment>
    <comment ref="J227" authorId="0" shapeId="0" xr:uid="{663A1A65-F47A-4D02-8064-97C5B59197D5}">
      <text>
        <r>
          <rPr>
            <b/>
            <sz val="9"/>
            <color indexed="81"/>
            <rFont val="Tahoma"/>
            <family val="2"/>
          </rPr>
          <t>Note:</t>
        </r>
        <r>
          <rPr>
            <sz val="9"/>
            <color indexed="81"/>
            <rFont val="Tahoma"/>
            <family val="2"/>
          </rPr>
          <t xml:space="preserve">
According to CBEA pilot, "for every $1 they saved on price, customers spent $0.93 on increasing their energy consumption.</t>
        </r>
      </text>
    </comment>
    <comment ref="J228" authorId="0" shapeId="0" xr:uid="{E9881506-EBCA-462F-BDDD-9CB73FD8DB8E}">
      <text>
        <r>
          <rPr>
            <b/>
            <sz val="9"/>
            <color indexed="81"/>
            <rFont val="Tahoma"/>
            <family val="2"/>
          </rPr>
          <t>Note:</t>
        </r>
        <r>
          <rPr>
            <sz val="9"/>
            <color indexed="81"/>
            <rFont val="Tahoma"/>
            <family val="2"/>
          </rPr>
          <t xml:space="preserve">
According to CBEA pilot, "for every $1 they saved on price, customers spent $0.93 on increasing their energy consumption.</t>
        </r>
      </text>
    </comment>
    <comment ref="J229" authorId="0" shapeId="0" xr:uid="{8AD4575E-966C-4F5F-ABE1-63B97AB0C129}">
      <text>
        <r>
          <rPr>
            <b/>
            <sz val="9"/>
            <color indexed="81"/>
            <rFont val="Tahoma"/>
            <family val="2"/>
          </rPr>
          <t>Note:</t>
        </r>
        <r>
          <rPr>
            <sz val="9"/>
            <color indexed="81"/>
            <rFont val="Tahoma"/>
            <family val="2"/>
          </rPr>
          <t xml:space="preserve">
According to CBEA pilot, "for every $1 they saved on price, customers spent $0.93 on increasing their energy consumption.</t>
        </r>
      </text>
    </comment>
    <comment ref="J230" authorId="0" shapeId="0" xr:uid="{657806A8-70CD-4D0D-AB59-89C7AD3D9D1D}">
      <text>
        <r>
          <rPr>
            <b/>
            <sz val="9"/>
            <color indexed="81"/>
            <rFont val="Tahoma"/>
            <family val="2"/>
          </rPr>
          <t>Note:</t>
        </r>
        <r>
          <rPr>
            <sz val="9"/>
            <color indexed="81"/>
            <rFont val="Tahoma"/>
            <family val="2"/>
          </rPr>
          <t xml:space="preserve">
According to CBEA pilot, "for every $1 they saved on price, customers spent $0.93 on increasing their energy consumption.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Robert</author>
  </authors>
  <commentList>
    <comment ref="A23" authorId="0" shapeId="0" xr:uid="{4C1B2D12-D63C-4C74-810D-88F12C87072F}">
      <text>
        <r>
          <rPr>
            <b/>
            <sz val="9"/>
            <color indexed="81"/>
            <rFont val="Tahoma"/>
            <family val="2"/>
          </rPr>
          <t xml:space="preserve">Note: </t>
        </r>
        <r>
          <rPr>
            <sz val="9"/>
            <color indexed="81"/>
            <rFont val="Tahoma"/>
            <family val="2"/>
          </rPr>
          <t>includes
1) permits
2) environmental impact assessment
3) land lease
4) company foundation and establishment
5) contract and legal
6) site survey/resource assessment
7) technical design
8) hiring site agents
8) technical assistance
9) demand assessment
10) client development
11) community and government approval
12) travel and accommodation
13) acquisition of capital including due diligence</t>
        </r>
      </text>
    </comment>
    <comment ref="A30" authorId="0" shapeId="0" xr:uid="{893154CA-D3E1-4AA5-A958-F41C099255D8}">
      <text>
        <r>
          <rPr>
            <b/>
            <sz val="9"/>
            <color indexed="81"/>
            <rFont val="Tahoma"/>
            <family val="2"/>
          </rPr>
          <t>Note:</t>
        </r>
        <r>
          <rPr>
            <sz val="9"/>
            <color indexed="81"/>
            <rFont val="Tahoma"/>
            <family val="2"/>
          </rPr>
          <t xml:space="preserve">
1) cabling/wiring/conductors
2) conduits
3) combiner boxes
4) protection devices
5) disconnects
6) monitoring and control devices
7) safety and security equipment</t>
        </r>
      </text>
    </comment>
    <comment ref="A33" authorId="0" shapeId="0" xr:uid="{AB094052-B3CB-4330-ADD8-506A4D306F10}">
      <text>
        <r>
          <rPr>
            <b/>
            <sz val="9"/>
            <color indexed="81"/>
            <rFont val="Tahoma"/>
            <family val="2"/>
          </rPr>
          <t>Note:</t>
        </r>
        <r>
          <rPr>
            <sz val="9"/>
            <color indexed="81"/>
            <rFont val="Tahoma"/>
            <family val="2"/>
          </rPr>
          <t xml:space="preserve">
1) costs associated with transporting equipment
2) storage costs and 
3) logistics during planning</t>
        </r>
      </text>
    </comment>
    <comment ref="A34" authorId="0" shapeId="0" xr:uid="{51E41F32-34B1-44E8-88CF-1FDF1DA8984F}">
      <text>
        <r>
          <rPr>
            <b/>
            <sz val="9"/>
            <color indexed="81"/>
            <rFont val="Tahoma"/>
            <family val="2"/>
          </rPr>
          <t>Note:</t>
        </r>
        <r>
          <rPr>
            <sz val="9"/>
            <color indexed="81"/>
            <rFont val="Tahoma"/>
            <family val="2"/>
          </rPr>
          <t xml:space="preserve">
Includes
1) any VAT and duties paid on mini grid assets that are not reimbursed or exempt from taxes by government in terms of the applicable VAT and duty exemption laws</t>
        </r>
      </text>
    </comment>
    <comment ref="A35" authorId="0" shapeId="0" xr:uid="{A5D53A64-6DAA-43D3-8B27-9972DAC54209}">
      <text>
        <r>
          <rPr>
            <b/>
            <sz val="9"/>
            <color indexed="81"/>
            <rFont val="Tahoma"/>
            <family val="2"/>
          </rPr>
          <t>Note:</t>
        </r>
        <r>
          <rPr>
            <sz val="9"/>
            <color indexed="81"/>
            <rFont val="Tahoma"/>
            <family val="2"/>
          </rPr>
          <t xml:space="preserve">
assembly and installation</t>
        </r>
      </text>
    </comment>
    <comment ref="A36" authorId="0" shapeId="0" xr:uid="{861F47DA-3013-4D2D-9F53-82D14D596F36}">
      <text>
        <r>
          <rPr>
            <b/>
            <sz val="9"/>
            <color indexed="81"/>
            <rFont val="Tahoma"/>
            <family val="2"/>
          </rPr>
          <t>Note:</t>
        </r>
        <r>
          <rPr>
            <sz val="9"/>
            <color indexed="81"/>
            <rFont val="Tahoma"/>
            <family val="2"/>
          </rPr>
          <t xml:space="preserve">
includes 
1) the cost and installation of assets and equipment related to delivering
electricity to the end-user
2)wiring
3) poles insulators
4) safety equipment</t>
        </r>
      </text>
    </comment>
    <comment ref="A38" authorId="0" shapeId="0" xr:uid="{9034C456-27F1-4066-AD68-B8137CE3A907}">
      <text>
        <r>
          <rPr>
            <b/>
            <sz val="9"/>
            <color indexed="81"/>
            <rFont val="Tahoma"/>
            <family val="2"/>
          </rPr>
          <t>Note:</t>
        </r>
        <r>
          <rPr>
            <sz val="9"/>
            <color indexed="81"/>
            <rFont val="Tahoma"/>
            <family val="2"/>
          </rPr>
          <t xml:space="preserve">
1) overhead accessories for dropline to the home
2) meters 
3) other costs for customer connection, including internal wiring and basic power kit of light &amp; socket</t>
        </r>
      </text>
    </comment>
    <comment ref="A47" authorId="0" shapeId="0" xr:uid="{587113C0-615C-4307-9AE2-5D1562211169}">
      <text>
        <r>
          <rPr>
            <b/>
            <sz val="9"/>
            <color indexed="81"/>
            <rFont val="Tahoma"/>
            <family val="2"/>
          </rPr>
          <t xml:space="preserve">Note: </t>
        </r>
        <r>
          <rPr>
            <sz val="9"/>
            <color indexed="81"/>
            <rFont val="Tahoma"/>
            <family val="2"/>
          </rPr>
          <t>includes
1) permits
2) environmental impact assessment
3) land lease
4) company foundation and establishment
5) contract and legal
6) site survey/resource assessment
7) technical design
8) hiring site agents
8) technical assistance
9) demand assessment
10) client development
11) community and government approval
12) travel and accommodation
13) acquisition of capital including due diligence</t>
        </r>
      </text>
    </comment>
    <comment ref="A49" authorId="0" shapeId="0" xr:uid="{77B5DCA7-89F9-4AD1-995E-2F2C077DF304}">
      <text>
        <r>
          <rPr>
            <b/>
            <sz val="9"/>
            <color indexed="81"/>
            <rFont val="Tahoma"/>
            <family val="2"/>
          </rPr>
          <t>Note:</t>
        </r>
        <r>
          <rPr>
            <sz val="9"/>
            <color indexed="81"/>
            <rFont val="Tahoma"/>
            <family val="2"/>
          </rPr>
          <t xml:space="preserve">
Rotor, Nacelle, Tower</t>
        </r>
      </text>
    </comment>
    <comment ref="A50" authorId="0" shapeId="0" xr:uid="{D537B0A5-DE13-4C57-9307-4D80C55E6EAC}">
      <text>
        <r>
          <rPr>
            <b/>
            <sz val="9"/>
            <color indexed="81"/>
            <rFont val="Tahoma"/>
            <family val="2"/>
          </rPr>
          <t>Note:</t>
        </r>
        <r>
          <rPr>
            <sz val="9"/>
            <color indexed="81"/>
            <rFont val="Tahoma"/>
            <family val="2"/>
          </rPr>
          <t xml:space="preserve">
1) crane pads/hard standings
2) road upgrades and construction/site access and staging 
3) cabling to substation and grid, 
4) SCADA
5) engineering and management, 
6) electrical infrastructure</t>
        </r>
      </text>
    </comment>
    <comment ref="A53" authorId="0" shapeId="0" xr:uid="{C349BF28-A344-46F3-AE1A-8C27F8C7D633}">
      <text>
        <r>
          <rPr>
            <b/>
            <sz val="9"/>
            <color indexed="81"/>
            <rFont val="Tahoma"/>
            <family val="2"/>
          </rPr>
          <t>Note:</t>
        </r>
        <r>
          <rPr>
            <sz val="9"/>
            <color indexed="81"/>
            <rFont val="Tahoma"/>
            <family val="2"/>
          </rPr>
          <t xml:space="preserve">
1) costs associated with transporting equipment
2) storage costs and 
3) logistics during planning</t>
        </r>
      </text>
    </comment>
    <comment ref="A54" authorId="0" shapeId="0" xr:uid="{23189CCF-FEB4-41EB-A300-F97DD0F51F9B}">
      <text>
        <r>
          <rPr>
            <b/>
            <sz val="9"/>
            <color indexed="81"/>
            <rFont val="Tahoma"/>
            <family val="2"/>
          </rPr>
          <t>Note:</t>
        </r>
        <r>
          <rPr>
            <sz val="9"/>
            <color indexed="81"/>
            <rFont val="Tahoma"/>
            <family val="2"/>
          </rPr>
          <t xml:space="preserve">
Includes
1) any VAT and duties paid on mini grid assets that are not reimbursed or exempt from taxes by government in terms of the applicable VAT and duty exemption laws</t>
        </r>
      </text>
    </comment>
    <comment ref="A55" authorId="0" shapeId="0" xr:uid="{52806D1D-8B52-4643-8C72-CB937DBEA252}">
      <text>
        <r>
          <rPr>
            <b/>
            <sz val="9"/>
            <color indexed="81"/>
            <rFont val="Tahoma"/>
            <family val="2"/>
          </rPr>
          <t>Note:</t>
        </r>
        <r>
          <rPr>
            <sz val="9"/>
            <color indexed="81"/>
            <rFont val="Tahoma"/>
            <family val="2"/>
          </rPr>
          <t xml:space="preserve">
assembly and installation</t>
        </r>
      </text>
    </comment>
    <comment ref="A56" authorId="0" shapeId="0" xr:uid="{8A94D43D-0A9C-4772-BE42-03ECE61BF523}">
      <text>
        <r>
          <rPr>
            <b/>
            <sz val="9"/>
            <color indexed="81"/>
            <rFont val="Tahoma"/>
            <family val="2"/>
          </rPr>
          <t>Note:</t>
        </r>
        <r>
          <rPr>
            <sz val="9"/>
            <color indexed="81"/>
            <rFont val="Tahoma"/>
            <family val="2"/>
          </rPr>
          <t xml:space="preserve">
includes 
1) the cost and installation of assets and equipment related to delivering electricity to the end-user
2) wiring
3) poles insulators
4) safety equipment</t>
        </r>
      </text>
    </comment>
    <comment ref="A58" authorId="0" shapeId="0" xr:uid="{A2294D83-B6E2-411B-A88F-0ADB75CA57DA}">
      <text>
        <r>
          <rPr>
            <b/>
            <sz val="9"/>
            <color indexed="81"/>
            <rFont val="Tahoma"/>
            <family val="2"/>
          </rPr>
          <t>Note:</t>
        </r>
        <r>
          <rPr>
            <sz val="9"/>
            <color indexed="81"/>
            <rFont val="Tahoma"/>
            <family val="2"/>
          </rPr>
          <t xml:space="preserve">
1) overhead accessories for dropline to the home
2) meters 
3) other costs for customer connection, including internal wiring and basic power kit of light &amp; socket</t>
        </r>
      </text>
    </comment>
    <comment ref="A63" authorId="0" shapeId="0" xr:uid="{1C420516-A49D-403C-82B9-55E7CB5480F6}">
      <text>
        <r>
          <rPr>
            <b/>
            <sz val="9"/>
            <color indexed="81"/>
            <rFont val="Tahoma"/>
            <family val="2"/>
          </rPr>
          <t xml:space="preserve">Note: </t>
        </r>
        <r>
          <rPr>
            <sz val="9"/>
            <color indexed="81"/>
            <rFont val="Tahoma"/>
            <family val="2"/>
          </rPr>
          <t>includes
1) permits
2) environmental impact assessment
3) land lease
4) company foundation and establishment
5) contract and legal
6) site survey/resource assessment
7) technical design
8) hiring site agents
8) technical assistance
9) demand assessment
10) client development
11) community and government approval
12) travel and accommodation
13) acquisition of capital including due diligence</t>
        </r>
      </text>
    </comment>
    <comment ref="A68" authorId="0" shapeId="0" xr:uid="{9AB58DB4-4833-4927-A47D-812DDEC31481}">
      <text>
        <r>
          <rPr>
            <b/>
            <sz val="9"/>
            <color indexed="81"/>
            <rFont val="Tahoma"/>
            <family val="2"/>
          </rPr>
          <t>Robert:</t>
        </r>
        <r>
          <rPr>
            <sz val="9"/>
            <color indexed="81"/>
            <rFont val="Tahoma"/>
            <family val="2"/>
          </rPr>
          <t xml:space="preserve">
Cabling/wiring/conductors, conduits, combiner boxes, protection devices, disconnects, grounding conductors, monitoring and control devices, communication equipment, safety and security equipment</t>
        </r>
      </text>
    </comment>
    <comment ref="A71" authorId="0" shapeId="0" xr:uid="{A90D07BD-ECC9-4D32-BAA5-8754EC954F2D}">
      <text>
        <r>
          <rPr>
            <b/>
            <sz val="9"/>
            <color indexed="81"/>
            <rFont val="Tahoma"/>
            <family val="2"/>
          </rPr>
          <t>Note:</t>
        </r>
        <r>
          <rPr>
            <sz val="9"/>
            <color indexed="81"/>
            <rFont val="Tahoma"/>
            <family val="2"/>
          </rPr>
          <t xml:space="preserve">
1) costs associated with transporting equipment
2) storage costs and 
3) logistics during planning</t>
        </r>
      </text>
    </comment>
    <comment ref="A72" authorId="0" shapeId="0" xr:uid="{227F5232-151D-41A5-B336-CAC3BD71ED16}">
      <text>
        <r>
          <rPr>
            <b/>
            <sz val="9"/>
            <color indexed="81"/>
            <rFont val="Tahoma"/>
            <family val="2"/>
          </rPr>
          <t>Note:</t>
        </r>
        <r>
          <rPr>
            <sz val="9"/>
            <color indexed="81"/>
            <rFont val="Tahoma"/>
            <family val="2"/>
          </rPr>
          <t xml:space="preserve">
Includes
1) any VAT and duties paid on mini grid assets that are not reimbursed or exempt from taxes by government in terms of the applicable VAT and duty exemption laws</t>
        </r>
      </text>
    </comment>
    <comment ref="A73" authorId="0" shapeId="0" xr:uid="{75789F45-E695-40CB-A4B3-1FEA6F55BD5B}">
      <text>
        <r>
          <rPr>
            <b/>
            <sz val="9"/>
            <color indexed="81"/>
            <rFont val="Tahoma"/>
            <family val="2"/>
          </rPr>
          <t>Note:</t>
        </r>
        <r>
          <rPr>
            <sz val="9"/>
            <color indexed="81"/>
            <rFont val="Tahoma"/>
            <family val="2"/>
          </rPr>
          <t xml:space="preserve">
assembly and installation</t>
        </r>
      </text>
    </comment>
    <comment ref="A74" authorId="0" shapeId="0" xr:uid="{E5C5D2DC-CCDD-4AE2-A30E-B9C1E1E472FE}">
      <text>
        <r>
          <rPr>
            <b/>
            <sz val="9"/>
            <color indexed="81"/>
            <rFont val="Tahoma"/>
            <family val="2"/>
          </rPr>
          <t>Note:</t>
        </r>
        <r>
          <rPr>
            <sz val="9"/>
            <color indexed="81"/>
            <rFont val="Tahoma"/>
            <family val="2"/>
          </rPr>
          <t xml:space="preserve">
includes 
1) the cost and installation of assets and equipment related to delivering electricity to the end-user
2) wiring
3) poles insulators
4) safety equipment</t>
        </r>
      </text>
    </comment>
    <comment ref="A76" authorId="0" shapeId="0" xr:uid="{1B97F3BC-0D2F-42F5-9B04-D957695D9D50}">
      <text>
        <r>
          <rPr>
            <b/>
            <sz val="9"/>
            <color indexed="81"/>
            <rFont val="Tahoma"/>
            <family val="2"/>
          </rPr>
          <t>Note:</t>
        </r>
        <r>
          <rPr>
            <sz val="9"/>
            <color indexed="81"/>
            <rFont val="Tahoma"/>
            <family val="2"/>
          </rPr>
          <t xml:space="preserve">
1) overhead accessories for dropline to the home
2) meters 
3) other costs for customer connection, including internal wiring and basic power kit of light &amp; socket</t>
        </r>
      </text>
    </comment>
    <comment ref="A98" authorId="0" shapeId="0" xr:uid="{6ABD560A-46CC-4837-BC6C-10E18FB3E04F}">
      <text>
        <r>
          <rPr>
            <b/>
            <sz val="9"/>
            <color indexed="81"/>
            <rFont val="Tahoma"/>
            <family val="2"/>
          </rPr>
          <t xml:space="preserve">Note: </t>
        </r>
        <r>
          <rPr>
            <sz val="9"/>
            <color indexed="81"/>
            <rFont val="Tahoma"/>
            <family val="2"/>
          </rPr>
          <t>includes
1) permits
2) environmental impact assessment
3) land lease
4) company foundation and establishment
5) contract and legal
6) site survey/resource assessment
7) technical design
8) hiring site agents
8) technical assistance
9) demand assessment
10) client development
11) community and government approval
12) travel and accommodation
13) acquisition of capital including due diligence</t>
        </r>
      </text>
    </comment>
    <comment ref="A106" authorId="0" shapeId="0" xr:uid="{B15E7D9F-FB1D-42E4-8C3D-F981A89103C8}">
      <text>
        <r>
          <rPr>
            <b/>
            <sz val="9"/>
            <color indexed="81"/>
            <rFont val="Tahoma"/>
            <family val="2"/>
          </rPr>
          <t>Note:</t>
        </r>
        <r>
          <rPr>
            <sz val="9"/>
            <color indexed="81"/>
            <rFont val="Tahoma"/>
            <family val="2"/>
          </rPr>
          <t xml:space="preserve">
1) costs associated with transporting equipment
2) storage costs and 
3) logistics during planning</t>
        </r>
      </text>
    </comment>
    <comment ref="A107" authorId="0" shapeId="0" xr:uid="{6F54CAFC-CAAC-41D8-97DE-3C1C65005009}">
      <text>
        <r>
          <rPr>
            <b/>
            <sz val="9"/>
            <color indexed="81"/>
            <rFont val="Tahoma"/>
            <family val="2"/>
          </rPr>
          <t>Note:</t>
        </r>
        <r>
          <rPr>
            <sz val="9"/>
            <color indexed="81"/>
            <rFont val="Tahoma"/>
            <family val="2"/>
          </rPr>
          <t xml:space="preserve">
Includes
1) any VAT and duties paid on mini grid assets that are not reimbursed or exempt from taxes by government in terms of the applicable VAT and duty exemption laws</t>
        </r>
      </text>
    </comment>
    <comment ref="A108" authorId="0" shapeId="0" xr:uid="{FFC9904B-4D94-419C-A9BB-4395FF748627}">
      <text>
        <r>
          <rPr>
            <b/>
            <sz val="9"/>
            <color indexed="81"/>
            <rFont val="Tahoma"/>
            <family val="2"/>
          </rPr>
          <t>Note:</t>
        </r>
        <r>
          <rPr>
            <sz val="9"/>
            <color indexed="81"/>
            <rFont val="Tahoma"/>
            <family val="2"/>
          </rPr>
          <t xml:space="preserve">
Includes
1) any VAT and duties paid on mini grid assets that are not reimbursed or exempt from taxes by government in terms of the applicable VAT and duty exemption laws</t>
        </r>
      </text>
    </comment>
    <comment ref="A109" authorId="0" shapeId="0" xr:uid="{BD4CE96C-6475-45FC-9DCB-DF87E6A1CE94}">
      <text>
        <r>
          <rPr>
            <b/>
            <sz val="9"/>
            <color indexed="81"/>
            <rFont val="Tahoma"/>
            <family val="2"/>
          </rPr>
          <t>Note:</t>
        </r>
        <r>
          <rPr>
            <sz val="9"/>
            <color indexed="81"/>
            <rFont val="Tahoma"/>
            <family val="2"/>
          </rPr>
          <t xml:space="preserve">
assembly and installation</t>
        </r>
      </text>
    </comment>
    <comment ref="A110" authorId="0" shapeId="0" xr:uid="{0192B4C5-754B-47AD-B573-7015DF062101}">
      <text>
        <r>
          <rPr>
            <b/>
            <sz val="9"/>
            <color indexed="81"/>
            <rFont val="Tahoma"/>
            <family val="2"/>
          </rPr>
          <t>Note:</t>
        </r>
        <r>
          <rPr>
            <sz val="9"/>
            <color indexed="81"/>
            <rFont val="Tahoma"/>
            <family val="2"/>
          </rPr>
          <t xml:space="preserve">
includes 
1) the cost and installation of assets and equipment related to delivering electricity to the end-user
2) wiring
3) poles insulators
4) safety equipment</t>
        </r>
      </text>
    </comment>
    <comment ref="A112" authorId="0" shapeId="0" xr:uid="{275ADE68-7636-41B4-B37F-3ACC6DC4FEE1}">
      <text>
        <r>
          <rPr>
            <b/>
            <sz val="9"/>
            <color indexed="81"/>
            <rFont val="Tahoma"/>
            <family val="2"/>
          </rPr>
          <t>Note:</t>
        </r>
        <r>
          <rPr>
            <sz val="9"/>
            <color indexed="81"/>
            <rFont val="Tahoma"/>
            <family val="2"/>
          </rPr>
          <t xml:space="preserve">
1) overhead accessories for dropline to the home
2) meters 
3) other costs for customer connection, including internal wiring and basic power kit of light &amp; socket</t>
        </r>
      </text>
    </comment>
    <comment ref="A122" authorId="0" shapeId="0" xr:uid="{813EC08F-3105-4872-8C67-F5B6B5EE65A5}">
      <text>
        <r>
          <rPr>
            <b/>
            <sz val="9"/>
            <color indexed="81"/>
            <rFont val="Tahoma"/>
            <family val="2"/>
          </rPr>
          <t>Note:</t>
        </r>
        <r>
          <rPr>
            <sz val="9"/>
            <color indexed="81"/>
            <rFont val="Tahoma"/>
            <family val="2"/>
          </rPr>
          <t xml:space="preserve">
Operational costs of minigrids consist of expenses incurred on a recurring basis such as staff salaries, repairs and routine maintenance of equipment, fuel for a diesel generator, payment collection and security</t>
        </r>
      </text>
    </comment>
    <comment ref="A124" authorId="0" shapeId="0" xr:uid="{5A9C7C28-4921-47CE-8DF6-96406730CC8D}">
      <text>
        <r>
          <rPr>
            <b/>
            <sz val="9"/>
            <color indexed="81"/>
            <rFont val="Tahoma"/>
            <family val="2"/>
          </rPr>
          <t>Note:</t>
        </r>
        <r>
          <rPr>
            <sz val="9"/>
            <color indexed="81"/>
            <rFont val="Tahoma"/>
            <family val="2"/>
          </rPr>
          <t xml:space="preserve">
the costs of the day-to-day operations and technical maintenance of the minigrid, fuel costs, lubrication oil, transportation and logistics, replacement of components, customer acquisition, variable taxes, customer service and community meetings associated with community engagement</t>
        </r>
      </text>
    </comment>
    <comment ref="A125" authorId="0" shapeId="0" xr:uid="{7C203FD7-6BB2-4B2E-B3EA-34C36781109F}">
      <text>
        <r>
          <rPr>
            <b/>
            <sz val="9"/>
            <color indexed="81"/>
            <rFont val="Tahoma"/>
            <family val="2"/>
          </rPr>
          <t>Note:</t>
        </r>
        <r>
          <rPr>
            <sz val="9"/>
            <color indexed="81"/>
            <rFont val="Tahoma"/>
            <family val="2"/>
          </rPr>
          <t xml:space="preserve">
costs including billing and payment collection expenses, customer relationship management, mobile money infrastructure and data, software platform costs, metering, and land leasing, security/guards, local power plant operations, travel and transaction costs, taxes and fees, insurance, cleaning staff</t>
        </r>
      </text>
    </comment>
    <comment ref="A126" authorId="0" shapeId="0" xr:uid="{AAF6E7EC-C056-4425-AB4A-F43B4880418D}">
      <text>
        <r>
          <rPr>
            <b/>
            <sz val="9"/>
            <color indexed="81"/>
            <rFont val="Tahoma"/>
            <family val="2"/>
          </rPr>
          <t>Note:</t>
        </r>
        <r>
          <rPr>
            <sz val="9"/>
            <color indexed="81"/>
            <rFont val="Tahoma"/>
            <family val="2"/>
          </rPr>
          <t xml:space="preserve">
expenditures including legal, senior management and central staff labour costs, training expenses and non-site-specific travel expenses</t>
        </r>
      </text>
    </comment>
  </commentList>
</comments>
</file>

<file path=xl/sharedStrings.xml><?xml version="1.0" encoding="utf-8"?>
<sst xmlns="http://schemas.openxmlformats.org/spreadsheetml/2006/main" count="875" uniqueCount="525">
  <si>
    <t>Benchmarks</t>
  </si>
  <si>
    <t>Revenue Requirement</t>
  </si>
  <si>
    <t>Avoided costs to the customer</t>
  </si>
  <si>
    <t>Capex per kW</t>
  </si>
  <si>
    <t>Opex per kW</t>
  </si>
  <si>
    <t>Opex as a % of capex</t>
  </si>
  <si>
    <t>Source</t>
  </si>
  <si>
    <t>AMDA</t>
  </si>
  <si>
    <t>Data year</t>
  </si>
  <si>
    <t>CAPEX pricing</t>
  </si>
  <si>
    <t>Distribution assets capital costs</t>
  </si>
  <si>
    <t>Logistics, transport, warehousing</t>
  </si>
  <si>
    <t>Metering and termination</t>
  </si>
  <si>
    <t>Balance of system</t>
  </si>
  <si>
    <t>Batteries</t>
  </si>
  <si>
    <t>Civil works</t>
  </si>
  <si>
    <t>Lowest</t>
  </si>
  <si>
    <t>Median</t>
  </si>
  <si>
    <t>Average</t>
  </si>
  <si>
    <t>Highest</t>
  </si>
  <si>
    <t>National utility connection cost per customer</t>
  </si>
  <si>
    <t>Opex per customer per month</t>
  </si>
  <si>
    <t xml:space="preserve"> </t>
  </si>
  <si>
    <t>Full time positions for every kW of installed generation capacity.</t>
  </si>
  <si>
    <t>LCOE for solar hybrid mini-grids operating in isolated areas and serving productive-use (commercial and industrial) customers</t>
  </si>
  <si>
    <t>SE4ALL</t>
  </si>
  <si>
    <t>LCOE for diesel generators for same scenario</t>
  </si>
  <si>
    <t>ESMAP</t>
  </si>
  <si>
    <t>Capex as a percent of the cost of electricity for well-run off-grid solar hybrid combining PV, battery storage and a backup diesel generator.</t>
  </si>
  <si>
    <t>Development costs</t>
  </si>
  <si>
    <t>Operating costs as a percent of the total lifetime cost of a typical mini-grid</t>
  </si>
  <si>
    <t>ESMAP and the Rocky Mountain</t>
  </si>
  <si>
    <t>Typically, variable opex accounts for nearly 50% of a project’s opex, but this can vary based on a project’s operation hours and on fluctuations in diesel prices. Developers operating PV + storage projects without diesel enjoy lower opex and avoid potential fuel theft.</t>
  </si>
  <si>
    <t>Capacity utilization rate (%) = total energy sales (in kWh) / (installed solar array (in kW) x hours in year (8760 hours) x 20% capacity factor)</t>
  </si>
  <si>
    <t>LCOE for solar hybrid mini-grids using a 22% load factor</t>
  </si>
  <si>
    <t>The components with the largest share of overall CAPEX were batteries (15 percent), distribution grids (14 percent), PV modules (11 percent), inverters (5–9 percent), powerhouses (7 percent), and meters (4 percent)</t>
  </si>
  <si>
    <t>Powerhouse</t>
  </si>
  <si>
    <t>Staff costs on average account for 76% of operations costs</t>
  </si>
  <si>
    <t>Transformers</t>
  </si>
  <si>
    <t>Interest during construction</t>
  </si>
  <si>
    <t>Racking and mounting</t>
  </si>
  <si>
    <t>Installation and inspection</t>
  </si>
  <si>
    <t>Turbines and all its elements</t>
  </si>
  <si>
    <t>Civil works and foundations</t>
  </si>
  <si>
    <t>Wheeling charges</t>
  </si>
  <si>
    <t>Power purchase costs</t>
  </si>
  <si>
    <t>Land</t>
  </si>
  <si>
    <t>Plant, Property &amp; Equipment Capital costs</t>
  </si>
  <si>
    <t>Useful life</t>
  </si>
  <si>
    <t>Units</t>
  </si>
  <si>
    <t>Input value</t>
  </si>
  <si>
    <t>Input values</t>
  </si>
  <si>
    <t>Inverters</t>
  </si>
  <si>
    <t>Site 1</t>
  </si>
  <si>
    <t>Site 2</t>
  </si>
  <si>
    <t>Site 3</t>
  </si>
  <si>
    <t>Site 4</t>
  </si>
  <si>
    <t>Site 5</t>
  </si>
  <si>
    <t>Site 6</t>
  </si>
  <si>
    <t>Site 7</t>
  </si>
  <si>
    <t>Site 8</t>
  </si>
  <si>
    <t>Site 9</t>
  </si>
  <si>
    <t>Site 10</t>
  </si>
  <si>
    <t>Site 11</t>
  </si>
  <si>
    <t>Site 12</t>
  </si>
  <si>
    <t>Site 13</t>
  </si>
  <si>
    <t>Site 14</t>
  </si>
  <si>
    <t>Site 15</t>
  </si>
  <si>
    <t>Site 16</t>
  </si>
  <si>
    <t>Site 17</t>
  </si>
  <si>
    <t>Site 18</t>
  </si>
  <si>
    <t>Site 19</t>
  </si>
  <si>
    <t>Site 20</t>
  </si>
  <si>
    <t>Generator set for back-up</t>
  </si>
  <si>
    <t>Charge controllers</t>
  </si>
  <si>
    <t>Solar panels</t>
  </si>
  <si>
    <t>Water Wheels, Turbines and Generators</t>
  </si>
  <si>
    <t>Total</t>
  </si>
  <si>
    <t>Vehicles, motor cycles</t>
  </si>
  <si>
    <t>Office equipment and furniture</t>
  </si>
  <si>
    <t>Finance and admin IT (computers and software)</t>
  </si>
  <si>
    <t>Variable operations and maintenance costs</t>
  </si>
  <si>
    <t>Fixed operations and maintenance costs</t>
  </si>
  <si>
    <t>Central operations costs</t>
  </si>
  <si>
    <t>Capacity Factor</t>
  </si>
  <si>
    <t>%</t>
  </si>
  <si>
    <t>Availability</t>
  </si>
  <si>
    <t>hrs</t>
  </si>
  <si>
    <t>kWh</t>
  </si>
  <si>
    <t>Years</t>
  </si>
  <si>
    <t>Reserve margin</t>
  </si>
  <si>
    <t>1. Inputs</t>
  </si>
  <si>
    <t>Plant Annual Production Degradation Rate</t>
  </si>
  <si>
    <t>Plant economic useful life (or License period)</t>
  </si>
  <si>
    <t>placeholder - user to populate</t>
  </si>
  <si>
    <t>1.2 Capital Costs and Useful lives</t>
  </si>
  <si>
    <t>Distribution assets</t>
  </si>
  <si>
    <t>1.3 Working capital</t>
  </si>
  <si>
    <t xml:space="preserve">1.2.1 Solar </t>
  </si>
  <si>
    <t>1.2.2 Wind</t>
  </si>
  <si>
    <t>Debt</t>
  </si>
  <si>
    <t>Equity</t>
  </si>
  <si>
    <t>Grants</t>
  </si>
  <si>
    <t>Total Capital Costs</t>
  </si>
  <si>
    <t>Cost of debt</t>
  </si>
  <si>
    <t>Cost of equity</t>
  </si>
  <si>
    <t>Pre-tax</t>
  </si>
  <si>
    <t>Post-tax</t>
  </si>
  <si>
    <t>WACC</t>
  </si>
  <si>
    <t>Proportion of equity funding</t>
  </si>
  <si>
    <t>Proportion of debt funding</t>
  </si>
  <si>
    <t>Net Capital Costs</t>
  </si>
  <si>
    <t>Replacement Year</t>
  </si>
  <si>
    <t>Fuel cost adjustment</t>
  </si>
  <si>
    <t>Genset</t>
  </si>
  <si>
    <t>Number of days of working capital allowed</t>
  </si>
  <si>
    <t>Days</t>
  </si>
  <si>
    <t>Design Installed (name plate) Capacity</t>
  </si>
  <si>
    <t>Lender's fee (% of borrowing)</t>
  </si>
  <si>
    <t>Debt tenure</t>
  </si>
  <si>
    <t>Months</t>
  </si>
  <si>
    <t>Interest During Construction (IDC)</t>
  </si>
  <si>
    <t>Cost of  debt (Annual)</t>
  </si>
  <si>
    <t>Other non-tariff revenues (please specify)</t>
  </si>
  <si>
    <t>Input</t>
  </si>
  <si>
    <t>per annum</t>
  </si>
  <si>
    <t>Depreciation</t>
  </si>
  <si>
    <t>Interest rate (Annual Percentage Rate)</t>
  </si>
  <si>
    <t>Proportion of O&amp;M that escalates annually</t>
  </si>
  <si>
    <t># of customers</t>
  </si>
  <si>
    <t>% Cost allocated</t>
  </si>
  <si>
    <t>Corporate taxation rate</t>
  </si>
  <si>
    <t>Power available</t>
  </si>
  <si>
    <t>Net Energy output, Year 1</t>
  </si>
  <si>
    <t>1.1 Plant Capacity\Performance</t>
  </si>
  <si>
    <t>Replacement cost</t>
  </si>
  <si>
    <t>% Consumption</t>
  </si>
  <si>
    <t>1.6 Non-tariff revenues</t>
  </si>
  <si>
    <t>1.7 Financing information</t>
  </si>
  <si>
    <t>1.8 Customer categories, consumption and cost causality</t>
  </si>
  <si>
    <t>1.9 Economic data</t>
  </si>
  <si>
    <t>placeholder1 (Lifeline)</t>
  </si>
  <si>
    <t>placeholder3 (Business basic shops for lighting)</t>
  </si>
  <si>
    <t>placeholder7 (Street lighting)</t>
  </si>
  <si>
    <t>Tariff Factor</t>
  </si>
  <si>
    <t>placeholder2 (Households)</t>
  </si>
  <si>
    <t>placeholder4 (Business with appliances like fridges, freezers, etc)</t>
  </si>
  <si>
    <t>placeholder5 (Anchor-Mines/Timber Mills/Procesors, Bank, etc)</t>
  </si>
  <si>
    <t>placeholder6 (Institutions – schools, health centres, admin centres, etc)</t>
  </si>
  <si>
    <t>Tariffs</t>
  </si>
  <si>
    <t>Avoided costs to the utility (cost of connection for the utility providing services)</t>
  </si>
  <si>
    <t>Average Revenue Per User (ARPU)</t>
  </si>
  <si>
    <t>Year</t>
  </si>
  <si>
    <t>Plant degradation (kWh equivalent)</t>
  </si>
  <si>
    <t>Total Lifecycle costs</t>
  </si>
  <si>
    <t>Depreciation/Yr</t>
  </si>
  <si>
    <t xml:space="preserve">Net Energy Output Tariffed </t>
  </si>
  <si>
    <t>Net Energy Output, First Year</t>
  </si>
  <si>
    <t xml:space="preserve">Cumulative Net Energy Output Tariffed </t>
  </si>
  <si>
    <t xml:space="preserve">     Income (Recurrent) Subsidy</t>
  </si>
  <si>
    <t xml:space="preserve">     Capital Subsidy</t>
  </si>
  <si>
    <t xml:space="preserve">     Customer Payments for Connection</t>
  </si>
  <si>
    <t xml:space="preserve">     Accumulated Depreciation</t>
  </si>
  <si>
    <t>Investment + O&amp;M + Fuel</t>
  </si>
  <si>
    <t>PVIF</t>
  </si>
  <si>
    <t>Present Value of Inv + O&amp;M + Fuel</t>
  </si>
  <si>
    <t>Total Regulated Asset Base (CAPEX + WC)</t>
  </si>
  <si>
    <t>Straightline</t>
  </si>
  <si>
    <t>O&amp;M Expenditure</t>
  </si>
  <si>
    <t>Regulated Asset Base (RAB) Capex</t>
  </si>
  <si>
    <t>Working Capital (WC)</t>
  </si>
  <si>
    <t>Tax Allowance</t>
  </si>
  <si>
    <t>Total Return on RAB</t>
  </si>
  <si>
    <t xml:space="preserve">  Debt Interest</t>
  </si>
  <si>
    <t xml:space="preserve">  Equity Return</t>
  </si>
  <si>
    <t>Input Yr1</t>
  </si>
  <si>
    <t>Input Yr2</t>
  </si>
  <si>
    <t>Input Yr3</t>
  </si>
  <si>
    <t>Input Yr4</t>
  </si>
  <si>
    <t>Input Yr5</t>
  </si>
  <si>
    <t>Subsidy to reduce O&amp;M costs</t>
  </si>
  <si>
    <t>Customer Payments for Connection</t>
  </si>
  <si>
    <t>Annual Depreciation</t>
  </si>
  <si>
    <t>Units of output</t>
  </si>
  <si>
    <t>Annuity</t>
  </si>
  <si>
    <t>Staightline</t>
  </si>
  <si>
    <t>Units of Output</t>
  </si>
  <si>
    <t>Yes</t>
  </si>
  <si>
    <t>Value</t>
  </si>
  <si>
    <t>Under-recovery balances</t>
  </si>
  <si>
    <t>Over-recoveries</t>
  </si>
  <si>
    <t>FX Rate Difference</t>
  </si>
  <si>
    <t>Total FX Adjustment</t>
  </si>
  <si>
    <t>FX Adjustment per kWh</t>
  </si>
  <si>
    <t>Positive (+) means you increase tariff and (Negative (-) means you reduce tariff</t>
  </si>
  <si>
    <t>Unit</t>
  </si>
  <si>
    <t>used in kWh tariff adjustment</t>
  </si>
  <si>
    <t>Used in Capex replacement escalation, but offset against expected declining replacements purchase costs</t>
  </si>
  <si>
    <t>Inflation rate for escalating O&amp;M annual costs</t>
  </si>
  <si>
    <t>FX Rate actual/current FX Rate at time of tariff application</t>
  </si>
  <si>
    <t>FX Rate expected at end of tariff control period</t>
  </si>
  <si>
    <t>Cumulative net deferred account balances</t>
  </si>
  <si>
    <t>Actual revenues achieved</t>
  </si>
  <si>
    <t>Total funding for expenditure</t>
  </si>
  <si>
    <t>Equity IRR</t>
  </si>
  <si>
    <t>Debt service and interest cover ratios and cashflow available</t>
  </si>
  <si>
    <t>Interest Cover Ratio</t>
  </si>
  <si>
    <t>CFADS</t>
  </si>
  <si>
    <t>Generation</t>
  </si>
  <si>
    <t>Distribution</t>
  </si>
  <si>
    <t>debt</t>
  </si>
  <si>
    <t>% of capex</t>
  </si>
  <si>
    <t>Alternative presentation</t>
  </si>
  <si>
    <t>Metering &amp; terminantion</t>
  </si>
  <si>
    <t>It is recommended that working capital (days) be restricted to &lt;=30 days due to pre-paid metering</t>
  </si>
  <si>
    <t>Yr1</t>
  </si>
  <si>
    <t>Yr2</t>
  </si>
  <si>
    <t>Yr3</t>
  </si>
  <si>
    <t>Yr4</t>
  </si>
  <si>
    <t>Yr5</t>
  </si>
  <si>
    <t>Local currency depreciation rate annually</t>
  </si>
  <si>
    <t>kWh projected sales for tariff control period</t>
  </si>
  <si>
    <t>Weighted Cost</t>
  </si>
  <si>
    <t>Amounts</t>
  </si>
  <si>
    <t>% funding</t>
  </si>
  <si>
    <t>Tax rate</t>
  </si>
  <si>
    <t>After Tax</t>
  </si>
  <si>
    <t>Recommend one average adjustment for whole sector at once/annually. Individual developers then comes with true-up at end of control period</t>
  </si>
  <si>
    <t>Reservoirs/Dams/Waterways Costs/Forebay</t>
  </si>
  <si>
    <t>Intake, Penstock and Surge Chamber, draft tube, tail race</t>
  </si>
  <si>
    <t>1.2.4 Biomass</t>
  </si>
  <si>
    <t xml:space="preserve">Fuel storage and handling equipment, </t>
  </si>
  <si>
    <t>Steam turbine/Generator/Condenser/Cooling tower</t>
  </si>
  <si>
    <t>Combustor/furnace/Boiler/gasfier</t>
  </si>
  <si>
    <t>kWp</t>
  </si>
  <si>
    <t>Nominal Power generated</t>
  </si>
  <si>
    <t>Annual hours of energy</t>
  </si>
  <si>
    <t xml:space="preserve">Custom duties </t>
  </si>
  <si>
    <t>VAT</t>
  </si>
  <si>
    <t>Custom duties</t>
  </si>
  <si>
    <t>Building and fixtures</t>
  </si>
  <si>
    <t>Sale of power purchased from 3rd parties</t>
  </si>
  <si>
    <t>Total O&amp;M Costs</t>
  </si>
  <si>
    <t>Present Value of Total Energy Sold</t>
  </si>
  <si>
    <t>Power purchased from 3rd parties</t>
  </si>
  <si>
    <t>Bulk power purchase tariff</t>
  </si>
  <si>
    <t>Regulatory costs (see below kWh purchased)</t>
  </si>
  <si>
    <t>Power purchased from 3rd parties for resale</t>
  </si>
  <si>
    <t>Capex per kW - Generation</t>
  </si>
  <si>
    <t>Capex per kW - Distribution</t>
  </si>
  <si>
    <t>Capex per kW - Metering &amp; termination</t>
  </si>
  <si>
    <t>Note: Mini-grid assets financed by grants are excluded from the assets subject to a compensation payment as such assets are deemed to remain the property of the mini-grid community</t>
  </si>
  <si>
    <t>It is recommended to use the LCPDP capacity factors for each technology</t>
  </si>
  <si>
    <t>It is recommended the regulator to put a cap or a curb on commercial losses (from non-payment and theft)</t>
  </si>
  <si>
    <t>Regulator to set a cap of construction period from the drop down menu. Genset back up construction period = 0 (zero) months</t>
  </si>
  <si>
    <t>No</t>
  </si>
  <si>
    <t>Commercial Losses (/theft)</t>
  </si>
  <si>
    <t>Avoided costs to the utility (cost of connection for the utility providing services)= network expense can drive the cost of producing and delivering a kilowatt hour of electricity to more than USD 1 (SE4ALL - 2020 pg 126)</t>
  </si>
  <si>
    <t>Fixed charge+kWh charge tariff</t>
  </si>
  <si>
    <t>kWh/PAYG/Energy-based tariff</t>
  </si>
  <si>
    <t>Flat rate tariff (Revenues/No. of Customers)</t>
  </si>
  <si>
    <t>Time of Use(ToU) tariff</t>
  </si>
  <si>
    <t>Other-please specify</t>
  </si>
  <si>
    <t>Fixed</t>
  </si>
  <si>
    <t>A base tariff is determined and all other tariffs are a % of that base tariff</t>
  </si>
  <si>
    <t>Monthly ACPC</t>
  </si>
  <si>
    <t>Currency/Customer/Month</t>
  </si>
  <si>
    <t>kWh charge</t>
  </si>
  <si>
    <t>Other Income (Subsidy)</t>
  </si>
  <si>
    <t>Earnings before Int, Tax. Depr, &amp; Amm (EBITDA)</t>
  </si>
  <si>
    <t>Earnings Before Interest and Taxes (EBIT)</t>
  </si>
  <si>
    <t>Interest</t>
  </si>
  <si>
    <t>Taxable Income</t>
  </si>
  <si>
    <t>Taxes, including taxes on Other Income</t>
  </si>
  <si>
    <t>Net Income after taxes</t>
  </si>
  <si>
    <t>EBITDA</t>
  </si>
  <si>
    <t>Taxes paid, including taxes on Other Income</t>
  </si>
  <si>
    <t>Total Project Free Cash Flows</t>
  </si>
  <si>
    <t>Total Valuation of Gx, Dx, Rx</t>
  </si>
  <si>
    <t>IFRS 14-Regulatory Deferral Accounts Balance</t>
  </si>
  <si>
    <t>Undepreciated Capital Cost Balance</t>
  </si>
  <si>
    <t>% Gx of total valuation</t>
  </si>
  <si>
    <t>% Dx of total valuation</t>
  </si>
  <si>
    <t>% Rx of total valuation</t>
  </si>
  <si>
    <t>Generation Assets Valuation</t>
  </si>
  <si>
    <t>Distribution Assets Valuation</t>
  </si>
  <si>
    <t>Metering and termination Assets Valuation</t>
  </si>
  <si>
    <t>Total Valuation</t>
  </si>
  <si>
    <t>Total capex per kW</t>
  </si>
  <si>
    <t>Generation capex per kW</t>
  </si>
  <si>
    <t>Distribution capex per kW</t>
  </si>
  <si>
    <t>Metering &amp; termination capex per kW</t>
  </si>
  <si>
    <t>Allowed revenues</t>
  </si>
  <si>
    <t>Power/Load-based tariff</t>
  </si>
  <si>
    <t>O&amp;M Expenses</t>
  </si>
  <si>
    <t>Borrowing</t>
  </si>
  <si>
    <t>Principal</t>
  </si>
  <si>
    <t>Loan origination costs</t>
  </si>
  <si>
    <t>Total Principal</t>
  </si>
  <si>
    <t>Debt Tenor (Years)</t>
  </si>
  <si>
    <t>Debt Interest Rate (%) p.a.</t>
  </si>
  <si>
    <t>Repayments</t>
  </si>
  <si>
    <t>Total Repayment</t>
  </si>
  <si>
    <t>Balance</t>
  </si>
  <si>
    <t>Free Cash Flows to Equity</t>
  </si>
  <si>
    <t>Debt Service (Principal and Interest)</t>
  </si>
  <si>
    <t>Debt Service Cover Ratio = EBITDA/Debt Service (Principal+Interest)</t>
  </si>
  <si>
    <t>Interest Cover Ratio = EBITDA/Interest payment</t>
  </si>
  <si>
    <t>CFADS = Receipts from Customers-Payments to suppliers and employees-Royalties-Capital expenditures-Taxes</t>
  </si>
  <si>
    <t>Project NPV and IRR</t>
  </si>
  <si>
    <t>NPV</t>
  </si>
  <si>
    <t>Net Present Value (NPV)</t>
  </si>
  <si>
    <t>Project IRR</t>
  </si>
  <si>
    <t>Project Internal Rate of Return (IRR)</t>
  </si>
  <si>
    <t>b) IRR to get required tariff - use "goal seek" of desired IRR by changing WACC equity element and then "paste special values"</t>
  </si>
  <si>
    <t>a) Start with target "tariff" to get required subsidy - use "goal seek" of the target tariff by changing the capex subsidy and then "paste special values"</t>
  </si>
  <si>
    <t>c) Start with a subsidy to get a tariff or number of connections - change the subsidy value and then "paste special values" from results above</t>
  </si>
  <si>
    <t>currency/kW</t>
  </si>
  <si>
    <t>Average Consumption Per Customer (ACPC)-Monthly</t>
  </si>
  <si>
    <t>3. Outputs</t>
  </si>
  <si>
    <t>2. Calculations</t>
  </si>
  <si>
    <t>1.2.3 Hydro</t>
  </si>
  <si>
    <t>Generator and auxillaries</t>
  </si>
  <si>
    <t>Inlet/inletpipe/Outlet/outlet pipe/partition walls/pipe support</t>
  </si>
  <si>
    <t>Mixing tank/Digester tank/mixer/Gas holder/valve/outlet for biogas/Effluent outlet tank</t>
  </si>
  <si>
    <t>Nominal WACC</t>
  </si>
  <si>
    <t>WACC Nominal</t>
  </si>
  <si>
    <t>3.1(b) Graph of the tariffs</t>
  </si>
  <si>
    <t>3.2(a) Financial indicators</t>
  </si>
  <si>
    <t>3.3(a) Mini grid Valuation</t>
  </si>
  <si>
    <t>3.5 Benchmarks comparisons</t>
  </si>
  <si>
    <t>3.6 Sensitivity scenarios outputs</t>
  </si>
  <si>
    <t>Baseline tariff</t>
  </si>
  <si>
    <t>Customer categories</t>
  </si>
  <si>
    <t>Baseline average revenue per user (ARPU)</t>
  </si>
  <si>
    <t>Required Subsidy to return NPV to Baseline</t>
  </si>
  <si>
    <t>Baseline NPV</t>
  </si>
  <si>
    <t>Baseline average consumption per user (ACPU)</t>
  </si>
  <si>
    <t>NPV neutrality (Subsidy required to protecting developer NPV)</t>
  </si>
  <si>
    <t>The lowest consuming users increased their consumption by 5x, suggesting their low electricity use was due to budget constraints, not a lack of demand.</t>
  </si>
  <si>
    <t>Customers increased their consumption by 1.5x to 3x baseline levels after two years.</t>
  </si>
  <si>
    <r>
      <t>% tariff reduction (</t>
    </r>
    <r>
      <rPr>
        <sz val="11"/>
        <color rgb="FFFF0000"/>
        <rFont val="Calibri"/>
        <family val="2"/>
        <scheme val="minor"/>
      </rPr>
      <t>paid by subsidy</t>
    </r>
    <r>
      <rPr>
        <sz val="11"/>
        <rFont val="Calibri"/>
        <family val="2"/>
        <scheme val="minor"/>
      </rPr>
      <t>)</t>
    </r>
  </si>
  <si>
    <t>Total 5-year subsidy after which volumes increase offsets tariffs reduction</t>
  </si>
  <si>
    <t>This increase in consumption reduced the amount of lost revenue that subsidy needs to bridge.</t>
  </si>
  <si>
    <r>
      <t xml:space="preserve">Developer average lowest acceptable </t>
    </r>
    <r>
      <rPr>
        <sz val="11"/>
        <color rgb="FFFF0000"/>
        <rFont val="Calibri"/>
        <family val="2"/>
        <scheme val="minor"/>
      </rPr>
      <t>tariff/kWh</t>
    </r>
    <r>
      <rPr>
        <sz val="11"/>
        <rFont val="Calibri"/>
        <family val="2"/>
        <scheme val="minor"/>
      </rPr>
      <t xml:space="preserve"> for &gt;=20 years</t>
    </r>
  </si>
  <si>
    <t>New ARPU</t>
  </si>
  <si>
    <t>New ARPU at baseline ACPU</t>
  </si>
  <si>
    <t>times (x) ACPU over baseline</t>
  </si>
  <si>
    <t xml:space="preserve"> Beyond year three, consumption will have increased to such a degree that revenues exceed baseline levels</t>
  </si>
  <si>
    <t>The number of connections at treatment sites will be 10% greater after one year</t>
  </si>
  <si>
    <t>Annual</t>
  </si>
  <si>
    <t xml:space="preserve">Consumption will increase such that average revenue per user (ARPU), excluding subsidy payments, returns to baseline levels by year three. </t>
  </si>
  <si>
    <t>For every $1 they saved on price, customers spent $0.93 on increasing their energy consumption. Therefore, after one year, developers’ revenues had decreased by only 7% on average.</t>
  </si>
  <si>
    <t>Therefore, sites with low consumption levels may be best suited for tariff reductions given the large potential gains.</t>
  </si>
  <si>
    <t>Reduced tariff on average</t>
  </si>
  <si>
    <t>How CBEA set the subsidy per kWh:- It worked with each developer to determine the lowest average tariff they could charge customers for at least 20 years which
ensures: (a) Projected revenues, including subsidy payments, are sufficient to cover operating costs, depreciation, and project return in the long term; (b) The subsidy payments over the 5 years of the prototype, and expected revenue increases from higher consumption, will cover any additional capex or expansion necessary. The mini grid can therefore run profitably after the subsidy expires at a tariff that only covers opex, thus preserving initial project net present value (NPV).</t>
  </si>
  <si>
    <t>Savings used to buy more kWh</t>
  </si>
  <si>
    <t>The total subsidy available for each site was capped.</t>
  </si>
  <si>
    <t>Customers’ tariffs will not need to be increased following the completion of the prototype</t>
  </si>
  <si>
    <t>$ spent on more kWh per $ saved</t>
  </si>
  <si>
    <t>Monthly Saving by Customer on lower tariff</t>
  </si>
  <si>
    <t>2.2 Depreciation</t>
  </si>
  <si>
    <t>2.3 Revenue Requirement = O&amp;M + Depreciation + (Rate Base x WACC) + Tax Allowance</t>
  </si>
  <si>
    <t>LCOE Calculations</t>
  </si>
  <si>
    <t>Year One LCOE</t>
  </si>
  <si>
    <t>LCOE with annual inflation indexation</t>
  </si>
  <si>
    <t>currency/customer</t>
  </si>
  <si>
    <t>Price elasticity is not linear as shown in the following CBEA graph:</t>
  </si>
  <si>
    <t>Additional Notes: (Source CBEA Headlines Report)</t>
  </si>
  <si>
    <t>kWh additional consumed monthly</t>
  </si>
  <si>
    <r>
      <t xml:space="preserve">Current available supply capacity </t>
    </r>
    <r>
      <rPr>
        <sz val="11"/>
        <color rgb="FFFF0000"/>
        <rFont val="Calibri"/>
        <family val="2"/>
        <scheme val="minor"/>
      </rPr>
      <t>kWh</t>
    </r>
  </si>
  <si>
    <r>
      <t xml:space="preserve">Capacity </t>
    </r>
    <r>
      <rPr>
        <sz val="11"/>
        <color rgb="FFFF0000"/>
        <rFont val="Calibri"/>
        <family val="2"/>
        <scheme val="minor"/>
      </rPr>
      <t>shortfall (-)</t>
    </r>
    <r>
      <rPr>
        <sz val="11"/>
        <rFont val="Calibri"/>
        <family val="2"/>
        <scheme val="minor"/>
      </rPr>
      <t xml:space="preserve"> /surplus (+) after tariff reduction </t>
    </r>
    <r>
      <rPr>
        <sz val="11"/>
        <color rgb="FFFF0000"/>
        <rFont val="Calibri"/>
        <family val="2"/>
        <scheme val="minor"/>
      </rPr>
      <t>kWh</t>
    </r>
  </si>
  <si>
    <r>
      <t xml:space="preserve">Total annual consumption after tariff reduction </t>
    </r>
    <r>
      <rPr>
        <sz val="11"/>
        <color rgb="FFFF0000"/>
        <rFont val="Calibri"/>
        <family val="2"/>
        <scheme val="minor"/>
      </rPr>
      <t>kWh</t>
    </r>
  </si>
  <si>
    <r>
      <t xml:space="preserve">Total annual consumption before tariff reduction </t>
    </r>
    <r>
      <rPr>
        <sz val="11"/>
        <color rgb="FFFF0000"/>
        <rFont val="Calibri"/>
        <family val="2"/>
        <scheme val="minor"/>
      </rPr>
      <t>kWh</t>
    </r>
  </si>
  <si>
    <t>Total or Average</t>
  </si>
  <si>
    <t>b) Note in the Tanzania pilot, “at sites where demand is close to generating capacity, serving new connections may also require additional investment in generating capacity that reduces overall project returns”, and therefore this capacity constraint (grid optimisation consumption analysis) is calculated in the modelling</t>
  </si>
  <si>
    <t xml:space="preserve">a) The output will be the required subsidy to achieve NPV neutrality, reduced tariff, i.e., what the price needs to fall to (covering opex) for extra demand up to available capacity (This means there is opportunity for grid optimisation where the there is some unutilized capacity). </t>
  </si>
  <si>
    <t>Debt Service Cover Ratio (DSCR)</t>
  </si>
  <si>
    <t>Benchmark DSCR</t>
  </si>
  <si>
    <t>Benchmark Interest Cover Ratio</t>
  </si>
  <si>
    <t>Capacity utilization</t>
  </si>
  <si>
    <t>Average Revenue Per User (ARPU)-monthly</t>
  </si>
  <si>
    <t>Opex as a % of the total lifetime cost of a typical mini-grid</t>
  </si>
  <si>
    <t>Percentage of the community connected (% electrification rate within the communities the mini grid serves)</t>
  </si>
  <si>
    <t>Input cell</t>
  </si>
  <si>
    <t>Only in these cells input is required, all other cells cannot be edited.</t>
  </si>
  <si>
    <t>Calculation</t>
  </si>
  <si>
    <t>The cell contains a formula for calculation. The user need not enter values in these cells.</t>
  </si>
  <si>
    <t>Linked Cell</t>
  </si>
  <si>
    <t>The cell is linked to another cells in the same tab or another tab in this model.</t>
  </si>
  <si>
    <t>Explanation on how and what to populate in the Section</t>
  </si>
  <si>
    <t>Scenarios (Worst &amp; Best Case Scenarios)</t>
  </si>
  <si>
    <t>1. Capex costs higher or lower</t>
  </si>
  <si>
    <r>
      <t>2.</t>
    </r>
    <r>
      <rPr>
        <sz val="7"/>
        <color theme="1"/>
        <rFont val="Times New Roman"/>
        <family val="1"/>
      </rPr>
      <t> </t>
    </r>
    <r>
      <rPr>
        <sz val="11"/>
        <color theme="1"/>
        <rFont val="Calibri"/>
        <family val="2"/>
        <scheme val="minor"/>
      </rPr>
      <t>Annual O&amp;M higher or lower</t>
    </r>
  </si>
  <si>
    <r>
      <t>3.</t>
    </r>
    <r>
      <rPr>
        <sz val="7"/>
        <color theme="1"/>
        <rFont val="Times New Roman"/>
        <family val="1"/>
      </rPr>
      <t> </t>
    </r>
    <r>
      <rPr>
        <sz val="11"/>
        <color theme="1"/>
        <rFont val="Calibri"/>
        <family val="2"/>
        <scheme val="minor"/>
      </rPr>
      <t>WACC higher or lower - Change cost of debt and/or cost of equity</t>
    </r>
  </si>
  <si>
    <t>5. Average Consumption per customer (ACPC)/number of connection is higher or lower</t>
  </si>
  <si>
    <t xml:space="preserve">This tool guide explains how to operate the tool to enter inputs, the calculations and outputs. This tool guide tab is also provided as User Guide in MS Word and PDF document formats. </t>
  </si>
  <si>
    <t>1.4 Operating and Maintenance (O&amp;M) costs</t>
  </si>
  <si>
    <t>1.11 Benchmarks</t>
  </si>
  <si>
    <t>1.7.1 Summary of Sources of Funding for Total Installed Capital Cost</t>
  </si>
  <si>
    <t>1.7.3 Weighted Average Cost of Capital (WACC) in Nominal terms</t>
  </si>
  <si>
    <t>1.7.4 Construction Financing (Interest During Construction)</t>
  </si>
  <si>
    <t>1.1 Plant Capacity/Performance</t>
  </si>
  <si>
    <t>1.2.5 Floating Biogas</t>
  </si>
  <si>
    <t>1.7.2 Debt Finance Terms</t>
  </si>
  <si>
    <t>2.4 True up (IFRS 14 — Regulatory Deferral Accounts Balances)</t>
  </si>
  <si>
    <t>2.5 Mini grid valuation</t>
  </si>
  <si>
    <t>2.6 Tariffs Calculations</t>
  </si>
  <si>
    <t>2.7.1 Statement of Profit or Loss &amp; other Comprehensive Income</t>
  </si>
  <si>
    <t>2.7.2 Project Cash Flows</t>
  </si>
  <si>
    <t>2.7.4 Project NPV and IRR</t>
  </si>
  <si>
    <t>2.8 Benchmarks</t>
  </si>
  <si>
    <t>2.7 Financial Performance</t>
  </si>
  <si>
    <t>2.7.3 Debt Ratios and Cashflows available for debt service</t>
  </si>
  <si>
    <t>2.7.5 Debt repayment schedule</t>
  </si>
  <si>
    <t>Total energy delivered/sold</t>
  </si>
  <si>
    <t>2.1 Net Energy Output/Sold:</t>
  </si>
  <si>
    <t>3.1(a) Tariffs Structure by customer category</t>
  </si>
  <si>
    <t>Comparison of depreciation methods</t>
  </si>
  <si>
    <t>3.4(b) Depreciation Comparison Graphs</t>
  </si>
  <si>
    <t>1.12 Inputs for Portfolio sites</t>
  </si>
  <si>
    <t xml:space="preserve">3.4(a) Depreciation Methods Amounts Comparison </t>
  </si>
  <si>
    <t>3.6.2 Outputs variations - use "goal seek" and then "paste special values"</t>
  </si>
  <si>
    <t>3.6.4 Price elasticity of demand – inputs and outputs</t>
  </si>
  <si>
    <t>3.6.3 Relating subsidies to connections to tariffs = use same approach as #3.6.2(c)</t>
  </si>
  <si>
    <t>3.2(b) Financial indicators Graphs</t>
  </si>
  <si>
    <t>3.3(b) Mini grid Valuation Graph</t>
  </si>
  <si>
    <t>3.6.1 Inputs variations - Change that input value and then use "paste special values"</t>
  </si>
  <si>
    <t>Section of the tool</t>
  </si>
  <si>
    <t>Mini Grids Tariff Tool Guide</t>
  </si>
  <si>
    <t>The folllowing are explations on how to populate the tool sections. The hyperlinks allows the user to directly jump to the respective section.</t>
  </si>
  <si>
    <t>The user should enter the grant amounts received against the year of receipt. Grant used for purchase of equipment or customer connections should be entered on the capital grants line. Connection charges paid by customers should be entered under the customer payments for connection. Grants received to support O&amp;M shoul be entered under the Subsidy to reduce O&amp;M costs</t>
  </si>
  <si>
    <t>Disconnection penalties and re-connection fees</t>
  </si>
  <si>
    <t>The user should enter the revenues received from disconnection penalties, re-connection fees and any other revenues. The regulator may deduct it from the Revenue Requirement</t>
  </si>
  <si>
    <t>The user should input the tenor of the loan (years) the debt origination cost as % of the total loan, and the cost of debt as annual percentage (%) interest rate (APR)</t>
  </si>
  <si>
    <t>The user should enter the cost of equity. The cost of debt will be linked to the APR above. The proportion of debt and proportion of equity are automatically calculated from the Summary of Sources of Funding entered above</t>
  </si>
  <si>
    <t>The user will enter the economic data using data sources specificed by the regulator</t>
  </si>
  <si>
    <t xml:space="preserve">The user should enter the number of days of working capital. Pre-paid metering reduces the number of days allowance for working capital. Working capital is restricted to selected items and number of days. </t>
  </si>
  <si>
    <t>This extrapolates the plant performance/capacity factors from the inputs tabs and extends it for the useful economic life (license period) of the plant. The annual degradation is substracted. The power purchased from the 3rd parties is added to get the annual total energy sold</t>
  </si>
  <si>
    <t>1.5 Subsidies/Grants/Contributions Received</t>
  </si>
  <si>
    <t>These calculations are performed automatically. The user should check to ensure the principal amounts used by the tool here are correct.</t>
  </si>
  <si>
    <t>The user should adjust these calculations according to their own preferred tariff structures. The calculations made here are only for illustrative examples only and are not meant to be prescriptive</t>
  </si>
  <si>
    <t>The mini grid valuation is done automatically using the depreciated historical cost plus any revenues under recoveries calculated as True Up in terms of IFRS14 above</t>
  </si>
  <si>
    <t>There are no inputs required on this as the Calculations tab is linked to the main Inputs tabs already entered. The Revenue Requirement calculation is automatically performed comprising of O&amp;M expenses + depreciation + return on capital + tax allowance. The subsidies received are deducted in the calculation of Revenue Requirement.</t>
  </si>
  <si>
    <t>The financial performance calculations are linked to main Inputs tabs already entered. All these calculations are automatically performed on this tab: 1) Statement of Profit or Loss &amp; Other Comprehensive Income 2) Project Cash Flows, 3)Debt Service Cover Ratio and Interest Cover Ratios, 4) Project NPV and IRR
These financial performance metrics are displayed in the Outputs tab</t>
  </si>
  <si>
    <t>These calcuations are performed automatically specific for this mini grid only. The data already entered calcuates the comparable benchmarks specific to this mini grid</t>
  </si>
  <si>
    <t>This automaticallys displays the financial indicators from the Calculations tab</t>
  </si>
  <si>
    <t>This automaticallys graphs over 5 years the financial indicators from above</t>
  </si>
  <si>
    <t>This automaticallys graphs over 5 years the tariffs for chosen by the developer from above</t>
  </si>
  <si>
    <t>This automaticallys displays the mini grid valuation from the Calculations tab</t>
  </si>
  <si>
    <t>This automaticallys graphs over 5 years the mini grid from above</t>
  </si>
  <si>
    <t>This automaticallys displays the a comparison of the three depreciation methods from the Calculations tab</t>
  </si>
  <si>
    <t>This automaticallys graphs over 5 years a comparison of the three (3) depreciation methods from above</t>
  </si>
  <si>
    <t xml:space="preserve">This pulls the Benchmarks from the inputs tabs and compares them with those calculates in the Calculations tab. </t>
  </si>
  <si>
    <t>a) Start with target "tariff" to get required subsidy - use "goal seek" of the target tariff by changing the capex subsidy and then "paste special values"; b) IRR to get required tariff - use "goal seek" of desired IRR by changing WACC equity element and then "paste special values"; c) Start with a subsidy to get a tariff or number of connections - change the subsidy value and then "paste special values" from results above</t>
  </si>
  <si>
    <t>Change that input value and then use "paste special values". The inputs to be varied inlude: 1. Capex costs higher or lower; 2. Annual O&amp;M higher or lower; 3. WACC higher or lower - Change cost of debt and/or cost of equity; 4. Economic useful (license period) life of the plant is longer or shorter; 5. Average Consumption per customer (ACPC)/number of connection is higher or lower</t>
  </si>
  <si>
    <t>These are sourced by the regulator and pre-specified in the tool. No entries required</t>
  </si>
  <si>
    <t>The user should follow the same approach as #3.6.2(c) above</t>
  </si>
  <si>
    <t>While this is provided for in this tools, we do not recommend mainstreaming this Price elasticity of demand because of limited data and the subsidies required for the developers to make it work.</t>
  </si>
  <si>
    <t>The user is allowed to increase or decrease input variables to see how it would change tariffs. The User can also work backwards from outputs to inputs. The user can create a best case scenario, expected case scenario and worst case scenarios. Results of the multiple scenarios may be compared by using the "copy and paste special values" or "goal seek" feature to create various Sensitivity Scenarios Analysis. The user should follow the following guidance to perform some of these sensitivity scenarios analysis:</t>
  </si>
  <si>
    <t>Total losses (kWh generated - kWh sold)/kWh generated) %</t>
  </si>
  <si>
    <t>The hyperlinks below against each section heading allows the user to directly jump to the respective section in the tool.</t>
  </si>
  <si>
    <t>New ACPU Monthly</t>
  </si>
  <si>
    <t xml:space="preserve"> currency/customer</t>
  </si>
  <si>
    <t>1.2.7 Interest during construction (IDC)</t>
  </si>
  <si>
    <t>The user should enter a summary of all their sources of funding for the project, broken down into debt, equity and grants</t>
  </si>
  <si>
    <t>The user should select from the drop down menu the generation technology. The regulator will pre-assign the construction period in number of months that it will take to complete construction, testing and commissioning to commercial operation date of the plant.</t>
  </si>
  <si>
    <t>For imported goods and services priced in foreign currency, the cost amounts should be converted from foreign currency to local currency using the same foreign exchange (FX) rate used on import declaration forms or as may be directed by regulator in the data sources above. A record of outstanding foreign currency (FX) expenditure and loans balances should be kept for purposes of foreign currency gains/losses adjustment to the tariff. Once the amount of outstanding FX capex/loan and exchange rates are entered the calculations are automatic to give the adjustment to be made to the tariff annually for FX gains/losses</t>
  </si>
  <si>
    <t>The user should enter the financing information in the following subsections:</t>
  </si>
  <si>
    <t>Average Consumption Per Customer (ACPC)-kWh monthly</t>
  </si>
  <si>
    <t>Where the rules allow for portfolio tariffs applications the user will enter the capex for each site as well as the number of customers for each site. The user will take/link the sites aggregates to the main Inputs tab to calculate one average tariff for all the aggregated portfolio sites. Portfolio tariffs application removes having a patchwork of individualised tariffs per site even where the sites are next to each other. Portfolio tariff approach will also reduce the regulatory burden of preparing a tariff per site</t>
  </si>
  <si>
    <t>Three (3) depreciation methods are provided. The user should select the preferred method of depreciation using “Yes” or “No” from the dropdown menu. The Regulator should decide on their preferred method of depreciation [a] Straight-line; or [b] Units of output; or [c] The annuity method.  For the Straight-line method, the tool automatically uses the economic useful life entered in the Inputs tab.  For the Units of output method, the depreciation will be calculated automatically by the model, using the kWh sales. For the Annuity Method, the depreciation is also calculated automatically in the tool.</t>
  </si>
  <si>
    <t>The tool enables the user track any incomes that will be under-recovered or over-recovered during the tariff control peiod in accordance with International Financial Reporting Standards (IFRS) 14. This under-recovery or over-recovery will be added or subtracted to the valuation of the mini grid during valuation as explained below or adjusted in the next tariff review.</t>
  </si>
  <si>
    <t>Depreciation (Note: Can use Tax Wear and Tear Allowance)</t>
  </si>
  <si>
    <t>4. Economic useful life (license period) of the plant is longer or shorter</t>
  </si>
  <si>
    <t>Construction Period-Solar</t>
  </si>
  <si>
    <t>The tool consists of this user guide tab, three (3) mains tabs and a supplementary info tab for portfolio applications. The following pictogram illustrate the 3 main tabs:</t>
  </si>
  <si>
    <t>This tool is based on the cost of service (or rate of return) methodology, i.e., Revenue Requirement= O&amp;M expenses+Depreciation+(Rate Base x Rate of Return)+Taxes</t>
  </si>
  <si>
    <t>Cumulative RAB Capex net of subsidy &amp; customer payments for connection</t>
  </si>
  <si>
    <t>Mini grid Average subsidy/cost per connection</t>
  </si>
  <si>
    <t>1.2.6 General or "shared" assets used in the electricity business</t>
  </si>
  <si>
    <t>The user should select from the drop down menu in 1.7.4 the generation technology. The regulator will pre-assign the construction period in number of months that it will take from commencement of construction until commercial operation date(COD) of the plant. IDC is then automatically calculated. The grace period if different from the contruction period should be taken into account in 2.7.5 in the debt repayment schedule</t>
  </si>
  <si>
    <r>
      <t>1.10 Forex Volatility Adjustment</t>
    </r>
    <r>
      <rPr>
        <b/>
        <sz val="10"/>
        <color rgb="FFFF0000"/>
        <rFont val="Calibri"/>
        <family val="2"/>
        <scheme val="minor"/>
      </rPr>
      <t>(To be added as a separate line to tariff)</t>
    </r>
  </si>
  <si>
    <t>It is recommended to keep the Reserve Margin at the same % as the national utility</t>
  </si>
  <si>
    <t>The following color codes apply (on the inputs):</t>
  </si>
  <si>
    <t>Currency - select from drop menu the currency of costs and tariffs</t>
  </si>
  <si>
    <t>Metering and termination/service drop</t>
  </si>
  <si>
    <t xml:space="preserve">Distribution assets </t>
  </si>
  <si>
    <t>Annual hours for conversion kWh or mWh</t>
  </si>
  <si>
    <t>Currently not used in the calculations tab as amounts are likely to be insignificant. But normally should be deducted from Revenue Requirement</t>
  </si>
  <si>
    <t>Average kWh tariff</t>
  </si>
  <si>
    <t>Capital grant received and customer contributions</t>
  </si>
  <si>
    <t>Grant/subsidy for capex (e.g., connection subsidy, etc)</t>
  </si>
  <si>
    <t>Grants/subsidies for capex and customer payments for connection</t>
  </si>
  <si>
    <t>Nominal energy generated</t>
  </si>
  <si>
    <t>Energy available</t>
  </si>
  <si>
    <t>Amount of total funds or expenditure in foreign currency</t>
  </si>
  <si>
    <t>Foreign currency loan or expenditure balance</t>
  </si>
  <si>
    <t>USD</t>
  </si>
  <si>
    <t>Demand in kWh</t>
  </si>
  <si>
    <t>kWh per month</t>
  </si>
  <si>
    <t>Consumption per customer</t>
  </si>
  <si>
    <t>Customer avoided cost</t>
  </si>
  <si>
    <t>Total customers connected</t>
  </si>
  <si>
    <t>Year-on-year</t>
  </si>
  <si>
    <t>currency per customer per month</t>
  </si>
  <si>
    <t>The tool output tab is linked to pull the tariffs in the Calculator tab. The developer proposes the tariff structures and therefore this part of the tool will not be locked to allow the developer flexibility to use any combination of tariff structures that they deem appropriate for their own project. The drop down menu gives some examples of tariff structures, such as: kWh/PAYG/Energy-based tariff, Tariffs is a % of some base tariff,Flat rate tariff (Revenues/No. of Customers), Fixed charge+kWh charge tariff, LCOE,Time of Use(ToU) tariff, Power/Load-based tariff, Hybrid, Others to be specified by the user</t>
  </si>
  <si>
    <t>Excess capacity check - compare demand against installed capacity (Net Energy output)</t>
  </si>
  <si>
    <t>Avoided cost to the customer per month</t>
  </si>
  <si>
    <t>Monthly average kWh consumption per customer per month (ACPC)</t>
  </si>
  <si>
    <t># of customers-for the installed capacity</t>
  </si>
  <si>
    <t>Total annual consumption/demand</t>
  </si>
  <si>
    <t xml:space="preserve">Average cost per connection </t>
  </si>
  <si>
    <t>Technical (Grid) losses</t>
  </si>
  <si>
    <t>Plant economic useful life (or remaining License period)</t>
  </si>
  <si>
    <t>Energy net of technical (grid) losses</t>
  </si>
  <si>
    <t>Power net of technical losses</t>
  </si>
  <si>
    <t>It is recommended the regulator to put a cap on % losses to encourage efficiencies</t>
  </si>
  <si>
    <t>The user should enter mini grid project capacity figures as per the cells provided. The capacity factor for a hybrid system and/or multiple sites is calculated in the portfolio tab and one weighted average capacity factor is then used. The user will input the different capacity factors in the Portfolio tab to derive one weighted average capacity factor. The user should choose the units between kWp and MWp from the drop-down menu. The regulator will pre-define the allowed reserve margin, % allowance for technical losses as well as the degradation rate. The user should choose from the drop down menu the economic life equal to the remaining license period</t>
  </si>
  <si>
    <t>These sections allow the user to populate the capital expenditure for each generation technology. The user is allowed to populate more than one technology for a hybrid mini grid. Separate lines are provided for the user to capture the customs duties and VAT respectively. The user should also enter economic useful or remaining license period if different from the regulator pre-assigned useful lives. The tool will automatically calculate the replacement years and the replacement cost as well as the total life-cycle costs. For general shared assets, the cost allocation principles used should be disclosed.</t>
  </si>
  <si>
    <t>Final Version: 08 January 2024</t>
  </si>
  <si>
    <t>The user should enter the amounts for the O&amp;M expenditure line items. Notes (comments within cells) have been provided to guide the aggregation to reduce the levels of details. The user enter the proportion (%) of the total O&amp;M expenses that are escalable year to year for the regulator approval. That escalable proportion should exclude the Power Purchased from 3rd parties. The power purchased from 3rd parties, wheeling charges and the bulk tariff paid for it, should be left blank if all power sold is self-generated because this provision is only made where a mini grid is interconnected to a DisCo like in Nigeria. The bulk purchase tariff paid to the 3rd parties is also a regulated tariff. Planned power purchases should be linked to demand projection and a separate demand projection be provided to the regulator by the applicant</t>
  </si>
  <si>
    <t xml:space="preserve">The user will define their own customer categories in this section. Against each customer category the user should enter: [a] The number of consumers per customer class for the installed capacity; [b] the average consumption for customer category and ensure the total consumption tallies with the system installed capacity; [c] The % of costs attributable to each customer class.  The user should enter this % cost attribution based on historical experience and/or a cost of service (COS) study </t>
  </si>
  <si>
    <t>Tariffs is a % of some base tariff</t>
  </si>
  <si>
    <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</si>
</sst>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 #,##0.00_-;_-* &quot;-&quot;??_-;_-@_-"/>
    <numFmt numFmtId="164" formatCode="#,##0_ ;[Red]\-#,##0\ "/>
    <numFmt numFmtId="165" formatCode="[$$-45C]#,##0;[Red]\-[$$-45C]#,##0"/>
    <numFmt numFmtId="166" formatCode="#,##0.0_ ;[Red]\-#,##0.0\ "/>
    <numFmt numFmtId="167" formatCode="[$$-45C]#,##0.0;[Red]\-[$$-45C]#,##0.0"/>
    <numFmt numFmtId="168" formatCode="[$$-45C]#,##0.00;[Red]\-[$$-45C]#,##0.00"/>
    <numFmt numFmtId="169" formatCode="0.0%"/>
    <numFmt numFmtId="170" formatCode="#,##0.00_ ;[Red]\-#,##0.00\ "/>
    <numFmt numFmtId="171" formatCode="[$KES]\ #,##0.00"/>
    <numFmt numFmtId="172" formatCode="#,##0.000_ ;[Red]\-#,##0.000\ "/>
    <numFmt numFmtId="173" formatCode="_(* #,##0.00_);_(* \(#,##0.00\);_(* &quot;-&quot;??_);_(@_)"/>
    <numFmt numFmtId="174" formatCode="&quot;R&quot;#,##0.0000;[Red]\-&quot;R&quot;#,##0.0000"/>
    <numFmt numFmtId="175" formatCode="[$$-409]#,##0.00"/>
    <numFmt numFmtId="176" formatCode="[$$-409]#,##0"/>
  </numFmts>
  <fonts count="48" x14ac:knownFonts="1">
    <font>
      <sz val="11"/>
      <color theme="1"/>
      <name val="Calibri"/>
      <family val="2"/>
      <scheme val="minor"/>
    </font>
    <font>
      <sz val="11"/>
      <color rgb="FFFF0000"/>
      <name val="Calibri"/>
      <family val="2"/>
      <scheme val="minor"/>
    </font>
    <font>
      <b/>
      <sz val="11"/>
      <color theme="1"/>
      <name val="Calibri"/>
      <family val="2"/>
      <scheme val="minor"/>
    </font>
    <font>
      <sz val="9"/>
      <color indexed="81"/>
      <name val="Tahoma"/>
      <family val="2"/>
    </font>
    <font>
      <b/>
      <sz val="9"/>
      <color indexed="81"/>
      <name val="Tahoma"/>
      <family val="2"/>
    </font>
    <font>
      <b/>
      <u/>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8"/>
      <name val="Calibri"/>
      <family val="2"/>
      <scheme val="minor"/>
    </font>
    <font>
      <sz val="10"/>
      <color theme="1"/>
      <name val="Calibri"/>
      <family val="2"/>
      <scheme val="minor"/>
    </font>
    <font>
      <b/>
      <sz val="12"/>
      <name val="Calibri Light"/>
      <family val="2"/>
      <scheme val="major"/>
    </font>
    <font>
      <b/>
      <sz val="10"/>
      <color theme="1"/>
      <name val="Calibri"/>
      <family val="2"/>
      <scheme val="minor"/>
    </font>
    <font>
      <sz val="10"/>
      <color rgb="FF3F3F76"/>
      <name val="Calibri"/>
      <family val="2"/>
      <scheme val="minor"/>
    </font>
    <font>
      <b/>
      <sz val="10"/>
      <color rgb="FFFA7D00"/>
      <name val="Calibri"/>
      <family val="2"/>
      <scheme val="minor"/>
    </font>
    <font>
      <b/>
      <sz val="14"/>
      <color theme="1"/>
      <name val="Calibri Light"/>
      <family val="2"/>
      <scheme val="major"/>
    </font>
    <font>
      <sz val="11"/>
      <color theme="1"/>
      <name val="Calibri Light"/>
      <family val="2"/>
      <scheme val="major"/>
    </font>
    <font>
      <sz val="11"/>
      <name val="Calibri Light"/>
      <family val="2"/>
      <scheme val="major"/>
    </font>
    <font>
      <b/>
      <sz val="10"/>
      <name val="Calibri Light"/>
      <family val="2"/>
      <scheme val="major"/>
    </font>
    <font>
      <sz val="11"/>
      <name val="Calibri"/>
      <family val="2"/>
      <scheme val="minor"/>
    </font>
    <font>
      <b/>
      <sz val="11"/>
      <name val="Calibri"/>
      <family val="2"/>
      <scheme val="minor"/>
    </font>
    <font>
      <b/>
      <sz val="12"/>
      <name val="Calibri"/>
      <family val="2"/>
      <scheme val="minor"/>
    </font>
    <font>
      <b/>
      <sz val="10"/>
      <name val="Calibri"/>
      <family val="2"/>
      <scheme val="minor"/>
    </font>
    <font>
      <b/>
      <sz val="11"/>
      <color theme="0"/>
      <name val="Calibri"/>
      <family val="2"/>
      <scheme val="minor"/>
    </font>
    <font>
      <sz val="10"/>
      <name val="Calibri"/>
      <family val="2"/>
      <scheme val="minor"/>
    </font>
    <font>
      <b/>
      <sz val="10"/>
      <color theme="0"/>
      <name val="Calibri"/>
      <family val="2"/>
      <scheme val="minor"/>
    </font>
    <font>
      <sz val="10"/>
      <name val="Calibri Light"/>
      <family val="2"/>
      <scheme val="major"/>
    </font>
    <font>
      <sz val="10"/>
      <color rgb="FFFF0000"/>
      <name val="Calibri"/>
      <family val="2"/>
      <scheme val="minor"/>
    </font>
    <font>
      <sz val="10"/>
      <color theme="1"/>
      <name val="Calibri Light"/>
      <family val="2"/>
      <scheme val="major"/>
    </font>
    <font>
      <i/>
      <sz val="10"/>
      <color rgb="FFFF0000"/>
      <name val="Calibri"/>
      <family val="2"/>
      <scheme val="minor"/>
    </font>
    <font>
      <b/>
      <sz val="11"/>
      <name val="Calibri Light"/>
      <family val="2"/>
      <scheme val="major"/>
    </font>
    <font>
      <sz val="11"/>
      <color rgb="FF006100"/>
      <name val="Calibri"/>
      <family val="2"/>
      <scheme val="minor"/>
    </font>
    <font>
      <sz val="10"/>
      <color rgb="FF006100"/>
      <name val="Calibri"/>
      <family val="2"/>
      <scheme val="minor"/>
    </font>
    <font>
      <i/>
      <sz val="10"/>
      <name val="Calibri"/>
      <family val="2"/>
      <scheme val="minor"/>
    </font>
    <font>
      <b/>
      <sz val="10"/>
      <color rgb="FFFF0000"/>
      <name val="Calibri"/>
      <family val="2"/>
      <scheme val="minor"/>
    </font>
    <font>
      <sz val="10"/>
      <color rgb="FFFA7D00"/>
      <name val="Calibri"/>
      <family val="2"/>
      <scheme val="minor"/>
    </font>
    <font>
      <b/>
      <i/>
      <sz val="10"/>
      <color theme="1"/>
      <name val="Calibri"/>
      <family val="2"/>
      <scheme val="minor"/>
    </font>
    <font>
      <b/>
      <i/>
      <sz val="10"/>
      <color rgb="FF7030A0"/>
      <name val="Calibri"/>
      <family val="2"/>
      <scheme val="minor"/>
    </font>
    <font>
      <b/>
      <sz val="14"/>
      <color theme="1"/>
      <name val="Calibri"/>
      <family val="2"/>
      <scheme val="minor"/>
    </font>
    <font>
      <b/>
      <u/>
      <sz val="10"/>
      <color theme="1"/>
      <name val="Calibri"/>
      <family val="2"/>
      <scheme val="minor"/>
    </font>
    <font>
      <sz val="11"/>
      <color rgb="FFFA7D00"/>
      <name val="Calibri"/>
      <family val="2"/>
      <scheme val="minor"/>
    </font>
    <font>
      <u/>
      <sz val="11"/>
      <color theme="1"/>
      <name val="Calibri"/>
      <family val="2"/>
      <scheme val="minor"/>
    </font>
    <font>
      <u/>
      <sz val="11"/>
      <color theme="10"/>
      <name val="Calibri"/>
      <family val="2"/>
      <scheme val="minor"/>
    </font>
    <font>
      <sz val="7"/>
      <color theme="1"/>
      <name val="Times New Roman"/>
      <family val="1"/>
    </font>
    <font>
      <b/>
      <u/>
      <sz val="11"/>
      <color theme="10"/>
      <name val="Calibri"/>
      <family val="2"/>
      <scheme val="minor"/>
    </font>
    <font>
      <b/>
      <sz val="9"/>
      <color rgb="FFFA7D00"/>
      <name val="Calibri"/>
      <family val="2"/>
      <scheme val="minor"/>
    </font>
    <font>
      <b/>
      <sz val="8"/>
      <color theme="1"/>
      <name val="Calibri"/>
      <family val="2"/>
      <scheme val="minor"/>
    </font>
    <font>
      <sz val="8"/>
      <color theme="1"/>
      <name val="Calibri"/>
      <family val="2"/>
      <scheme val="minor"/>
    </font>
  </fonts>
  <fills count="21">
    <fill>
      <patternFill patternType="none"/>
    </fill>
    <fill>
      <patternFill patternType="gray125"/>
    </fill>
    <fill>
      <patternFill patternType="solid">
        <fgColor rgb="FFFFFF00"/>
        <bgColor indexed="64"/>
      </patternFill>
    </fill>
    <fill>
      <patternFill patternType="solid">
        <fgColor rgb="FFFFCC99"/>
      </patternFill>
    </fill>
    <fill>
      <patternFill patternType="solid">
        <fgColor rgb="FFF2F2F2"/>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rgb="FFA5A5A5"/>
      </patternFill>
    </fill>
    <fill>
      <patternFill patternType="solid">
        <fgColor rgb="FFFFFFCC"/>
      </patternFill>
    </fill>
    <fill>
      <patternFill patternType="solid">
        <fgColor rgb="FFC6EFCE"/>
      </patternFill>
    </fill>
    <fill>
      <patternFill patternType="solid">
        <fgColor rgb="FFFFFFCC"/>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rgb="FF00B0F0"/>
        <bgColor indexed="64"/>
      </patternFill>
    </fill>
    <fill>
      <patternFill patternType="solid">
        <fgColor theme="5" tint="0.79998168889431442"/>
        <bgColor indexed="64"/>
      </patternFill>
    </fill>
    <fill>
      <patternFill patternType="solid">
        <fgColor rgb="FF00FF00"/>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rgb="FFFFC000"/>
        <bgColor indexed="64"/>
      </patternFill>
    </fill>
  </fills>
  <borders count="48">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style="thin">
        <color rgb="FF7F7F7F"/>
      </left>
      <right style="thin">
        <color rgb="FF7F7F7F"/>
      </right>
      <top style="thin">
        <color rgb="FF7F7F7F"/>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double">
        <color indexed="64"/>
      </bottom>
      <diagonal/>
    </border>
    <border>
      <left style="thin">
        <color indexed="64"/>
      </left>
      <right style="thin">
        <color indexed="64"/>
      </right>
      <top/>
      <bottom style="double">
        <color indexed="64"/>
      </bottom>
      <diagonal/>
    </border>
    <border>
      <left/>
      <right/>
      <top style="thin">
        <color indexed="64"/>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double">
        <color indexed="64"/>
      </bottom>
      <diagonal/>
    </border>
    <border>
      <left/>
      <right/>
      <top style="thin">
        <color rgb="FF7F7F7F"/>
      </top>
      <bottom style="thin">
        <color rgb="FF7F7F7F"/>
      </bottom>
      <diagonal/>
    </border>
    <border>
      <left style="thin">
        <color indexed="64"/>
      </left>
      <right style="thin">
        <color indexed="64"/>
      </right>
      <top style="thin">
        <color rgb="FF7F7F7F"/>
      </top>
      <bottom style="thin">
        <color indexed="64"/>
      </bottom>
      <diagonal/>
    </border>
    <border>
      <left/>
      <right style="thin">
        <color rgb="FF7F7F7F"/>
      </right>
      <top style="thin">
        <color rgb="FF7F7F7F"/>
      </top>
      <bottom style="thin">
        <color indexed="64"/>
      </bottom>
      <diagonal/>
    </border>
    <border>
      <left style="thin">
        <color rgb="FF7F7F7F"/>
      </left>
      <right style="thin">
        <color indexed="64"/>
      </right>
      <top/>
      <bottom style="thin">
        <color indexed="64"/>
      </bottom>
      <diagonal/>
    </border>
    <border>
      <left style="thin">
        <color rgb="FF7F7F7F"/>
      </left>
      <right style="thin">
        <color rgb="FF7F7F7F"/>
      </right>
      <top style="thin">
        <color indexed="64"/>
      </top>
      <bottom style="double">
        <color indexed="64"/>
      </bottom>
      <diagonal/>
    </border>
    <border>
      <left style="thin">
        <color rgb="FF7F7F7F"/>
      </left>
      <right style="thin">
        <color indexed="64"/>
      </right>
      <top style="thin">
        <color indexed="64"/>
      </top>
      <bottom style="double">
        <color indexed="64"/>
      </bottom>
      <diagonal/>
    </border>
    <border>
      <left/>
      <right style="thin">
        <color indexed="64"/>
      </right>
      <top style="thin">
        <color indexed="64"/>
      </top>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thin">
        <color rgb="FFB2B2B2"/>
      </bottom>
      <diagonal/>
    </border>
    <border>
      <left style="thin">
        <color rgb="FFB2B2B2"/>
      </left>
      <right style="thin">
        <color rgb="FFB2B2B2"/>
      </right>
      <top style="thin">
        <color rgb="FFB2B2B2"/>
      </top>
      <bottom/>
      <diagonal/>
    </border>
    <border>
      <left style="thin">
        <color rgb="FFB2B2B2"/>
      </left>
      <right/>
      <top style="thin">
        <color rgb="FFB2B2B2"/>
      </top>
      <bottom style="thin">
        <color rgb="FFB2B2B2"/>
      </bottom>
      <diagonal/>
    </border>
    <border>
      <left/>
      <right/>
      <top style="thin">
        <color rgb="FFB2B2B2"/>
      </top>
      <bottom style="thin">
        <color rgb="FFB2B2B2"/>
      </bottom>
      <diagonal/>
    </border>
    <border>
      <left/>
      <right style="thin">
        <color rgb="FFB2B2B2"/>
      </right>
      <top style="thin">
        <color rgb="FFB2B2B2"/>
      </top>
      <bottom style="thin">
        <color rgb="FFB2B2B2"/>
      </bottom>
      <diagonal/>
    </border>
    <border>
      <left/>
      <right/>
      <top/>
      <bottom style="double">
        <color rgb="FFFF8001"/>
      </bottom>
      <diagonal/>
    </border>
    <border>
      <left style="thin">
        <color rgb="FF7F7F7F"/>
      </left>
      <right/>
      <top style="thin">
        <color rgb="FF7F7F7F"/>
      </top>
      <bottom style="thin">
        <color rgb="FF7F7F7F"/>
      </bottom>
      <diagonal/>
    </border>
    <border>
      <left style="thin">
        <color indexed="64"/>
      </left>
      <right style="thin">
        <color indexed="64"/>
      </right>
      <top/>
      <bottom style="double">
        <color rgb="FFFF8001"/>
      </bottom>
      <diagonal/>
    </border>
    <border>
      <left style="thin">
        <color rgb="FF7F7F7F"/>
      </left>
      <right style="thin">
        <color rgb="FF7F7F7F"/>
      </right>
      <top/>
      <bottom style="thin">
        <color rgb="FF7F7F7F"/>
      </bottom>
      <diagonal/>
    </border>
    <border>
      <left style="thin">
        <color rgb="FF7F7F7F"/>
      </left>
      <right/>
      <top/>
      <bottom style="thin">
        <color rgb="FF7F7F7F"/>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0">
    <xf numFmtId="0" fontId="0" fillId="0" borderId="0"/>
    <xf numFmtId="9" fontId="6" fillId="0" borderId="0" applyFont="0" applyFill="0" applyBorder="0" applyAlignment="0" applyProtection="0"/>
    <xf numFmtId="0" fontId="7" fillId="3" borderId="1" applyNumberFormat="0" applyAlignment="0" applyProtection="0"/>
    <xf numFmtId="0" fontId="8" fillId="4" borderId="1" applyNumberFormat="0" applyAlignment="0" applyProtection="0"/>
    <xf numFmtId="0" fontId="23" fillId="8" borderId="10" applyNumberFormat="0" applyAlignment="0" applyProtection="0"/>
    <xf numFmtId="0" fontId="6" fillId="9" borderId="11" applyNumberFormat="0" applyFont="0" applyAlignment="0" applyProtection="0"/>
    <xf numFmtId="0" fontId="31" fillId="10" borderId="0" applyNumberFormat="0" applyBorder="0" applyAlignment="0" applyProtection="0"/>
    <xf numFmtId="0" fontId="40" fillId="0" borderId="40" applyNumberFormat="0" applyFill="0" applyAlignment="0" applyProtection="0"/>
    <xf numFmtId="0" fontId="42" fillId="0" borderId="0" applyNumberFormat="0" applyFill="0" applyBorder="0" applyAlignment="0" applyProtection="0"/>
    <xf numFmtId="43" fontId="6" fillId="0" borderId="0" applyFont="0" applyFill="0" applyBorder="0" applyAlignment="0" applyProtection="0"/>
  </cellStyleXfs>
  <cellXfs count="561">
    <xf numFmtId="0" fontId="0" fillId="0" borderId="0" xfId="0"/>
    <xf numFmtId="164" fontId="0" fillId="0" borderId="0" xfId="0" applyNumberFormat="1"/>
    <xf numFmtId="164" fontId="1" fillId="0" borderId="0" xfId="0" applyNumberFormat="1" applyFont="1"/>
    <xf numFmtId="164" fontId="13" fillId="3" borderId="1" xfId="2" applyNumberFormat="1" applyFont="1" applyAlignment="1" applyProtection="1">
      <alignment horizontal="center"/>
      <protection locked="0"/>
    </xf>
    <xf numFmtId="0" fontId="10" fillId="0" borderId="3" xfId="0" applyFont="1" applyBorder="1" applyAlignment="1" applyProtection="1">
      <alignment horizontal="center"/>
      <protection locked="0"/>
    </xf>
    <xf numFmtId="169" fontId="13" fillId="3" borderId="1" xfId="2" applyNumberFormat="1" applyFont="1" applyAlignment="1" applyProtection="1">
      <alignment horizontal="center"/>
      <protection locked="0"/>
    </xf>
    <xf numFmtId="9" fontId="13" fillId="3" borderId="1" xfId="2" applyNumberFormat="1" applyFont="1" applyAlignment="1" applyProtection="1">
      <alignment horizontal="center"/>
      <protection locked="0"/>
    </xf>
    <xf numFmtId="164" fontId="13" fillId="3" borderId="1" xfId="2" applyNumberFormat="1" applyFont="1" applyAlignment="1" applyProtection="1">
      <alignment horizontal="center"/>
    </xf>
    <xf numFmtId="164" fontId="13" fillId="3" borderId="5" xfId="2" applyNumberFormat="1" applyFont="1" applyBorder="1" applyAlignment="1" applyProtection="1">
      <alignment horizontal="center"/>
      <protection locked="0"/>
    </xf>
    <xf numFmtId="10" fontId="13" fillId="3" borderId="3" xfId="2" applyNumberFormat="1" applyFont="1" applyBorder="1" applyAlignment="1" applyProtection="1">
      <alignment horizontal="center"/>
      <protection locked="0"/>
    </xf>
    <xf numFmtId="164" fontId="10" fillId="0" borderId="0" xfId="0" applyNumberFormat="1" applyFont="1"/>
    <xf numFmtId="164" fontId="10" fillId="0" borderId="0" xfId="0" applyNumberFormat="1" applyFont="1" applyAlignment="1">
      <alignment horizontal="center"/>
    </xf>
    <xf numFmtId="164" fontId="27" fillId="0" borderId="0" xfId="0" applyNumberFormat="1" applyFont="1"/>
    <xf numFmtId="164" fontId="10" fillId="0" borderId="0" xfId="0" applyNumberFormat="1" applyFont="1" applyAlignment="1">
      <alignment horizontal="right"/>
    </xf>
    <xf numFmtId="164" fontId="27" fillId="0" borderId="0" xfId="0" applyNumberFormat="1" applyFont="1" applyAlignment="1">
      <alignment horizontal="center"/>
    </xf>
    <xf numFmtId="164" fontId="24" fillId="0" borderId="0" xfId="0" applyNumberFormat="1" applyFont="1" applyAlignment="1">
      <alignment horizontal="center"/>
    </xf>
    <xf numFmtId="164" fontId="10" fillId="0" borderId="6" xfId="0" applyNumberFormat="1" applyFont="1" applyBorder="1"/>
    <xf numFmtId="164" fontId="10" fillId="0" borderId="12" xfId="0" applyNumberFormat="1" applyFont="1" applyBorder="1"/>
    <xf numFmtId="170" fontId="13" fillId="3" borderId="1" xfId="2" applyNumberFormat="1" applyFont="1" applyAlignment="1" applyProtection="1">
      <alignment horizontal="center"/>
      <protection locked="0"/>
    </xf>
    <xf numFmtId="10" fontId="13" fillId="3" borderId="1" xfId="2" applyNumberFormat="1" applyFont="1" applyAlignment="1" applyProtection="1">
      <alignment horizontal="center"/>
      <protection locked="0"/>
    </xf>
    <xf numFmtId="0" fontId="15" fillId="0" borderId="0" xfId="0" applyFont="1" applyProtection="1">
      <protection locked="0"/>
    </xf>
    <xf numFmtId="164" fontId="1" fillId="0" borderId="0" xfId="0" applyNumberFormat="1" applyFont="1" applyProtection="1">
      <protection locked="0"/>
    </xf>
    <xf numFmtId="0" fontId="0" fillId="0" borderId="0" xfId="0" applyProtection="1">
      <protection locked="0"/>
    </xf>
    <xf numFmtId="0" fontId="0" fillId="0" borderId="0" xfId="0" applyAlignment="1" applyProtection="1">
      <alignment horizontal="center"/>
      <protection locked="0"/>
    </xf>
    <xf numFmtId="0" fontId="10" fillId="0" borderId="0" xfId="0" applyFont="1" applyProtection="1">
      <protection locked="0"/>
    </xf>
    <xf numFmtId="3" fontId="11" fillId="5" borderId="0" xfId="0" applyNumberFormat="1" applyFont="1" applyFill="1" applyAlignment="1" applyProtection="1">
      <alignment horizontal="left"/>
      <protection locked="0"/>
    </xf>
    <xf numFmtId="0" fontId="16" fillId="0" borderId="0" xfId="0" applyFont="1" applyProtection="1">
      <protection locked="0"/>
    </xf>
    <xf numFmtId="164" fontId="16" fillId="0" borderId="0" xfId="0" applyNumberFormat="1" applyFont="1" applyProtection="1">
      <protection locked="0"/>
    </xf>
    <xf numFmtId="164" fontId="16" fillId="0" borderId="0" xfId="0" applyNumberFormat="1" applyFont="1" applyAlignment="1" applyProtection="1">
      <alignment horizontal="center"/>
      <protection locked="0"/>
    </xf>
    <xf numFmtId="0" fontId="2" fillId="0" borderId="3" xfId="0" applyFont="1" applyBorder="1" applyAlignment="1" applyProtection="1">
      <alignment horizontal="center"/>
      <protection locked="0"/>
    </xf>
    <xf numFmtId="0" fontId="2" fillId="0" borderId="0" xfId="0" applyFont="1" applyAlignment="1" applyProtection="1">
      <alignment horizontal="center"/>
      <protection locked="0"/>
    </xf>
    <xf numFmtId="164" fontId="2" fillId="0" borderId="0" xfId="0" applyNumberFormat="1" applyFont="1" applyAlignment="1" applyProtection="1">
      <alignment horizontal="center"/>
      <protection locked="0"/>
    </xf>
    <xf numFmtId="0" fontId="10" fillId="0" borderId="3" xfId="0" applyFont="1" applyBorder="1" applyProtection="1">
      <protection locked="0"/>
    </xf>
    <xf numFmtId="164" fontId="0" fillId="0" borderId="0" xfId="0" applyNumberFormat="1" applyAlignment="1" applyProtection="1">
      <alignment horizontal="center"/>
      <protection locked="0"/>
    </xf>
    <xf numFmtId="164" fontId="0" fillId="0" borderId="0" xfId="0" applyNumberFormat="1" applyProtection="1">
      <protection locked="0"/>
    </xf>
    <xf numFmtId="0" fontId="10" fillId="6" borderId="3" xfId="0" applyFont="1" applyFill="1" applyBorder="1" applyAlignment="1" applyProtection="1">
      <alignment horizontal="center"/>
      <protection locked="0"/>
    </xf>
    <xf numFmtId="164" fontId="10" fillId="0" borderId="0" xfId="0" applyNumberFormat="1" applyFont="1" applyAlignment="1" applyProtection="1">
      <alignment horizontal="right"/>
      <protection locked="0"/>
    </xf>
    <xf numFmtId="164" fontId="10" fillId="0" borderId="0" xfId="0" applyNumberFormat="1" applyFont="1" applyAlignment="1" applyProtection="1">
      <alignment horizontal="center"/>
      <protection locked="0"/>
    </xf>
    <xf numFmtId="164" fontId="10" fillId="0" borderId="0" xfId="0" applyNumberFormat="1" applyFont="1" applyProtection="1">
      <protection locked="0"/>
    </xf>
    <xf numFmtId="3" fontId="21" fillId="5" borderId="0" xfId="0" applyNumberFormat="1" applyFont="1" applyFill="1" applyAlignment="1" applyProtection="1">
      <alignment horizontal="left"/>
      <protection locked="0"/>
    </xf>
    <xf numFmtId="0" fontId="5" fillId="0" borderId="0" xfId="0" applyFont="1" applyProtection="1">
      <protection locked="0"/>
    </xf>
    <xf numFmtId="0" fontId="12" fillId="0" borderId="3" xfId="0" applyFont="1" applyBorder="1" applyAlignment="1" applyProtection="1">
      <alignment horizontal="center"/>
      <protection locked="0"/>
    </xf>
    <xf numFmtId="0" fontId="12" fillId="0" borderId="0" xfId="0" applyFont="1" applyAlignment="1" applyProtection="1">
      <alignment horizontal="center"/>
      <protection locked="0"/>
    </xf>
    <xf numFmtId="164" fontId="12" fillId="0" borderId="7" xfId="0" applyNumberFormat="1" applyFont="1" applyBorder="1" applyAlignment="1" applyProtection="1">
      <alignment horizontal="centerContinuous"/>
      <protection locked="0"/>
    </xf>
    <xf numFmtId="164" fontId="12" fillId="0" borderId="8" xfId="0" applyNumberFormat="1" applyFont="1" applyBorder="1" applyAlignment="1" applyProtection="1">
      <alignment horizontal="centerContinuous"/>
      <protection locked="0"/>
    </xf>
    <xf numFmtId="164" fontId="12" fillId="0" borderId="9" xfId="0" applyNumberFormat="1" applyFont="1" applyBorder="1" applyAlignment="1" applyProtection="1">
      <alignment horizontal="centerContinuous"/>
      <protection locked="0"/>
    </xf>
    <xf numFmtId="164" fontId="12" fillId="0" borderId="8" xfId="0" applyNumberFormat="1" applyFont="1" applyBorder="1" applyAlignment="1" applyProtection="1">
      <alignment horizontal="left"/>
      <protection locked="0"/>
    </xf>
    <xf numFmtId="164" fontId="12" fillId="0" borderId="0" xfId="0" applyNumberFormat="1" applyFont="1" applyAlignment="1" applyProtection="1">
      <alignment horizontal="center"/>
      <protection locked="0"/>
    </xf>
    <xf numFmtId="3" fontId="26" fillId="7" borderId="7" xfId="0" applyNumberFormat="1" applyFont="1" applyFill="1" applyBorder="1" applyAlignment="1" applyProtection="1">
      <alignment horizontal="center"/>
      <protection locked="0"/>
    </xf>
    <xf numFmtId="3" fontId="26" fillId="7" borderId="8" xfId="0" applyNumberFormat="1" applyFont="1" applyFill="1" applyBorder="1" applyAlignment="1" applyProtection="1">
      <alignment horizontal="center"/>
      <protection locked="0"/>
    </xf>
    <xf numFmtId="3" fontId="26" fillId="7" borderId="9" xfId="0" applyNumberFormat="1" applyFont="1" applyFill="1" applyBorder="1" applyAlignment="1" applyProtection="1">
      <alignment horizontal="center"/>
      <protection locked="0"/>
    </xf>
    <xf numFmtId="0" fontId="27" fillId="0" borderId="0" xfId="0" applyFont="1" applyProtection="1">
      <protection locked="0"/>
    </xf>
    <xf numFmtId="164" fontId="27" fillId="0" borderId="0" xfId="0" applyNumberFormat="1" applyFont="1" applyProtection="1">
      <protection locked="0"/>
    </xf>
    <xf numFmtId="164" fontId="27" fillId="0" borderId="0" xfId="0" applyNumberFormat="1" applyFont="1" applyAlignment="1" applyProtection="1">
      <alignment horizontal="center"/>
      <protection locked="0"/>
    </xf>
    <xf numFmtId="0" fontId="10" fillId="0" borderId="6" xfId="0" applyFont="1" applyBorder="1" applyProtection="1">
      <protection locked="0"/>
    </xf>
    <xf numFmtId="0" fontId="10" fillId="0" borderId="12" xfId="0" applyFont="1" applyBorder="1" applyProtection="1">
      <protection locked="0"/>
    </xf>
    <xf numFmtId="0" fontId="35" fillId="0" borderId="40" xfId="7" applyFont="1" applyAlignment="1" applyProtection="1">
      <alignment horizontal="left" vertical="top"/>
      <protection locked="0"/>
    </xf>
    <xf numFmtId="0" fontId="35" fillId="0" borderId="40" xfId="7" applyFont="1" applyAlignment="1" applyProtection="1">
      <alignment horizontal="center" vertical="top"/>
      <protection locked="0"/>
    </xf>
    <xf numFmtId="164" fontId="10" fillId="0" borderId="12" xfId="0" applyNumberFormat="1" applyFont="1" applyBorder="1" applyProtection="1">
      <protection locked="0"/>
    </xf>
    <xf numFmtId="0" fontId="14" fillId="4" borderId="41" xfId="3" applyFont="1" applyBorder="1" applyAlignment="1" applyProtection="1">
      <alignment horizontal="left" vertical="top"/>
      <protection locked="0"/>
    </xf>
    <xf numFmtId="0" fontId="14" fillId="4" borderId="41" xfId="3" applyFont="1" applyBorder="1" applyAlignment="1" applyProtection="1">
      <alignment horizontal="center" vertical="top"/>
      <protection locked="0"/>
    </xf>
    <xf numFmtId="164" fontId="27" fillId="0" borderId="0" xfId="0" applyNumberFormat="1" applyFont="1" applyAlignment="1" applyProtection="1">
      <alignment horizontal="center" vertical="center"/>
      <protection locked="0"/>
    </xf>
    <xf numFmtId="0" fontId="10" fillId="0" borderId="0" xfId="0" applyFont="1" applyAlignment="1" applyProtection="1">
      <alignment horizontal="center"/>
      <protection locked="0"/>
    </xf>
    <xf numFmtId="3" fontId="30" fillId="5" borderId="0" xfId="0" applyNumberFormat="1" applyFont="1" applyFill="1" applyAlignment="1" applyProtection="1">
      <alignment horizontal="left"/>
      <protection locked="0"/>
    </xf>
    <xf numFmtId="3" fontId="20" fillId="5" borderId="0" xfId="0" applyNumberFormat="1" applyFont="1" applyFill="1" applyAlignment="1" applyProtection="1">
      <alignment horizontal="left"/>
      <protection locked="0"/>
    </xf>
    <xf numFmtId="0" fontId="24" fillId="0" borderId="0" xfId="0" applyFont="1" applyProtection="1">
      <protection locked="0"/>
    </xf>
    <xf numFmtId="164" fontId="24" fillId="0" borderId="0" xfId="0" applyNumberFormat="1" applyFont="1" applyAlignment="1" applyProtection="1">
      <alignment horizontal="center"/>
      <protection locked="0"/>
    </xf>
    <xf numFmtId="0" fontId="0" fillId="0" borderId="3" xfId="0" applyBorder="1" applyProtection="1">
      <protection locked="0"/>
    </xf>
    <xf numFmtId="164" fontId="32" fillId="10" borderId="3" xfId="6" applyNumberFormat="1" applyFont="1" applyBorder="1" applyAlignment="1" applyProtection="1">
      <alignment horizontal="center"/>
      <protection locked="0"/>
    </xf>
    <xf numFmtId="164" fontId="10" fillId="0" borderId="3" xfId="0" applyNumberFormat="1" applyFont="1" applyBorder="1" applyAlignment="1" applyProtection="1">
      <alignment horizontal="center"/>
      <protection locked="0"/>
    </xf>
    <xf numFmtId="3" fontId="18" fillId="5" borderId="0" xfId="0" applyNumberFormat="1" applyFont="1" applyFill="1" applyAlignment="1" applyProtection="1">
      <alignment horizontal="left"/>
      <protection locked="0"/>
    </xf>
    <xf numFmtId="3" fontId="22" fillId="5" borderId="0" xfId="0" applyNumberFormat="1" applyFont="1" applyFill="1" applyAlignment="1" applyProtection="1">
      <alignment horizontal="left"/>
      <protection locked="0"/>
    </xf>
    <xf numFmtId="0" fontId="28" fillId="0" borderId="0" xfId="0" applyFont="1" applyProtection="1">
      <protection locked="0"/>
    </xf>
    <xf numFmtId="164" fontId="28" fillId="0" borderId="0" xfId="0" applyNumberFormat="1" applyFont="1" applyAlignment="1" applyProtection="1">
      <alignment horizontal="center"/>
      <protection locked="0"/>
    </xf>
    <xf numFmtId="164" fontId="28" fillId="0" borderId="0" xfId="0" applyNumberFormat="1" applyFont="1" applyProtection="1">
      <protection locked="0"/>
    </xf>
    <xf numFmtId="0" fontId="14" fillId="4" borderId="3" xfId="3" applyFont="1" applyBorder="1" applyAlignment="1" applyProtection="1">
      <alignment horizontal="center" vertical="top"/>
      <protection locked="0"/>
    </xf>
    <xf numFmtId="164" fontId="10" fillId="0" borderId="0" xfId="0" applyNumberFormat="1" applyFont="1" applyAlignment="1" applyProtection="1">
      <alignment horizontal="left" vertical="center" indent="4"/>
      <protection locked="0"/>
    </xf>
    <xf numFmtId="164" fontId="10" fillId="15" borderId="0" xfId="0" applyNumberFormat="1" applyFont="1" applyFill="1" applyProtection="1">
      <protection locked="0"/>
    </xf>
    <xf numFmtId="164" fontId="12" fillId="15" borderId="0" xfId="0" applyNumberFormat="1" applyFont="1" applyFill="1" applyAlignment="1" applyProtection="1">
      <alignment horizontal="center"/>
      <protection locked="0"/>
    </xf>
    <xf numFmtId="164" fontId="36" fillId="15" borderId="0" xfId="0" applyNumberFormat="1" applyFont="1" applyFill="1" applyAlignment="1" applyProtection="1">
      <alignment horizontal="center"/>
      <protection locked="0"/>
    </xf>
    <xf numFmtId="164" fontId="27" fillId="15" borderId="0" xfId="0" applyNumberFormat="1" applyFont="1" applyFill="1" applyAlignment="1" applyProtection="1">
      <alignment horizontal="center" vertical="center"/>
      <protection locked="0"/>
    </xf>
    <xf numFmtId="9" fontId="10" fillId="15" borderId="0" xfId="1" applyFont="1" applyFill="1" applyAlignment="1" applyProtection="1">
      <alignment horizontal="center"/>
      <protection locked="0"/>
    </xf>
    <xf numFmtId="171" fontId="14" fillId="4" borderId="8" xfId="3" applyNumberFormat="1" applyFont="1" applyBorder="1" applyAlignment="1" applyProtection="1">
      <alignment horizontal="left"/>
      <protection locked="0"/>
    </xf>
    <xf numFmtId="0" fontId="29" fillId="0" borderId="0" xfId="0" applyFont="1" applyProtection="1">
      <protection locked="0"/>
    </xf>
    <xf numFmtId="171" fontId="14" fillId="4" borderId="3" xfId="3" applyNumberFormat="1" applyFont="1" applyBorder="1" applyAlignment="1" applyProtection="1">
      <alignment horizontal="left"/>
      <protection locked="0"/>
    </xf>
    <xf numFmtId="171" fontId="14" fillId="4" borderId="3" xfId="3" applyNumberFormat="1" applyFont="1" applyBorder="1" applyAlignment="1" applyProtection="1">
      <alignment horizontal="center"/>
      <protection locked="0"/>
    </xf>
    <xf numFmtId="164" fontId="10" fillId="0" borderId="0" xfId="0" applyNumberFormat="1" applyFont="1" applyAlignment="1" applyProtection="1">
      <alignment horizontal="left"/>
      <protection locked="0"/>
    </xf>
    <xf numFmtId="171" fontId="14" fillId="4" borderId="0" xfId="3" applyNumberFormat="1" applyFont="1" applyBorder="1" applyAlignment="1" applyProtection="1">
      <alignment horizontal="left"/>
      <protection locked="0"/>
    </xf>
    <xf numFmtId="0" fontId="10" fillId="0" borderId="9" xfId="0" applyFont="1" applyBorder="1" applyAlignment="1" applyProtection="1">
      <alignment horizontal="centerContinuous"/>
      <protection locked="0"/>
    </xf>
    <xf numFmtId="0" fontId="12" fillId="0" borderId="7" xfId="0" applyFont="1" applyBorder="1" applyAlignment="1" applyProtection="1">
      <alignment horizontal="center"/>
      <protection locked="0"/>
    </xf>
    <xf numFmtId="0" fontId="12" fillId="0" borderId="9" xfId="0" applyFont="1" applyBorder="1" applyAlignment="1" applyProtection="1">
      <alignment horizontal="center"/>
      <protection locked="0"/>
    </xf>
    <xf numFmtId="0" fontId="10" fillId="5" borderId="0" xfId="0" applyFont="1" applyFill="1" applyProtection="1">
      <protection locked="0"/>
    </xf>
    <xf numFmtId="0" fontId="12" fillId="0" borderId="3" xfId="0" applyFont="1" applyBorder="1" applyProtection="1">
      <protection locked="0"/>
    </xf>
    <xf numFmtId="0" fontId="24" fillId="0" borderId="0" xfId="0" applyFont="1" applyAlignment="1" applyProtection="1">
      <alignment horizontal="center"/>
      <protection locked="0"/>
    </xf>
    <xf numFmtId="170" fontId="14" fillId="4" borderId="29" xfId="3" applyNumberFormat="1" applyFont="1" applyBorder="1" applyAlignment="1" applyProtection="1">
      <alignment horizontal="center"/>
      <protection locked="0"/>
    </xf>
    <xf numFmtId="0" fontId="14" fillId="4" borderId="28" xfId="3" applyFont="1" applyBorder="1" applyProtection="1">
      <protection locked="0"/>
    </xf>
    <xf numFmtId="0" fontId="10" fillId="0" borderId="0" xfId="0" quotePrefix="1" applyFont="1" applyProtection="1">
      <protection locked="0"/>
    </xf>
    <xf numFmtId="0" fontId="24" fillId="0" borderId="0" xfId="0" quotePrefix="1" applyFont="1" applyProtection="1">
      <protection locked="0"/>
    </xf>
    <xf numFmtId="164" fontId="5" fillId="17" borderId="0" xfId="0" applyNumberFormat="1" applyFont="1" applyFill="1" applyAlignment="1" applyProtection="1">
      <alignment horizontal="center"/>
      <protection locked="0"/>
    </xf>
    <xf numFmtId="0" fontId="5" fillId="17" borderId="0" xfId="0" applyFont="1" applyFill="1" applyAlignment="1" applyProtection="1">
      <alignment horizontal="center"/>
      <protection locked="0"/>
    </xf>
    <xf numFmtId="0" fontId="12" fillId="17" borderId="3" xfId="0" applyFont="1" applyFill="1" applyBorder="1" applyAlignment="1" applyProtection="1">
      <alignment horizontal="center"/>
      <protection locked="0"/>
    </xf>
    <xf numFmtId="0" fontId="0" fillId="0" borderId="0" xfId="0" applyAlignment="1" applyProtection="1">
      <alignment horizontal="justify" vertical="center"/>
      <protection locked="0"/>
    </xf>
    <xf numFmtId="9" fontId="0" fillId="0" borderId="0" xfId="1" applyFont="1" applyAlignment="1" applyProtection="1">
      <alignment horizontal="center"/>
      <protection locked="0"/>
    </xf>
    <xf numFmtId="0" fontId="1" fillId="0" borderId="0" xfId="0" applyFont="1" applyAlignment="1" applyProtection="1">
      <alignment wrapText="1"/>
      <protection locked="0"/>
    </xf>
    <xf numFmtId="0" fontId="1" fillId="0" borderId="0" xfId="0" applyFont="1" applyProtection="1">
      <protection locked="0"/>
    </xf>
    <xf numFmtId="164" fontId="14" fillId="4" borderId="1" xfId="3" applyNumberFormat="1" applyFont="1" applyAlignment="1" applyProtection="1">
      <alignment horizontal="center"/>
    </xf>
    <xf numFmtId="164" fontId="14" fillId="4" borderId="4" xfId="3" applyNumberFormat="1" applyFont="1" applyBorder="1" applyAlignment="1" applyProtection="1">
      <alignment horizontal="center"/>
    </xf>
    <xf numFmtId="164" fontId="14" fillId="4" borderId="3" xfId="3" applyNumberFormat="1" applyFont="1" applyBorder="1" applyAlignment="1" applyProtection="1">
      <alignment horizontal="center" vertical="top"/>
    </xf>
    <xf numFmtId="10" fontId="13" fillId="3" borderId="41" xfId="2" applyNumberFormat="1" applyFont="1" applyBorder="1" applyAlignment="1" applyProtection="1">
      <alignment horizontal="center"/>
      <protection locked="0"/>
    </xf>
    <xf numFmtId="164" fontId="13" fillId="3" borderId="1" xfId="2" applyNumberFormat="1" applyFont="1" applyAlignment="1" applyProtection="1">
      <alignment horizontal="left"/>
      <protection locked="0"/>
    </xf>
    <xf numFmtId="9" fontId="14" fillId="4" borderId="3" xfId="1" applyFont="1" applyFill="1" applyBorder="1" applyAlignment="1" applyProtection="1">
      <alignment horizontal="center"/>
    </xf>
    <xf numFmtId="164" fontId="14" fillId="4" borderId="8" xfId="3" applyNumberFormat="1" applyFont="1" applyBorder="1" applyAlignment="1" applyProtection="1">
      <alignment horizontal="center"/>
    </xf>
    <xf numFmtId="10" fontId="35" fillId="0" borderId="42" xfId="7" applyNumberFormat="1" applyFont="1" applyBorder="1" applyAlignment="1" applyProtection="1">
      <alignment horizontal="center" vertical="top"/>
    </xf>
    <xf numFmtId="10" fontId="35" fillId="4" borderId="3" xfId="1" applyNumberFormat="1" applyFont="1" applyFill="1" applyBorder="1" applyAlignment="1" applyProtection="1">
      <alignment horizontal="center"/>
    </xf>
    <xf numFmtId="10" fontId="14" fillId="4" borderId="3" xfId="1" applyNumberFormat="1" applyFont="1" applyFill="1" applyBorder="1" applyAlignment="1" applyProtection="1">
      <alignment horizontal="center"/>
    </xf>
    <xf numFmtId="10" fontId="14" fillId="4" borderId="3" xfId="3" applyNumberFormat="1" applyFont="1" applyBorder="1" applyAlignment="1" applyProtection="1">
      <alignment horizontal="center"/>
    </xf>
    <xf numFmtId="164" fontId="13" fillId="0" borderId="1" xfId="2" applyNumberFormat="1" applyFont="1" applyFill="1" applyAlignment="1" applyProtection="1">
      <alignment horizontal="center"/>
    </xf>
    <xf numFmtId="10" fontId="13" fillId="0" borderId="1" xfId="2" applyNumberFormat="1" applyFont="1" applyFill="1" applyAlignment="1" applyProtection="1">
      <alignment horizontal="center"/>
    </xf>
    <xf numFmtId="10" fontId="14" fillId="4" borderId="3" xfId="3" applyNumberFormat="1" applyFont="1" applyBorder="1" applyAlignment="1" applyProtection="1">
      <alignment horizontal="center" vertical="top"/>
    </xf>
    <xf numFmtId="170" fontId="14" fillId="4" borderId="3" xfId="3" applyNumberFormat="1" applyFont="1" applyBorder="1" applyAlignment="1" applyProtection="1">
      <alignment horizontal="center" vertical="top"/>
    </xf>
    <xf numFmtId="10" fontId="14" fillId="4" borderId="7" xfId="3" applyNumberFormat="1" applyFont="1" applyBorder="1" applyAlignment="1" applyProtection="1">
      <alignment horizontal="center" vertical="top"/>
    </xf>
    <xf numFmtId="0" fontId="14" fillId="4" borderId="41" xfId="3" applyFont="1" applyBorder="1" applyAlignment="1" applyProtection="1">
      <alignment horizontal="center" vertical="top"/>
    </xf>
    <xf numFmtId="170" fontId="35" fillId="0" borderId="40" xfId="7" applyNumberFormat="1" applyFont="1" applyAlignment="1" applyProtection="1">
      <alignment horizontal="center" vertical="top"/>
    </xf>
    <xf numFmtId="170" fontId="14" fillId="4" borderId="41" xfId="3" applyNumberFormat="1" applyFont="1" applyBorder="1" applyAlignment="1" applyProtection="1">
      <alignment horizontal="center" vertical="top"/>
    </xf>
    <xf numFmtId="170" fontId="14" fillId="4" borderId="29" xfId="3" applyNumberFormat="1" applyFont="1" applyBorder="1" applyAlignment="1" applyProtection="1">
      <alignment horizontal="center"/>
    </xf>
    <xf numFmtId="10" fontId="10" fillId="0" borderId="8" xfId="1" applyNumberFormat="1" applyFont="1" applyBorder="1" applyAlignment="1" applyProtection="1">
      <alignment horizontal="center"/>
    </xf>
    <xf numFmtId="10" fontId="10" fillId="0" borderId="8" xfId="1" applyNumberFormat="1" applyFont="1" applyBorder="1" applyProtection="1"/>
    <xf numFmtId="164" fontId="8" fillId="4" borderId="29" xfId="3" applyNumberFormat="1" applyBorder="1" applyProtection="1"/>
    <xf numFmtId="10" fontId="10" fillId="0" borderId="19" xfId="1" applyNumberFormat="1" applyFont="1" applyBorder="1" applyAlignment="1" applyProtection="1">
      <alignment horizontal="center"/>
    </xf>
    <xf numFmtId="10" fontId="10" fillId="0" borderId="0" xfId="1" applyNumberFormat="1" applyFont="1" applyBorder="1" applyAlignment="1" applyProtection="1">
      <alignment horizontal="center"/>
    </xf>
    <xf numFmtId="10" fontId="10" fillId="0" borderId="14" xfId="1" applyNumberFormat="1" applyFont="1" applyBorder="1" applyAlignment="1" applyProtection="1">
      <alignment horizontal="center"/>
    </xf>
    <xf numFmtId="9" fontId="10" fillId="0" borderId="15" xfId="1" applyFont="1" applyBorder="1" applyProtection="1"/>
    <xf numFmtId="164" fontId="32" fillId="10" borderId="7" xfId="6" applyNumberFormat="1" applyFont="1" applyBorder="1" applyAlignment="1" applyProtection="1">
      <alignment horizontal="center"/>
      <protection locked="0"/>
    </xf>
    <xf numFmtId="164" fontId="32" fillId="10" borderId="8" xfId="6" applyNumberFormat="1" applyFont="1" applyBorder="1" applyAlignment="1" applyProtection="1">
      <alignment horizontal="center"/>
      <protection locked="0"/>
    </xf>
    <xf numFmtId="164" fontId="10" fillId="5" borderId="0" xfId="0" applyNumberFormat="1" applyFont="1" applyFill="1" applyProtection="1">
      <protection locked="0"/>
    </xf>
    <xf numFmtId="0" fontId="12" fillId="9" borderId="11" xfId="5" applyFont="1" applyProtection="1">
      <protection locked="0"/>
    </xf>
    <xf numFmtId="0" fontId="0" fillId="0" borderId="0" xfId="0" applyAlignment="1" applyProtection="1">
      <alignment horizontal="left" vertical="center" indent="4"/>
      <protection locked="0"/>
    </xf>
    <xf numFmtId="0" fontId="29" fillId="0" borderId="19" xfId="0" applyFont="1" applyBorder="1" applyProtection="1">
      <protection locked="0"/>
    </xf>
    <xf numFmtId="170" fontId="0" fillId="0" borderId="19" xfId="0" applyNumberFormat="1" applyBorder="1" applyProtection="1">
      <protection locked="0"/>
    </xf>
    <xf numFmtId="170" fontId="0" fillId="0" borderId="33" xfId="0" applyNumberFormat="1" applyBorder="1" applyProtection="1">
      <protection locked="0"/>
    </xf>
    <xf numFmtId="172" fontId="0" fillId="0" borderId="0" xfId="0" applyNumberFormat="1" applyProtection="1">
      <protection locked="0"/>
    </xf>
    <xf numFmtId="170" fontId="29" fillId="0" borderId="14" xfId="0" applyNumberFormat="1" applyFont="1" applyBorder="1" applyProtection="1">
      <protection locked="0"/>
    </xf>
    <xf numFmtId="170" fontId="0" fillId="0" borderId="14" xfId="0" applyNumberFormat="1" applyBorder="1" applyProtection="1">
      <protection locked="0"/>
    </xf>
    <xf numFmtId="170" fontId="0" fillId="0" borderId="15" xfId="0" applyNumberFormat="1" applyBorder="1" applyProtection="1">
      <protection locked="0"/>
    </xf>
    <xf numFmtId="170" fontId="24" fillId="0" borderId="19" xfId="0" quotePrefix="1" applyNumberFormat="1" applyFont="1" applyBorder="1" applyProtection="1">
      <protection locked="0"/>
    </xf>
    <xf numFmtId="170" fontId="24" fillId="0" borderId="33" xfId="0" quotePrefix="1" applyNumberFormat="1" applyFont="1" applyBorder="1" applyProtection="1">
      <protection locked="0"/>
    </xf>
    <xf numFmtId="172" fontId="10" fillId="0" borderId="0" xfId="0" applyNumberFormat="1" applyFont="1" applyProtection="1">
      <protection locked="0"/>
    </xf>
    <xf numFmtId="172" fontId="10" fillId="0" borderId="0" xfId="0" applyNumberFormat="1" applyFont="1" applyAlignment="1" applyProtection="1">
      <alignment horizontal="center"/>
      <protection locked="0"/>
    </xf>
    <xf numFmtId="172" fontId="10" fillId="5" borderId="0" xfId="0" applyNumberFormat="1" applyFont="1" applyFill="1" applyProtection="1">
      <protection locked="0"/>
    </xf>
    <xf numFmtId="170" fontId="24" fillId="0" borderId="14" xfId="0" quotePrefix="1" applyNumberFormat="1" applyFont="1" applyBorder="1" applyProtection="1">
      <protection locked="0"/>
    </xf>
    <xf numFmtId="170" fontId="24" fillId="0" borderId="15" xfId="0" quotePrefix="1" applyNumberFormat="1" applyFont="1" applyBorder="1" applyProtection="1">
      <protection locked="0"/>
    </xf>
    <xf numFmtId="172" fontId="29" fillId="0" borderId="0" xfId="0" applyNumberFormat="1" applyFont="1" applyAlignment="1" applyProtection="1">
      <alignment vertical="center"/>
      <protection locked="0"/>
    </xf>
    <xf numFmtId="164" fontId="12" fillId="0" borderId="3" xfId="0" applyNumberFormat="1" applyFont="1" applyBorder="1" applyProtection="1">
      <protection locked="0"/>
    </xf>
    <xf numFmtId="164" fontId="12" fillId="0" borderId="0" xfId="0" applyNumberFormat="1" applyFont="1" applyProtection="1">
      <protection locked="0"/>
    </xf>
    <xf numFmtId="0" fontId="34" fillId="9" borderId="11" xfId="5" applyFont="1" applyProtection="1">
      <protection locked="0"/>
    </xf>
    <xf numFmtId="0" fontId="2" fillId="0" borderId="0" xfId="0" applyFont="1" applyProtection="1">
      <protection locked="0"/>
    </xf>
    <xf numFmtId="0" fontId="38" fillId="0" borderId="0" xfId="0" applyFont="1" applyProtection="1">
      <protection locked="0"/>
    </xf>
    <xf numFmtId="0" fontId="0" fillId="0" borderId="0" xfId="0" applyAlignment="1" applyProtection="1">
      <alignment vertical="center"/>
      <protection locked="0"/>
    </xf>
    <xf numFmtId="170" fontId="29" fillId="0" borderId="0" xfId="0" applyNumberFormat="1" applyFont="1" applyProtection="1">
      <protection locked="0"/>
    </xf>
    <xf numFmtId="170" fontId="24" fillId="0" borderId="0" xfId="0" quotePrefix="1" applyNumberFormat="1" applyFont="1" applyProtection="1">
      <protection locked="0"/>
    </xf>
    <xf numFmtId="0" fontId="0" fillId="0" borderId="0" xfId="0" applyAlignment="1" applyProtection="1">
      <alignment wrapText="1"/>
      <protection locked="0"/>
    </xf>
    <xf numFmtId="0" fontId="19" fillId="0" borderId="0" xfId="0" applyFont="1" applyProtection="1">
      <protection locked="0"/>
    </xf>
    <xf numFmtId="0" fontId="19" fillId="0" borderId="0" xfId="0" applyFont="1" applyAlignment="1" applyProtection="1">
      <alignment wrapText="1"/>
      <protection locked="0"/>
    </xf>
    <xf numFmtId="170" fontId="1" fillId="0" borderId="0" xfId="0" applyNumberFormat="1" applyFont="1" applyProtection="1">
      <protection locked="0"/>
    </xf>
    <xf numFmtId="0" fontId="41" fillId="0" borderId="0" xfId="0" applyFont="1" applyProtection="1">
      <protection locked="0"/>
    </xf>
    <xf numFmtId="10" fontId="10" fillId="0" borderId="9" xfId="1" applyNumberFormat="1" applyFont="1" applyBorder="1" applyAlignment="1" applyProtection="1"/>
    <xf numFmtId="164" fontId="10" fillId="0" borderId="3" xfId="0" applyNumberFormat="1" applyFont="1" applyBorder="1" applyAlignment="1">
      <alignment horizontal="center"/>
    </xf>
    <xf numFmtId="169" fontId="10" fillId="0" borderId="9" xfId="1" applyNumberFormat="1" applyFont="1" applyBorder="1" applyProtection="1"/>
    <xf numFmtId="9" fontId="10" fillId="0" borderId="0" xfId="1" applyFont="1" applyProtection="1">
      <protection locked="0"/>
    </xf>
    <xf numFmtId="164" fontId="35" fillId="0" borderId="42" xfId="7" applyNumberFormat="1" applyFont="1" applyBorder="1" applyAlignment="1" applyProtection="1">
      <alignment horizontal="center" vertical="top"/>
    </xf>
    <xf numFmtId="164" fontId="14" fillId="4" borderId="41" xfId="3" applyNumberFormat="1" applyFont="1" applyBorder="1" applyAlignment="1" applyProtection="1">
      <alignment horizontal="center" vertical="top"/>
    </xf>
    <xf numFmtId="169" fontId="14" fillId="4" borderId="3" xfId="1" applyNumberFormat="1" applyFont="1" applyFill="1" applyBorder="1" applyAlignment="1" applyProtection="1">
      <alignment horizontal="center"/>
    </xf>
    <xf numFmtId="0" fontId="35" fillId="0" borderId="22" xfId="7" applyFont="1" applyFill="1" applyBorder="1" applyAlignment="1" applyProtection="1">
      <alignment horizontal="left" vertical="top"/>
      <protection locked="0"/>
    </xf>
    <xf numFmtId="164" fontId="35" fillId="4" borderId="41" xfId="3" applyNumberFormat="1" applyFont="1" applyBorder="1" applyAlignment="1" applyProtection="1">
      <alignment horizontal="center" vertical="top"/>
    </xf>
    <xf numFmtId="0" fontId="10" fillId="0" borderId="3" xfId="0" applyFont="1" applyBorder="1" applyAlignment="1">
      <alignment horizontal="center"/>
    </xf>
    <xf numFmtId="164" fontId="27" fillId="0" borderId="18" xfId="0" applyNumberFormat="1" applyFont="1" applyBorder="1"/>
    <xf numFmtId="164" fontId="27" fillId="0" borderId="19" xfId="0" applyNumberFormat="1" applyFont="1" applyBorder="1"/>
    <xf numFmtId="164" fontId="27" fillId="0" borderId="12" xfId="0" applyNumberFormat="1" applyFont="1" applyBorder="1"/>
    <xf numFmtId="164" fontId="27" fillId="0" borderId="6" xfId="0" applyNumberFormat="1" applyFont="1" applyBorder="1"/>
    <xf numFmtId="164" fontId="24" fillId="0" borderId="6" xfId="0" applyNumberFormat="1" applyFont="1" applyBorder="1" applyAlignment="1">
      <alignment horizontal="center"/>
    </xf>
    <xf numFmtId="164" fontId="1" fillId="0" borderId="6" xfId="0" applyNumberFormat="1" applyFont="1" applyBorder="1"/>
    <xf numFmtId="164" fontId="1" fillId="0" borderId="12" xfId="0" applyNumberFormat="1" applyFont="1" applyBorder="1"/>
    <xf numFmtId="0" fontId="35" fillId="0" borderId="40" xfId="7" applyFont="1" applyAlignment="1" applyProtection="1">
      <alignment horizontal="center" vertical="top"/>
    </xf>
    <xf numFmtId="164" fontId="13" fillId="3" borderId="43" xfId="2" applyNumberFormat="1" applyFont="1" applyBorder="1" applyAlignment="1" applyProtection="1">
      <alignment horizontal="center"/>
    </xf>
    <xf numFmtId="171" fontId="14" fillId="4" borderId="8" xfId="3" applyNumberFormat="1" applyFont="1" applyBorder="1" applyAlignment="1" applyProtection="1">
      <alignment horizontal="center"/>
    </xf>
    <xf numFmtId="0" fontId="35" fillId="0" borderId="22" xfId="7" applyFont="1" applyFill="1" applyBorder="1" applyAlignment="1" applyProtection="1">
      <alignment horizontal="center" vertical="top"/>
    </xf>
    <xf numFmtId="171" fontId="14" fillId="4" borderId="0" xfId="3" applyNumberFormat="1" applyFont="1" applyBorder="1" applyAlignment="1" applyProtection="1">
      <alignment horizontal="center"/>
    </xf>
    <xf numFmtId="164" fontId="35" fillId="0" borderId="40" xfId="7" applyNumberFormat="1" applyFont="1" applyAlignment="1" applyProtection="1">
      <alignment horizontal="center" vertical="top"/>
    </xf>
    <xf numFmtId="0" fontId="14" fillId="4" borderId="30" xfId="3" applyFont="1" applyBorder="1" applyAlignment="1" applyProtection="1">
      <alignment horizontal="center"/>
    </xf>
    <xf numFmtId="164" fontId="13" fillId="3" borderId="32" xfId="2" applyNumberFormat="1" applyFont="1" applyBorder="1" applyAlignment="1" applyProtection="1">
      <alignment horizontal="center"/>
      <protection locked="0"/>
    </xf>
    <xf numFmtId="9" fontId="14" fillId="0" borderId="3" xfId="1" applyFont="1" applyFill="1" applyBorder="1" applyAlignment="1" applyProtection="1">
      <alignment horizontal="center"/>
      <protection locked="0"/>
    </xf>
    <xf numFmtId="164" fontId="35" fillId="4" borderId="0" xfId="3" applyNumberFormat="1" applyFont="1" applyBorder="1" applyAlignment="1" applyProtection="1">
      <alignment horizontal="center" vertical="top"/>
      <protection locked="0"/>
    </xf>
    <xf numFmtId="165" fontId="0" fillId="0" borderId="0" xfId="0" applyNumberFormat="1" applyProtection="1">
      <protection locked="0"/>
    </xf>
    <xf numFmtId="164" fontId="27" fillId="0" borderId="0" xfId="0" applyNumberFormat="1" applyFont="1" applyAlignment="1" applyProtection="1">
      <alignment horizontal="center" wrapText="1"/>
      <protection locked="0"/>
    </xf>
    <xf numFmtId="9" fontId="0" fillId="0" borderId="0" xfId="1" applyFont="1" applyFill="1" applyAlignment="1" applyProtection="1">
      <alignment horizontal="center"/>
      <protection locked="0"/>
    </xf>
    <xf numFmtId="165" fontId="1" fillId="0" borderId="0" xfId="0" applyNumberFormat="1" applyFont="1" applyProtection="1">
      <protection locked="0"/>
    </xf>
    <xf numFmtId="9" fontId="0" fillId="0" borderId="0" xfId="0" applyNumberFormat="1" applyProtection="1">
      <protection locked="0"/>
    </xf>
    <xf numFmtId="168" fontId="0" fillId="0" borderId="0" xfId="0" applyNumberFormat="1" applyProtection="1">
      <protection locked="0"/>
    </xf>
    <xf numFmtId="166" fontId="0" fillId="0" borderId="0" xfId="0" applyNumberFormat="1" applyProtection="1">
      <protection locked="0"/>
    </xf>
    <xf numFmtId="167" fontId="1" fillId="0" borderId="0" xfId="0" applyNumberFormat="1" applyFont="1" applyProtection="1">
      <protection locked="0"/>
    </xf>
    <xf numFmtId="164" fontId="13" fillId="3" borderId="31" xfId="2" applyNumberFormat="1" applyFont="1" applyBorder="1" applyAlignment="1" applyProtection="1">
      <alignment horizontal="center"/>
      <protection locked="0"/>
    </xf>
    <xf numFmtId="164" fontId="14" fillId="4" borderId="0" xfId="3" applyNumberFormat="1" applyFont="1" applyBorder="1" applyAlignment="1" applyProtection="1">
      <alignment horizontal="center"/>
    </xf>
    <xf numFmtId="164" fontId="35" fillId="0" borderId="40" xfId="7" applyNumberFormat="1" applyFont="1" applyAlignment="1" applyProtection="1">
      <alignment horizontal="center" vertical="top"/>
      <protection locked="0"/>
    </xf>
    <xf numFmtId="0" fontId="10" fillId="0" borderId="3" xfId="0" applyFont="1" applyBorder="1" applyAlignment="1" applyProtection="1">
      <alignment horizontal="left"/>
      <protection locked="0"/>
    </xf>
    <xf numFmtId="164" fontId="13" fillId="3" borderId="4" xfId="2" applyNumberFormat="1" applyFont="1" applyBorder="1" applyAlignment="1" applyProtection="1">
      <alignment horizontal="center"/>
      <protection locked="0"/>
    </xf>
    <xf numFmtId="10" fontId="13" fillId="3" borderId="44" xfId="2" applyNumberFormat="1" applyFont="1" applyBorder="1" applyAlignment="1" applyProtection="1">
      <alignment horizontal="center"/>
      <protection locked="0"/>
    </xf>
    <xf numFmtId="170" fontId="35" fillId="4" borderId="3" xfId="3" applyNumberFormat="1" applyFont="1" applyBorder="1" applyAlignment="1" applyProtection="1">
      <alignment horizontal="center" vertical="top"/>
    </xf>
    <xf numFmtId="0" fontId="27" fillId="0" borderId="3" xfId="0" applyFont="1" applyBorder="1" applyProtection="1">
      <protection locked="0"/>
    </xf>
    <xf numFmtId="164" fontId="45" fillId="4" borderId="3" xfId="3" applyNumberFormat="1" applyFont="1" applyBorder="1" applyAlignment="1" applyProtection="1">
      <alignment horizontal="center" vertical="top"/>
    </xf>
    <xf numFmtId="164" fontId="24" fillId="4" borderId="3" xfId="3" applyNumberFormat="1" applyFont="1" applyBorder="1" applyAlignment="1" applyProtection="1">
      <alignment horizontal="center" vertical="top"/>
    </xf>
    <xf numFmtId="164" fontId="12" fillId="11" borderId="3" xfId="0" applyNumberFormat="1" applyFont="1" applyFill="1" applyBorder="1"/>
    <xf numFmtId="164" fontId="10" fillId="0" borderId="19" xfId="0" applyNumberFormat="1" applyFont="1" applyBorder="1" applyAlignment="1">
      <alignment horizontal="center"/>
    </xf>
    <xf numFmtId="164" fontId="10" fillId="0" borderId="19" xfId="0" applyNumberFormat="1" applyFont="1" applyBorder="1"/>
    <xf numFmtId="164" fontId="12" fillId="0" borderId="22" xfId="0" applyNumberFormat="1" applyFont="1" applyBorder="1"/>
    <xf numFmtId="164" fontId="10" fillId="0" borderId="14" xfId="0" applyNumberFormat="1" applyFont="1" applyBorder="1" applyAlignment="1">
      <alignment horizontal="center"/>
    </xf>
    <xf numFmtId="164" fontId="10" fillId="0" borderId="14" xfId="0" applyNumberFormat="1" applyFont="1" applyBorder="1"/>
    <xf numFmtId="164" fontId="12" fillId="16" borderId="22" xfId="0" applyNumberFormat="1" applyFont="1" applyFill="1" applyBorder="1"/>
    <xf numFmtId="164" fontId="10" fillId="0" borderId="3" xfId="0" applyNumberFormat="1" applyFont="1" applyBorder="1"/>
    <xf numFmtId="164" fontId="10" fillId="0" borderId="25" xfId="0" applyNumberFormat="1" applyFont="1" applyBorder="1" applyAlignment="1">
      <alignment horizontal="center"/>
    </xf>
    <xf numFmtId="164" fontId="10" fillId="0" borderId="25" xfId="0" applyNumberFormat="1" applyFont="1" applyBorder="1"/>
    <xf numFmtId="164" fontId="24" fillId="6" borderId="8" xfId="0" applyNumberFormat="1" applyFont="1" applyFill="1" applyBorder="1" applyAlignment="1">
      <alignment horizontal="center"/>
    </xf>
    <xf numFmtId="164" fontId="24" fillId="6" borderId="8" xfId="0" applyNumberFormat="1" applyFont="1" applyFill="1" applyBorder="1"/>
    <xf numFmtId="164" fontId="12" fillId="13" borderId="22" xfId="0" applyNumberFormat="1" applyFont="1" applyFill="1" applyBorder="1" applyAlignment="1">
      <alignment horizontal="center"/>
    </xf>
    <xf numFmtId="164" fontId="12" fillId="13" borderId="22" xfId="0" applyNumberFormat="1" applyFont="1" applyFill="1" applyBorder="1"/>
    <xf numFmtId="164" fontId="10" fillId="12" borderId="3" xfId="0" applyNumberFormat="1" applyFont="1" applyFill="1" applyBorder="1" applyAlignment="1">
      <alignment horizontal="right"/>
    </xf>
    <xf numFmtId="172" fontId="0" fillId="12" borderId="8" xfId="0" applyNumberFormat="1" applyFill="1" applyBorder="1"/>
    <xf numFmtId="172" fontId="0" fillId="12" borderId="8" xfId="0" applyNumberFormat="1" applyFill="1" applyBorder="1" applyAlignment="1">
      <alignment horizontal="right"/>
    </xf>
    <xf numFmtId="164" fontId="12" fillId="0" borderId="8" xfId="0" applyNumberFormat="1" applyFont="1" applyBorder="1" applyAlignment="1">
      <alignment horizontal="center"/>
    </xf>
    <xf numFmtId="164" fontId="12" fillId="0" borderId="8" xfId="0" applyNumberFormat="1" applyFont="1" applyBorder="1"/>
    <xf numFmtId="172" fontId="10" fillId="0" borderId="0" xfId="0" applyNumberFormat="1" applyFont="1"/>
    <xf numFmtId="172" fontId="10" fillId="13" borderId="3" xfId="0" applyNumberFormat="1" applyFont="1" applyFill="1" applyBorder="1"/>
    <xf numFmtId="170" fontId="10" fillId="13" borderId="3" xfId="0" applyNumberFormat="1" applyFont="1" applyFill="1" applyBorder="1"/>
    <xf numFmtId="172" fontId="0" fillId="0" borderId="8" xfId="0" applyNumberFormat="1" applyBorder="1"/>
    <xf numFmtId="172" fontId="0" fillId="0" borderId="9" xfId="0" applyNumberFormat="1" applyBorder="1"/>
    <xf numFmtId="172" fontId="0" fillId="0" borderId="0" xfId="0" applyNumberFormat="1"/>
    <xf numFmtId="170" fontId="1" fillId="0" borderId="19" xfId="0" applyNumberFormat="1" applyFont="1" applyBorder="1"/>
    <xf numFmtId="170" fontId="1" fillId="0" borderId="33" xfId="0" applyNumberFormat="1" applyFont="1" applyBorder="1"/>
    <xf numFmtId="172" fontId="1" fillId="0" borderId="14" xfId="0" applyNumberFormat="1" applyFont="1" applyBorder="1"/>
    <xf numFmtId="172" fontId="1" fillId="0" borderId="15" xfId="0" applyNumberFormat="1" applyFont="1" applyBorder="1"/>
    <xf numFmtId="172" fontId="0" fillId="0" borderId="12" xfId="0" applyNumberFormat="1" applyBorder="1"/>
    <xf numFmtId="172" fontId="0" fillId="0" borderId="14" xfId="0" applyNumberFormat="1" applyBorder="1"/>
    <xf numFmtId="172" fontId="0" fillId="0" borderId="15" xfId="0" applyNumberFormat="1" applyBorder="1"/>
    <xf numFmtId="166" fontId="10" fillId="0" borderId="19" xfId="0" applyNumberFormat="1" applyFont="1" applyBorder="1" applyAlignment="1">
      <alignment horizontal="center"/>
    </xf>
    <xf numFmtId="166" fontId="10" fillId="0" borderId="0" xfId="0" applyNumberFormat="1" applyFont="1" applyAlignment="1">
      <alignment horizontal="center"/>
    </xf>
    <xf numFmtId="166" fontId="10" fillId="0" borderId="14" xfId="0" applyNumberFormat="1" applyFont="1" applyBorder="1" applyAlignment="1">
      <alignment horizontal="center"/>
    </xf>
    <xf numFmtId="10" fontId="10" fillId="0" borderId="3" xfId="0" applyNumberFormat="1" applyFont="1" applyBorder="1"/>
    <xf numFmtId="164" fontId="10" fillId="0" borderId="34" xfId="0" applyNumberFormat="1" applyFont="1" applyBorder="1"/>
    <xf numFmtId="164" fontId="10" fillId="0" borderId="8" xfId="0" applyNumberFormat="1" applyFont="1" applyBorder="1"/>
    <xf numFmtId="164" fontId="10" fillId="0" borderId="8" xfId="0" applyNumberFormat="1" applyFont="1" applyBorder="1" applyAlignment="1">
      <alignment horizontal="right"/>
    </xf>
    <xf numFmtId="164" fontId="10" fillId="0" borderId="12" xfId="0" applyNumberFormat="1" applyFont="1" applyBorder="1" applyAlignment="1">
      <alignment horizontal="center"/>
    </xf>
    <xf numFmtId="169" fontId="10" fillId="0" borderId="12" xfId="0" applyNumberFormat="1" applyFont="1" applyBorder="1" applyAlignment="1">
      <alignment horizontal="center"/>
    </xf>
    <xf numFmtId="166" fontId="10" fillId="0" borderId="15" xfId="0" applyNumberFormat="1" applyFont="1" applyBorder="1" applyAlignment="1">
      <alignment horizontal="center"/>
    </xf>
    <xf numFmtId="164" fontId="0" fillId="0" borderId="0" xfId="0" applyNumberFormat="1" applyAlignment="1" applyProtection="1">
      <alignment horizontal="left" vertical="center" indent="4"/>
      <protection locked="0"/>
    </xf>
    <xf numFmtId="164" fontId="32" fillId="0" borderId="0" xfId="6" applyNumberFormat="1" applyFont="1" applyFill="1" applyBorder="1" applyAlignment="1" applyProtection="1">
      <alignment horizontal="right"/>
      <protection locked="0"/>
    </xf>
    <xf numFmtId="164" fontId="32" fillId="0" borderId="0" xfId="6" applyNumberFormat="1" applyFont="1" applyFill="1" applyBorder="1" applyAlignment="1" applyProtection="1">
      <alignment horizontal="center"/>
      <protection locked="0"/>
    </xf>
    <xf numFmtId="164" fontId="12" fillId="11" borderId="3" xfId="0" applyNumberFormat="1" applyFont="1" applyFill="1" applyBorder="1" applyProtection="1">
      <protection locked="0"/>
    </xf>
    <xf numFmtId="164" fontId="22" fillId="0" borderId="3" xfId="0" applyNumberFormat="1" applyFont="1" applyBorder="1" applyAlignment="1" applyProtection="1">
      <alignment horizontal="center"/>
      <protection locked="0"/>
    </xf>
    <xf numFmtId="164" fontId="12" fillId="0" borderId="3" xfId="0" applyNumberFormat="1" applyFont="1" applyBorder="1" applyAlignment="1" applyProtection="1">
      <alignment horizontal="center"/>
      <protection locked="0"/>
    </xf>
    <xf numFmtId="164" fontId="10" fillId="0" borderId="18" xfId="0" applyNumberFormat="1" applyFont="1" applyBorder="1" applyAlignment="1" applyProtection="1">
      <alignment horizontal="right"/>
      <protection locked="0"/>
    </xf>
    <xf numFmtId="164" fontId="10" fillId="0" borderId="17" xfId="0" applyNumberFormat="1" applyFont="1" applyBorder="1" applyAlignment="1" applyProtection="1">
      <alignment horizontal="center"/>
      <protection locked="0"/>
    </xf>
    <xf numFmtId="164" fontId="10" fillId="0" borderId="19" xfId="0" applyNumberFormat="1" applyFont="1" applyBorder="1" applyAlignment="1" applyProtection="1">
      <alignment horizontal="center"/>
      <protection locked="0"/>
    </xf>
    <xf numFmtId="164" fontId="10" fillId="0" borderId="19" xfId="0" applyNumberFormat="1" applyFont="1" applyBorder="1" applyProtection="1">
      <protection locked="0"/>
    </xf>
    <xf numFmtId="164" fontId="10" fillId="0" borderId="6" xfId="0" applyNumberFormat="1" applyFont="1" applyBorder="1" applyAlignment="1" applyProtection="1">
      <alignment horizontal="right"/>
      <protection locked="0"/>
    </xf>
    <xf numFmtId="164" fontId="10" fillId="0" borderId="2" xfId="0" applyNumberFormat="1" applyFont="1" applyBorder="1" applyAlignment="1" applyProtection="1">
      <alignment horizontal="center"/>
      <protection locked="0"/>
    </xf>
    <xf numFmtId="164" fontId="12" fillId="0" borderId="20" xfId="0" applyNumberFormat="1" applyFont="1" applyBorder="1" applyAlignment="1" applyProtection="1">
      <alignment horizontal="right"/>
      <protection locked="0"/>
    </xf>
    <xf numFmtId="164" fontId="12" fillId="0" borderId="21" xfId="0" applyNumberFormat="1" applyFont="1" applyBorder="1" applyAlignment="1" applyProtection="1">
      <alignment horizontal="center"/>
      <protection locked="0"/>
    </xf>
    <xf numFmtId="164" fontId="10" fillId="0" borderId="13" xfId="0" applyNumberFormat="1" applyFont="1" applyBorder="1" applyAlignment="1" applyProtection="1">
      <alignment horizontal="right"/>
      <protection locked="0"/>
    </xf>
    <xf numFmtId="164" fontId="10" fillId="0" borderId="14" xfId="0" applyNumberFormat="1" applyFont="1" applyBorder="1" applyAlignment="1" applyProtection="1">
      <alignment horizontal="center"/>
      <protection locked="0"/>
    </xf>
    <xf numFmtId="164" fontId="10" fillId="0" borderId="14" xfId="0" applyNumberFormat="1" applyFont="1" applyBorder="1" applyProtection="1">
      <protection locked="0"/>
    </xf>
    <xf numFmtId="164" fontId="12" fillId="16" borderId="20" xfId="0" applyNumberFormat="1" applyFont="1" applyFill="1" applyBorder="1" applyAlignment="1" applyProtection="1">
      <alignment horizontal="right"/>
      <protection locked="0"/>
    </xf>
    <xf numFmtId="164" fontId="12" fillId="16" borderId="26" xfId="0" applyNumberFormat="1" applyFont="1" applyFill="1" applyBorder="1" applyAlignment="1" applyProtection="1">
      <alignment horizontal="center"/>
      <protection locked="0"/>
    </xf>
    <xf numFmtId="164" fontId="12" fillId="9" borderId="11" xfId="5" applyNumberFormat="1" applyFont="1" applyProtection="1">
      <protection locked="0"/>
    </xf>
    <xf numFmtId="164" fontId="10" fillId="0" borderId="6" xfId="0" applyNumberFormat="1" applyFont="1" applyBorder="1" applyProtection="1">
      <protection locked="0"/>
    </xf>
    <xf numFmtId="164" fontId="24" fillId="0" borderId="3" xfId="0" applyNumberFormat="1" applyFont="1" applyBorder="1" applyAlignment="1" applyProtection="1">
      <alignment horizontal="center"/>
      <protection locked="0"/>
    </xf>
    <xf numFmtId="164" fontId="27" fillId="5" borderId="0" xfId="0" applyNumberFormat="1" applyFont="1" applyFill="1" applyProtection="1">
      <protection locked="0"/>
    </xf>
    <xf numFmtId="164" fontId="10" fillId="0" borderId="3" xfId="0" applyNumberFormat="1" applyFont="1" applyBorder="1" applyProtection="1">
      <protection locked="0"/>
    </xf>
    <xf numFmtId="164" fontId="10" fillId="0" borderId="17" xfId="0" applyNumberFormat="1" applyFont="1" applyBorder="1" applyProtection="1">
      <protection locked="0"/>
    </xf>
    <xf numFmtId="164" fontId="24" fillId="0" borderId="17" xfId="0" applyNumberFormat="1" applyFont="1" applyBorder="1" applyAlignment="1" applyProtection="1">
      <alignment horizontal="center"/>
      <protection locked="0"/>
    </xf>
    <xf numFmtId="164" fontId="12" fillId="0" borderId="23" xfId="0" applyNumberFormat="1" applyFont="1" applyBorder="1" applyProtection="1">
      <protection locked="0"/>
    </xf>
    <xf numFmtId="164" fontId="10" fillId="0" borderId="24" xfId="0" applyNumberFormat="1" applyFont="1" applyBorder="1" applyAlignment="1" applyProtection="1">
      <alignment horizontal="center"/>
      <protection locked="0"/>
    </xf>
    <xf numFmtId="164" fontId="10" fillId="0" borderId="18" xfId="0" applyNumberFormat="1" applyFont="1" applyBorder="1" applyProtection="1">
      <protection locked="0"/>
    </xf>
    <xf numFmtId="164" fontId="33" fillId="0" borderId="13" xfId="0" applyNumberFormat="1" applyFont="1" applyBorder="1" applyProtection="1">
      <protection locked="0"/>
    </xf>
    <xf numFmtId="164" fontId="10" fillId="0" borderId="16" xfId="0" applyNumberFormat="1" applyFont="1" applyBorder="1" applyAlignment="1" applyProtection="1">
      <alignment horizontal="center"/>
      <protection locked="0"/>
    </xf>
    <xf numFmtId="164" fontId="33" fillId="0" borderId="6" xfId="0" applyNumberFormat="1" applyFont="1" applyBorder="1" applyProtection="1">
      <protection locked="0"/>
    </xf>
    <xf numFmtId="164" fontId="24" fillId="6" borderId="7" xfId="0" applyNumberFormat="1" applyFont="1" applyFill="1" applyBorder="1" applyProtection="1">
      <protection locked="0"/>
    </xf>
    <xf numFmtId="164" fontId="24" fillId="6" borderId="3" xfId="0" applyNumberFormat="1" applyFont="1" applyFill="1" applyBorder="1" applyAlignment="1" applyProtection="1">
      <alignment horizontal="center"/>
      <protection locked="0"/>
    </xf>
    <xf numFmtId="164" fontId="24" fillId="5" borderId="0" xfId="0" applyNumberFormat="1" applyFont="1" applyFill="1" applyProtection="1">
      <protection locked="0"/>
    </xf>
    <xf numFmtId="164" fontId="24" fillId="6" borderId="0" xfId="0" applyNumberFormat="1" applyFont="1" applyFill="1" applyProtection="1">
      <protection locked="0"/>
    </xf>
    <xf numFmtId="164" fontId="12" fillId="0" borderId="6" xfId="0" applyNumberFormat="1" applyFont="1" applyBorder="1" applyProtection="1">
      <protection locked="0"/>
    </xf>
    <xf numFmtId="10" fontId="10" fillId="0" borderId="7" xfId="1" applyNumberFormat="1" applyFont="1" applyBorder="1" applyProtection="1">
      <protection locked="0"/>
    </xf>
    <xf numFmtId="10" fontId="10" fillId="0" borderId="3" xfId="1" applyNumberFormat="1" applyFont="1" applyBorder="1" applyAlignment="1" applyProtection="1">
      <alignment horizontal="center"/>
      <protection locked="0"/>
    </xf>
    <xf numFmtId="10" fontId="10" fillId="5" borderId="0" xfId="1" applyNumberFormat="1" applyFont="1" applyFill="1" applyProtection="1">
      <protection locked="0"/>
    </xf>
    <xf numFmtId="10" fontId="10" fillId="0" borderId="0" xfId="1" applyNumberFormat="1" applyFont="1" applyProtection="1">
      <protection locked="0"/>
    </xf>
    <xf numFmtId="164" fontId="12" fillId="13" borderId="20" xfId="0" applyNumberFormat="1" applyFont="1" applyFill="1" applyBorder="1" applyProtection="1">
      <protection locked="0"/>
    </xf>
    <xf numFmtId="164" fontId="12" fillId="13" borderId="26" xfId="0" applyNumberFormat="1" applyFont="1" applyFill="1" applyBorder="1" applyAlignment="1" applyProtection="1">
      <alignment horizontal="center"/>
      <protection locked="0"/>
    </xf>
    <xf numFmtId="164" fontId="12" fillId="5" borderId="0" xfId="0" applyNumberFormat="1" applyFont="1" applyFill="1" applyProtection="1">
      <protection locked="0"/>
    </xf>
    <xf numFmtId="164" fontId="27" fillId="14" borderId="0" xfId="0" applyNumberFormat="1" applyFont="1" applyFill="1" applyProtection="1">
      <protection locked="0"/>
    </xf>
    <xf numFmtId="164" fontId="27" fillId="14" borderId="0" xfId="0" applyNumberFormat="1" applyFont="1" applyFill="1" applyAlignment="1" applyProtection="1">
      <alignment horizontal="center"/>
      <protection locked="0"/>
    </xf>
    <xf numFmtId="164" fontId="10" fillId="12" borderId="3" xfId="0" applyNumberFormat="1" applyFont="1" applyFill="1" applyBorder="1" applyAlignment="1" applyProtection="1">
      <alignment horizontal="right"/>
      <protection locked="0"/>
    </xf>
    <xf numFmtId="164" fontId="29" fillId="12" borderId="3" xfId="0" applyNumberFormat="1" applyFont="1" applyFill="1" applyBorder="1" applyAlignment="1" applyProtection="1">
      <alignment horizontal="left"/>
      <protection locked="0"/>
    </xf>
    <xf numFmtId="164" fontId="12" fillId="0" borderId="7" xfId="0" applyNumberFormat="1" applyFont="1" applyBorder="1" applyAlignment="1" applyProtection="1">
      <alignment horizontal="right"/>
      <protection locked="0"/>
    </xf>
    <xf numFmtId="164" fontId="10" fillId="0" borderId="35" xfId="5" applyNumberFormat="1" applyFont="1" applyFill="1" applyBorder="1" applyProtection="1">
      <protection locked="0"/>
    </xf>
    <xf numFmtId="9" fontId="10" fillId="0" borderId="17" xfId="1" applyFont="1" applyBorder="1" applyAlignment="1" applyProtection="1">
      <alignment horizontal="center"/>
      <protection locked="0"/>
    </xf>
    <xf numFmtId="9" fontId="10" fillId="0" borderId="16" xfId="1" applyFont="1" applyBorder="1" applyAlignment="1" applyProtection="1">
      <alignment horizontal="center"/>
      <protection locked="0"/>
    </xf>
    <xf numFmtId="164" fontId="8" fillId="4" borderId="28" xfId="3" applyNumberFormat="1" applyBorder="1" applyProtection="1">
      <protection locked="0"/>
    </xf>
    <xf numFmtId="164" fontId="8" fillId="4" borderId="28" xfId="3" applyNumberFormat="1" applyBorder="1" applyAlignment="1" applyProtection="1">
      <alignment horizontal="center"/>
      <protection locked="0"/>
    </xf>
    <xf numFmtId="164" fontId="10" fillId="0" borderId="18" xfId="0" applyNumberFormat="1" applyFont="1" applyBorder="1" applyAlignment="1" applyProtection="1">
      <alignment horizontal="center"/>
      <protection locked="0"/>
    </xf>
    <xf numFmtId="164" fontId="10" fillId="0" borderId="6" xfId="0" applyNumberFormat="1" applyFont="1" applyBorder="1" applyAlignment="1" applyProtection="1">
      <alignment horizontal="center"/>
      <protection locked="0"/>
    </xf>
    <xf numFmtId="164" fontId="10" fillId="0" borderId="13" xfId="0" applyNumberFormat="1" applyFont="1" applyBorder="1" applyAlignment="1" applyProtection="1">
      <alignment horizontal="center"/>
      <protection locked="0"/>
    </xf>
    <xf numFmtId="164" fontId="10" fillId="12" borderId="17" xfId="0" applyNumberFormat="1" applyFont="1" applyFill="1" applyBorder="1" applyAlignment="1" applyProtection="1">
      <alignment horizontal="right"/>
      <protection locked="0"/>
    </xf>
    <xf numFmtId="164" fontId="10" fillId="13" borderId="3" xfId="0" applyNumberFormat="1" applyFont="1" applyFill="1" applyBorder="1" applyAlignment="1" applyProtection="1">
      <alignment horizontal="right"/>
      <protection locked="0"/>
    </xf>
    <xf numFmtId="164" fontId="29" fillId="13" borderId="3" xfId="0" applyNumberFormat="1" applyFont="1" applyFill="1" applyBorder="1" applyAlignment="1" applyProtection="1">
      <alignment horizontal="left"/>
      <protection locked="0"/>
    </xf>
    <xf numFmtId="164" fontId="10" fillId="13" borderId="3" xfId="0" applyNumberFormat="1" applyFont="1" applyFill="1" applyBorder="1" applyAlignment="1" applyProtection="1">
      <alignment horizontal="center"/>
      <protection locked="0"/>
    </xf>
    <xf numFmtId="164" fontId="10" fillId="13" borderId="0" xfId="0" applyNumberFormat="1" applyFont="1" applyFill="1" applyProtection="1">
      <protection locked="0"/>
    </xf>
    <xf numFmtId="0" fontId="29" fillId="0" borderId="8" xfId="0" applyFont="1" applyBorder="1" applyProtection="1">
      <protection locked="0"/>
    </xf>
    <xf numFmtId="172" fontId="0" fillId="0" borderId="8" xfId="0" applyNumberFormat="1" applyBorder="1" applyProtection="1">
      <protection locked="0"/>
    </xf>
    <xf numFmtId="164" fontId="10" fillId="12" borderId="3" xfId="0" applyNumberFormat="1" applyFont="1" applyFill="1" applyBorder="1" applyAlignment="1" applyProtection="1">
      <alignment horizontal="left"/>
      <protection locked="0"/>
    </xf>
    <xf numFmtId="170" fontId="29" fillId="0" borderId="19" xfId="0" applyNumberFormat="1" applyFont="1" applyBorder="1" applyProtection="1">
      <protection locked="0"/>
    </xf>
    <xf numFmtId="0" fontId="29" fillId="0" borderId="14" xfId="0" applyFont="1" applyBorder="1" applyProtection="1">
      <protection locked="0"/>
    </xf>
    <xf numFmtId="172" fontId="1" fillId="0" borderId="0" xfId="0" applyNumberFormat="1" applyFont="1" applyProtection="1">
      <protection locked="0"/>
    </xf>
    <xf numFmtId="0" fontId="1" fillId="0" borderId="0" xfId="0" applyFont="1" applyAlignment="1" applyProtection="1">
      <alignment vertical="center"/>
      <protection locked="0"/>
    </xf>
    <xf numFmtId="164" fontId="0" fillId="0" borderId="19" xfId="0" applyNumberFormat="1" applyBorder="1" applyProtection="1">
      <protection locked="0"/>
    </xf>
    <xf numFmtId="164" fontId="0" fillId="0" borderId="33" xfId="0" applyNumberFormat="1" applyBorder="1" applyProtection="1">
      <protection locked="0"/>
    </xf>
    <xf numFmtId="0" fontId="29" fillId="0" borderId="6" xfId="0" applyFont="1" applyBorder="1" applyAlignment="1" applyProtection="1">
      <alignment horizontal="left" indent="1"/>
      <protection locked="0"/>
    </xf>
    <xf numFmtId="0" fontId="29" fillId="0" borderId="13" xfId="0" applyFont="1" applyBorder="1" applyAlignment="1" applyProtection="1">
      <alignment horizontal="left" indent="1"/>
      <protection locked="0"/>
    </xf>
    <xf numFmtId="164" fontId="0" fillId="0" borderId="14" xfId="0" applyNumberFormat="1" applyBorder="1" applyProtection="1">
      <protection locked="0"/>
    </xf>
    <xf numFmtId="172" fontId="0" fillId="0" borderId="14" xfId="0" applyNumberFormat="1" applyBorder="1" applyProtection="1">
      <protection locked="0"/>
    </xf>
    <xf numFmtId="172" fontId="0" fillId="0" borderId="15" xfId="0" applyNumberFormat="1" applyBorder="1" applyProtection="1">
      <protection locked="0"/>
    </xf>
    <xf numFmtId="164" fontId="0" fillId="0" borderId="8" xfId="0" applyNumberFormat="1" applyBorder="1" applyProtection="1">
      <protection locked="0"/>
    </xf>
    <xf numFmtId="164" fontId="0" fillId="0" borderId="9" xfId="0" applyNumberFormat="1" applyBorder="1" applyProtection="1">
      <protection locked="0"/>
    </xf>
    <xf numFmtId="164" fontId="12" fillId="11" borderId="17" xfId="0" applyNumberFormat="1" applyFont="1" applyFill="1" applyBorder="1" applyProtection="1">
      <protection locked="0"/>
    </xf>
    <xf numFmtId="0" fontId="10" fillId="0" borderId="17" xfId="0" applyFont="1" applyBorder="1" applyProtection="1">
      <protection locked="0"/>
    </xf>
    <xf numFmtId="0" fontId="10" fillId="0" borderId="19" xfId="0" applyFont="1" applyBorder="1" applyProtection="1">
      <protection locked="0"/>
    </xf>
    <xf numFmtId="0" fontId="10" fillId="0" borderId="16" xfId="0" applyFont="1" applyBorder="1" applyProtection="1">
      <protection locked="0"/>
    </xf>
    <xf numFmtId="0" fontId="12" fillId="0" borderId="26" xfId="0" applyFont="1" applyBorder="1" applyProtection="1">
      <protection locked="0"/>
    </xf>
    <xf numFmtId="0" fontId="12" fillId="0" borderId="22" xfId="0" applyFont="1" applyBorder="1" applyProtection="1">
      <protection locked="0"/>
    </xf>
    <xf numFmtId="0" fontId="12" fillId="0" borderId="0" xfId="0" applyFont="1" applyProtection="1">
      <protection locked="0"/>
    </xf>
    <xf numFmtId="164" fontId="12" fillId="11" borderId="17" xfId="0" applyNumberFormat="1" applyFont="1" applyFill="1" applyBorder="1" applyAlignment="1" applyProtection="1">
      <alignment horizontal="left"/>
      <protection locked="0"/>
    </xf>
    <xf numFmtId="164" fontId="10" fillId="0" borderId="0" xfId="0" applyNumberFormat="1" applyFont="1" applyAlignment="1" applyProtection="1">
      <alignment horizontal="left" vertical="top"/>
      <protection locked="0"/>
    </xf>
    <xf numFmtId="164" fontId="12" fillId="0" borderId="0" xfId="0" applyNumberFormat="1" applyFont="1" applyAlignment="1" applyProtection="1">
      <alignment horizontal="centerContinuous"/>
      <protection locked="0"/>
    </xf>
    <xf numFmtId="0" fontId="12" fillId="5" borderId="0" xfId="0" applyFont="1" applyFill="1" applyProtection="1">
      <protection locked="0"/>
    </xf>
    <xf numFmtId="0" fontId="12" fillId="11" borderId="2" xfId="0" applyFont="1" applyFill="1" applyBorder="1" applyProtection="1">
      <protection locked="0"/>
    </xf>
    <xf numFmtId="166" fontId="12" fillId="0" borderId="17" xfId="0" applyNumberFormat="1" applyFont="1" applyBorder="1" applyProtection="1">
      <protection locked="0"/>
    </xf>
    <xf numFmtId="166" fontId="10" fillId="0" borderId="19" xfId="0" applyNumberFormat="1" applyFont="1" applyBorder="1" applyProtection="1">
      <protection locked="0"/>
    </xf>
    <xf numFmtId="166" fontId="10" fillId="5" borderId="0" xfId="0" applyNumberFormat="1" applyFont="1" applyFill="1" applyProtection="1">
      <protection locked="0"/>
    </xf>
    <xf numFmtId="166" fontId="12" fillId="0" borderId="16" xfId="0" applyNumberFormat="1" applyFont="1" applyBorder="1" applyProtection="1">
      <protection locked="0"/>
    </xf>
    <xf numFmtId="166" fontId="10" fillId="0" borderId="0" xfId="0" applyNumberFormat="1" applyFont="1" applyProtection="1">
      <protection locked="0"/>
    </xf>
    <xf numFmtId="166" fontId="12" fillId="0" borderId="2" xfId="0" applyNumberFormat="1" applyFont="1" applyBorder="1" applyProtection="1">
      <protection locked="0"/>
    </xf>
    <xf numFmtId="166" fontId="10" fillId="0" borderId="14" xfId="0" applyNumberFormat="1" applyFont="1" applyBorder="1" applyProtection="1">
      <protection locked="0"/>
    </xf>
    <xf numFmtId="0" fontId="37" fillId="0" borderId="0" xfId="0" applyFont="1" applyProtection="1">
      <protection locked="0"/>
    </xf>
    <xf numFmtId="0" fontId="22" fillId="11" borderId="3" xfId="0" applyFont="1" applyFill="1" applyBorder="1" applyProtection="1">
      <protection locked="0"/>
    </xf>
    <xf numFmtId="0" fontId="12" fillId="0" borderId="7" xfId="0" applyFont="1" applyBorder="1" applyProtection="1">
      <protection locked="0"/>
    </xf>
    <xf numFmtId="0" fontId="10" fillId="0" borderId="0" xfId="0" applyFont="1" applyAlignment="1" applyProtection="1">
      <alignment horizontal="right"/>
      <protection locked="0"/>
    </xf>
    <xf numFmtId="173" fontId="10" fillId="0" borderId="0" xfId="0" applyNumberFormat="1" applyFont="1" applyAlignment="1" applyProtection="1">
      <alignment horizontal="right" vertical="center"/>
      <protection locked="0"/>
    </xf>
    <xf numFmtId="164" fontId="39" fillId="0" borderId="0" xfId="0" applyNumberFormat="1" applyFont="1" applyAlignment="1" applyProtection="1">
      <alignment horizontal="left"/>
      <protection locked="0"/>
    </xf>
    <xf numFmtId="0" fontId="12" fillId="11" borderId="7" xfId="0" applyFont="1" applyFill="1" applyBorder="1" applyProtection="1">
      <protection locked="0"/>
    </xf>
    <xf numFmtId="0" fontId="12" fillId="11" borderId="9" xfId="0" applyFont="1" applyFill="1" applyBorder="1" applyProtection="1">
      <protection locked="0"/>
    </xf>
    <xf numFmtId="164" fontId="10" fillId="0" borderId="6" xfId="0" applyNumberFormat="1" applyFont="1" applyBorder="1" applyAlignment="1" applyProtection="1">
      <alignment horizontal="left"/>
      <protection locked="0"/>
    </xf>
    <xf numFmtId="164" fontId="10" fillId="0" borderId="13" xfId="0" applyNumberFormat="1" applyFont="1" applyBorder="1" applyAlignment="1" applyProtection="1">
      <alignment horizontal="left"/>
      <protection locked="0"/>
    </xf>
    <xf numFmtId="164" fontId="10" fillId="0" borderId="20" xfId="0" applyNumberFormat="1" applyFont="1" applyBorder="1" applyAlignment="1" applyProtection="1">
      <alignment horizontal="left"/>
      <protection locked="0"/>
    </xf>
    <xf numFmtId="9" fontId="10" fillId="0" borderId="0" xfId="1" applyFont="1" applyFill="1" applyBorder="1" applyAlignment="1" applyProtection="1">
      <alignment horizontal="center"/>
      <protection locked="0"/>
    </xf>
    <xf numFmtId="164" fontId="10" fillId="0" borderId="2" xfId="0" applyNumberFormat="1" applyFont="1" applyBorder="1" applyAlignment="1" applyProtection="1">
      <alignment horizontal="right"/>
      <protection locked="0"/>
    </xf>
    <xf numFmtId="164" fontId="10" fillId="0" borderId="14" xfId="0" applyNumberFormat="1" applyFont="1" applyBorder="1" applyAlignment="1" applyProtection="1">
      <alignment horizontal="right"/>
      <protection locked="0"/>
    </xf>
    <xf numFmtId="164" fontId="10" fillId="0" borderId="8" xfId="0" applyNumberFormat="1" applyFont="1" applyBorder="1" applyAlignment="1" applyProtection="1">
      <alignment horizontal="right"/>
      <protection locked="0"/>
    </xf>
    <xf numFmtId="164" fontId="10" fillId="0" borderId="16" xfId="0" applyNumberFormat="1" applyFont="1" applyBorder="1" applyAlignment="1" applyProtection="1">
      <alignment horizontal="right"/>
      <protection locked="0"/>
    </xf>
    <xf numFmtId="164" fontId="10" fillId="0" borderId="3" xfId="0" applyNumberFormat="1" applyFont="1" applyBorder="1" applyAlignment="1" applyProtection="1">
      <alignment horizontal="right"/>
      <protection locked="0"/>
    </xf>
    <xf numFmtId="0" fontId="10" fillId="0" borderId="2" xfId="0" applyFont="1" applyBorder="1" applyProtection="1">
      <protection locked="0"/>
    </xf>
    <xf numFmtId="0" fontId="10" fillId="0" borderId="14" xfId="0" applyFont="1" applyBorder="1" applyProtection="1">
      <protection locked="0"/>
    </xf>
    <xf numFmtId="174" fontId="10" fillId="0" borderId="14" xfId="0" applyNumberFormat="1" applyFont="1" applyBorder="1" applyProtection="1">
      <protection locked="0"/>
    </xf>
    <xf numFmtId="164" fontId="27" fillId="0" borderId="16" xfId="0" applyNumberFormat="1" applyFont="1" applyBorder="1" applyAlignment="1" applyProtection="1">
      <alignment horizontal="center"/>
      <protection locked="0"/>
    </xf>
    <xf numFmtId="164" fontId="10" fillId="0" borderId="13" xfId="0" applyNumberFormat="1" applyFont="1" applyBorder="1" applyProtection="1">
      <protection locked="0"/>
    </xf>
    <xf numFmtId="164" fontId="27" fillId="0" borderId="2" xfId="0" applyNumberFormat="1" applyFont="1" applyBorder="1" applyAlignment="1" applyProtection="1">
      <alignment horizontal="center"/>
      <protection locked="0"/>
    </xf>
    <xf numFmtId="164" fontId="27" fillId="17" borderId="0" xfId="0" applyNumberFormat="1" applyFont="1" applyFill="1" applyProtection="1">
      <protection locked="0"/>
    </xf>
    <xf numFmtId="0" fontId="2" fillId="0" borderId="17" xfId="0" applyFont="1" applyBorder="1" applyAlignment="1" applyProtection="1">
      <alignment horizontal="center"/>
      <protection locked="0"/>
    </xf>
    <xf numFmtId="0" fontId="0" fillId="0" borderId="7" xfId="0" applyBorder="1" applyProtection="1">
      <protection locked="0"/>
    </xf>
    <xf numFmtId="170" fontId="10" fillId="0" borderId="9" xfId="0" applyNumberFormat="1" applyFont="1" applyBorder="1" applyProtection="1">
      <protection locked="0"/>
    </xf>
    <xf numFmtId="0" fontId="0" fillId="16" borderId="7" xfId="0" applyFill="1" applyBorder="1" applyProtection="1">
      <protection locked="0"/>
    </xf>
    <xf numFmtId="170" fontId="10" fillId="16" borderId="8" xfId="0" applyNumberFormat="1" applyFont="1" applyFill="1" applyBorder="1" applyProtection="1">
      <protection locked="0"/>
    </xf>
    <xf numFmtId="164" fontId="10" fillId="0" borderId="9" xfId="0" applyNumberFormat="1" applyFont="1" applyBorder="1" applyProtection="1">
      <protection locked="0"/>
    </xf>
    <xf numFmtId="170" fontId="10" fillId="0" borderId="0" xfId="0" applyNumberFormat="1" applyFont="1" applyProtection="1">
      <protection locked="0"/>
    </xf>
    <xf numFmtId="10" fontId="10" fillId="0" borderId="9" xfId="1" applyNumberFormat="1" applyFont="1" applyBorder="1" applyAlignment="1" applyProtection="1">
      <protection locked="0"/>
    </xf>
    <xf numFmtId="0" fontId="12" fillId="9" borderId="36" xfId="5" applyFont="1" applyBorder="1" applyProtection="1">
      <protection locked="0"/>
    </xf>
    <xf numFmtId="164" fontId="27" fillId="0" borderId="8" xfId="0" applyNumberFormat="1" applyFont="1" applyBorder="1" applyAlignment="1" applyProtection="1">
      <alignment horizontal="center" vertical="center"/>
      <protection locked="0"/>
    </xf>
    <xf numFmtId="3" fontId="11" fillId="0" borderId="0" xfId="0" applyNumberFormat="1" applyFont="1" applyAlignment="1" applyProtection="1">
      <alignment horizontal="left"/>
      <protection locked="0"/>
    </xf>
    <xf numFmtId="164" fontId="10" fillId="0" borderId="7" xfId="0" applyNumberFormat="1" applyFont="1" applyBorder="1" applyProtection="1">
      <protection locked="0"/>
    </xf>
    <xf numFmtId="0" fontId="2" fillId="0" borderId="17" xfId="0" applyFont="1" applyBorder="1" applyAlignment="1" applyProtection="1">
      <alignment horizontal="centerContinuous"/>
      <protection locked="0"/>
    </xf>
    <xf numFmtId="164" fontId="1" fillId="0" borderId="19" xfId="0" applyNumberFormat="1" applyFont="1" applyBorder="1" applyAlignment="1" applyProtection="1">
      <alignment horizontal="centerContinuous"/>
      <protection locked="0"/>
    </xf>
    <xf numFmtId="164" fontId="2" fillId="0" borderId="19" xfId="0" applyNumberFormat="1" applyFont="1" applyBorder="1" applyAlignment="1" applyProtection="1">
      <alignment horizontal="centerContinuous"/>
      <protection locked="0"/>
    </xf>
    <xf numFmtId="164" fontId="2" fillId="0" borderId="33" xfId="0" applyNumberFormat="1" applyFont="1" applyBorder="1" applyAlignment="1" applyProtection="1">
      <alignment horizontal="centerContinuous"/>
      <protection locked="0"/>
    </xf>
    <xf numFmtId="164" fontId="5" fillId="17" borderId="13" xfId="0" applyNumberFormat="1" applyFont="1" applyFill="1" applyBorder="1" applyAlignment="1" applyProtection="1">
      <alignment horizontal="center"/>
      <protection locked="0"/>
    </xf>
    <xf numFmtId="164" fontId="5" fillId="17" borderId="14" xfId="0" applyNumberFormat="1" applyFont="1" applyFill="1" applyBorder="1" applyAlignment="1" applyProtection="1">
      <alignment horizontal="center"/>
      <protection locked="0"/>
    </xf>
    <xf numFmtId="0" fontId="5" fillId="17" borderId="14" xfId="0" applyFont="1" applyFill="1" applyBorder="1" applyAlignment="1" applyProtection="1">
      <alignment horizontal="center"/>
      <protection locked="0"/>
    </xf>
    <xf numFmtId="0" fontId="5" fillId="17" borderId="15" xfId="0" applyFont="1" applyFill="1" applyBorder="1" applyAlignment="1" applyProtection="1">
      <alignment horizontal="center"/>
      <protection locked="0"/>
    </xf>
    <xf numFmtId="0" fontId="10" fillId="0" borderId="7" xfId="0" applyFont="1" applyBorder="1" applyProtection="1">
      <protection locked="0"/>
    </xf>
    <xf numFmtId="164" fontId="27" fillId="0" borderId="8" xfId="0" applyNumberFormat="1" applyFont="1" applyBorder="1" applyAlignment="1" applyProtection="1">
      <alignment horizontal="left" vertical="center"/>
      <protection locked="0"/>
    </xf>
    <xf numFmtId="176" fontId="10" fillId="0" borderId="9" xfId="0" applyNumberFormat="1" applyFont="1" applyBorder="1" applyProtection="1">
      <protection locked="0"/>
    </xf>
    <xf numFmtId="169" fontId="10" fillId="0" borderId="9" xfId="1" applyNumberFormat="1" applyFont="1" applyBorder="1" applyProtection="1">
      <protection locked="0"/>
    </xf>
    <xf numFmtId="175" fontId="10" fillId="0" borderId="9" xfId="0" applyNumberFormat="1" applyFont="1" applyBorder="1" applyProtection="1">
      <protection locked="0"/>
    </xf>
    <xf numFmtId="0" fontId="19" fillId="7" borderId="0" xfId="0" applyFont="1" applyFill="1" applyAlignment="1" applyProtection="1">
      <alignment horizontal="center" wrapText="1"/>
      <protection locked="0"/>
    </xf>
    <xf numFmtId="170" fontId="1" fillId="2" borderId="0" xfId="0" applyNumberFormat="1" applyFont="1" applyFill="1" applyAlignment="1" applyProtection="1">
      <alignment horizontal="center" wrapText="1"/>
      <protection locked="0"/>
    </xf>
    <xf numFmtId="170" fontId="19" fillId="0" borderId="0" xfId="0" applyNumberFormat="1" applyFont="1" applyAlignment="1" applyProtection="1">
      <alignment horizontal="center"/>
      <protection locked="0"/>
    </xf>
    <xf numFmtId="0" fontId="19" fillId="0" borderId="0" xfId="0" applyFont="1" applyAlignment="1" applyProtection="1">
      <alignment horizontal="center"/>
      <protection locked="0"/>
    </xf>
    <xf numFmtId="10" fontId="19" fillId="0" borderId="0" xfId="0" applyNumberFormat="1" applyFont="1" applyAlignment="1" applyProtection="1">
      <alignment horizontal="center"/>
      <protection locked="0"/>
    </xf>
    <xf numFmtId="170" fontId="19" fillId="2" borderId="0" xfId="0" applyNumberFormat="1" applyFont="1" applyFill="1" applyAlignment="1" applyProtection="1">
      <alignment horizontal="center"/>
      <protection locked="0"/>
    </xf>
    <xf numFmtId="0" fontId="1" fillId="0" borderId="0" xfId="0" applyFont="1" applyAlignment="1" applyProtection="1">
      <alignment horizontal="center"/>
      <protection locked="0"/>
    </xf>
    <xf numFmtId="0" fontId="1" fillId="0" borderId="8" xfId="0" applyFont="1" applyBorder="1" applyProtection="1">
      <protection locked="0"/>
    </xf>
    <xf numFmtId="170" fontId="19" fillId="0" borderId="8" xfId="0" applyNumberFormat="1" applyFont="1" applyBorder="1" applyAlignment="1" applyProtection="1">
      <alignment horizontal="center"/>
      <protection locked="0"/>
    </xf>
    <xf numFmtId="164" fontId="19" fillId="0" borderId="8" xfId="0" applyNumberFormat="1" applyFont="1" applyBorder="1" applyAlignment="1" applyProtection="1">
      <alignment horizontal="center"/>
      <protection locked="0"/>
    </xf>
    <xf numFmtId="10" fontId="19" fillId="0" borderId="8" xfId="0" applyNumberFormat="1" applyFont="1" applyBorder="1" applyAlignment="1" applyProtection="1">
      <alignment horizontal="center"/>
      <protection locked="0"/>
    </xf>
    <xf numFmtId="0" fontId="19" fillId="0" borderId="8" xfId="0" applyFont="1" applyBorder="1" applyAlignment="1" applyProtection="1">
      <alignment horizontal="center"/>
      <protection locked="0"/>
    </xf>
    <xf numFmtId="170" fontId="19" fillId="2" borderId="8" xfId="0" applyNumberFormat="1" applyFont="1" applyFill="1" applyBorder="1" applyAlignment="1" applyProtection="1">
      <alignment horizontal="center"/>
      <protection locked="0"/>
    </xf>
    <xf numFmtId="170" fontId="1" fillId="2" borderId="8" xfId="0" applyNumberFormat="1" applyFont="1" applyFill="1" applyBorder="1" applyAlignment="1" applyProtection="1">
      <alignment horizontal="center"/>
      <protection locked="0"/>
    </xf>
    <xf numFmtId="0" fontId="1" fillId="0" borderId="3" xfId="0" applyFont="1" applyBorder="1" applyProtection="1">
      <protection locked="0"/>
    </xf>
    <xf numFmtId="3" fontId="19" fillId="0" borderId="3" xfId="0" applyNumberFormat="1" applyFont="1" applyBorder="1" applyAlignment="1" applyProtection="1">
      <alignment wrapText="1"/>
      <protection locked="0"/>
    </xf>
    <xf numFmtId="164" fontId="27" fillId="0" borderId="3" xfId="0" applyNumberFormat="1" applyFont="1" applyBorder="1" applyAlignment="1" applyProtection="1">
      <alignment horizontal="center" vertical="center"/>
      <protection locked="0"/>
    </xf>
    <xf numFmtId="164" fontId="19" fillId="0" borderId="3" xfId="0" applyNumberFormat="1" applyFont="1" applyBorder="1" applyProtection="1">
      <protection locked="0"/>
    </xf>
    <xf numFmtId="169" fontId="13" fillId="3" borderId="1" xfId="2" applyNumberFormat="1" applyFont="1" applyAlignment="1" applyProtection="1">
      <alignment horizontal="center"/>
    </xf>
    <xf numFmtId="164" fontId="1" fillId="0" borderId="0" xfId="0" applyNumberFormat="1" applyFont="1" applyAlignment="1" applyProtection="1">
      <alignment horizontal="center"/>
      <protection locked="0"/>
    </xf>
    <xf numFmtId="3" fontId="17" fillId="5" borderId="0" xfId="0" applyNumberFormat="1" applyFont="1" applyFill="1" applyAlignment="1" applyProtection="1">
      <alignment horizontal="center"/>
      <protection locked="0"/>
    </xf>
    <xf numFmtId="3" fontId="11" fillId="5" borderId="0" xfId="0" applyNumberFormat="1" applyFont="1" applyFill="1" applyAlignment="1" applyProtection="1">
      <alignment horizontal="center"/>
      <protection locked="0"/>
    </xf>
    <xf numFmtId="3" fontId="21" fillId="5" borderId="0" xfId="0" applyNumberFormat="1" applyFont="1" applyFill="1" applyAlignment="1" applyProtection="1">
      <alignment horizontal="center"/>
      <protection locked="0"/>
    </xf>
    <xf numFmtId="3" fontId="20" fillId="5" borderId="0" xfId="0" applyNumberFormat="1" applyFont="1" applyFill="1" applyAlignment="1" applyProtection="1">
      <alignment horizontal="center"/>
      <protection locked="0"/>
    </xf>
    <xf numFmtId="3" fontId="22" fillId="5" borderId="0" xfId="0" applyNumberFormat="1" applyFont="1" applyFill="1" applyAlignment="1" applyProtection="1">
      <alignment horizontal="center"/>
      <protection locked="0"/>
    </xf>
    <xf numFmtId="0" fontId="29" fillId="0" borderId="19" xfId="0" applyFont="1" applyBorder="1"/>
    <xf numFmtId="170" fontId="0" fillId="0" borderId="19" xfId="0" applyNumberFormat="1" applyBorder="1"/>
    <xf numFmtId="170" fontId="0" fillId="0" borderId="33" xfId="0" applyNumberFormat="1" applyBorder="1"/>
    <xf numFmtId="170" fontId="29" fillId="0" borderId="14" xfId="0" applyNumberFormat="1" applyFont="1" applyBorder="1"/>
    <xf numFmtId="170" fontId="0" fillId="0" borderId="14" xfId="0" applyNumberFormat="1" applyBorder="1"/>
    <xf numFmtId="170" fontId="0" fillId="0" borderId="15" xfId="0" applyNumberFormat="1" applyBorder="1"/>
    <xf numFmtId="170" fontId="24" fillId="0" borderId="19" xfId="0" quotePrefix="1" applyNumberFormat="1" applyFont="1" applyBorder="1"/>
    <xf numFmtId="170" fontId="24" fillId="0" borderId="33" xfId="0" quotePrefix="1" applyNumberFormat="1" applyFont="1" applyBorder="1"/>
    <xf numFmtId="170" fontId="24" fillId="0" borderId="14" xfId="0" quotePrefix="1" applyNumberFormat="1" applyFont="1" applyBorder="1"/>
    <xf numFmtId="170" fontId="24" fillId="0" borderId="15" xfId="0" quotePrefix="1" applyNumberFormat="1" applyFont="1" applyBorder="1"/>
    <xf numFmtId="172" fontId="0" fillId="0" borderId="0" xfId="0" applyNumberFormat="1" applyAlignment="1">
      <alignment horizontal="left" vertical="center" indent="4"/>
    </xf>
    <xf numFmtId="172" fontId="24" fillId="0" borderId="0" xfId="0" quotePrefix="1" applyNumberFormat="1" applyFont="1"/>
    <xf numFmtId="172" fontId="24" fillId="0" borderId="0" xfId="0" applyNumberFormat="1" applyFont="1"/>
    <xf numFmtId="172" fontId="24" fillId="0" borderId="0" xfId="0" applyNumberFormat="1" applyFont="1" applyAlignment="1">
      <alignment horizontal="center"/>
    </xf>
    <xf numFmtId="170" fontId="10" fillId="0" borderId="8" xfId="0" applyNumberFormat="1" applyFont="1" applyBorder="1"/>
    <xf numFmtId="164" fontId="10" fillId="0" borderId="9" xfId="0" applyNumberFormat="1" applyFont="1" applyBorder="1"/>
    <xf numFmtId="164" fontId="27" fillId="0" borderId="8" xfId="0" applyNumberFormat="1" applyFont="1" applyBorder="1" applyAlignment="1">
      <alignment horizontal="center" vertical="center"/>
    </xf>
    <xf numFmtId="164" fontId="8" fillId="4" borderId="28" xfId="3" applyNumberFormat="1" applyBorder="1" applyAlignment="1" applyProtection="1">
      <alignment horizontal="center"/>
    </xf>
    <xf numFmtId="164" fontId="10" fillId="0" borderId="2" xfId="0" applyNumberFormat="1" applyFont="1" applyBorder="1" applyAlignment="1">
      <alignment horizontal="center"/>
    </xf>
    <xf numFmtId="166" fontId="10" fillId="0" borderId="9" xfId="0" applyNumberFormat="1" applyFont="1" applyBorder="1"/>
    <xf numFmtId="170" fontId="10" fillId="0" borderId="9" xfId="0" applyNumberFormat="1" applyFont="1" applyBorder="1"/>
    <xf numFmtId="176" fontId="10" fillId="0" borderId="9" xfId="0" applyNumberFormat="1" applyFont="1" applyBorder="1"/>
    <xf numFmtId="175" fontId="10" fillId="0" borderId="9" xfId="0" applyNumberFormat="1" applyFont="1" applyBorder="1"/>
    <xf numFmtId="10" fontId="27" fillId="0" borderId="0" xfId="1" applyNumberFormat="1" applyFont="1" applyProtection="1">
      <protection locked="0"/>
    </xf>
    <xf numFmtId="164" fontId="10" fillId="2" borderId="0" xfId="0" applyNumberFormat="1" applyFont="1" applyFill="1"/>
    <xf numFmtId="170" fontId="0" fillId="0" borderId="8" xfId="0" applyNumberFormat="1" applyBorder="1"/>
    <xf numFmtId="164" fontId="13" fillId="20" borderId="27" xfId="2" applyNumberFormat="1" applyFont="1" applyFill="1" applyBorder="1" applyAlignment="1" applyProtection="1">
      <alignment horizontal="center"/>
      <protection locked="0"/>
    </xf>
    <xf numFmtId="170" fontId="14" fillId="4" borderId="41" xfId="3" applyNumberFormat="1" applyFont="1" applyBorder="1" applyAlignment="1" applyProtection="1">
      <alignment horizontal="center" vertical="top"/>
      <protection locked="0"/>
    </xf>
    <xf numFmtId="170" fontId="35" fillId="0" borderId="40" xfId="7" applyNumberFormat="1" applyFont="1" applyAlignment="1" applyProtection="1">
      <alignment horizontal="center" vertical="top"/>
      <protection locked="0"/>
    </xf>
    <xf numFmtId="164" fontId="12" fillId="6" borderId="0" xfId="0" applyNumberFormat="1" applyFont="1" applyFill="1" applyAlignment="1" applyProtection="1">
      <alignment horizontal="center"/>
      <protection locked="0"/>
    </xf>
    <xf numFmtId="164" fontId="36" fillId="6" borderId="0" xfId="0" applyNumberFormat="1" applyFont="1" applyFill="1" applyAlignment="1" applyProtection="1">
      <alignment horizontal="center"/>
      <protection locked="0"/>
    </xf>
    <xf numFmtId="164" fontId="34" fillId="17" borderId="0" xfId="0" applyNumberFormat="1" applyFont="1" applyFill="1" applyProtection="1">
      <protection locked="0"/>
    </xf>
    <xf numFmtId="164" fontId="10" fillId="17" borderId="0" xfId="0" applyNumberFormat="1" applyFont="1" applyFill="1" applyProtection="1">
      <protection locked="0"/>
    </xf>
    <xf numFmtId="171" fontId="14" fillId="15" borderId="22" xfId="3" applyNumberFormat="1" applyFont="1" applyFill="1" applyBorder="1" applyAlignment="1" applyProtection="1">
      <alignment horizontal="left"/>
      <protection locked="0"/>
    </xf>
    <xf numFmtId="171" fontId="14" fillId="15" borderId="22" xfId="3" applyNumberFormat="1" applyFont="1" applyFill="1" applyBorder="1" applyAlignment="1" applyProtection="1">
      <alignment horizontal="center"/>
      <protection locked="0"/>
    </xf>
    <xf numFmtId="164" fontId="14" fillId="15" borderId="22" xfId="3" applyNumberFormat="1" applyFont="1" applyFill="1" applyBorder="1" applyAlignment="1" applyProtection="1">
      <alignment horizontal="center"/>
      <protection locked="0"/>
    </xf>
    <xf numFmtId="9" fontId="14" fillId="15" borderId="22" xfId="1" applyFont="1" applyFill="1" applyBorder="1" applyAlignment="1" applyProtection="1">
      <alignment horizontal="center"/>
      <protection locked="0"/>
    </xf>
    <xf numFmtId="43" fontId="10" fillId="0" borderId="0" xfId="9" applyFont="1" applyProtection="1">
      <protection locked="0"/>
    </xf>
    <xf numFmtId="10" fontId="14" fillId="4" borderId="26" xfId="1" applyNumberFormat="1" applyFont="1" applyFill="1" applyBorder="1" applyAlignment="1" applyProtection="1">
      <alignment horizontal="center"/>
    </xf>
    <xf numFmtId="0" fontId="10" fillId="0" borderId="2" xfId="0" applyFont="1" applyBorder="1" applyAlignment="1">
      <alignment horizontal="center"/>
    </xf>
    <xf numFmtId="0" fontId="10" fillId="6" borderId="17" xfId="0" applyFont="1" applyFill="1" applyBorder="1" applyAlignment="1">
      <alignment horizontal="left"/>
    </xf>
    <xf numFmtId="0" fontId="12" fillId="6" borderId="9" xfId="0" applyFont="1" applyFill="1" applyBorder="1" applyAlignment="1">
      <alignment horizontal="centerContinuous"/>
    </xf>
    <xf numFmtId="0" fontId="12" fillId="6" borderId="3" xfId="0" applyFont="1" applyFill="1" applyBorder="1" applyAlignment="1">
      <alignment horizontal="centerContinuous"/>
    </xf>
    <xf numFmtId="0" fontId="22" fillId="6" borderId="3" xfId="0" applyFont="1" applyFill="1" applyBorder="1" applyAlignment="1">
      <alignment horizontal="centerContinuous"/>
    </xf>
    <xf numFmtId="0" fontId="24" fillId="6" borderId="7" xfId="0" applyFont="1" applyFill="1" applyBorder="1" applyAlignment="1">
      <alignment horizontal="centerContinuous"/>
    </xf>
    <xf numFmtId="0" fontId="22" fillId="6" borderId="17" xfId="0" applyFont="1" applyFill="1" applyBorder="1" applyAlignment="1">
      <alignment horizontal="center"/>
    </xf>
    <xf numFmtId="0" fontId="10" fillId="6" borderId="2" xfId="0" applyFont="1" applyFill="1" applyBorder="1" applyAlignment="1">
      <alignment horizontal="center" wrapText="1"/>
    </xf>
    <xf numFmtId="0" fontId="12" fillId="6" borderId="9" xfId="0" applyFont="1" applyFill="1" applyBorder="1" applyAlignment="1">
      <alignment horizontal="center" wrapText="1"/>
    </xf>
    <xf numFmtId="0" fontId="12" fillId="6" borderId="3" xfId="0" applyFont="1" applyFill="1" applyBorder="1" applyAlignment="1">
      <alignment horizontal="center" wrapText="1"/>
    </xf>
    <xf numFmtId="0" fontId="22" fillId="6" borderId="3" xfId="0" applyFont="1" applyFill="1" applyBorder="1" applyAlignment="1">
      <alignment horizontal="center" wrapText="1"/>
    </xf>
    <xf numFmtId="0" fontId="22" fillId="6" borderId="7" xfId="0" applyFont="1" applyFill="1" applyBorder="1" applyAlignment="1">
      <alignment horizontal="center" wrapText="1"/>
    </xf>
    <xf numFmtId="0" fontId="22" fillId="6" borderId="2" xfId="0" applyFont="1" applyFill="1" applyBorder="1" applyAlignment="1">
      <alignment horizontal="center" wrapText="1"/>
    </xf>
    <xf numFmtId="0" fontId="10" fillId="6" borderId="3" xfId="0" applyFont="1" applyFill="1" applyBorder="1" applyAlignment="1">
      <alignment horizontal="left"/>
    </xf>
    <xf numFmtId="164" fontId="35" fillId="4" borderId="3" xfId="1" applyNumberFormat="1" applyFont="1" applyFill="1" applyBorder="1" applyAlignment="1" applyProtection="1">
      <alignment horizontal="center"/>
    </xf>
    <xf numFmtId="164" fontId="35" fillId="4" borderId="17" xfId="1" applyNumberFormat="1" applyFont="1" applyFill="1" applyBorder="1" applyAlignment="1" applyProtection="1">
      <alignment horizontal="center"/>
    </xf>
    <xf numFmtId="10" fontId="35" fillId="0" borderId="16" xfId="7" applyNumberFormat="1" applyFont="1" applyBorder="1" applyAlignment="1" applyProtection="1">
      <alignment horizontal="center" vertical="top"/>
    </xf>
    <xf numFmtId="10" fontId="35" fillId="4" borderId="17" xfId="1" applyNumberFormat="1" applyFont="1" applyFill="1" applyBorder="1" applyAlignment="1" applyProtection="1">
      <alignment horizontal="center"/>
    </xf>
    <xf numFmtId="0" fontId="2" fillId="6" borderId="26" xfId="0" applyFont="1" applyFill="1" applyBorder="1"/>
    <xf numFmtId="164" fontId="14" fillId="4" borderId="26" xfId="1" applyNumberFormat="1" applyFont="1" applyFill="1" applyBorder="1" applyAlignment="1" applyProtection="1">
      <alignment horizontal="center"/>
    </xf>
    <xf numFmtId="0" fontId="12" fillId="7" borderId="6" xfId="0" applyFont="1" applyFill="1" applyBorder="1" applyAlignment="1" applyProtection="1">
      <alignment horizontal="left"/>
      <protection locked="0"/>
    </xf>
    <xf numFmtId="0" fontId="12" fillId="7" borderId="0" xfId="0" applyFont="1" applyFill="1" applyAlignment="1" applyProtection="1">
      <alignment horizontal="left"/>
      <protection locked="0"/>
    </xf>
    <xf numFmtId="0" fontId="12" fillId="7" borderId="12" xfId="0" applyFont="1" applyFill="1" applyBorder="1" applyAlignment="1" applyProtection="1">
      <alignment horizontal="left"/>
      <protection locked="0"/>
    </xf>
    <xf numFmtId="0" fontId="2" fillId="7" borderId="6" xfId="0" applyFont="1" applyFill="1" applyBorder="1" applyAlignment="1" applyProtection="1">
      <alignment horizontal="left"/>
      <protection locked="0"/>
    </xf>
    <xf numFmtId="0" fontId="2" fillId="7" borderId="0" xfId="0" applyFont="1" applyFill="1" applyAlignment="1" applyProtection="1">
      <alignment horizontal="left"/>
      <protection locked="0"/>
    </xf>
    <xf numFmtId="0" fontId="2" fillId="7" borderId="12" xfId="0" applyFont="1" applyFill="1" applyBorder="1" applyAlignment="1" applyProtection="1">
      <alignment horizontal="left"/>
      <protection locked="0"/>
    </xf>
    <xf numFmtId="164" fontId="14" fillId="4" borderId="41" xfId="3" applyNumberFormat="1" applyFont="1" applyBorder="1" applyAlignment="1" applyProtection="1">
      <alignment horizontal="center" vertical="top"/>
      <protection locked="0"/>
    </xf>
    <xf numFmtId="0" fontId="12" fillId="0" borderId="3" xfId="0" applyFont="1" applyBorder="1" applyAlignment="1">
      <alignment horizontal="center"/>
    </xf>
    <xf numFmtId="3" fontId="26" fillId="7" borderId="16" xfId="0" applyNumberFormat="1" applyFont="1" applyFill="1" applyBorder="1" applyAlignment="1">
      <alignment horizontal="center"/>
    </xf>
    <xf numFmtId="164" fontId="25" fillId="8" borderId="10" xfId="4" applyNumberFormat="1" applyFont="1" applyAlignment="1" applyProtection="1">
      <alignment horizontal="center"/>
      <protection locked="0"/>
    </xf>
    <xf numFmtId="164" fontId="24" fillId="0" borderId="16" xfId="0" applyNumberFormat="1" applyFont="1" applyBorder="1" applyAlignment="1" applyProtection="1">
      <alignment horizontal="center"/>
      <protection locked="0"/>
    </xf>
    <xf numFmtId="0" fontId="10" fillId="0" borderId="16" xfId="0" applyFont="1" applyBorder="1" applyAlignment="1" applyProtection="1">
      <alignment horizontal="center"/>
      <protection locked="0"/>
    </xf>
    <xf numFmtId="164" fontId="19" fillId="0" borderId="16" xfId="0" applyNumberFormat="1" applyFont="1" applyBorder="1" applyAlignment="1" applyProtection="1">
      <alignment horizontal="center"/>
      <protection locked="0"/>
    </xf>
    <xf numFmtId="164" fontId="12" fillId="4" borderId="3" xfId="3" applyNumberFormat="1" applyFont="1" applyBorder="1" applyAlignment="1" applyProtection="1">
      <alignment horizontal="center"/>
      <protection locked="0"/>
    </xf>
    <xf numFmtId="0" fontId="0" fillId="0" borderId="0" xfId="0" applyAlignment="1">
      <alignment vertical="center" wrapText="1"/>
    </xf>
    <xf numFmtId="0" fontId="0" fillId="0" borderId="0" xfId="0" applyAlignment="1">
      <alignment wrapText="1"/>
    </xf>
    <xf numFmtId="0" fontId="2" fillId="0" borderId="0" xfId="0" applyFont="1"/>
    <xf numFmtId="0" fontId="0" fillId="0" borderId="0" xfId="0" applyAlignment="1">
      <alignment vertical="center"/>
    </xf>
    <xf numFmtId="0" fontId="10" fillId="0" borderId="0" xfId="0" applyFont="1"/>
    <xf numFmtId="0" fontId="12" fillId="0" borderId="0" xfId="0" applyFont="1"/>
    <xf numFmtId="0" fontId="10" fillId="0" borderId="0" xfId="0" applyFont="1" applyAlignment="1">
      <alignment wrapText="1"/>
    </xf>
    <xf numFmtId="0" fontId="10" fillId="5" borderId="0" xfId="0" applyFont="1" applyFill="1" applyAlignment="1">
      <alignment vertical="justify"/>
    </xf>
    <xf numFmtId="0" fontId="13" fillId="3" borderId="41" xfId="2" applyFont="1" applyBorder="1" applyAlignment="1" applyProtection="1">
      <alignment horizontal="left" vertical="top"/>
    </xf>
    <xf numFmtId="0" fontId="14" fillId="4" borderId="41" xfId="3" applyFont="1" applyBorder="1" applyAlignment="1" applyProtection="1">
      <alignment horizontal="left" vertical="top"/>
    </xf>
    <xf numFmtId="0" fontId="35" fillId="0" borderId="40" xfId="7" applyFont="1" applyAlignment="1" applyProtection="1">
      <alignment horizontal="left" vertical="top"/>
    </xf>
    <xf numFmtId="0" fontId="2" fillId="0" borderId="3" xfId="0" applyFont="1" applyBorder="1" applyAlignment="1">
      <alignment vertical="center"/>
    </xf>
    <xf numFmtId="0" fontId="2" fillId="0" borderId="3" xfId="0" applyFont="1" applyBorder="1" applyAlignment="1">
      <alignment wrapText="1"/>
    </xf>
    <xf numFmtId="0" fontId="2" fillId="18" borderId="0" xfId="0" applyFont="1" applyFill="1"/>
    <xf numFmtId="0" fontId="44" fillId="18" borderId="0" xfId="8" applyFont="1" applyFill="1" applyBorder="1" applyAlignment="1" applyProtection="1">
      <alignment vertical="center" wrapText="1"/>
    </xf>
    <xf numFmtId="0" fontId="44" fillId="18" borderId="0" xfId="8" applyFont="1" applyFill="1" applyBorder="1" applyAlignment="1" applyProtection="1">
      <alignment wrapText="1"/>
    </xf>
    <xf numFmtId="3" fontId="42" fillId="0" borderId="0" xfId="8" applyNumberFormat="1" applyBorder="1" applyAlignment="1" applyProtection="1">
      <alignment vertical="center" wrapText="1"/>
    </xf>
    <xf numFmtId="0" fontId="42" fillId="0" borderId="0" xfId="8" applyBorder="1" applyAlignment="1" applyProtection="1">
      <alignment vertical="center" wrapText="1"/>
    </xf>
    <xf numFmtId="0" fontId="2" fillId="19" borderId="0" xfId="0" applyFont="1" applyFill="1"/>
    <xf numFmtId="0" fontId="44" fillId="19" borderId="0" xfId="8" applyFont="1" applyFill="1" applyBorder="1" applyAlignment="1" applyProtection="1">
      <alignment vertical="center" wrapText="1"/>
    </xf>
    <xf numFmtId="0" fontId="44" fillId="19" borderId="0" xfId="8" applyFont="1" applyFill="1" applyBorder="1" applyAlignment="1" applyProtection="1">
      <alignment wrapText="1"/>
    </xf>
    <xf numFmtId="0" fontId="2" fillId="17" borderId="0" xfId="0" applyFont="1" applyFill="1"/>
    <xf numFmtId="0" fontId="44" fillId="17" borderId="0" xfId="8" applyFont="1" applyFill="1" applyBorder="1" applyAlignment="1" applyProtection="1">
      <alignment vertical="center" wrapText="1"/>
    </xf>
    <xf numFmtId="0" fontId="44" fillId="17" borderId="0" xfId="8" applyFont="1" applyFill="1" applyBorder="1" applyAlignment="1" applyProtection="1">
      <alignment wrapText="1"/>
    </xf>
    <xf numFmtId="0" fontId="2" fillId="0" borderId="0" xfId="0" applyFont="1" applyAlignment="1">
      <alignment wrapText="1"/>
    </xf>
    <xf numFmtId="0" fontId="0" fillId="0" borderId="0" xfId="0" applyAlignment="1">
      <alignment wrapText="1"/>
    </xf>
    <xf numFmtId="0" fontId="0" fillId="0" borderId="0" xfId="0" applyAlignment="1">
      <alignment vertical="center" wrapText="1"/>
    </xf>
    <xf numFmtId="0" fontId="12" fillId="7" borderId="6" xfId="0" applyFont="1" applyFill="1" applyBorder="1" applyAlignment="1" applyProtection="1">
      <alignment horizontal="left"/>
      <protection locked="0"/>
    </xf>
    <xf numFmtId="0" fontId="12" fillId="7" borderId="0" xfId="0" applyFont="1" applyFill="1" applyAlignment="1" applyProtection="1">
      <alignment horizontal="left"/>
      <protection locked="0"/>
    </xf>
    <xf numFmtId="0" fontId="12" fillId="7" borderId="12" xfId="0" applyFont="1" applyFill="1" applyBorder="1" applyAlignment="1" applyProtection="1">
      <alignment horizontal="left"/>
      <protection locked="0"/>
    </xf>
    <xf numFmtId="0" fontId="14" fillId="4" borderId="18" xfId="3" applyFont="1" applyBorder="1" applyAlignment="1" applyProtection="1">
      <alignment horizontal="center" vertical="top" wrapText="1"/>
      <protection locked="0"/>
    </xf>
    <xf numFmtId="0" fontId="0" fillId="0" borderId="2" xfId="0" applyBorder="1" applyAlignment="1" applyProtection="1">
      <alignment horizontal="center" vertical="top" wrapText="1"/>
      <protection locked="0"/>
    </xf>
    <xf numFmtId="164" fontId="12" fillId="0" borderId="17" xfId="0" applyNumberFormat="1" applyFont="1" applyBorder="1" applyAlignment="1" applyProtection="1">
      <alignment horizontal="center" vertical="center" wrapText="1"/>
      <protection locked="0"/>
    </xf>
    <xf numFmtId="0" fontId="12" fillId="0" borderId="2" xfId="0" applyFont="1" applyBorder="1" applyAlignment="1" applyProtection="1">
      <alignment horizontal="center" vertical="center" wrapText="1"/>
      <protection locked="0"/>
    </xf>
    <xf numFmtId="164" fontId="46" fillId="0" borderId="45" xfId="0" applyNumberFormat="1" applyFont="1" applyBorder="1" applyAlignment="1" applyProtection="1">
      <alignment horizontal="center" vertical="center" wrapText="1"/>
      <protection locked="0"/>
    </xf>
    <xf numFmtId="0" fontId="47" fillId="0" borderId="46" xfId="0" applyFont="1" applyBorder="1" applyAlignment="1">
      <alignment horizontal="center" vertical="center" wrapText="1"/>
    </xf>
    <xf numFmtId="0" fontId="47" fillId="0" borderId="47" xfId="0" applyFont="1" applyBorder="1" applyAlignment="1">
      <alignment horizontal="center" vertical="center" wrapText="1"/>
    </xf>
    <xf numFmtId="164" fontId="46" fillId="0" borderId="17" xfId="0" applyNumberFormat="1" applyFont="1" applyBorder="1" applyAlignment="1" applyProtection="1">
      <alignment horizontal="center" vertical="center" wrapText="1"/>
      <protection locked="0"/>
    </xf>
    <xf numFmtId="0" fontId="46" fillId="0" borderId="2" xfId="0" applyFont="1" applyBorder="1" applyAlignment="1" applyProtection="1">
      <alignment horizontal="center" vertical="center" wrapText="1"/>
      <protection locked="0"/>
    </xf>
    <xf numFmtId="0" fontId="29" fillId="0" borderId="0" xfId="0" applyFont="1" applyAlignment="1" applyProtection="1">
      <alignment horizontal="left" vertical="center" indent="1"/>
      <protection locked="0"/>
    </xf>
    <xf numFmtId="0" fontId="0" fillId="0" borderId="0" xfId="0" applyAlignment="1" applyProtection="1">
      <alignment horizontal="left" vertical="center" indent="1"/>
      <protection locked="0"/>
    </xf>
    <xf numFmtId="164" fontId="10" fillId="12" borderId="17" xfId="0" applyNumberFormat="1" applyFont="1" applyFill="1" applyBorder="1" applyAlignment="1" applyProtection="1">
      <alignment horizontal="left" vertical="center"/>
      <protection locked="0"/>
    </xf>
    <xf numFmtId="0" fontId="0" fillId="0" borderId="2" xfId="0" applyBorder="1" applyAlignment="1" applyProtection="1">
      <alignment horizontal="left" vertical="center"/>
      <protection locked="0"/>
    </xf>
    <xf numFmtId="172" fontId="29" fillId="0" borderId="18" xfId="0" applyNumberFormat="1" applyFont="1" applyBorder="1" applyAlignment="1" applyProtection="1">
      <alignment vertical="center"/>
      <protection locked="0"/>
    </xf>
    <xf numFmtId="0" fontId="0" fillId="0" borderId="13" xfId="0" applyBorder="1" applyAlignment="1" applyProtection="1">
      <alignment vertical="center"/>
      <protection locked="0"/>
    </xf>
    <xf numFmtId="0" fontId="1" fillId="7" borderId="0" xfId="0" applyFont="1" applyFill="1" applyAlignment="1" applyProtection="1">
      <alignment horizontal="center" wrapText="1"/>
      <protection locked="0"/>
    </xf>
    <xf numFmtId="0" fontId="1" fillId="0" borderId="0" xfId="0" applyFont="1" applyAlignment="1" applyProtection="1">
      <alignment horizontal="center" wrapText="1"/>
      <protection locked="0"/>
    </xf>
    <xf numFmtId="0" fontId="19" fillId="7" borderId="0" xfId="0" applyFont="1" applyFill="1" applyAlignment="1" applyProtection="1">
      <alignment horizontal="center" wrapText="1"/>
      <protection locked="0"/>
    </xf>
    <xf numFmtId="0" fontId="0" fillId="0" borderId="0" xfId="0" applyAlignment="1" applyProtection="1">
      <alignment horizontal="center" wrapText="1"/>
      <protection locked="0"/>
    </xf>
    <xf numFmtId="0" fontId="1" fillId="0" borderId="0" xfId="0" applyFont="1" applyAlignment="1" applyProtection="1">
      <alignment wrapText="1"/>
      <protection locked="0"/>
    </xf>
    <xf numFmtId="0" fontId="0" fillId="0" borderId="0" xfId="0" applyAlignment="1" applyProtection="1">
      <alignment wrapText="1"/>
      <protection locked="0"/>
    </xf>
    <xf numFmtId="0" fontId="34" fillId="9" borderId="37" xfId="5" applyFont="1" applyBorder="1" applyAlignment="1" applyProtection="1">
      <protection locked="0"/>
    </xf>
    <xf numFmtId="0" fontId="0" fillId="0" borderId="38" xfId="0" applyBorder="1" applyProtection="1">
      <protection locked="0"/>
    </xf>
    <xf numFmtId="0" fontId="0" fillId="0" borderId="39" xfId="0" applyBorder="1" applyProtection="1">
      <protection locked="0"/>
    </xf>
    <xf numFmtId="3" fontId="20" fillId="7" borderId="13" xfId="0" applyNumberFormat="1" applyFont="1" applyFill="1" applyBorder="1" applyProtection="1">
      <protection locked="0"/>
    </xf>
    <xf numFmtId="0" fontId="0" fillId="0" borderId="14" xfId="0" applyBorder="1" applyProtection="1">
      <protection locked="0"/>
    </xf>
    <xf numFmtId="3" fontId="20" fillId="7" borderId="0" xfId="0" applyNumberFormat="1" applyFont="1" applyFill="1" applyAlignment="1" applyProtection="1">
      <alignment wrapText="1"/>
      <protection locked="0"/>
    </xf>
    <xf numFmtId="0" fontId="1" fillId="0" borderId="0" xfId="0" applyFont="1" applyAlignment="1" applyProtection="1">
      <alignment vertical="center" wrapText="1"/>
      <protection locked="0"/>
    </xf>
    <xf numFmtId="0" fontId="0" fillId="0" borderId="0" xfId="0" applyAlignment="1" applyProtection="1">
      <alignment vertical="center" wrapText="1"/>
      <protection locked="0"/>
    </xf>
    <xf numFmtId="0" fontId="19" fillId="0" borderId="0" xfId="0" applyFont="1" applyAlignment="1" applyProtection="1">
      <alignment horizontal="center" wrapText="1"/>
      <protection locked="0"/>
    </xf>
    <xf numFmtId="172" fontId="29" fillId="0" borderId="13" xfId="0" applyNumberFormat="1" applyFont="1" applyBorder="1" applyAlignment="1" applyProtection="1">
      <alignment vertical="center"/>
      <protection locked="0"/>
    </xf>
    <xf numFmtId="0" fontId="2" fillId="7" borderId="6" xfId="0" applyFont="1" applyFill="1" applyBorder="1" applyAlignment="1" applyProtection="1">
      <alignment horizontal="left"/>
      <protection locked="0"/>
    </xf>
    <xf numFmtId="0" fontId="2" fillId="7" borderId="0" xfId="0" applyFont="1" applyFill="1" applyAlignment="1" applyProtection="1">
      <alignment horizontal="left"/>
      <protection locked="0"/>
    </xf>
    <xf numFmtId="0" fontId="2" fillId="7" borderId="12" xfId="0" applyFont="1" applyFill="1" applyBorder="1" applyAlignment="1" applyProtection="1">
      <alignment horizontal="left"/>
      <protection locked="0"/>
    </xf>
    <xf numFmtId="164" fontId="12" fillId="0" borderId="2" xfId="0" applyNumberFormat="1" applyFont="1" applyBorder="1" applyAlignment="1" applyProtection="1">
      <alignment horizontal="center" vertical="center" wrapText="1"/>
      <protection locked="0"/>
    </xf>
  </cellXfs>
  <cellStyles count="10">
    <cellStyle name="Calculation" xfId="3" builtinId="22"/>
    <cellStyle name="Check Cell" xfId="4" builtinId="23"/>
    <cellStyle name="Comma" xfId="9" builtinId="3"/>
    <cellStyle name="Good" xfId="6" builtinId="26"/>
    <cellStyle name="Hyperlink" xfId="8" builtinId="8"/>
    <cellStyle name="Input" xfId="2" builtinId="20"/>
    <cellStyle name="Linked Cell" xfId="7" builtinId="24"/>
    <cellStyle name="Normal" xfId="0" builtinId="0"/>
    <cellStyle name="Note" xfId="5" builtinId="10"/>
    <cellStyle name="Percent" xfId="1" builtinId="5"/>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Depreciation Methods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Calculations!$A$16</c:f>
              <c:strCache>
                <c:ptCount val="1"/>
                <c:pt idx="0">
                  <c:v>Straightline</c:v>
                </c:pt>
              </c:strCache>
            </c:strRef>
          </c:tx>
          <c:spPr>
            <a:ln w="28575" cap="rnd">
              <a:solidFill>
                <a:schemeClr val="accent2"/>
              </a:solidFill>
              <a:round/>
            </a:ln>
            <a:effectLst/>
          </c:spPr>
          <c:marker>
            <c:symbol val="none"/>
          </c:marker>
          <c:val>
            <c:numRef>
              <c:f>Calculations!$D$16:$AB$16</c:f>
              <c:numCache>
                <c:formatCode>#,##0_ ;[Red]\-#,##0\ </c:formatCode>
                <c:ptCount val="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numCache>
            </c:numRef>
          </c:val>
          <c:smooth val="0"/>
          <c:extLst>
            <c:ext xmlns:c16="http://schemas.microsoft.com/office/drawing/2014/chart" uri="{C3380CC4-5D6E-409C-BE32-E72D297353CC}">
              <c16:uniqueId val="{00000000-58E1-45D8-B7C8-793945FD33C8}"/>
            </c:ext>
          </c:extLst>
        </c:ser>
        <c:ser>
          <c:idx val="2"/>
          <c:order val="1"/>
          <c:tx>
            <c:strRef>
              <c:f>Calculations!$A$17</c:f>
              <c:strCache>
                <c:ptCount val="1"/>
                <c:pt idx="0">
                  <c:v>Units of output</c:v>
                </c:pt>
              </c:strCache>
            </c:strRef>
          </c:tx>
          <c:spPr>
            <a:ln w="28575" cap="rnd">
              <a:solidFill>
                <a:schemeClr val="accent3"/>
              </a:solidFill>
              <a:round/>
            </a:ln>
            <a:effectLst/>
          </c:spPr>
          <c:marker>
            <c:symbol val="none"/>
          </c:marker>
          <c:val>
            <c:numRef>
              <c:f>Calculations!$D$17:$AB$17</c:f>
              <c:numCache>
                <c:formatCode>#,##0_ ;[Red]\-#,##0\ </c:formatCode>
                <c:ptCount val="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numCache>
            </c:numRef>
          </c:val>
          <c:smooth val="0"/>
          <c:extLst>
            <c:ext xmlns:c16="http://schemas.microsoft.com/office/drawing/2014/chart" uri="{C3380CC4-5D6E-409C-BE32-E72D297353CC}">
              <c16:uniqueId val="{00000001-58E1-45D8-B7C8-793945FD33C8}"/>
            </c:ext>
          </c:extLst>
        </c:ser>
        <c:ser>
          <c:idx val="3"/>
          <c:order val="2"/>
          <c:tx>
            <c:strRef>
              <c:f>Calculations!$A$18</c:f>
              <c:strCache>
                <c:ptCount val="1"/>
                <c:pt idx="0">
                  <c:v>Annuity</c:v>
                </c:pt>
              </c:strCache>
            </c:strRef>
          </c:tx>
          <c:spPr>
            <a:ln w="28575" cap="rnd">
              <a:solidFill>
                <a:schemeClr val="accent4"/>
              </a:solidFill>
              <a:round/>
            </a:ln>
            <a:effectLst/>
          </c:spPr>
          <c:marker>
            <c:symbol val="none"/>
          </c:marker>
          <c:val>
            <c:numRef>
              <c:f>Calculations!$D$18:$AB$18</c:f>
              <c:numCache>
                <c:formatCode>#,##0_ ;[Red]\-#,##0\ </c:formatCode>
                <c:ptCount val="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numCache>
            </c:numRef>
          </c:val>
          <c:smooth val="0"/>
          <c:extLst>
            <c:ext xmlns:c16="http://schemas.microsoft.com/office/drawing/2014/chart" uri="{C3380CC4-5D6E-409C-BE32-E72D297353CC}">
              <c16:uniqueId val="{00000002-58E1-45D8-B7C8-793945FD33C8}"/>
            </c:ext>
          </c:extLst>
        </c:ser>
        <c:dLbls>
          <c:showLegendKey val="0"/>
          <c:showVal val="0"/>
          <c:showCatName val="0"/>
          <c:showSerName val="0"/>
          <c:showPercent val="0"/>
          <c:showBubbleSize val="0"/>
        </c:dLbls>
        <c:smooth val="0"/>
        <c:axId val="860612079"/>
        <c:axId val="860612495"/>
      </c:lineChart>
      <c:catAx>
        <c:axId val="860612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612495"/>
        <c:crosses val="autoZero"/>
        <c:auto val="1"/>
        <c:lblAlgn val="ctr"/>
        <c:lblOffset val="100"/>
        <c:noMultiLvlLbl val="0"/>
      </c:catAx>
      <c:valAx>
        <c:axId val="860612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Depreciation Amount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6120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sng" strike="noStrike" kern="1200" spc="0" baseline="0">
                <a:solidFill>
                  <a:schemeClr val="tx1">
                    <a:lumMod val="65000"/>
                    <a:lumOff val="35000"/>
                  </a:schemeClr>
                </a:solidFill>
                <a:latin typeface="+mn-lt"/>
                <a:ea typeface="+mn-ea"/>
                <a:cs typeface="+mn-cs"/>
              </a:defRPr>
            </a:pPr>
            <a:r>
              <a:rPr lang="en-US" sz="1200" b="1" u="sng"/>
              <a:t>Depreciation Methods Comparison</a:t>
            </a:r>
          </a:p>
        </c:rich>
      </c:tx>
      <c:overlay val="0"/>
      <c:spPr>
        <a:noFill/>
        <a:ln>
          <a:noFill/>
        </a:ln>
        <a:effectLst/>
      </c:spPr>
      <c:txPr>
        <a:bodyPr rot="0" spcFirstLastPara="1" vertOverflow="ellipsis" vert="horz" wrap="square" anchor="ctr" anchorCtr="1"/>
        <a:lstStyle/>
        <a:p>
          <a:pPr>
            <a:defRPr sz="1200" b="1" i="0" u="sng"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Outputs!$A$112:$A$112</c:f>
              <c:strCache>
                <c:ptCount val="1"/>
                <c:pt idx="0">
                  <c:v>Straightline</c:v>
                </c:pt>
              </c:strCache>
            </c:strRef>
          </c:tx>
          <c:spPr>
            <a:ln w="28575" cap="rnd">
              <a:solidFill>
                <a:schemeClr val="accent2"/>
              </a:solidFill>
              <a:round/>
            </a:ln>
            <a:effectLst/>
          </c:spPr>
          <c:marker>
            <c:symbol val="none"/>
          </c:marker>
          <c:val>
            <c:numRef>
              <c:f>Outputs!$C$112:$AA$112</c:f>
              <c:numCache>
                <c:formatCode>#,##0_ ;[Red]\-#,##0\ </c:formatCode>
                <c:ptCount val="25"/>
                <c:pt idx="0">
                  <c:v>13361.025641025641</c:v>
                </c:pt>
                <c:pt idx="1">
                  <c:v>13361.025641025641</c:v>
                </c:pt>
                <c:pt idx="2">
                  <c:v>13361.025641025641</c:v>
                </c:pt>
                <c:pt idx="3">
                  <c:v>13361.025641025641</c:v>
                </c:pt>
                <c:pt idx="4">
                  <c:v>13361.025641025641</c:v>
                </c:pt>
                <c:pt idx="5">
                  <c:v>13361.025641025641</c:v>
                </c:pt>
                <c:pt idx="6">
                  <c:v>13361.025641025641</c:v>
                </c:pt>
                <c:pt idx="7">
                  <c:v>13361.025641025641</c:v>
                </c:pt>
                <c:pt idx="8">
                  <c:v>13361.025641025641</c:v>
                </c:pt>
                <c:pt idx="9">
                  <c:v>13361.025641025641</c:v>
                </c:pt>
                <c:pt idx="10">
                  <c:v>13361.025641025641</c:v>
                </c:pt>
                <c:pt idx="11">
                  <c:v>13361.025641025641</c:v>
                </c:pt>
                <c:pt idx="12">
                  <c:v>13361.025641025641</c:v>
                </c:pt>
                <c:pt idx="13">
                  <c:v>13361.025641025641</c:v>
                </c:pt>
                <c:pt idx="14">
                  <c:v>13361.025641025641</c:v>
                </c:pt>
                <c:pt idx="15">
                  <c:v>13361.025641025641</c:v>
                </c:pt>
                <c:pt idx="16">
                  <c:v>13361.025641025641</c:v>
                </c:pt>
                <c:pt idx="17">
                  <c:v>13361.025641025641</c:v>
                </c:pt>
                <c:pt idx="18">
                  <c:v>13361.025641025641</c:v>
                </c:pt>
                <c:pt idx="19">
                  <c:v>13361.025641025641</c:v>
                </c:pt>
                <c:pt idx="20">
                  <c:v>13361.025641025641</c:v>
                </c:pt>
                <c:pt idx="21">
                  <c:v>13361.025641025641</c:v>
                </c:pt>
                <c:pt idx="22">
                  <c:v>13361.025641025641</c:v>
                </c:pt>
                <c:pt idx="23">
                  <c:v>13361.025641025641</c:v>
                </c:pt>
                <c:pt idx="24">
                  <c:v>13361.025641025641</c:v>
                </c:pt>
              </c:numCache>
            </c:numRef>
          </c:val>
          <c:smooth val="0"/>
          <c:extLst>
            <c:ext xmlns:c16="http://schemas.microsoft.com/office/drawing/2014/chart" uri="{C3380CC4-5D6E-409C-BE32-E72D297353CC}">
              <c16:uniqueId val="{00000001-CBE9-4035-AEB5-18A539E70B9A}"/>
            </c:ext>
          </c:extLst>
        </c:ser>
        <c:ser>
          <c:idx val="2"/>
          <c:order val="1"/>
          <c:tx>
            <c:strRef>
              <c:f>Outputs!$A$113:$A$113</c:f>
              <c:strCache>
                <c:ptCount val="1"/>
                <c:pt idx="0">
                  <c:v>Units of output</c:v>
                </c:pt>
              </c:strCache>
            </c:strRef>
          </c:tx>
          <c:spPr>
            <a:ln w="28575" cap="rnd">
              <a:solidFill>
                <a:srgbClr val="7030A0">
                  <a:alpha val="96000"/>
                </a:srgbClr>
              </a:solidFill>
              <a:round/>
            </a:ln>
            <a:effectLst/>
          </c:spPr>
          <c:marker>
            <c:symbol val="none"/>
          </c:marker>
          <c:val>
            <c:numRef>
              <c:f>Outputs!$C$113:$AA$113</c:f>
              <c:numCache>
                <c:formatCode>#,##0_ ;[Red]\-#,##0\ </c:formatCode>
                <c:ptCount val="25"/>
                <c:pt idx="0">
                  <c:v>13766.411938721802</c:v>
                </c:pt>
                <c:pt idx="1">
                  <c:v>13731.967360915767</c:v>
                </c:pt>
                <c:pt idx="2">
                  <c:v>13697.632712613367</c:v>
                </c:pt>
                <c:pt idx="3">
                  <c:v>13663.371350646727</c:v>
                </c:pt>
                <c:pt idx="4">
                  <c:v>13629.183275015841</c:v>
                </c:pt>
                <c:pt idx="5">
                  <c:v>13595.105128888594</c:v>
                </c:pt>
                <c:pt idx="6">
                  <c:v>13561.100269097104</c:v>
                </c:pt>
                <c:pt idx="7">
                  <c:v>13527.168695641371</c:v>
                </c:pt>
                <c:pt idx="8">
                  <c:v>13493.347051689274</c:v>
                </c:pt>
                <c:pt idx="9">
                  <c:v>13459.598694072934</c:v>
                </c:pt>
                <c:pt idx="10">
                  <c:v>13425.923622792354</c:v>
                </c:pt>
                <c:pt idx="11">
                  <c:v>13392.358481015408</c:v>
                </c:pt>
                <c:pt idx="12">
                  <c:v>13358.866625574221</c:v>
                </c:pt>
                <c:pt idx="13">
                  <c:v>13325.448056468791</c:v>
                </c:pt>
                <c:pt idx="14">
                  <c:v>13292.102773699118</c:v>
                </c:pt>
                <c:pt idx="15">
                  <c:v>13258.867420433082</c:v>
                </c:pt>
                <c:pt idx="16">
                  <c:v>13225.705353502803</c:v>
                </c:pt>
                <c:pt idx="17">
                  <c:v>13192.61657290828</c:v>
                </c:pt>
                <c:pt idx="18">
                  <c:v>13159.601078649517</c:v>
                </c:pt>
                <c:pt idx="19">
                  <c:v>13126.69551389439</c:v>
                </c:pt>
                <c:pt idx="20">
                  <c:v>13093.863235475019</c:v>
                </c:pt>
                <c:pt idx="21">
                  <c:v>13061.104243391408</c:v>
                </c:pt>
                <c:pt idx="22">
                  <c:v>13028.418537643553</c:v>
                </c:pt>
                <c:pt idx="23">
                  <c:v>12995.842761399334</c:v>
                </c:pt>
                <c:pt idx="24">
                  <c:v>12963.340271490873</c:v>
                </c:pt>
              </c:numCache>
            </c:numRef>
          </c:val>
          <c:smooth val="0"/>
          <c:extLst>
            <c:ext xmlns:c16="http://schemas.microsoft.com/office/drawing/2014/chart" uri="{C3380CC4-5D6E-409C-BE32-E72D297353CC}">
              <c16:uniqueId val="{00000002-CBE9-4035-AEB5-18A539E70B9A}"/>
            </c:ext>
          </c:extLst>
        </c:ser>
        <c:ser>
          <c:idx val="3"/>
          <c:order val="2"/>
          <c:tx>
            <c:strRef>
              <c:f>Outputs!$A$114:$A$114</c:f>
              <c:strCache>
                <c:ptCount val="1"/>
                <c:pt idx="0">
                  <c:v>Annuity</c:v>
                </c:pt>
              </c:strCache>
            </c:strRef>
          </c:tx>
          <c:spPr>
            <a:ln w="28575" cap="rnd">
              <a:solidFill>
                <a:schemeClr val="accent4"/>
              </a:solidFill>
              <a:round/>
            </a:ln>
            <a:effectLst/>
          </c:spPr>
          <c:marker>
            <c:symbol val="none"/>
          </c:marker>
          <c:val>
            <c:numRef>
              <c:f>Outputs!$C$114:$AA$114</c:f>
              <c:numCache>
                <c:formatCode>#,##0_ ;[Red]\-#,##0\ </c:formatCode>
                <c:ptCount val="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numCache>
            </c:numRef>
          </c:val>
          <c:smooth val="0"/>
          <c:extLst>
            <c:ext xmlns:c16="http://schemas.microsoft.com/office/drawing/2014/chart" uri="{C3380CC4-5D6E-409C-BE32-E72D297353CC}">
              <c16:uniqueId val="{00000003-CBE9-4035-AEB5-18A539E70B9A}"/>
            </c:ext>
          </c:extLst>
        </c:ser>
        <c:dLbls>
          <c:showLegendKey val="0"/>
          <c:showVal val="0"/>
          <c:showCatName val="0"/>
          <c:showSerName val="0"/>
          <c:showPercent val="0"/>
          <c:showBubbleSize val="0"/>
        </c:dLbls>
        <c:smooth val="0"/>
        <c:axId val="860612079"/>
        <c:axId val="860612495"/>
      </c:lineChart>
      <c:catAx>
        <c:axId val="860612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612495"/>
        <c:crosses val="autoZero"/>
        <c:auto val="1"/>
        <c:lblAlgn val="ctr"/>
        <c:lblOffset val="100"/>
        <c:noMultiLvlLbl val="0"/>
      </c:catAx>
      <c:valAx>
        <c:axId val="860612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Depreciation Amount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6120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sng" strike="noStrike" kern="1200" spc="0" baseline="0">
                <a:solidFill>
                  <a:schemeClr val="tx1">
                    <a:lumMod val="65000"/>
                    <a:lumOff val="35000"/>
                  </a:schemeClr>
                </a:solidFill>
                <a:latin typeface="+mn-lt"/>
                <a:ea typeface="+mn-ea"/>
                <a:cs typeface="+mn-cs"/>
              </a:defRPr>
            </a:pPr>
            <a:r>
              <a:rPr lang="en-US" sz="1200" b="1" u="sng"/>
              <a:t>Depreciation Methods Comparison</a:t>
            </a:r>
          </a:p>
        </c:rich>
      </c:tx>
      <c:overlay val="0"/>
      <c:spPr>
        <a:noFill/>
        <a:ln>
          <a:noFill/>
        </a:ln>
        <a:effectLst/>
      </c:spPr>
      <c:txPr>
        <a:bodyPr rot="0" spcFirstLastPara="1" vertOverflow="ellipsis" vert="horz" wrap="square" anchor="ctr" anchorCtr="1"/>
        <a:lstStyle/>
        <a:p>
          <a:pPr>
            <a:defRPr sz="1200" b="1" i="0" u="sng"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Outputs!$A$112:$A$112</c:f>
              <c:strCache>
                <c:ptCount val="1"/>
                <c:pt idx="0">
                  <c:v>Straightline</c:v>
                </c:pt>
              </c:strCache>
            </c:strRef>
          </c:tx>
          <c:spPr>
            <a:solidFill>
              <a:srgbClr val="7030A0"/>
            </a:solidFill>
            <a:ln>
              <a:noFill/>
            </a:ln>
            <a:effectLst/>
          </c:spPr>
          <c:invertIfNegative val="0"/>
          <c:val>
            <c:numRef>
              <c:f>Outputs!$C$112:$AA$112</c:f>
              <c:numCache>
                <c:formatCode>#,##0_ ;[Red]\-#,##0\ </c:formatCode>
                <c:ptCount val="25"/>
                <c:pt idx="0">
                  <c:v>13361.025641025641</c:v>
                </c:pt>
                <c:pt idx="1">
                  <c:v>13361.025641025641</c:v>
                </c:pt>
                <c:pt idx="2">
                  <c:v>13361.025641025641</c:v>
                </c:pt>
                <c:pt idx="3">
                  <c:v>13361.025641025641</c:v>
                </c:pt>
                <c:pt idx="4">
                  <c:v>13361.025641025641</c:v>
                </c:pt>
                <c:pt idx="5">
                  <c:v>13361.025641025641</c:v>
                </c:pt>
                <c:pt idx="6">
                  <c:v>13361.025641025641</c:v>
                </c:pt>
                <c:pt idx="7">
                  <c:v>13361.025641025641</c:v>
                </c:pt>
                <c:pt idx="8">
                  <c:v>13361.025641025641</c:v>
                </c:pt>
                <c:pt idx="9">
                  <c:v>13361.025641025641</c:v>
                </c:pt>
                <c:pt idx="10">
                  <c:v>13361.025641025641</c:v>
                </c:pt>
                <c:pt idx="11">
                  <c:v>13361.025641025641</c:v>
                </c:pt>
                <c:pt idx="12">
                  <c:v>13361.025641025641</c:v>
                </c:pt>
                <c:pt idx="13">
                  <c:v>13361.025641025641</c:v>
                </c:pt>
                <c:pt idx="14">
                  <c:v>13361.025641025641</c:v>
                </c:pt>
                <c:pt idx="15">
                  <c:v>13361.025641025641</c:v>
                </c:pt>
                <c:pt idx="16">
                  <c:v>13361.025641025641</c:v>
                </c:pt>
                <c:pt idx="17">
                  <c:v>13361.025641025641</c:v>
                </c:pt>
                <c:pt idx="18">
                  <c:v>13361.025641025641</c:v>
                </c:pt>
                <c:pt idx="19">
                  <c:v>13361.025641025641</c:v>
                </c:pt>
                <c:pt idx="20">
                  <c:v>13361.025641025641</c:v>
                </c:pt>
                <c:pt idx="21">
                  <c:v>13361.025641025641</c:v>
                </c:pt>
                <c:pt idx="22">
                  <c:v>13361.025641025641</c:v>
                </c:pt>
                <c:pt idx="23">
                  <c:v>13361.025641025641</c:v>
                </c:pt>
                <c:pt idx="24">
                  <c:v>13361.025641025641</c:v>
                </c:pt>
              </c:numCache>
            </c:numRef>
          </c:val>
          <c:extLst>
            <c:ext xmlns:c16="http://schemas.microsoft.com/office/drawing/2014/chart" uri="{C3380CC4-5D6E-409C-BE32-E72D297353CC}">
              <c16:uniqueId val="{00000000-B3DC-48B5-9AC6-73620BD230C9}"/>
            </c:ext>
          </c:extLst>
        </c:ser>
        <c:ser>
          <c:idx val="2"/>
          <c:order val="1"/>
          <c:tx>
            <c:strRef>
              <c:f>Outputs!$A$113:$A$113</c:f>
              <c:strCache>
                <c:ptCount val="1"/>
                <c:pt idx="0">
                  <c:v>Units of output</c:v>
                </c:pt>
              </c:strCache>
            </c:strRef>
          </c:tx>
          <c:spPr>
            <a:solidFill>
              <a:srgbClr val="00B050"/>
            </a:solidFill>
            <a:ln>
              <a:noFill/>
            </a:ln>
            <a:effectLst/>
          </c:spPr>
          <c:invertIfNegative val="0"/>
          <c:val>
            <c:numRef>
              <c:f>Outputs!$C$113:$AA$113</c:f>
              <c:numCache>
                <c:formatCode>#,##0_ ;[Red]\-#,##0\ </c:formatCode>
                <c:ptCount val="25"/>
                <c:pt idx="0">
                  <c:v>13766.411938721802</c:v>
                </c:pt>
                <c:pt idx="1">
                  <c:v>13731.967360915767</c:v>
                </c:pt>
                <c:pt idx="2">
                  <c:v>13697.632712613367</c:v>
                </c:pt>
                <c:pt idx="3">
                  <c:v>13663.371350646727</c:v>
                </c:pt>
                <c:pt idx="4">
                  <c:v>13629.183275015841</c:v>
                </c:pt>
                <c:pt idx="5">
                  <c:v>13595.105128888594</c:v>
                </c:pt>
                <c:pt idx="6">
                  <c:v>13561.100269097104</c:v>
                </c:pt>
                <c:pt idx="7">
                  <c:v>13527.168695641371</c:v>
                </c:pt>
                <c:pt idx="8">
                  <c:v>13493.347051689274</c:v>
                </c:pt>
                <c:pt idx="9">
                  <c:v>13459.598694072934</c:v>
                </c:pt>
                <c:pt idx="10">
                  <c:v>13425.923622792354</c:v>
                </c:pt>
                <c:pt idx="11">
                  <c:v>13392.358481015408</c:v>
                </c:pt>
                <c:pt idx="12">
                  <c:v>13358.866625574221</c:v>
                </c:pt>
                <c:pt idx="13">
                  <c:v>13325.448056468791</c:v>
                </c:pt>
                <c:pt idx="14">
                  <c:v>13292.102773699118</c:v>
                </c:pt>
                <c:pt idx="15">
                  <c:v>13258.867420433082</c:v>
                </c:pt>
                <c:pt idx="16">
                  <c:v>13225.705353502803</c:v>
                </c:pt>
                <c:pt idx="17">
                  <c:v>13192.61657290828</c:v>
                </c:pt>
                <c:pt idx="18">
                  <c:v>13159.601078649517</c:v>
                </c:pt>
                <c:pt idx="19">
                  <c:v>13126.69551389439</c:v>
                </c:pt>
                <c:pt idx="20">
                  <c:v>13093.863235475019</c:v>
                </c:pt>
                <c:pt idx="21">
                  <c:v>13061.104243391408</c:v>
                </c:pt>
                <c:pt idx="22">
                  <c:v>13028.418537643553</c:v>
                </c:pt>
                <c:pt idx="23">
                  <c:v>12995.842761399334</c:v>
                </c:pt>
                <c:pt idx="24">
                  <c:v>12963.340271490873</c:v>
                </c:pt>
              </c:numCache>
            </c:numRef>
          </c:val>
          <c:extLst>
            <c:ext xmlns:c16="http://schemas.microsoft.com/office/drawing/2014/chart" uri="{C3380CC4-5D6E-409C-BE32-E72D297353CC}">
              <c16:uniqueId val="{00000001-B3DC-48B5-9AC6-73620BD230C9}"/>
            </c:ext>
          </c:extLst>
        </c:ser>
        <c:ser>
          <c:idx val="3"/>
          <c:order val="2"/>
          <c:tx>
            <c:strRef>
              <c:f>Outputs!$A$114:$A$114</c:f>
              <c:strCache>
                <c:ptCount val="1"/>
                <c:pt idx="0">
                  <c:v>Annuity</c:v>
                </c:pt>
              </c:strCache>
            </c:strRef>
          </c:tx>
          <c:spPr>
            <a:solidFill>
              <a:schemeClr val="accent4"/>
            </a:solidFill>
            <a:ln>
              <a:noFill/>
            </a:ln>
            <a:effectLst/>
          </c:spPr>
          <c:invertIfNegative val="0"/>
          <c:val>
            <c:numRef>
              <c:f>Outputs!$C$114:$AA$114</c:f>
              <c:numCache>
                <c:formatCode>#,##0_ ;[Red]\-#,##0\ </c:formatCode>
                <c:ptCount val="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numCache>
            </c:numRef>
          </c:val>
          <c:extLst>
            <c:ext xmlns:c16="http://schemas.microsoft.com/office/drawing/2014/chart" uri="{C3380CC4-5D6E-409C-BE32-E72D297353CC}">
              <c16:uniqueId val="{00000002-B3DC-48B5-9AC6-73620BD230C9}"/>
            </c:ext>
          </c:extLst>
        </c:ser>
        <c:dLbls>
          <c:showLegendKey val="0"/>
          <c:showVal val="0"/>
          <c:showCatName val="0"/>
          <c:showSerName val="0"/>
          <c:showPercent val="0"/>
          <c:showBubbleSize val="0"/>
        </c:dLbls>
        <c:gapWidth val="150"/>
        <c:axId val="860612079"/>
        <c:axId val="860612495"/>
      </c:barChart>
      <c:catAx>
        <c:axId val="860612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612495"/>
        <c:crosses val="autoZero"/>
        <c:auto val="1"/>
        <c:lblAlgn val="ctr"/>
        <c:lblOffset val="100"/>
        <c:noMultiLvlLbl val="0"/>
      </c:catAx>
      <c:valAx>
        <c:axId val="860612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Depreciation Amount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6120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4803149606299213" l="0.70866141732283472" r="0.70866141732283472" t="0.74803149606299213" header="0.31496062992125984" footer="0.31496062992125984"/>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sng" strike="noStrike" kern="1200" cap="none" spc="0" normalizeH="0" baseline="0">
                <a:solidFill>
                  <a:schemeClr val="dk1">
                    <a:lumMod val="50000"/>
                    <a:lumOff val="50000"/>
                  </a:schemeClr>
                </a:solidFill>
                <a:latin typeface="+mn-lt"/>
                <a:ea typeface="+mj-ea"/>
                <a:cs typeface="+mj-cs"/>
              </a:defRPr>
            </a:pPr>
            <a:r>
              <a:rPr lang="en-US" sz="1200" b="1" u="sng">
                <a:latin typeface="+mn-lt"/>
              </a:rPr>
              <a:t>Tariffs Over the 5-Year Control Period</a:t>
            </a:r>
          </a:p>
        </c:rich>
      </c:tx>
      <c:overlay val="0"/>
      <c:spPr>
        <a:noFill/>
        <a:ln>
          <a:noFill/>
        </a:ln>
        <a:effectLst/>
      </c:spPr>
      <c:txPr>
        <a:bodyPr rot="0" spcFirstLastPara="1" vertOverflow="ellipsis" vert="horz" wrap="square" anchor="ctr" anchorCtr="1"/>
        <a:lstStyle/>
        <a:p>
          <a:pPr>
            <a:defRPr sz="1200" b="1" i="0" u="sng" strike="noStrike" kern="1200" cap="none" spc="0" normalizeH="0" baseline="0">
              <a:solidFill>
                <a:schemeClr val="dk1">
                  <a:lumMod val="50000"/>
                  <a:lumOff val="50000"/>
                </a:schemeClr>
              </a:solidFill>
              <a:latin typeface="+mn-lt"/>
              <a:ea typeface="+mj-ea"/>
              <a:cs typeface="+mj-cs"/>
            </a:defRPr>
          </a:pPr>
          <a:endParaRPr lang="en-US"/>
        </a:p>
      </c:txPr>
    </c:title>
    <c:autoTitleDeleted val="0"/>
    <c:plotArea>
      <c:layout/>
      <c:barChart>
        <c:barDir val="col"/>
        <c:grouping val="clustered"/>
        <c:varyColors val="0"/>
        <c:ser>
          <c:idx val="0"/>
          <c:order val="0"/>
          <c:tx>
            <c:strRef>
              <c:f>Outputs!$C$2</c:f>
              <c:strCache>
                <c:ptCount val="1"/>
                <c:pt idx="0">
                  <c:v>1 </c:v>
                </c:pt>
              </c:strCache>
            </c:strRef>
          </c:tx>
          <c:spPr>
            <a:solidFill>
              <a:schemeClr val="accent1"/>
            </a:solidFill>
            <a:ln>
              <a:noFill/>
            </a:ln>
            <a:effectLst/>
          </c:spPr>
          <c:invertIfNegative val="0"/>
          <c:cat>
            <c:multiLvlStrRef>
              <c:f>Outputs!$A$7:$B$20</c:f>
              <c:multiLvlStrCache>
                <c:ptCount val="13"/>
                <c:lvl>
                  <c:pt idx="0">
                    <c:v>Energy Charge</c:v>
                  </c:pt>
                  <c:pt idx="2">
                    <c:v>Energy Charge</c:v>
                  </c:pt>
                  <c:pt idx="4">
                    <c:v>Energy Charge</c:v>
                  </c:pt>
                  <c:pt idx="6">
                    <c:v>Energy Charge</c:v>
                  </c:pt>
                  <c:pt idx="8">
                    <c:v>Energy Charge</c:v>
                  </c:pt>
                  <c:pt idx="10">
                    <c:v>Energy Charge</c:v>
                  </c:pt>
                  <c:pt idx="12">
                    <c:v>Energy Charge</c:v>
                  </c:pt>
                </c:lvl>
                <c:lvl>
                  <c:pt idx="0">
                    <c:v>placeholder1 (Lifeline)</c:v>
                  </c:pt>
                  <c:pt idx="2">
                    <c:v>placeholder2 (Households)</c:v>
                  </c:pt>
                  <c:pt idx="4">
                    <c:v>placeholder3 (Business basic shops for lighting)</c:v>
                  </c:pt>
                  <c:pt idx="6">
                    <c:v>placeholder4 (Business with appliances like fridges, freezers, etc)</c:v>
                  </c:pt>
                  <c:pt idx="8">
                    <c:v>placeholder5 (Anchor-Mines/Timber Mills/Procesors, Bank, etc)</c:v>
                  </c:pt>
                  <c:pt idx="10">
                    <c:v>placeholder6 (Institutions – schools, health centres, admin centres, etc)</c:v>
                  </c:pt>
                  <c:pt idx="12">
                    <c:v>placeholder7 (Street lighting)</c:v>
                  </c:pt>
                </c:lvl>
              </c:multiLvlStrCache>
            </c:multiLvlStrRef>
          </c:cat>
          <c:val>
            <c:numRef>
              <c:f>Outputs!$C$7:$C$20</c:f>
              <c:numCache>
                <c:formatCode>#,##0.00_ ;[Red]\-#,##0.00\ </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0-2435-43F7-BF6D-79F78C600201}"/>
            </c:ext>
          </c:extLst>
        </c:ser>
        <c:ser>
          <c:idx val="1"/>
          <c:order val="1"/>
          <c:tx>
            <c:strRef>
              <c:f>Outputs!$D$2</c:f>
              <c:strCache>
                <c:ptCount val="1"/>
                <c:pt idx="0">
                  <c:v>2 </c:v>
                </c:pt>
              </c:strCache>
            </c:strRef>
          </c:tx>
          <c:spPr>
            <a:solidFill>
              <a:schemeClr val="accent2"/>
            </a:solidFill>
            <a:ln>
              <a:noFill/>
            </a:ln>
            <a:effectLst/>
          </c:spPr>
          <c:invertIfNegative val="0"/>
          <c:cat>
            <c:multiLvlStrRef>
              <c:f>Outputs!$A$7:$B$20</c:f>
              <c:multiLvlStrCache>
                <c:ptCount val="13"/>
                <c:lvl>
                  <c:pt idx="0">
                    <c:v>Energy Charge</c:v>
                  </c:pt>
                  <c:pt idx="2">
                    <c:v>Energy Charge</c:v>
                  </c:pt>
                  <c:pt idx="4">
                    <c:v>Energy Charge</c:v>
                  </c:pt>
                  <c:pt idx="6">
                    <c:v>Energy Charge</c:v>
                  </c:pt>
                  <c:pt idx="8">
                    <c:v>Energy Charge</c:v>
                  </c:pt>
                  <c:pt idx="10">
                    <c:v>Energy Charge</c:v>
                  </c:pt>
                  <c:pt idx="12">
                    <c:v>Energy Charge</c:v>
                  </c:pt>
                </c:lvl>
                <c:lvl>
                  <c:pt idx="0">
                    <c:v>placeholder1 (Lifeline)</c:v>
                  </c:pt>
                  <c:pt idx="2">
                    <c:v>placeholder2 (Households)</c:v>
                  </c:pt>
                  <c:pt idx="4">
                    <c:v>placeholder3 (Business basic shops for lighting)</c:v>
                  </c:pt>
                  <c:pt idx="6">
                    <c:v>placeholder4 (Business with appliances like fridges, freezers, etc)</c:v>
                  </c:pt>
                  <c:pt idx="8">
                    <c:v>placeholder5 (Anchor-Mines/Timber Mills/Procesors, Bank, etc)</c:v>
                  </c:pt>
                  <c:pt idx="10">
                    <c:v>placeholder6 (Institutions – schools, health centres, admin centres, etc)</c:v>
                  </c:pt>
                  <c:pt idx="12">
                    <c:v>placeholder7 (Street lighting)</c:v>
                  </c:pt>
                </c:lvl>
              </c:multiLvlStrCache>
            </c:multiLvlStrRef>
          </c:cat>
          <c:val>
            <c:numRef>
              <c:f>Outputs!$D$7:$D$20</c:f>
              <c:numCache>
                <c:formatCode>#,##0.00_ ;[Red]\-#,##0.00\ </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1-2435-43F7-BF6D-79F78C600201}"/>
            </c:ext>
          </c:extLst>
        </c:ser>
        <c:ser>
          <c:idx val="2"/>
          <c:order val="2"/>
          <c:tx>
            <c:strRef>
              <c:f>Outputs!$E$2</c:f>
              <c:strCache>
                <c:ptCount val="1"/>
                <c:pt idx="0">
                  <c:v>3 </c:v>
                </c:pt>
              </c:strCache>
            </c:strRef>
          </c:tx>
          <c:spPr>
            <a:solidFill>
              <a:schemeClr val="accent3"/>
            </a:solidFill>
            <a:ln>
              <a:noFill/>
            </a:ln>
            <a:effectLst/>
          </c:spPr>
          <c:invertIfNegative val="0"/>
          <c:cat>
            <c:multiLvlStrRef>
              <c:f>Outputs!$A$7:$B$20</c:f>
              <c:multiLvlStrCache>
                <c:ptCount val="13"/>
                <c:lvl>
                  <c:pt idx="0">
                    <c:v>Energy Charge</c:v>
                  </c:pt>
                  <c:pt idx="2">
                    <c:v>Energy Charge</c:v>
                  </c:pt>
                  <c:pt idx="4">
                    <c:v>Energy Charge</c:v>
                  </c:pt>
                  <c:pt idx="6">
                    <c:v>Energy Charge</c:v>
                  </c:pt>
                  <c:pt idx="8">
                    <c:v>Energy Charge</c:v>
                  </c:pt>
                  <c:pt idx="10">
                    <c:v>Energy Charge</c:v>
                  </c:pt>
                  <c:pt idx="12">
                    <c:v>Energy Charge</c:v>
                  </c:pt>
                </c:lvl>
                <c:lvl>
                  <c:pt idx="0">
                    <c:v>placeholder1 (Lifeline)</c:v>
                  </c:pt>
                  <c:pt idx="2">
                    <c:v>placeholder2 (Households)</c:v>
                  </c:pt>
                  <c:pt idx="4">
                    <c:v>placeholder3 (Business basic shops for lighting)</c:v>
                  </c:pt>
                  <c:pt idx="6">
                    <c:v>placeholder4 (Business with appliances like fridges, freezers, etc)</c:v>
                  </c:pt>
                  <c:pt idx="8">
                    <c:v>placeholder5 (Anchor-Mines/Timber Mills/Procesors, Bank, etc)</c:v>
                  </c:pt>
                  <c:pt idx="10">
                    <c:v>placeholder6 (Institutions – schools, health centres, admin centres, etc)</c:v>
                  </c:pt>
                  <c:pt idx="12">
                    <c:v>placeholder7 (Street lighting)</c:v>
                  </c:pt>
                </c:lvl>
              </c:multiLvlStrCache>
            </c:multiLvlStrRef>
          </c:cat>
          <c:val>
            <c:numRef>
              <c:f>Outputs!$E$7:$E$20</c:f>
              <c:numCache>
                <c:formatCode>#,##0.00_ ;[Red]\-#,##0.00\ </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2-2435-43F7-BF6D-79F78C600201}"/>
            </c:ext>
          </c:extLst>
        </c:ser>
        <c:ser>
          <c:idx val="3"/>
          <c:order val="3"/>
          <c:tx>
            <c:strRef>
              <c:f>Outputs!$F$2</c:f>
              <c:strCache>
                <c:ptCount val="1"/>
                <c:pt idx="0">
                  <c:v>4 </c:v>
                </c:pt>
              </c:strCache>
            </c:strRef>
          </c:tx>
          <c:spPr>
            <a:solidFill>
              <a:schemeClr val="accent4"/>
            </a:solidFill>
            <a:ln>
              <a:noFill/>
            </a:ln>
            <a:effectLst/>
          </c:spPr>
          <c:invertIfNegative val="0"/>
          <c:cat>
            <c:multiLvlStrRef>
              <c:f>Outputs!$A$7:$B$20</c:f>
              <c:multiLvlStrCache>
                <c:ptCount val="13"/>
                <c:lvl>
                  <c:pt idx="0">
                    <c:v>Energy Charge</c:v>
                  </c:pt>
                  <c:pt idx="2">
                    <c:v>Energy Charge</c:v>
                  </c:pt>
                  <c:pt idx="4">
                    <c:v>Energy Charge</c:v>
                  </c:pt>
                  <c:pt idx="6">
                    <c:v>Energy Charge</c:v>
                  </c:pt>
                  <c:pt idx="8">
                    <c:v>Energy Charge</c:v>
                  </c:pt>
                  <c:pt idx="10">
                    <c:v>Energy Charge</c:v>
                  </c:pt>
                  <c:pt idx="12">
                    <c:v>Energy Charge</c:v>
                  </c:pt>
                </c:lvl>
                <c:lvl>
                  <c:pt idx="0">
                    <c:v>placeholder1 (Lifeline)</c:v>
                  </c:pt>
                  <c:pt idx="2">
                    <c:v>placeholder2 (Households)</c:v>
                  </c:pt>
                  <c:pt idx="4">
                    <c:v>placeholder3 (Business basic shops for lighting)</c:v>
                  </c:pt>
                  <c:pt idx="6">
                    <c:v>placeholder4 (Business with appliances like fridges, freezers, etc)</c:v>
                  </c:pt>
                  <c:pt idx="8">
                    <c:v>placeholder5 (Anchor-Mines/Timber Mills/Procesors, Bank, etc)</c:v>
                  </c:pt>
                  <c:pt idx="10">
                    <c:v>placeholder6 (Institutions – schools, health centres, admin centres, etc)</c:v>
                  </c:pt>
                  <c:pt idx="12">
                    <c:v>placeholder7 (Street lighting)</c:v>
                  </c:pt>
                </c:lvl>
              </c:multiLvlStrCache>
            </c:multiLvlStrRef>
          </c:cat>
          <c:val>
            <c:numRef>
              <c:f>Outputs!$F$7:$F$20</c:f>
              <c:numCache>
                <c:formatCode>#,##0.00_ ;[Red]\-#,##0.00\ </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3-2435-43F7-BF6D-79F78C600201}"/>
            </c:ext>
          </c:extLst>
        </c:ser>
        <c:ser>
          <c:idx val="4"/>
          <c:order val="4"/>
          <c:tx>
            <c:strRef>
              <c:f>Outputs!$G$2</c:f>
              <c:strCache>
                <c:ptCount val="1"/>
                <c:pt idx="0">
                  <c:v>5 </c:v>
                </c:pt>
              </c:strCache>
            </c:strRef>
          </c:tx>
          <c:spPr>
            <a:solidFill>
              <a:srgbClr val="FF0000"/>
            </a:solidFill>
            <a:ln>
              <a:noFill/>
            </a:ln>
            <a:effectLst/>
          </c:spPr>
          <c:invertIfNegative val="0"/>
          <c:cat>
            <c:multiLvlStrRef>
              <c:f>Outputs!$A$7:$B$20</c:f>
              <c:multiLvlStrCache>
                <c:ptCount val="13"/>
                <c:lvl>
                  <c:pt idx="0">
                    <c:v>Energy Charge</c:v>
                  </c:pt>
                  <c:pt idx="2">
                    <c:v>Energy Charge</c:v>
                  </c:pt>
                  <c:pt idx="4">
                    <c:v>Energy Charge</c:v>
                  </c:pt>
                  <c:pt idx="6">
                    <c:v>Energy Charge</c:v>
                  </c:pt>
                  <c:pt idx="8">
                    <c:v>Energy Charge</c:v>
                  </c:pt>
                  <c:pt idx="10">
                    <c:v>Energy Charge</c:v>
                  </c:pt>
                  <c:pt idx="12">
                    <c:v>Energy Charge</c:v>
                  </c:pt>
                </c:lvl>
                <c:lvl>
                  <c:pt idx="0">
                    <c:v>placeholder1 (Lifeline)</c:v>
                  </c:pt>
                  <c:pt idx="2">
                    <c:v>placeholder2 (Households)</c:v>
                  </c:pt>
                  <c:pt idx="4">
                    <c:v>placeholder3 (Business basic shops for lighting)</c:v>
                  </c:pt>
                  <c:pt idx="6">
                    <c:v>placeholder4 (Business with appliances like fridges, freezers, etc)</c:v>
                  </c:pt>
                  <c:pt idx="8">
                    <c:v>placeholder5 (Anchor-Mines/Timber Mills/Procesors, Bank, etc)</c:v>
                  </c:pt>
                  <c:pt idx="10">
                    <c:v>placeholder6 (Institutions – schools, health centres, admin centres, etc)</c:v>
                  </c:pt>
                  <c:pt idx="12">
                    <c:v>placeholder7 (Street lighting)</c:v>
                  </c:pt>
                </c:lvl>
              </c:multiLvlStrCache>
            </c:multiLvlStrRef>
          </c:cat>
          <c:val>
            <c:numRef>
              <c:f>Outputs!$G$7:$G$20</c:f>
              <c:numCache>
                <c:formatCode>#,##0.00_ ;[Red]\-#,##0.00\ </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4-2435-43F7-BF6D-79F78C600201}"/>
            </c:ext>
          </c:extLst>
        </c:ser>
        <c:dLbls>
          <c:showLegendKey val="0"/>
          <c:showVal val="0"/>
          <c:showCatName val="0"/>
          <c:showSerName val="0"/>
          <c:showPercent val="0"/>
          <c:showBubbleSize val="0"/>
        </c:dLbls>
        <c:gapWidth val="247"/>
        <c:axId val="726125280"/>
        <c:axId val="726127360"/>
      </c:barChart>
      <c:catAx>
        <c:axId val="7261252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Tariffs Stucture in each 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726127360"/>
        <c:crosses val="autoZero"/>
        <c:auto val="1"/>
        <c:lblAlgn val="ctr"/>
        <c:lblOffset val="100"/>
        <c:noMultiLvlLbl val="0"/>
      </c:catAx>
      <c:valAx>
        <c:axId val="726127360"/>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Amounts in</a:t>
                </a:r>
                <a:r>
                  <a:rPr lang="en-US" baseline="0"/>
                  <a:t> billing </a:t>
                </a:r>
                <a:r>
                  <a:rPr lang="en-US"/>
                  <a:t>currency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_ ;[Red]\-#,##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726125280"/>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en-US"/>
          </a:p>
        </c:txPr>
      </c:dTable>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sng" strike="noStrike" kern="1200" spc="0" baseline="0">
                <a:solidFill>
                  <a:schemeClr val="tx1">
                    <a:lumMod val="65000"/>
                    <a:lumOff val="35000"/>
                  </a:schemeClr>
                </a:solidFill>
                <a:latin typeface="+mn-lt"/>
                <a:ea typeface="+mn-ea"/>
                <a:cs typeface="+mn-cs"/>
              </a:defRPr>
            </a:pPr>
            <a:r>
              <a:rPr lang="en-US" sz="1200" b="1" u="sng"/>
              <a:t>Financial Indicators</a:t>
            </a:r>
          </a:p>
        </c:rich>
      </c:tx>
      <c:overlay val="0"/>
      <c:spPr>
        <a:noFill/>
        <a:ln>
          <a:noFill/>
        </a:ln>
        <a:effectLst/>
      </c:spPr>
      <c:txPr>
        <a:bodyPr rot="0" spcFirstLastPara="1" vertOverflow="ellipsis" vert="horz" wrap="square" anchor="ctr" anchorCtr="1"/>
        <a:lstStyle/>
        <a:p>
          <a:pPr>
            <a:defRPr sz="1200" b="1" i="0" u="sng"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2"/>
          <c:order val="0"/>
          <c:tx>
            <c:strRef>
              <c:f>Outputs!$A$52</c:f>
              <c:strCache>
                <c:ptCount val="1"/>
                <c:pt idx="0">
                  <c:v>Debt Service Cover Ratio (DSCR)</c:v>
                </c:pt>
              </c:strCache>
            </c:strRef>
          </c:tx>
          <c:spPr>
            <a:ln w="28575" cap="rnd">
              <a:solidFill>
                <a:srgbClr val="00FF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Outputs!$B$49:$G$49</c15:sqref>
                  </c15:fullRef>
                </c:ext>
              </c:extLst>
              <c:f>Outputs!$C$49:$G$49</c:f>
              <c:strCache>
                <c:ptCount val="5"/>
                <c:pt idx="0">
                  <c:v>1 </c:v>
                </c:pt>
                <c:pt idx="1">
                  <c:v>2 </c:v>
                </c:pt>
                <c:pt idx="2">
                  <c:v>3 </c:v>
                </c:pt>
                <c:pt idx="3">
                  <c:v>4 </c:v>
                </c:pt>
                <c:pt idx="4">
                  <c:v>5 </c:v>
                </c:pt>
              </c:strCache>
            </c:strRef>
          </c:cat>
          <c:val>
            <c:numRef>
              <c:extLst>
                <c:ext xmlns:c15="http://schemas.microsoft.com/office/drawing/2012/chart" uri="{02D57815-91ED-43cb-92C2-25804820EDAC}">
                  <c15:fullRef>
                    <c15:sqref>Outputs!$B$52:$G$52</c15:sqref>
                  </c15:fullRef>
                </c:ext>
              </c:extLst>
              <c:f>Outputs!$C$52:$G$52</c:f>
              <c:numCache>
                <c:formatCode>#,##0.00_ ;[Red]\-#,##0.00\ </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2-5601-4B05-AE38-7478942A88F0}"/>
            </c:ext>
          </c:extLst>
        </c:ser>
        <c:ser>
          <c:idx val="0"/>
          <c:order val="1"/>
          <c:tx>
            <c:strRef>
              <c:f>Outputs!$A$53</c:f>
              <c:strCache>
                <c:ptCount val="1"/>
                <c:pt idx="0">
                  <c:v>Benchmark DSCR</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1 </c:v>
              </c:pt>
              <c:pt idx="1">
                <c:v>2 </c:v>
              </c:pt>
              <c:pt idx="2">
                <c:v>3 </c:v>
              </c:pt>
              <c:pt idx="3">
                <c:v>4 </c:v>
              </c:pt>
              <c:pt idx="4">
                <c:v>5 </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Outputs!$B$53:$G$53</c15:sqref>
                  </c15:fullRef>
                </c:ext>
              </c:extLst>
              <c:f>Outputs!$C$53:$G$53</c:f>
              <c:numCache>
                <c:formatCode>#,##0.00_ ;[Red]\-#,##0.00\ </c:formatCode>
                <c:ptCount val="5"/>
                <c:pt idx="0">
                  <c:v>1.25</c:v>
                </c:pt>
                <c:pt idx="1">
                  <c:v>1.25</c:v>
                </c:pt>
                <c:pt idx="2">
                  <c:v>1.25</c:v>
                </c:pt>
                <c:pt idx="3">
                  <c:v>1.25</c:v>
                </c:pt>
                <c:pt idx="4">
                  <c:v>1.25</c:v>
                </c:pt>
              </c:numCache>
            </c:numRef>
          </c:val>
          <c:smooth val="0"/>
          <c:extLst>
            <c:ext xmlns:c16="http://schemas.microsoft.com/office/drawing/2014/chart" uri="{C3380CC4-5D6E-409C-BE32-E72D297353CC}">
              <c16:uniqueId val="{00000001-7110-45BB-9074-1F5B35CE928B}"/>
            </c:ext>
          </c:extLst>
        </c:ser>
        <c:ser>
          <c:idx val="3"/>
          <c:order val="2"/>
          <c:tx>
            <c:strRef>
              <c:f>Outputs!$A$54</c:f>
              <c:strCache>
                <c:ptCount val="1"/>
                <c:pt idx="0">
                  <c:v>Interest Cover Ratio</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Outputs!$B$49:$G$49</c15:sqref>
                  </c15:fullRef>
                </c:ext>
              </c:extLst>
              <c:f>Outputs!$C$49:$G$49</c:f>
              <c:strCache>
                <c:ptCount val="5"/>
                <c:pt idx="0">
                  <c:v>1 </c:v>
                </c:pt>
                <c:pt idx="1">
                  <c:v>2 </c:v>
                </c:pt>
                <c:pt idx="2">
                  <c:v>3 </c:v>
                </c:pt>
                <c:pt idx="3">
                  <c:v>4 </c:v>
                </c:pt>
                <c:pt idx="4">
                  <c:v>5 </c:v>
                </c:pt>
              </c:strCache>
            </c:strRef>
          </c:cat>
          <c:val>
            <c:numRef>
              <c:extLst>
                <c:ext xmlns:c15="http://schemas.microsoft.com/office/drawing/2012/chart" uri="{02D57815-91ED-43cb-92C2-25804820EDAC}">
                  <c15:fullRef>
                    <c15:sqref>Outputs!$B$54:$G$54</c15:sqref>
                  </c15:fullRef>
                </c:ext>
              </c:extLst>
              <c:f>Outputs!$C$54:$G$54</c:f>
              <c:numCache>
                <c:formatCode>#,##0.00_ ;[Red]\-#,##0.00\ </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3-5601-4B05-AE38-7478942A88F0}"/>
            </c:ext>
          </c:extLst>
        </c:ser>
        <c:ser>
          <c:idx val="1"/>
          <c:order val="3"/>
          <c:tx>
            <c:strRef>
              <c:f>Outputs!$A$55</c:f>
              <c:strCache>
                <c:ptCount val="1"/>
                <c:pt idx="0">
                  <c:v>Benchmark Interest Cover Ratio</c:v>
                </c:pt>
              </c:strCache>
            </c:strRef>
          </c:tx>
          <c:spPr>
            <a:ln w="28575" cap="rnd">
              <a:solidFill>
                <a:srgbClr val="FF00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1 </c:v>
              </c:pt>
              <c:pt idx="1">
                <c:v>2 </c:v>
              </c:pt>
              <c:pt idx="2">
                <c:v>3 </c:v>
              </c:pt>
              <c:pt idx="3">
                <c:v>4 </c:v>
              </c:pt>
              <c:pt idx="4">
                <c:v>5 </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Outputs!$B$55:$G$55</c15:sqref>
                  </c15:fullRef>
                </c:ext>
              </c:extLst>
              <c:f>Outputs!$C$55:$G$55</c:f>
              <c:numCache>
                <c:formatCode>#,##0.00_ ;[Red]\-#,##0.00\ </c:formatCode>
                <c:ptCount val="5"/>
                <c:pt idx="0">
                  <c:v>2</c:v>
                </c:pt>
                <c:pt idx="1">
                  <c:v>2</c:v>
                </c:pt>
                <c:pt idx="2">
                  <c:v>2</c:v>
                </c:pt>
                <c:pt idx="3">
                  <c:v>2</c:v>
                </c:pt>
                <c:pt idx="4">
                  <c:v>2</c:v>
                </c:pt>
              </c:numCache>
            </c:numRef>
          </c:val>
          <c:smooth val="0"/>
          <c:extLst>
            <c:ext xmlns:c16="http://schemas.microsoft.com/office/drawing/2014/chart" uri="{C3380CC4-5D6E-409C-BE32-E72D297353CC}">
              <c16:uniqueId val="{00000002-7110-45BB-9074-1F5B35CE928B}"/>
            </c:ext>
          </c:extLst>
        </c:ser>
        <c:dLbls>
          <c:dLblPos val="ctr"/>
          <c:showLegendKey val="0"/>
          <c:showVal val="1"/>
          <c:showCatName val="0"/>
          <c:showSerName val="0"/>
          <c:showPercent val="0"/>
          <c:showBubbleSize val="0"/>
        </c:dLbls>
        <c:smooth val="0"/>
        <c:axId val="734036432"/>
        <c:axId val="734039760"/>
      </c:lineChart>
      <c:catAx>
        <c:axId val="734036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039760"/>
        <c:crosses val="autoZero"/>
        <c:auto val="1"/>
        <c:lblAlgn val="ctr"/>
        <c:lblOffset val="100"/>
        <c:noMultiLvlLbl val="0"/>
      </c:catAx>
      <c:valAx>
        <c:axId val="734039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Ratio/Number of times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_ ;[Red]\-#,##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036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u="sng"/>
              <a:t>Mini grid</a:t>
            </a:r>
            <a:r>
              <a:rPr lang="en-US" sz="1200" b="1" u="sng" baseline="0"/>
              <a:t> Valuation</a:t>
            </a:r>
            <a:endParaRPr lang="en-US" sz="1200" b="1" u="sng"/>
          </a:p>
        </c:rich>
      </c:tx>
      <c:layout>
        <c:manualLayout>
          <c:xMode val="edge"/>
          <c:yMode val="edge"/>
          <c:x val="0.4492687416842977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strRef>
              <c:f>Outputs!$A$84</c:f>
              <c:strCache>
                <c:ptCount val="1"/>
                <c:pt idx="0">
                  <c:v>Generation Assets Valuation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Outputs!$B$82:$G$82</c15:sqref>
                  </c15:fullRef>
                </c:ext>
              </c:extLst>
              <c:f>Outputs!$C$82:$G$82</c:f>
              <c:strCache>
                <c:ptCount val="5"/>
                <c:pt idx="0">
                  <c:v>1 </c:v>
                </c:pt>
                <c:pt idx="1">
                  <c:v>2 </c:v>
                </c:pt>
                <c:pt idx="2">
                  <c:v>3 </c:v>
                </c:pt>
                <c:pt idx="3">
                  <c:v>4 </c:v>
                </c:pt>
                <c:pt idx="4">
                  <c:v>5 </c:v>
                </c:pt>
              </c:strCache>
            </c:strRef>
          </c:cat>
          <c:val>
            <c:numRef>
              <c:extLst>
                <c:ext xmlns:c15="http://schemas.microsoft.com/office/drawing/2012/chart" uri="{02D57815-91ED-43cb-92C2-25804820EDAC}">
                  <c15:fullRef>
                    <c15:sqref>Outputs!$B$84:$G$84</c15:sqref>
                  </c15:fullRef>
                </c:ext>
              </c:extLst>
              <c:f>Outputs!$C$84:$G$84</c:f>
              <c:numCache>
                <c:formatCode>#,##0_ ;[Red]\-#,##0\ </c:formatCode>
                <c:ptCount val="5"/>
                <c:pt idx="0">
                  <c:v>0</c:v>
                </c:pt>
                <c:pt idx="1">
                  <c:v>0</c:v>
                </c:pt>
                <c:pt idx="2">
                  <c:v>0</c:v>
                </c:pt>
                <c:pt idx="3">
                  <c:v>0</c:v>
                </c:pt>
                <c:pt idx="4">
                  <c:v>0</c:v>
                </c:pt>
              </c:numCache>
            </c:numRef>
          </c:val>
          <c:extLst>
            <c:ext xmlns:c16="http://schemas.microsoft.com/office/drawing/2014/chart" uri="{C3380CC4-5D6E-409C-BE32-E72D297353CC}">
              <c16:uniqueId val="{00000001-BB15-4D88-BCE8-38BB82814CC4}"/>
            </c:ext>
          </c:extLst>
        </c:ser>
        <c:ser>
          <c:idx val="2"/>
          <c:order val="1"/>
          <c:tx>
            <c:strRef>
              <c:f>Outputs!$A$85</c:f>
              <c:strCache>
                <c:ptCount val="1"/>
                <c:pt idx="0">
                  <c:v>Distribution Assets Valuation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Outputs!$B$82:$G$82</c15:sqref>
                  </c15:fullRef>
                </c:ext>
              </c:extLst>
              <c:f>Outputs!$C$82:$G$82</c:f>
              <c:strCache>
                <c:ptCount val="5"/>
                <c:pt idx="0">
                  <c:v>1 </c:v>
                </c:pt>
                <c:pt idx="1">
                  <c:v>2 </c:v>
                </c:pt>
                <c:pt idx="2">
                  <c:v>3 </c:v>
                </c:pt>
                <c:pt idx="3">
                  <c:v>4 </c:v>
                </c:pt>
                <c:pt idx="4">
                  <c:v>5 </c:v>
                </c:pt>
              </c:strCache>
            </c:strRef>
          </c:cat>
          <c:val>
            <c:numRef>
              <c:extLst>
                <c:ext xmlns:c15="http://schemas.microsoft.com/office/drawing/2012/chart" uri="{02D57815-91ED-43cb-92C2-25804820EDAC}">
                  <c15:fullRef>
                    <c15:sqref>Outputs!$B$85:$G$85</c15:sqref>
                  </c15:fullRef>
                </c:ext>
              </c:extLst>
              <c:f>Outputs!$C$85:$G$85</c:f>
              <c:numCache>
                <c:formatCode>#,##0_ ;[Red]\-#,##0\ </c:formatCode>
                <c:ptCount val="5"/>
                <c:pt idx="0">
                  <c:v>0</c:v>
                </c:pt>
                <c:pt idx="1">
                  <c:v>0</c:v>
                </c:pt>
                <c:pt idx="2">
                  <c:v>0</c:v>
                </c:pt>
                <c:pt idx="3">
                  <c:v>0</c:v>
                </c:pt>
                <c:pt idx="4">
                  <c:v>0</c:v>
                </c:pt>
              </c:numCache>
            </c:numRef>
          </c:val>
          <c:extLst>
            <c:ext xmlns:c16="http://schemas.microsoft.com/office/drawing/2014/chart" uri="{C3380CC4-5D6E-409C-BE32-E72D297353CC}">
              <c16:uniqueId val="{00000002-BB15-4D88-BCE8-38BB82814CC4}"/>
            </c:ext>
          </c:extLst>
        </c:ser>
        <c:ser>
          <c:idx val="3"/>
          <c:order val="2"/>
          <c:tx>
            <c:strRef>
              <c:f>Outputs!$A$86</c:f>
              <c:strCache>
                <c:ptCount val="1"/>
                <c:pt idx="0">
                  <c:v>Metering and termination Assets Valuation</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Outputs!$B$82:$G$82</c15:sqref>
                  </c15:fullRef>
                </c:ext>
              </c:extLst>
              <c:f>Outputs!$C$82:$G$82</c:f>
              <c:strCache>
                <c:ptCount val="5"/>
                <c:pt idx="0">
                  <c:v>1 </c:v>
                </c:pt>
                <c:pt idx="1">
                  <c:v>2 </c:v>
                </c:pt>
                <c:pt idx="2">
                  <c:v>3 </c:v>
                </c:pt>
                <c:pt idx="3">
                  <c:v>4 </c:v>
                </c:pt>
                <c:pt idx="4">
                  <c:v>5 </c:v>
                </c:pt>
              </c:strCache>
            </c:strRef>
          </c:cat>
          <c:val>
            <c:numRef>
              <c:extLst>
                <c:ext xmlns:c15="http://schemas.microsoft.com/office/drawing/2012/chart" uri="{02D57815-91ED-43cb-92C2-25804820EDAC}">
                  <c15:fullRef>
                    <c15:sqref>Outputs!$B$86:$G$86</c15:sqref>
                  </c15:fullRef>
                </c:ext>
              </c:extLst>
              <c:f>Outputs!$C$86:$G$86</c:f>
              <c:numCache>
                <c:formatCode>#,##0_ ;[Red]\-#,##0\ </c:formatCode>
                <c:ptCount val="5"/>
                <c:pt idx="0">
                  <c:v>0</c:v>
                </c:pt>
                <c:pt idx="1">
                  <c:v>0</c:v>
                </c:pt>
                <c:pt idx="2">
                  <c:v>0</c:v>
                </c:pt>
                <c:pt idx="3">
                  <c:v>0</c:v>
                </c:pt>
                <c:pt idx="4">
                  <c:v>0</c:v>
                </c:pt>
              </c:numCache>
            </c:numRef>
          </c:val>
          <c:extLst>
            <c:ext xmlns:c16="http://schemas.microsoft.com/office/drawing/2014/chart" uri="{C3380CC4-5D6E-409C-BE32-E72D297353CC}">
              <c16:uniqueId val="{00000003-BB15-4D88-BCE8-38BB82814CC4}"/>
            </c:ext>
          </c:extLst>
        </c:ser>
        <c:dLbls>
          <c:dLblPos val="ctr"/>
          <c:showLegendKey val="0"/>
          <c:showVal val="1"/>
          <c:showCatName val="0"/>
          <c:showSerName val="0"/>
          <c:showPercent val="0"/>
          <c:showBubbleSize val="0"/>
        </c:dLbls>
        <c:gapWidth val="150"/>
        <c:overlap val="100"/>
        <c:axId val="734018128"/>
        <c:axId val="734030608"/>
      </c:barChart>
      <c:catAx>
        <c:axId val="734018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030608"/>
        <c:crosses val="autoZero"/>
        <c:auto val="1"/>
        <c:lblAlgn val="ctr"/>
        <c:lblOffset val="100"/>
        <c:noMultiLvlLbl val="0"/>
      </c:catAx>
      <c:valAx>
        <c:axId val="734030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Value in</a:t>
                </a:r>
                <a:r>
                  <a:rPr lang="en-US" baseline="0"/>
                  <a:t> Billing</a:t>
                </a:r>
                <a:r>
                  <a:rPr lang="en-US"/>
                  <a:t> Currency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018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sng" strike="noStrike" kern="1200" spc="0" baseline="0">
                <a:solidFill>
                  <a:schemeClr val="tx1">
                    <a:lumMod val="65000"/>
                    <a:lumOff val="35000"/>
                  </a:schemeClr>
                </a:solidFill>
                <a:latin typeface="+mn-lt"/>
                <a:ea typeface="+mn-ea"/>
                <a:cs typeface="+mn-cs"/>
              </a:defRPr>
            </a:pPr>
            <a:r>
              <a:rPr lang="en-US" sz="1050" b="1" u="sng"/>
              <a:t>CFADS against Actual Debt Service Obligation</a:t>
            </a:r>
          </a:p>
        </c:rich>
      </c:tx>
      <c:overlay val="0"/>
      <c:spPr>
        <a:noFill/>
        <a:ln>
          <a:noFill/>
        </a:ln>
        <a:effectLst/>
      </c:spPr>
      <c:txPr>
        <a:bodyPr rot="0" spcFirstLastPara="1" vertOverflow="ellipsis" vert="horz" wrap="square" anchor="ctr" anchorCtr="1"/>
        <a:lstStyle/>
        <a:p>
          <a:pPr>
            <a:defRPr sz="1050" b="1" i="0" u="sng"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Outputs!$A$56</c:f>
              <c:strCache>
                <c:ptCount val="1"/>
                <c:pt idx="0">
                  <c:v>CFADS</c:v>
                </c:pt>
              </c:strCache>
            </c:strRef>
          </c:tx>
          <c:spPr>
            <a:solidFill>
              <a:srgbClr val="00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Outputs!$C$49:$G$49</c:f>
              <c:numCache>
                <c:formatCode>#,##0_ ;[Red]\-#,##0\ </c:formatCode>
                <c:ptCount val="5"/>
                <c:pt idx="0">
                  <c:v>1</c:v>
                </c:pt>
                <c:pt idx="1">
                  <c:v>2</c:v>
                </c:pt>
                <c:pt idx="2">
                  <c:v>3</c:v>
                </c:pt>
                <c:pt idx="3">
                  <c:v>4</c:v>
                </c:pt>
                <c:pt idx="4">
                  <c:v>5</c:v>
                </c:pt>
              </c:numCache>
            </c:numRef>
          </c:cat>
          <c:val>
            <c:numRef>
              <c:f>Outputs!$C$56:$G$56</c:f>
              <c:numCache>
                <c:formatCode>#,##0_ ;[Red]\-#,##0\ </c:formatCode>
                <c:ptCount val="5"/>
                <c:pt idx="0">
                  <c:v>0</c:v>
                </c:pt>
                <c:pt idx="1">
                  <c:v>0</c:v>
                </c:pt>
                <c:pt idx="2">
                  <c:v>0</c:v>
                </c:pt>
                <c:pt idx="3">
                  <c:v>0</c:v>
                </c:pt>
                <c:pt idx="4">
                  <c:v>0</c:v>
                </c:pt>
              </c:numCache>
            </c:numRef>
          </c:val>
          <c:extLst>
            <c:ext xmlns:c16="http://schemas.microsoft.com/office/drawing/2014/chart" uri="{C3380CC4-5D6E-409C-BE32-E72D297353CC}">
              <c16:uniqueId val="{00000000-769E-4E58-9719-F6022977BA0E}"/>
            </c:ext>
          </c:extLst>
        </c:ser>
        <c:ser>
          <c:idx val="1"/>
          <c:order val="1"/>
          <c:tx>
            <c:strRef>
              <c:f>Calculations!$A$127</c:f>
              <c:strCache>
                <c:ptCount val="1"/>
                <c:pt idx="0">
                  <c:v>Debt Service (Principal and Interest)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Outputs!$C$49:$G$49</c:f>
              <c:numCache>
                <c:formatCode>#,##0_ ;[Red]\-#,##0\ </c:formatCode>
                <c:ptCount val="5"/>
                <c:pt idx="0">
                  <c:v>1</c:v>
                </c:pt>
                <c:pt idx="1">
                  <c:v>2</c:v>
                </c:pt>
                <c:pt idx="2">
                  <c:v>3</c:v>
                </c:pt>
                <c:pt idx="3">
                  <c:v>4</c:v>
                </c:pt>
                <c:pt idx="4">
                  <c:v>5</c:v>
                </c:pt>
              </c:numCache>
            </c:numRef>
          </c:cat>
          <c:val>
            <c:numRef>
              <c:f>Calculations!$D$127:$H$127</c:f>
              <c:numCache>
                <c:formatCode>#,##0_ ;[Red]\-#,##0\ </c:formatCode>
                <c:ptCount val="5"/>
                <c:pt idx="0">
                  <c:v>0</c:v>
                </c:pt>
                <c:pt idx="1">
                  <c:v>0</c:v>
                </c:pt>
                <c:pt idx="2">
                  <c:v>0</c:v>
                </c:pt>
                <c:pt idx="3">
                  <c:v>0</c:v>
                </c:pt>
                <c:pt idx="4">
                  <c:v>0</c:v>
                </c:pt>
              </c:numCache>
            </c:numRef>
          </c:val>
          <c:extLst>
            <c:ext xmlns:c16="http://schemas.microsoft.com/office/drawing/2014/chart" uri="{C3380CC4-5D6E-409C-BE32-E72D297353CC}">
              <c16:uniqueId val="{00000001-769E-4E58-9719-F6022977BA0E}"/>
            </c:ext>
          </c:extLst>
        </c:ser>
        <c:dLbls>
          <c:dLblPos val="inEnd"/>
          <c:showLegendKey val="0"/>
          <c:showVal val="1"/>
          <c:showCatName val="0"/>
          <c:showSerName val="0"/>
          <c:showPercent val="0"/>
          <c:showBubbleSize val="0"/>
        </c:dLbls>
        <c:gapWidth val="219"/>
        <c:axId val="1302267744"/>
        <c:axId val="1302271072"/>
      </c:barChart>
      <c:catAx>
        <c:axId val="1302267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 ;[Red]\-#,##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271072"/>
        <c:crosses val="autoZero"/>
        <c:auto val="1"/>
        <c:lblAlgn val="ctr"/>
        <c:lblOffset val="100"/>
        <c:noMultiLvlLbl val="0"/>
      </c:catAx>
      <c:valAx>
        <c:axId val="1302271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267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colorful1">
  <dgm:title val=""/>
  <dgm:desc val=""/>
  <dgm:catLst>
    <dgm:cat type="colorful" pri="10100"/>
  </dgm:catLst>
  <dgm:styleLbl name="node0">
    <dgm:fillClrLst meth="repeat">
      <a:schemeClr val="accent1"/>
    </dgm:fillClrLst>
    <dgm:linClrLst meth="repeat">
      <a:schemeClr val="lt1"/>
    </dgm:linClrLst>
    <dgm:effectClrLst/>
    <dgm:txLinClrLst/>
    <dgm:txFillClrLst/>
    <dgm:txEffectClrLst/>
  </dgm:styleLbl>
  <dgm:styleLbl name="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alignNode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dgm:txEffectClrLst/>
  </dgm:styleLbl>
  <dgm:styleLbl name="ln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vennNode1">
    <dgm:fillClrLst meth="repeat">
      <a:schemeClr val="accent2">
        <a:alpha val="50000"/>
      </a:schemeClr>
      <a:schemeClr val="accent3">
        <a:alpha val="50000"/>
      </a:schemeClr>
      <a:schemeClr val="accent4">
        <a:alpha val="50000"/>
      </a:schemeClr>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2"/>
    </dgm:fillClrLst>
    <dgm:linClrLst meth="repeat">
      <a:schemeClr val="lt1"/>
    </dgm:linClrLst>
    <dgm:effectClrLst/>
    <dgm:txLinClrLst/>
    <dgm:txFillClrLst/>
    <dgm:txEffectClrLst/>
  </dgm:styleLbl>
  <dgm:styleLbl name="node3">
    <dgm:fillClrLst>
      <a:schemeClr val="accent3"/>
    </dgm:fillClrLst>
    <dgm:linClrLst meth="repeat">
      <a:schemeClr val="lt1"/>
    </dgm:linClrLst>
    <dgm:effectClrLst/>
    <dgm:txLinClrLst/>
    <dgm:txFillClrLst/>
    <dgm:txEffectClrLst/>
  </dgm:styleLbl>
  <dgm:styleLbl name="node4">
    <dgm:fillClrLst>
      <a:schemeClr val="accent4"/>
    </dgm:fillClrLst>
    <dgm:linClrLst meth="repeat">
      <a:schemeClr val="lt1"/>
    </dgm:linClrLst>
    <dgm:effectClrLst/>
    <dgm:txLinClrLst/>
    <dgm:txFillClrLst/>
    <dgm:txEffectClrLst/>
  </dgm:styleLbl>
  <dgm:styleLbl name="fgImgPlace1">
    <dgm:fillClrLst meth="repeat">
      <a:schemeClr val="accent2">
        <a:tint val="50000"/>
      </a:schemeClr>
      <a:schemeClr val="accent3">
        <a:tint val="50000"/>
      </a:schemeClr>
      <a:schemeClr val="accent4">
        <a:tint val="50000"/>
      </a:schemeClr>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2"/>
      <a:schemeClr val="accent3"/>
      <a:schemeClr val="accent4"/>
      <a:schemeClr val="accent5"/>
      <a:schemeClr val="accent6"/>
    </dgm:fillClrLst>
    <dgm:linClrLst meth="cycle">
      <a:schemeClr val="lt1"/>
    </dgm:linClrLst>
    <dgm:effectClrLst/>
    <dgm:txLinClrLst/>
    <dgm:txFillClrLst/>
    <dgm:txEffectClrLst/>
  </dgm:styleLbl>
  <dgm:styleLbl name="f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b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sibTrans1D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meth="repeat">
      <a:schemeClr val="tx1"/>
    </dgm:txFillClrLst>
    <dgm:txEffectClrLst/>
  </dgm:styleLbl>
  <dgm:styleLbl name="callout">
    <dgm:fillClrLst meth="repeat">
      <a:schemeClr val="accent2"/>
    </dgm:fillClrLst>
    <dgm:linClrLst meth="repeat">
      <a:schemeClr val="accent2">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2"/>
    </dgm:fillClrLst>
    <dgm:linClrLst meth="repeat">
      <a:schemeClr val="lt1"/>
    </dgm:linClrLst>
    <dgm:effectClrLst/>
    <dgm:txLinClrLst/>
    <dgm:txFillClrLst/>
    <dgm:txEffectClrLst/>
  </dgm:styleLbl>
  <dgm:styleLbl name="asst2">
    <dgm:fillClrLst>
      <a:schemeClr val="accent3"/>
    </dgm:fillClrLst>
    <dgm:linClrLst meth="repeat">
      <a:schemeClr val="lt1"/>
    </dgm:linClrLst>
    <dgm:effectClrLst/>
    <dgm:txLinClrLst/>
    <dgm:txFillClrLst/>
    <dgm:txEffectClrLst/>
  </dgm:styleLbl>
  <dgm:styleLbl name="asst3">
    <dgm:fillClrLst>
      <a:schemeClr val="accent4"/>
    </dgm:fillClrLst>
    <dgm:linClrLst meth="repeat">
      <a:schemeClr val="lt1"/>
    </dgm:linClrLst>
    <dgm:effectClrLst/>
    <dgm:txLinClrLst/>
    <dgm:txFillClrLst/>
    <dgm:txEffectClrLst/>
  </dgm:styleLbl>
  <dgm:styleLbl name="asst4">
    <dgm:fillClrLst>
      <a:schemeClr val="accent5"/>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2"/>
    </dgm:fillClrLst>
    <dgm:linClrLst meth="repeat">
      <a:schemeClr val="accent1"/>
    </dgm:linClrLst>
    <dgm:effectClrLst/>
    <dgm:txLinClrLst/>
    <dgm:txFillClrLst meth="repeat">
      <a:schemeClr val="tx1"/>
    </dgm:txFillClrLst>
    <dgm:txEffectClrLst/>
  </dgm:styleLbl>
  <dgm:styleLbl name="parChTrans1D2">
    <dgm:fillClrLst meth="repeat">
      <a:schemeClr val="accent3">
        <a:tint val="90000"/>
      </a:schemeClr>
    </dgm:fillClrLst>
    <dgm:linClrLst meth="repeat">
      <a:schemeClr val="accent2"/>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3"/>
    </dgm:linClrLst>
    <dgm:effectClrLst/>
    <dgm:txLinClrLst/>
    <dgm:txFillClrLst meth="repeat">
      <a:schemeClr val="tx1"/>
    </dgm:txFillClrLst>
    <dgm:txEffectClrLst/>
  </dgm:styleLbl>
  <dgm:styleLbl name="parChTrans1D4">
    <dgm:fillClrLst meth="repeat">
      <a:schemeClr val="accent5">
        <a:tint val="50000"/>
      </a:schemeClr>
    </dgm:fillClrLst>
    <dgm:linClrLst meth="repeat">
      <a:schemeClr val="accent4"/>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f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align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1"/>
    </dgm:linClrLst>
    <dgm:effectClrLst/>
    <dgm:txLinClrLst/>
    <dgm:txFillClrLst meth="repeat">
      <a:schemeClr val="dk1"/>
    </dgm:txFillClrLst>
    <dgm:txEffectClrLst/>
  </dgm:styleLbl>
  <dgm:styleLbl name="fgAcc2">
    <dgm:fillClrLst meth="repeat">
      <a:schemeClr val="lt1">
        <a:alpha val="90000"/>
      </a:schemeClr>
    </dgm:fillClrLst>
    <dgm:linClrLst>
      <a:schemeClr val="accent2"/>
    </dgm:linClrLst>
    <dgm:effectClrLst/>
    <dgm:txLinClrLst/>
    <dgm:txFillClrLst meth="repeat">
      <a:schemeClr val="dk1"/>
    </dgm:txFillClrLst>
    <dgm:txEffectClrLst/>
  </dgm:styleLbl>
  <dgm:styleLbl name="fgAcc3">
    <dgm:fillClrLst meth="repeat">
      <a:schemeClr val="lt1">
        <a:alpha val="90000"/>
      </a:schemeClr>
    </dgm:fillClrLst>
    <dgm:linClrLst>
      <a:schemeClr val="accent3"/>
    </dgm:linClrLst>
    <dgm:effectClrLst/>
    <dgm:txLinClrLst/>
    <dgm:txFillClrLst meth="repeat">
      <a:schemeClr val="dk1"/>
    </dgm:txFillClrLst>
    <dgm:txEffectClrLst/>
  </dgm:styleLbl>
  <dgm:styleLbl name="fgAcc4">
    <dgm:fillClrLst meth="repeat">
      <a:schemeClr val="lt1">
        <a:alpha val="90000"/>
      </a:schemeClr>
    </dgm:fillClrLst>
    <dgm:linClrLst>
      <a:schemeClr val="accent4"/>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2">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8E685B0D-05CF-405C-B3F2-168CB508385D}" type="doc">
      <dgm:prSet loTypeId="urn:microsoft.com/office/officeart/2005/8/layout/hProcess4" loCatId="process" qsTypeId="urn:microsoft.com/office/officeart/2005/8/quickstyle/simple1" qsCatId="simple" csTypeId="urn:microsoft.com/office/officeart/2005/8/colors/colorful1" csCatId="colorful" phldr="1"/>
      <dgm:spPr/>
      <dgm:t>
        <a:bodyPr/>
        <a:lstStyle/>
        <a:p>
          <a:endParaRPr lang="en-ZA"/>
        </a:p>
      </dgm:t>
    </dgm:pt>
    <dgm:pt modelId="{BE23C3A3-615C-444E-9654-945F35820CA6}">
      <dgm:prSet phldrT="[Text]"/>
      <dgm:spPr/>
      <dgm:t>
        <a:bodyPr/>
        <a:lstStyle/>
        <a:p>
          <a:r>
            <a:rPr lang="en-ZA"/>
            <a:t>Inputs</a:t>
          </a:r>
        </a:p>
      </dgm:t>
    </dgm:pt>
    <dgm:pt modelId="{4510D2E0-973A-4645-905C-8A72D1A1D8A9}" type="parTrans" cxnId="{DFD873DF-C6F6-4A78-944F-1C8E564B7EEF}">
      <dgm:prSet/>
      <dgm:spPr/>
      <dgm:t>
        <a:bodyPr/>
        <a:lstStyle/>
        <a:p>
          <a:endParaRPr lang="en-ZA"/>
        </a:p>
      </dgm:t>
    </dgm:pt>
    <dgm:pt modelId="{45B87E64-4FD7-4D66-A3D8-B7C3D0142A10}" type="sibTrans" cxnId="{DFD873DF-C6F6-4A78-944F-1C8E564B7EEF}">
      <dgm:prSet/>
      <dgm:spPr/>
      <dgm:t>
        <a:bodyPr/>
        <a:lstStyle/>
        <a:p>
          <a:endParaRPr lang="en-ZA"/>
        </a:p>
      </dgm:t>
    </dgm:pt>
    <dgm:pt modelId="{2E6F8871-25DC-49B0-B235-8DC5D22666BC}">
      <dgm:prSet phldrT="[Text]" custT="1"/>
      <dgm:spPr>
        <a:solidFill>
          <a:schemeClr val="accent4">
            <a:lumMod val="60000"/>
            <a:lumOff val="40000"/>
            <a:alpha val="90000"/>
          </a:schemeClr>
        </a:solidFill>
      </dgm:spPr>
      <dgm:t>
        <a:bodyPr/>
        <a:lstStyle/>
        <a:p>
          <a:r>
            <a:rPr lang="en-ZA" sz="900"/>
            <a:t>Plant capacity/performance </a:t>
          </a:r>
          <a:r>
            <a:rPr lang="en-ZA" sz="900">
              <a:solidFill>
                <a:srgbClr val="FF0000"/>
              </a:solidFill>
            </a:rPr>
            <a:t>(1.1)</a:t>
          </a:r>
        </a:p>
      </dgm:t>
    </dgm:pt>
    <dgm:pt modelId="{0B2E0B0E-C1CF-4E69-A4A5-6AB4A6BB638C}" type="parTrans" cxnId="{3AA76189-9E3D-489C-BFFA-2C15044C6EFE}">
      <dgm:prSet/>
      <dgm:spPr/>
      <dgm:t>
        <a:bodyPr/>
        <a:lstStyle/>
        <a:p>
          <a:endParaRPr lang="en-ZA"/>
        </a:p>
      </dgm:t>
    </dgm:pt>
    <dgm:pt modelId="{D4DA6CFE-397E-47BD-8767-A6C6FE8E22EE}" type="sibTrans" cxnId="{3AA76189-9E3D-489C-BFFA-2C15044C6EFE}">
      <dgm:prSet/>
      <dgm:spPr/>
      <dgm:t>
        <a:bodyPr/>
        <a:lstStyle/>
        <a:p>
          <a:endParaRPr lang="en-ZA"/>
        </a:p>
      </dgm:t>
    </dgm:pt>
    <dgm:pt modelId="{5A16A0BA-9FC5-4302-8521-B69A5E1F94AF}">
      <dgm:prSet phldrT="[Text]" custT="1"/>
      <dgm:spPr>
        <a:solidFill>
          <a:schemeClr val="accent4">
            <a:lumMod val="60000"/>
            <a:lumOff val="40000"/>
            <a:alpha val="90000"/>
          </a:schemeClr>
        </a:solidFill>
      </dgm:spPr>
      <dgm:t>
        <a:bodyPr/>
        <a:lstStyle/>
        <a:p>
          <a:r>
            <a:rPr lang="en-ZA" sz="900"/>
            <a:t>Operating and maintenance costs</a:t>
          </a:r>
          <a:r>
            <a:rPr lang="en-ZA" sz="900">
              <a:solidFill>
                <a:srgbClr val="FF0000"/>
              </a:solidFill>
            </a:rPr>
            <a:t>(1.4)</a:t>
          </a:r>
        </a:p>
      </dgm:t>
    </dgm:pt>
    <dgm:pt modelId="{94F05721-4497-48A3-A029-FAA47E7D8A08}" type="parTrans" cxnId="{BDC2DE0F-A07E-4457-8968-BED08735CDE6}">
      <dgm:prSet/>
      <dgm:spPr/>
      <dgm:t>
        <a:bodyPr/>
        <a:lstStyle/>
        <a:p>
          <a:endParaRPr lang="en-ZA"/>
        </a:p>
      </dgm:t>
    </dgm:pt>
    <dgm:pt modelId="{0F3741A1-60D0-4187-A4F2-924603F2EBBD}" type="sibTrans" cxnId="{BDC2DE0F-A07E-4457-8968-BED08735CDE6}">
      <dgm:prSet/>
      <dgm:spPr/>
      <dgm:t>
        <a:bodyPr/>
        <a:lstStyle/>
        <a:p>
          <a:endParaRPr lang="en-ZA"/>
        </a:p>
      </dgm:t>
    </dgm:pt>
    <dgm:pt modelId="{AC2328A0-7C99-4E4A-80E7-DDC03963363C}">
      <dgm:prSet phldrT="[Text]"/>
      <dgm:spPr/>
      <dgm:t>
        <a:bodyPr/>
        <a:lstStyle/>
        <a:p>
          <a:r>
            <a:rPr lang="en-ZA"/>
            <a:t>Calculations</a:t>
          </a:r>
        </a:p>
      </dgm:t>
    </dgm:pt>
    <dgm:pt modelId="{2F6BE1BE-7953-4992-9D58-E06F19D8C54C}" type="parTrans" cxnId="{E390C1B3-147F-44AA-983A-5787AB7F1789}">
      <dgm:prSet/>
      <dgm:spPr/>
      <dgm:t>
        <a:bodyPr/>
        <a:lstStyle/>
        <a:p>
          <a:endParaRPr lang="en-ZA"/>
        </a:p>
      </dgm:t>
    </dgm:pt>
    <dgm:pt modelId="{D210A0E9-EC09-404D-AE95-9D0F3C7746F9}" type="sibTrans" cxnId="{E390C1B3-147F-44AA-983A-5787AB7F1789}">
      <dgm:prSet/>
      <dgm:spPr/>
      <dgm:t>
        <a:bodyPr/>
        <a:lstStyle/>
        <a:p>
          <a:endParaRPr lang="en-ZA"/>
        </a:p>
      </dgm:t>
    </dgm:pt>
    <dgm:pt modelId="{1BA3F61E-0DC4-4371-A565-B61778F79F3B}">
      <dgm:prSet phldrT="[Text]"/>
      <dgm:spPr>
        <a:solidFill>
          <a:schemeClr val="accent5">
            <a:lumMod val="20000"/>
            <a:lumOff val="80000"/>
            <a:alpha val="90000"/>
          </a:schemeClr>
        </a:solidFill>
      </dgm:spPr>
      <dgm:t>
        <a:bodyPr/>
        <a:lstStyle/>
        <a:p>
          <a:r>
            <a:rPr lang="en-ZA"/>
            <a:t>Net energy output/sold </a:t>
          </a:r>
          <a:r>
            <a:rPr lang="en-ZA">
              <a:solidFill>
                <a:srgbClr val="FF0000"/>
              </a:solidFill>
            </a:rPr>
            <a:t>(2.1)</a:t>
          </a:r>
        </a:p>
      </dgm:t>
    </dgm:pt>
    <dgm:pt modelId="{04C29E06-50B3-449D-9B85-B6B128530B34}" type="parTrans" cxnId="{5D37CF88-B9FB-42F8-953B-BE71CE67B668}">
      <dgm:prSet/>
      <dgm:spPr/>
      <dgm:t>
        <a:bodyPr/>
        <a:lstStyle/>
        <a:p>
          <a:endParaRPr lang="en-ZA"/>
        </a:p>
      </dgm:t>
    </dgm:pt>
    <dgm:pt modelId="{50070188-A063-4E8E-A5E5-740201AC908B}" type="sibTrans" cxnId="{5D37CF88-B9FB-42F8-953B-BE71CE67B668}">
      <dgm:prSet/>
      <dgm:spPr/>
      <dgm:t>
        <a:bodyPr/>
        <a:lstStyle/>
        <a:p>
          <a:endParaRPr lang="en-ZA"/>
        </a:p>
      </dgm:t>
    </dgm:pt>
    <dgm:pt modelId="{73191FC9-4A9F-4831-A9E0-44D5A852EFB9}">
      <dgm:prSet phldrT="[Text]"/>
      <dgm:spPr>
        <a:solidFill>
          <a:schemeClr val="accent5">
            <a:lumMod val="20000"/>
            <a:lumOff val="80000"/>
            <a:alpha val="90000"/>
          </a:schemeClr>
        </a:solidFill>
      </dgm:spPr>
      <dgm:t>
        <a:bodyPr/>
        <a:lstStyle/>
        <a:p>
          <a:r>
            <a:rPr lang="en-ZA"/>
            <a:t>Revenue Requirement </a:t>
          </a:r>
          <a:r>
            <a:rPr lang="en-ZA">
              <a:solidFill>
                <a:srgbClr val="FF0000"/>
              </a:solidFill>
            </a:rPr>
            <a:t>(2.3)</a:t>
          </a:r>
        </a:p>
      </dgm:t>
    </dgm:pt>
    <dgm:pt modelId="{3EE8E6F5-6B83-4350-8E26-7B339203D056}" type="parTrans" cxnId="{794207E0-C3D6-4D37-B666-014656DE2A58}">
      <dgm:prSet/>
      <dgm:spPr/>
      <dgm:t>
        <a:bodyPr/>
        <a:lstStyle/>
        <a:p>
          <a:endParaRPr lang="en-ZA"/>
        </a:p>
      </dgm:t>
    </dgm:pt>
    <dgm:pt modelId="{78FE9B96-F63B-446B-B925-095D7C01750A}" type="sibTrans" cxnId="{794207E0-C3D6-4D37-B666-014656DE2A58}">
      <dgm:prSet/>
      <dgm:spPr/>
      <dgm:t>
        <a:bodyPr/>
        <a:lstStyle/>
        <a:p>
          <a:endParaRPr lang="en-ZA"/>
        </a:p>
      </dgm:t>
    </dgm:pt>
    <dgm:pt modelId="{C1797981-BA02-4221-AD0F-2313CD7ACF86}">
      <dgm:prSet phldrT="[Text]"/>
      <dgm:spPr>
        <a:solidFill>
          <a:srgbClr val="92D050"/>
        </a:solidFill>
      </dgm:spPr>
      <dgm:t>
        <a:bodyPr/>
        <a:lstStyle/>
        <a:p>
          <a:r>
            <a:rPr lang="en-ZA"/>
            <a:t>Outputs</a:t>
          </a:r>
        </a:p>
      </dgm:t>
    </dgm:pt>
    <dgm:pt modelId="{BA9FD203-3E69-4EFA-BC57-17530CEE3BE2}" type="parTrans" cxnId="{F15FD5F8-800E-4D7D-A451-EC14C0F2C950}">
      <dgm:prSet/>
      <dgm:spPr/>
      <dgm:t>
        <a:bodyPr/>
        <a:lstStyle/>
        <a:p>
          <a:endParaRPr lang="en-ZA"/>
        </a:p>
      </dgm:t>
    </dgm:pt>
    <dgm:pt modelId="{9AB86336-6279-46FC-9D57-ACE00AED4410}" type="sibTrans" cxnId="{F15FD5F8-800E-4D7D-A451-EC14C0F2C950}">
      <dgm:prSet/>
      <dgm:spPr/>
      <dgm:t>
        <a:bodyPr/>
        <a:lstStyle/>
        <a:p>
          <a:endParaRPr lang="en-ZA"/>
        </a:p>
      </dgm:t>
    </dgm:pt>
    <dgm:pt modelId="{3C57CAB1-52DC-4CA4-AD88-C543CA07BAB6}">
      <dgm:prSet phldrT="[Text]" custT="1"/>
      <dgm:spPr>
        <a:solidFill>
          <a:srgbClr val="00FF00">
            <a:alpha val="90000"/>
          </a:srgbClr>
        </a:solidFill>
      </dgm:spPr>
      <dgm:t>
        <a:bodyPr/>
        <a:lstStyle/>
        <a:p>
          <a:r>
            <a:rPr lang="en-ZA" sz="900"/>
            <a:t>Tariffs and tariff structures </a:t>
          </a:r>
          <a:r>
            <a:rPr lang="en-ZA" sz="900">
              <a:solidFill>
                <a:srgbClr val="FF0000"/>
              </a:solidFill>
            </a:rPr>
            <a:t>(3.1)</a:t>
          </a:r>
        </a:p>
      </dgm:t>
    </dgm:pt>
    <dgm:pt modelId="{7FF7DCA8-445E-4918-80D3-F840E1109555}" type="parTrans" cxnId="{E149495E-FC14-4C6A-AF9A-C188B8CB59F8}">
      <dgm:prSet/>
      <dgm:spPr/>
      <dgm:t>
        <a:bodyPr/>
        <a:lstStyle/>
        <a:p>
          <a:endParaRPr lang="en-ZA"/>
        </a:p>
      </dgm:t>
    </dgm:pt>
    <dgm:pt modelId="{41D07190-3DA0-4D4D-9957-F14102DFE1B3}" type="sibTrans" cxnId="{E149495E-FC14-4C6A-AF9A-C188B8CB59F8}">
      <dgm:prSet/>
      <dgm:spPr/>
      <dgm:t>
        <a:bodyPr/>
        <a:lstStyle/>
        <a:p>
          <a:endParaRPr lang="en-ZA"/>
        </a:p>
      </dgm:t>
    </dgm:pt>
    <dgm:pt modelId="{1947CC2A-3DDC-4F48-8675-A36C5C13C4B1}">
      <dgm:prSet phldrT="[Text]" custT="1"/>
      <dgm:spPr>
        <a:solidFill>
          <a:schemeClr val="accent4">
            <a:lumMod val="60000"/>
            <a:lumOff val="40000"/>
            <a:alpha val="90000"/>
          </a:schemeClr>
        </a:solidFill>
      </dgm:spPr>
      <dgm:t>
        <a:bodyPr/>
        <a:lstStyle/>
        <a:p>
          <a:r>
            <a:rPr lang="en-ZA" sz="900"/>
            <a:t>Financing information</a:t>
          </a:r>
          <a:r>
            <a:rPr lang="en-ZA" sz="900">
              <a:solidFill>
                <a:srgbClr val="FF0000"/>
              </a:solidFill>
            </a:rPr>
            <a:t>(1.7)</a:t>
          </a:r>
        </a:p>
      </dgm:t>
    </dgm:pt>
    <dgm:pt modelId="{1FA5601F-660C-4EAB-8774-95FEBF71E323}" type="parTrans" cxnId="{81848DE1-C0A5-47C7-BA55-BCFBC4107D76}">
      <dgm:prSet/>
      <dgm:spPr/>
      <dgm:t>
        <a:bodyPr/>
        <a:lstStyle/>
        <a:p>
          <a:endParaRPr lang="en-ZA"/>
        </a:p>
      </dgm:t>
    </dgm:pt>
    <dgm:pt modelId="{F802D25D-1098-4AE5-A8FE-F72CD3E3903B}" type="sibTrans" cxnId="{81848DE1-C0A5-47C7-BA55-BCFBC4107D76}">
      <dgm:prSet/>
      <dgm:spPr/>
      <dgm:t>
        <a:bodyPr/>
        <a:lstStyle/>
        <a:p>
          <a:endParaRPr lang="en-ZA"/>
        </a:p>
      </dgm:t>
    </dgm:pt>
    <dgm:pt modelId="{F54BEE4A-C71B-486E-8742-A74C1845BF0B}">
      <dgm:prSet phldrT="[Text]" custT="1"/>
      <dgm:spPr>
        <a:solidFill>
          <a:schemeClr val="accent4">
            <a:lumMod val="60000"/>
            <a:lumOff val="40000"/>
            <a:alpha val="90000"/>
          </a:schemeClr>
        </a:solidFill>
      </dgm:spPr>
      <dgm:t>
        <a:bodyPr/>
        <a:lstStyle/>
        <a:p>
          <a:r>
            <a:rPr lang="en-ZA" sz="900"/>
            <a:t>Benchmarks</a:t>
          </a:r>
          <a:r>
            <a:rPr lang="en-ZA" sz="900">
              <a:solidFill>
                <a:srgbClr val="FF0000"/>
              </a:solidFill>
            </a:rPr>
            <a:t>(1.11)</a:t>
          </a:r>
        </a:p>
      </dgm:t>
    </dgm:pt>
    <dgm:pt modelId="{E4925DD9-FD9D-4DD9-87CD-A20079527502}" type="parTrans" cxnId="{E7095F2A-E67C-4E39-B6DB-0DCB4025682E}">
      <dgm:prSet/>
      <dgm:spPr/>
      <dgm:t>
        <a:bodyPr/>
        <a:lstStyle/>
        <a:p>
          <a:endParaRPr lang="en-ZA"/>
        </a:p>
      </dgm:t>
    </dgm:pt>
    <dgm:pt modelId="{2B354394-C637-4172-8A9A-B768241C4C90}" type="sibTrans" cxnId="{E7095F2A-E67C-4E39-B6DB-0DCB4025682E}">
      <dgm:prSet/>
      <dgm:spPr/>
      <dgm:t>
        <a:bodyPr/>
        <a:lstStyle/>
        <a:p>
          <a:endParaRPr lang="en-ZA"/>
        </a:p>
      </dgm:t>
    </dgm:pt>
    <dgm:pt modelId="{15D9BCA0-4793-4161-9A7E-B12BC12E9A28}">
      <dgm:prSet phldrT="[Text]"/>
      <dgm:spPr>
        <a:solidFill>
          <a:schemeClr val="accent5">
            <a:lumMod val="20000"/>
            <a:lumOff val="80000"/>
            <a:alpha val="90000"/>
          </a:schemeClr>
        </a:solidFill>
      </dgm:spPr>
      <dgm:t>
        <a:bodyPr/>
        <a:lstStyle/>
        <a:p>
          <a:r>
            <a:rPr lang="en-ZA"/>
            <a:t>Mini grid valuation </a:t>
          </a:r>
          <a:r>
            <a:rPr lang="en-ZA">
              <a:solidFill>
                <a:srgbClr val="FF0000"/>
              </a:solidFill>
            </a:rPr>
            <a:t>(2.5)</a:t>
          </a:r>
        </a:p>
      </dgm:t>
    </dgm:pt>
    <dgm:pt modelId="{97A2FE42-3312-45AC-B8CE-8BB6640F3689}" type="parTrans" cxnId="{439906A5-F534-4C8F-9161-861D89DB60F2}">
      <dgm:prSet/>
      <dgm:spPr/>
      <dgm:t>
        <a:bodyPr/>
        <a:lstStyle/>
        <a:p>
          <a:endParaRPr lang="en-ZA"/>
        </a:p>
      </dgm:t>
    </dgm:pt>
    <dgm:pt modelId="{5F4B3C11-7EBA-4784-988F-FAB01AEB44D7}" type="sibTrans" cxnId="{439906A5-F534-4C8F-9161-861D89DB60F2}">
      <dgm:prSet/>
      <dgm:spPr/>
      <dgm:t>
        <a:bodyPr/>
        <a:lstStyle/>
        <a:p>
          <a:endParaRPr lang="en-ZA"/>
        </a:p>
      </dgm:t>
    </dgm:pt>
    <dgm:pt modelId="{96FD5A85-1E20-4C2D-BD52-9DC001214E15}">
      <dgm:prSet phldrT="[Text]" custT="1"/>
      <dgm:spPr>
        <a:solidFill>
          <a:srgbClr val="00FF00">
            <a:alpha val="90000"/>
          </a:srgbClr>
        </a:solidFill>
      </dgm:spPr>
      <dgm:t>
        <a:bodyPr/>
        <a:lstStyle/>
        <a:p>
          <a:r>
            <a:rPr lang="en-ZA" sz="900"/>
            <a:t>Financial indicators </a:t>
          </a:r>
          <a:r>
            <a:rPr lang="en-ZA" sz="900">
              <a:solidFill>
                <a:srgbClr val="FF0000"/>
              </a:solidFill>
            </a:rPr>
            <a:t>(3.2)</a:t>
          </a:r>
        </a:p>
      </dgm:t>
    </dgm:pt>
    <dgm:pt modelId="{234D8A94-4A0E-4C87-85D8-A5870D2D9A39}" type="parTrans" cxnId="{4FAA1892-9738-4881-BDE5-57B0BA8FCAA7}">
      <dgm:prSet/>
      <dgm:spPr/>
      <dgm:t>
        <a:bodyPr/>
        <a:lstStyle/>
        <a:p>
          <a:endParaRPr lang="en-ZA"/>
        </a:p>
      </dgm:t>
    </dgm:pt>
    <dgm:pt modelId="{D3DC4482-27F3-4D04-9625-BAA1EA7136B1}" type="sibTrans" cxnId="{4FAA1892-9738-4881-BDE5-57B0BA8FCAA7}">
      <dgm:prSet/>
      <dgm:spPr/>
      <dgm:t>
        <a:bodyPr/>
        <a:lstStyle/>
        <a:p>
          <a:endParaRPr lang="en-ZA"/>
        </a:p>
      </dgm:t>
    </dgm:pt>
    <dgm:pt modelId="{DA1C945C-3DB9-44D8-86E9-C122A8032771}">
      <dgm:prSet phldrT="[Text]" custT="1"/>
      <dgm:spPr>
        <a:solidFill>
          <a:srgbClr val="00FF00">
            <a:alpha val="90000"/>
          </a:srgbClr>
        </a:solidFill>
      </dgm:spPr>
      <dgm:t>
        <a:bodyPr/>
        <a:lstStyle/>
        <a:p>
          <a:r>
            <a:rPr lang="en-ZA" sz="900"/>
            <a:t>Tool User Guide </a:t>
          </a:r>
          <a:r>
            <a:rPr lang="en-ZA" sz="900">
              <a:solidFill>
                <a:srgbClr val="FF0000"/>
              </a:solidFill>
            </a:rPr>
            <a:t>(this tab)</a:t>
          </a:r>
        </a:p>
      </dgm:t>
    </dgm:pt>
    <dgm:pt modelId="{BA03F99C-3EDA-481F-A8C9-785437A562F3}" type="parTrans" cxnId="{113FFEAB-4148-4A5D-B773-ECBEB0165C5A}">
      <dgm:prSet/>
      <dgm:spPr/>
      <dgm:t>
        <a:bodyPr/>
        <a:lstStyle/>
        <a:p>
          <a:endParaRPr lang="en-ZA"/>
        </a:p>
      </dgm:t>
    </dgm:pt>
    <dgm:pt modelId="{E91B8184-6C98-425F-86BE-7A02CAE8E0EB}" type="sibTrans" cxnId="{113FFEAB-4148-4A5D-B773-ECBEB0165C5A}">
      <dgm:prSet/>
      <dgm:spPr/>
      <dgm:t>
        <a:bodyPr/>
        <a:lstStyle/>
        <a:p>
          <a:endParaRPr lang="en-ZA"/>
        </a:p>
      </dgm:t>
    </dgm:pt>
    <dgm:pt modelId="{36B69DD7-2AFA-435A-9B3D-68E19ECAD7D6}">
      <dgm:prSet custT="1"/>
      <dgm:spPr>
        <a:solidFill>
          <a:schemeClr val="accent4">
            <a:lumMod val="60000"/>
            <a:lumOff val="40000"/>
            <a:alpha val="90000"/>
          </a:schemeClr>
        </a:solidFill>
      </dgm:spPr>
      <dgm:t>
        <a:bodyPr/>
        <a:lstStyle/>
        <a:p>
          <a:r>
            <a:rPr lang="en-ZA" sz="900"/>
            <a:t>Economic data</a:t>
          </a:r>
          <a:r>
            <a:rPr lang="en-ZA" sz="900">
              <a:solidFill>
                <a:srgbClr val="FF0000"/>
              </a:solidFill>
            </a:rPr>
            <a:t>(1.9)</a:t>
          </a:r>
        </a:p>
      </dgm:t>
    </dgm:pt>
    <dgm:pt modelId="{B817FF11-DC76-4341-809C-1B8C10047862}" type="parTrans" cxnId="{AF24BDD9-C33E-429B-B935-3869C921B886}">
      <dgm:prSet/>
      <dgm:spPr/>
      <dgm:t>
        <a:bodyPr/>
        <a:lstStyle/>
        <a:p>
          <a:endParaRPr lang="en-ZA"/>
        </a:p>
      </dgm:t>
    </dgm:pt>
    <dgm:pt modelId="{FC507C91-73DD-4A2D-AC56-412FD95220B6}" type="sibTrans" cxnId="{AF24BDD9-C33E-429B-B935-3869C921B886}">
      <dgm:prSet/>
      <dgm:spPr/>
      <dgm:t>
        <a:bodyPr/>
        <a:lstStyle/>
        <a:p>
          <a:endParaRPr lang="en-ZA"/>
        </a:p>
      </dgm:t>
    </dgm:pt>
    <dgm:pt modelId="{74D56090-959E-4273-9665-0303C9D54B36}">
      <dgm:prSet phldrT="[Text]" custT="1"/>
      <dgm:spPr>
        <a:solidFill>
          <a:srgbClr val="00FF00">
            <a:alpha val="90000"/>
          </a:srgbClr>
        </a:solidFill>
      </dgm:spPr>
      <dgm:t>
        <a:bodyPr/>
        <a:lstStyle/>
        <a:p>
          <a:r>
            <a:rPr lang="en-ZA" sz="900"/>
            <a:t>Mini grid Valuation </a:t>
          </a:r>
          <a:r>
            <a:rPr lang="en-ZA" sz="900">
              <a:solidFill>
                <a:srgbClr val="FF0000"/>
              </a:solidFill>
            </a:rPr>
            <a:t>(3.3)</a:t>
          </a:r>
        </a:p>
      </dgm:t>
    </dgm:pt>
    <dgm:pt modelId="{39B81FF8-523F-4AEB-ABBE-2678444D8E04}" type="parTrans" cxnId="{E0775AB3-7438-4D93-B994-7147B8B8EC6F}">
      <dgm:prSet/>
      <dgm:spPr/>
      <dgm:t>
        <a:bodyPr/>
        <a:lstStyle/>
        <a:p>
          <a:endParaRPr lang="en-ZA"/>
        </a:p>
      </dgm:t>
    </dgm:pt>
    <dgm:pt modelId="{F1468E04-7862-4078-A0EC-D7984528ADE9}" type="sibTrans" cxnId="{E0775AB3-7438-4D93-B994-7147B8B8EC6F}">
      <dgm:prSet/>
      <dgm:spPr/>
      <dgm:t>
        <a:bodyPr/>
        <a:lstStyle/>
        <a:p>
          <a:endParaRPr lang="en-ZA"/>
        </a:p>
      </dgm:t>
    </dgm:pt>
    <dgm:pt modelId="{70335DD4-A500-47DC-A4CE-D8258417CB07}">
      <dgm:prSet phldrT="[Text]" custT="1"/>
      <dgm:spPr>
        <a:solidFill>
          <a:srgbClr val="00FF00">
            <a:alpha val="90000"/>
          </a:srgbClr>
        </a:solidFill>
      </dgm:spPr>
      <dgm:t>
        <a:bodyPr/>
        <a:lstStyle/>
        <a:p>
          <a:r>
            <a:rPr lang="en-ZA" sz="900"/>
            <a:t>Graphs </a:t>
          </a:r>
          <a:r>
            <a:rPr lang="en-ZA" sz="900">
              <a:solidFill>
                <a:srgbClr val="FF0000"/>
              </a:solidFill>
            </a:rPr>
            <a:t>(3.1b, 3.2b, 3.3b, 3.4b)</a:t>
          </a:r>
        </a:p>
      </dgm:t>
    </dgm:pt>
    <dgm:pt modelId="{85985F61-FA6D-4E76-AFDA-E799AE23F472}" type="parTrans" cxnId="{589AACE8-B117-45F4-9B11-81D8881EEBAE}">
      <dgm:prSet/>
      <dgm:spPr/>
      <dgm:t>
        <a:bodyPr/>
        <a:lstStyle/>
        <a:p>
          <a:endParaRPr lang="en-ZA"/>
        </a:p>
      </dgm:t>
    </dgm:pt>
    <dgm:pt modelId="{434BFD39-664A-41A1-B68A-D28BE5623AD1}" type="sibTrans" cxnId="{589AACE8-B117-45F4-9B11-81D8881EEBAE}">
      <dgm:prSet/>
      <dgm:spPr/>
      <dgm:t>
        <a:bodyPr/>
        <a:lstStyle/>
        <a:p>
          <a:endParaRPr lang="en-ZA"/>
        </a:p>
      </dgm:t>
    </dgm:pt>
    <dgm:pt modelId="{4CCDBD81-B0A9-41F1-AFFE-AAF854A5D0A9}">
      <dgm:prSet phldrT="[Text]" custT="1"/>
      <dgm:spPr>
        <a:solidFill>
          <a:schemeClr val="accent4">
            <a:lumMod val="60000"/>
            <a:lumOff val="40000"/>
            <a:alpha val="90000"/>
          </a:schemeClr>
        </a:solidFill>
      </dgm:spPr>
      <dgm:t>
        <a:bodyPr/>
        <a:lstStyle/>
        <a:p>
          <a:r>
            <a:rPr lang="en-ZA" sz="900"/>
            <a:t>Subsidies/grants/other revenues </a:t>
          </a:r>
          <a:r>
            <a:rPr lang="en-ZA" sz="900">
              <a:solidFill>
                <a:srgbClr val="FF0000"/>
              </a:solidFill>
            </a:rPr>
            <a:t>(1.5)</a:t>
          </a:r>
        </a:p>
      </dgm:t>
    </dgm:pt>
    <dgm:pt modelId="{8079D049-4BB4-4A06-A213-777409B0F062}" type="parTrans" cxnId="{B6A5A827-A598-44BE-B6C2-DE33E428A848}">
      <dgm:prSet/>
      <dgm:spPr/>
      <dgm:t>
        <a:bodyPr/>
        <a:lstStyle/>
        <a:p>
          <a:endParaRPr lang="en-ZA"/>
        </a:p>
      </dgm:t>
    </dgm:pt>
    <dgm:pt modelId="{63E65492-78E9-4A0E-90C0-8663B208AC25}" type="sibTrans" cxnId="{B6A5A827-A598-44BE-B6C2-DE33E428A848}">
      <dgm:prSet/>
      <dgm:spPr/>
      <dgm:t>
        <a:bodyPr/>
        <a:lstStyle/>
        <a:p>
          <a:endParaRPr lang="en-ZA"/>
        </a:p>
      </dgm:t>
    </dgm:pt>
    <dgm:pt modelId="{AB1D9BE9-777F-435D-9A84-07DC1D054AA8}">
      <dgm:prSet phldrT="[Text]" custT="1"/>
      <dgm:spPr>
        <a:solidFill>
          <a:schemeClr val="accent4">
            <a:lumMod val="60000"/>
            <a:lumOff val="40000"/>
            <a:alpha val="90000"/>
          </a:schemeClr>
        </a:solidFill>
      </dgm:spPr>
      <dgm:t>
        <a:bodyPr/>
        <a:lstStyle/>
        <a:p>
          <a:r>
            <a:rPr lang="en-ZA" sz="900"/>
            <a:t>Working capital </a:t>
          </a:r>
          <a:r>
            <a:rPr lang="en-ZA" sz="900">
              <a:solidFill>
                <a:srgbClr val="FF0000"/>
              </a:solidFill>
            </a:rPr>
            <a:t>(1.3)</a:t>
          </a:r>
        </a:p>
      </dgm:t>
    </dgm:pt>
    <dgm:pt modelId="{5F667B6B-A789-4261-8ECB-F1DB8F12C7ED}" type="parTrans" cxnId="{6D7EBBE6-3488-45EB-94BB-C477987340DE}">
      <dgm:prSet/>
      <dgm:spPr/>
      <dgm:t>
        <a:bodyPr/>
        <a:lstStyle/>
        <a:p>
          <a:endParaRPr lang="en-ZA"/>
        </a:p>
      </dgm:t>
    </dgm:pt>
    <dgm:pt modelId="{FCDD5896-7DFA-4EAE-9BDF-83807BAF8DBD}" type="sibTrans" cxnId="{6D7EBBE6-3488-45EB-94BB-C477987340DE}">
      <dgm:prSet/>
      <dgm:spPr/>
      <dgm:t>
        <a:bodyPr/>
        <a:lstStyle/>
        <a:p>
          <a:endParaRPr lang="en-ZA"/>
        </a:p>
      </dgm:t>
    </dgm:pt>
    <dgm:pt modelId="{FD3BBA3C-8118-4680-B6B5-4B9653A3BB34}">
      <dgm:prSet phldrT="[Text]"/>
      <dgm:spPr>
        <a:solidFill>
          <a:schemeClr val="accent5">
            <a:lumMod val="20000"/>
            <a:lumOff val="80000"/>
            <a:alpha val="90000"/>
          </a:schemeClr>
        </a:solidFill>
      </dgm:spPr>
      <dgm:t>
        <a:bodyPr/>
        <a:lstStyle/>
        <a:p>
          <a:r>
            <a:rPr lang="en-ZA"/>
            <a:t>Benchmarks </a:t>
          </a:r>
          <a:r>
            <a:rPr lang="en-ZA">
              <a:solidFill>
                <a:srgbClr val="FF0000"/>
              </a:solidFill>
            </a:rPr>
            <a:t>(2.8)</a:t>
          </a:r>
        </a:p>
      </dgm:t>
    </dgm:pt>
    <dgm:pt modelId="{EF5E99D8-2562-4B76-9EDD-5C9A33830C93}" type="parTrans" cxnId="{95BFCFFC-175B-40FA-A2D3-6B0A423D1B29}">
      <dgm:prSet/>
      <dgm:spPr/>
      <dgm:t>
        <a:bodyPr/>
        <a:lstStyle/>
        <a:p>
          <a:endParaRPr lang="en-ZA"/>
        </a:p>
      </dgm:t>
    </dgm:pt>
    <dgm:pt modelId="{AA7200F1-D641-499C-A415-36A1F749C9D7}" type="sibTrans" cxnId="{95BFCFFC-175B-40FA-A2D3-6B0A423D1B29}">
      <dgm:prSet/>
      <dgm:spPr/>
      <dgm:t>
        <a:bodyPr/>
        <a:lstStyle/>
        <a:p>
          <a:endParaRPr lang="en-ZA"/>
        </a:p>
      </dgm:t>
    </dgm:pt>
    <dgm:pt modelId="{FCE47D1E-0C29-4EAC-9A24-253842A6846F}">
      <dgm:prSet phldrT="[Text]" custT="1"/>
      <dgm:spPr>
        <a:solidFill>
          <a:schemeClr val="accent4">
            <a:lumMod val="60000"/>
            <a:lumOff val="40000"/>
            <a:alpha val="90000"/>
          </a:schemeClr>
        </a:solidFill>
      </dgm:spPr>
      <dgm:t>
        <a:bodyPr/>
        <a:lstStyle/>
        <a:p>
          <a:r>
            <a:rPr lang="en-ZA" sz="900"/>
            <a:t>Capital costs and useful lives </a:t>
          </a:r>
          <a:r>
            <a:rPr lang="en-ZA" sz="900">
              <a:solidFill>
                <a:srgbClr val="FF0000"/>
              </a:solidFill>
            </a:rPr>
            <a:t>(1.2</a:t>
          </a:r>
          <a:r>
            <a:rPr lang="en-ZA" sz="900"/>
            <a:t>)</a:t>
          </a:r>
        </a:p>
      </dgm:t>
    </dgm:pt>
    <dgm:pt modelId="{B73818B9-11F2-4AF2-82E1-C1820C9A2FED}" type="parTrans" cxnId="{A7E029D1-DDD6-4773-904A-D93EE2DE0656}">
      <dgm:prSet/>
      <dgm:spPr/>
      <dgm:t>
        <a:bodyPr/>
        <a:lstStyle/>
        <a:p>
          <a:endParaRPr lang="en-KE"/>
        </a:p>
      </dgm:t>
    </dgm:pt>
    <dgm:pt modelId="{D0408BD7-87A2-48CB-BEBB-1B0561427134}" type="sibTrans" cxnId="{A7E029D1-DDD6-4773-904A-D93EE2DE0656}">
      <dgm:prSet/>
      <dgm:spPr/>
      <dgm:t>
        <a:bodyPr/>
        <a:lstStyle/>
        <a:p>
          <a:endParaRPr lang="en-KE"/>
        </a:p>
      </dgm:t>
    </dgm:pt>
    <dgm:pt modelId="{899C21C6-0B9D-4910-8667-C81463779747}">
      <dgm:prSet phldrT="[Text]"/>
      <dgm:spPr>
        <a:solidFill>
          <a:schemeClr val="accent5">
            <a:lumMod val="20000"/>
            <a:lumOff val="80000"/>
            <a:alpha val="90000"/>
          </a:schemeClr>
        </a:solidFill>
      </dgm:spPr>
      <dgm:t>
        <a:bodyPr/>
        <a:lstStyle/>
        <a:p>
          <a:r>
            <a:rPr lang="en-ZA"/>
            <a:t>Depreciation </a:t>
          </a:r>
          <a:r>
            <a:rPr lang="en-ZA">
              <a:solidFill>
                <a:srgbClr val="FF0000"/>
              </a:solidFill>
            </a:rPr>
            <a:t>(2.2)</a:t>
          </a:r>
        </a:p>
      </dgm:t>
    </dgm:pt>
    <dgm:pt modelId="{56A16CD1-8C51-4FE1-8F9A-7900FC736ED5}" type="parTrans" cxnId="{319BB878-0FA6-4E9D-8BF4-43D431CE6758}">
      <dgm:prSet/>
      <dgm:spPr/>
      <dgm:t>
        <a:bodyPr/>
        <a:lstStyle/>
        <a:p>
          <a:endParaRPr lang="en-KE"/>
        </a:p>
      </dgm:t>
    </dgm:pt>
    <dgm:pt modelId="{35AA0963-B102-4001-B780-EB9CC6B451AE}" type="sibTrans" cxnId="{319BB878-0FA6-4E9D-8BF4-43D431CE6758}">
      <dgm:prSet/>
      <dgm:spPr/>
      <dgm:t>
        <a:bodyPr/>
        <a:lstStyle/>
        <a:p>
          <a:endParaRPr lang="en-KE"/>
        </a:p>
      </dgm:t>
    </dgm:pt>
    <dgm:pt modelId="{83760103-8C31-4F2E-9E87-A016BC9EDCF7}">
      <dgm:prSet phldrT="[Text]" custT="1"/>
      <dgm:spPr>
        <a:solidFill>
          <a:schemeClr val="accent4">
            <a:lumMod val="60000"/>
            <a:lumOff val="40000"/>
            <a:alpha val="90000"/>
          </a:schemeClr>
        </a:solidFill>
      </dgm:spPr>
      <dgm:t>
        <a:bodyPr/>
        <a:lstStyle/>
        <a:p>
          <a:r>
            <a:rPr lang="en-ZA" sz="900"/>
            <a:t>Customer categories </a:t>
          </a:r>
          <a:r>
            <a:rPr lang="en-ZA" sz="900">
              <a:solidFill>
                <a:srgbClr val="FF0000"/>
              </a:solidFill>
            </a:rPr>
            <a:t>(1.8)</a:t>
          </a:r>
        </a:p>
      </dgm:t>
    </dgm:pt>
    <dgm:pt modelId="{07C80F2E-7A2D-4570-8240-5606ED569070}" type="parTrans" cxnId="{DF749B12-5EF9-4497-8219-8B962926C855}">
      <dgm:prSet/>
      <dgm:spPr/>
      <dgm:t>
        <a:bodyPr/>
        <a:lstStyle/>
        <a:p>
          <a:endParaRPr lang="en-KE"/>
        </a:p>
      </dgm:t>
    </dgm:pt>
    <dgm:pt modelId="{D47F2C86-3B78-4A0D-8566-EF02A2C3D2B1}" type="sibTrans" cxnId="{DF749B12-5EF9-4497-8219-8B962926C855}">
      <dgm:prSet/>
      <dgm:spPr/>
      <dgm:t>
        <a:bodyPr/>
        <a:lstStyle/>
        <a:p>
          <a:endParaRPr lang="en-KE"/>
        </a:p>
      </dgm:t>
    </dgm:pt>
    <dgm:pt modelId="{A3641C03-8674-4EBF-8610-53858F405B3E}">
      <dgm:prSet phldrT="[Text]"/>
      <dgm:spPr>
        <a:solidFill>
          <a:schemeClr val="accent5">
            <a:lumMod val="20000"/>
            <a:lumOff val="80000"/>
            <a:alpha val="90000"/>
          </a:schemeClr>
        </a:solidFill>
      </dgm:spPr>
      <dgm:t>
        <a:bodyPr/>
        <a:lstStyle/>
        <a:p>
          <a:r>
            <a:rPr lang="en-ZA"/>
            <a:t>Financial performance </a:t>
          </a:r>
          <a:r>
            <a:rPr lang="en-ZA">
              <a:solidFill>
                <a:srgbClr val="FF0000"/>
              </a:solidFill>
            </a:rPr>
            <a:t>(2.7)</a:t>
          </a:r>
        </a:p>
      </dgm:t>
    </dgm:pt>
    <dgm:pt modelId="{EAD00674-2BB6-49CE-8581-9CA13D1A7EBA}" type="parTrans" cxnId="{E9A84048-6B09-4931-A57B-9C828AD9D8BF}">
      <dgm:prSet/>
      <dgm:spPr/>
      <dgm:t>
        <a:bodyPr/>
        <a:lstStyle/>
        <a:p>
          <a:endParaRPr lang="en-KE"/>
        </a:p>
      </dgm:t>
    </dgm:pt>
    <dgm:pt modelId="{28E6521D-0D11-4A37-B7B2-9191B3F185D8}" type="sibTrans" cxnId="{E9A84048-6B09-4931-A57B-9C828AD9D8BF}">
      <dgm:prSet/>
      <dgm:spPr/>
      <dgm:t>
        <a:bodyPr/>
        <a:lstStyle/>
        <a:p>
          <a:endParaRPr lang="en-KE"/>
        </a:p>
      </dgm:t>
    </dgm:pt>
    <dgm:pt modelId="{C03CC985-41D4-4384-8183-332032525115}">
      <dgm:prSet phldrT="[Text]" custT="1"/>
      <dgm:spPr>
        <a:solidFill>
          <a:srgbClr val="00FF00">
            <a:alpha val="90000"/>
          </a:srgbClr>
        </a:solidFill>
      </dgm:spPr>
      <dgm:t>
        <a:bodyPr/>
        <a:lstStyle/>
        <a:p>
          <a:r>
            <a:rPr lang="en-ZA" sz="900"/>
            <a:t>Sensivity/consumption/grid optimisation scenarios </a:t>
          </a:r>
          <a:r>
            <a:rPr lang="en-ZA" sz="900">
              <a:solidFill>
                <a:srgbClr val="FF0000"/>
              </a:solidFill>
            </a:rPr>
            <a:t>(3.6)</a:t>
          </a:r>
        </a:p>
      </dgm:t>
    </dgm:pt>
    <dgm:pt modelId="{5EFD9DB0-55C8-48A9-A4D4-2F39F2AB933C}" type="parTrans" cxnId="{2C47EE4D-BD26-42D9-A222-A8D9F8BA6019}">
      <dgm:prSet/>
      <dgm:spPr/>
      <dgm:t>
        <a:bodyPr/>
        <a:lstStyle/>
        <a:p>
          <a:endParaRPr lang="en-KE"/>
        </a:p>
      </dgm:t>
    </dgm:pt>
    <dgm:pt modelId="{80EE9C88-DBD8-4247-829E-8D61BDA86BE5}" type="sibTrans" cxnId="{2C47EE4D-BD26-42D9-A222-A8D9F8BA6019}">
      <dgm:prSet/>
      <dgm:spPr/>
      <dgm:t>
        <a:bodyPr/>
        <a:lstStyle/>
        <a:p>
          <a:endParaRPr lang="en-KE"/>
        </a:p>
      </dgm:t>
    </dgm:pt>
    <dgm:pt modelId="{D46B517D-1D34-438C-A00F-1920ED23890F}">
      <dgm:prSet phldrT="[Text]" custT="1"/>
      <dgm:spPr>
        <a:solidFill>
          <a:srgbClr val="00FF00">
            <a:alpha val="90000"/>
          </a:srgbClr>
        </a:solidFill>
      </dgm:spPr>
      <dgm:t>
        <a:bodyPr/>
        <a:lstStyle/>
        <a:p>
          <a:r>
            <a:rPr lang="en-ZA" sz="900"/>
            <a:t>Benchmarks comparisons </a:t>
          </a:r>
          <a:r>
            <a:rPr lang="en-ZA" sz="900">
              <a:solidFill>
                <a:srgbClr val="FF0000"/>
              </a:solidFill>
            </a:rPr>
            <a:t>(3.5)</a:t>
          </a:r>
        </a:p>
      </dgm:t>
    </dgm:pt>
    <dgm:pt modelId="{2B24CD42-5250-4F05-9762-DB49711EAE8A}" type="parTrans" cxnId="{88A899F0-2218-4CCE-B382-E16AB3FFFBBF}">
      <dgm:prSet/>
      <dgm:spPr/>
      <dgm:t>
        <a:bodyPr/>
        <a:lstStyle/>
        <a:p>
          <a:endParaRPr lang="en-KE"/>
        </a:p>
      </dgm:t>
    </dgm:pt>
    <dgm:pt modelId="{077EF2EC-F0CD-4F9F-AA9E-6F841C92FFBE}" type="sibTrans" cxnId="{88A899F0-2218-4CCE-B382-E16AB3FFFBBF}">
      <dgm:prSet/>
      <dgm:spPr/>
      <dgm:t>
        <a:bodyPr/>
        <a:lstStyle/>
        <a:p>
          <a:endParaRPr lang="en-KE"/>
        </a:p>
      </dgm:t>
    </dgm:pt>
    <dgm:pt modelId="{A9248AB7-B06E-4B56-9F44-8CD1CE746325}">
      <dgm:prSet phldrT="[Text]" custT="1"/>
      <dgm:spPr>
        <a:solidFill>
          <a:srgbClr val="00FF00">
            <a:alpha val="90000"/>
          </a:srgbClr>
        </a:solidFill>
      </dgm:spPr>
      <dgm:t>
        <a:bodyPr/>
        <a:lstStyle/>
        <a:p>
          <a:r>
            <a:rPr lang="en-ZA" sz="900">
              <a:solidFill>
                <a:sysClr val="windowText" lastClr="000000"/>
              </a:solidFill>
            </a:rPr>
            <a:t>Depreciation methods comparison</a:t>
          </a:r>
          <a:r>
            <a:rPr lang="en-ZA" sz="900">
              <a:solidFill>
                <a:srgbClr val="FF0000"/>
              </a:solidFill>
            </a:rPr>
            <a:t>(3.4)</a:t>
          </a:r>
        </a:p>
      </dgm:t>
    </dgm:pt>
    <dgm:pt modelId="{CD5EF1DB-0AD0-4872-9714-D709D5982ABA}" type="parTrans" cxnId="{D743EEF6-69E4-45A7-A582-F15248FBE251}">
      <dgm:prSet/>
      <dgm:spPr/>
      <dgm:t>
        <a:bodyPr/>
        <a:lstStyle/>
        <a:p>
          <a:endParaRPr lang="en-KE"/>
        </a:p>
      </dgm:t>
    </dgm:pt>
    <dgm:pt modelId="{CDB2A9A0-7480-48AF-9C7D-F2D7B75AD314}" type="sibTrans" cxnId="{D743EEF6-69E4-45A7-A582-F15248FBE251}">
      <dgm:prSet/>
      <dgm:spPr/>
      <dgm:t>
        <a:bodyPr/>
        <a:lstStyle/>
        <a:p>
          <a:endParaRPr lang="en-KE"/>
        </a:p>
      </dgm:t>
    </dgm:pt>
    <dgm:pt modelId="{337F733F-9DD4-422B-8225-E357EFBFC92B}">
      <dgm:prSet phldrT="[Text]"/>
      <dgm:spPr>
        <a:solidFill>
          <a:schemeClr val="accent5">
            <a:lumMod val="20000"/>
            <a:lumOff val="80000"/>
            <a:alpha val="90000"/>
          </a:schemeClr>
        </a:solidFill>
      </dgm:spPr>
      <dgm:t>
        <a:bodyPr/>
        <a:lstStyle/>
        <a:p>
          <a:r>
            <a:rPr lang="en-ZA"/>
            <a:t>True up/Deferral balances </a:t>
          </a:r>
          <a:r>
            <a:rPr lang="en-ZA">
              <a:solidFill>
                <a:srgbClr val="FF0000"/>
              </a:solidFill>
            </a:rPr>
            <a:t>(2.4)</a:t>
          </a:r>
        </a:p>
      </dgm:t>
    </dgm:pt>
    <dgm:pt modelId="{39B072F9-0CE1-4CE0-9C75-EA28154DB831}" type="parTrans" cxnId="{4C740FEB-B718-45E1-8D42-5D261F720B59}">
      <dgm:prSet/>
      <dgm:spPr/>
      <dgm:t>
        <a:bodyPr/>
        <a:lstStyle/>
        <a:p>
          <a:endParaRPr lang="en-KE"/>
        </a:p>
      </dgm:t>
    </dgm:pt>
    <dgm:pt modelId="{B64202CF-F70A-4AB4-8749-6ABCA131640A}" type="sibTrans" cxnId="{4C740FEB-B718-45E1-8D42-5D261F720B59}">
      <dgm:prSet/>
      <dgm:spPr/>
      <dgm:t>
        <a:bodyPr/>
        <a:lstStyle/>
        <a:p>
          <a:endParaRPr lang="en-KE"/>
        </a:p>
      </dgm:t>
    </dgm:pt>
    <dgm:pt modelId="{671E12EE-B8C0-4FE1-B92F-ED824706C6F2}" type="pres">
      <dgm:prSet presAssocID="{8E685B0D-05CF-405C-B3F2-168CB508385D}" presName="Name0" presStyleCnt="0">
        <dgm:presLayoutVars>
          <dgm:dir/>
          <dgm:animLvl val="lvl"/>
          <dgm:resizeHandles val="exact"/>
        </dgm:presLayoutVars>
      </dgm:prSet>
      <dgm:spPr/>
    </dgm:pt>
    <dgm:pt modelId="{963EB978-CCDB-4E12-97B6-D5DEFFBFED45}" type="pres">
      <dgm:prSet presAssocID="{8E685B0D-05CF-405C-B3F2-168CB508385D}" presName="tSp" presStyleCnt="0"/>
      <dgm:spPr/>
    </dgm:pt>
    <dgm:pt modelId="{4B10BA60-BC86-4FEC-918C-ADC571CE35C1}" type="pres">
      <dgm:prSet presAssocID="{8E685B0D-05CF-405C-B3F2-168CB508385D}" presName="bSp" presStyleCnt="0"/>
      <dgm:spPr/>
    </dgm:pt>
    <dgm:pt modelId="{300C9C2B-9A23-4F5C-B81D-3AAD3B23C7DE}" type="pres">
      <dgm:prSet presAssocID="{8E685B0D-05CF-405C-B3F2-168CB508385D}" presName="process" presStyleCnt="0"/>
      <dgm:spPr/>
    </dgm:pt>
    <dgm:pt modelId="{1D5D8BC8-572B-4493-9AF5-9466AA627631}" type="pres">
      <dgm:prSet presAssocID="{BE23C3A3-615C-444E-9654-945F35820CA6}" presName="composite1" presStyleCnt="0"/>
      <dgm:spPr/>
    </dgm:pt>
    <dgm:pt modelId="{1D96B3B1-FDC3-469D-A9B6-FABDAC9C3FEA}" type="pres">
      <dgm:prSet presAssocID="{BE23C3A3-615C-444E-9654-945F35820CA6}" presName="dummyNode1" presStyleLbl="node1" presStyleIdx="0" presStyleCnt="3"/>
      <dgm:spPr/>
    </dgm:pt>
    <dgm:pt modelId="{D426D7F1-2CF3-4954-869F-C37B1183B70D}" type="pres">
      <dgm:prSet presAssocID="{BE23C3A3-615C-444E-9654-945F35820CA6}" presName="childNode1" presStyleLbl="bgAcc1" presStyleIdx="0" presStyleCnt="3" custScaleX="105488" custScaleY="111309" custLinFactNeighborX="2926" custLinFactNeighborY="10427">
        <dgm:presLayoutVars>
          <dgm:bulletEnabled val="1"/>
        </dgm:presLayoutVars>
      </dgm:prSet>
      <dgm:spPr/>
    </dgm:pt>
    <dgm:pt modelId="{C9763952-28FA-43E5-8198-043F014217F4}" type="pres">
      <dgm:prSet presAssocID="{BE23C3A3-615C-444E-9654-945F35820CA6}" presName="childNode1tx" presStyleLbl="bgAcc1" presStyleIdx="0" presStyleCnt="3">
        <dgm:presLayoutVars>
          <dgm:bulletEnabled val="1"/>
        </dgm:presLayoutVars>
      </dgm:prSet>
      <dgm:spPr/>
    </dgm:pt>
    <dgm:pt modelId="{1791910A-EB15-4B7B-8672-80FBA91A323E}" type="pres">
      <dgm:prSet presAssocID="{BE23C3A3-615C-444E-9654-945F35820CA6}" presName="parentNode1" presStyleLbl="node1" presStyleIdx="0" presStyleCnt="3" custLinFactNeighborX="388" custLinFactNeighborY="32152">
        <dgm:presLayoutVars>
          <dgm:chMax val="1"/>
          <dgm:bulletEnabled val="1"/>
        </dgm:presLayoutVars>
      </dgm:prSet>
      <dgm:spPr/>
    </dgm:pt>
    <dgm:pt modelId="{FDE58960-8844-47CD-BA14-916AF33172C7}" type="pres">
      <dgm:prSet presAssocID="{BE23C3A3-615C-444E-9654-945F35820CA6}" presName="connSite1" presStyleCnt="0"/>
      <dgm:spPr/>
    </dgm:pt>
    <dgm:pt modelId="{B4A54CC5-1240-4155-A5C7-C65A3002F664}" type="pres">
      <dgm:prSet presAssocID="{45B87E64-4FD7-4D66-A3D8-B7C3D0142A10}" presName="Name9" presStyleLbl="sibTrans2D1" presStyleIdx="0" presStyleCnt="2" custLinFactNeighborX="14544" custLinFactNeighborY="-16621"/>
      <dgm:spPr/>
    </dgm:pt>
    <dgm:pt modelId="{EE2C61C9-153D-4815-90B6-07D927AAA174}" type="pres">
      <dgm:prSet presAssocID="{AC2328A0-7C99-4E4A-80E7-DDC03963363C}" presName="composite2" presStyleCnt="0"/>
      <dgm:spPr/>
    </dgm:pt>
    <dgm:pt modelId="{297F49C2-BA65-4897-9E6A-194D9C50AC9E}" type="pres">
      <dgm:prSet presAssocID="{AC2328A0-7C99-4E4A-80E7-DDC03963363C}" presName="dummyNode2" presStyleLbl="node1" presStyleIdx="0" presStyleCnt="3"/>
      <dgm:spPr/>
    </dgm:pt>
    <dgm:pt modelId="{FCC1DAB3-11D3-4551-98C3-2825D9103349}" type="pres">
      <dgm:prSet presAssocID="{AC2328A0-7C99-4E4A-80E7-DDC03963363C}" presName="childNode2" presStyleLbl="bgAcc1" presStyleIdx="1" presStyleCnt="3" custScaleY="114643" custLinFactNeighborX="1483" custLinFactNeighborY="5710">
        <dgm:presLayoutVars>
          <dgm:bulletEnabled val="1"/>
        </dgm:presLayoutVars>
      </dgm:prSet>
      <dgm:spPr/>
    </dgm:pt>
    <dgm:pt modelId="{37A149B9-6F57-4997-98BB-83AC3ADD12D4}" type="pres">
      <dgm:prSet presAssocID="{AC2328A0-7C99-4E4A-80E7-DDC03963363C}" presName="childNode2tx" presStyleLbl="bgAcc1" presStyleIdx="1" presStyleCnt="3">
        <dgm:presLayoutVars>
          <dgm:bulletEnabled val="1"/>
        </dgm:presLayoutVars>
      </dgm:prSet>
      <dgm:spPr/>
    </dgm:pt>
    <dgm:pt modelId="{88D1E82E-3078-43C3-B12E-DB9E51BF69D4}" type="pres">
      <dgm:prSet presAssocID="{AC2328A0-7C99-4E4A-80E7-DDC03963363C}" presName="parentNode2" presStyleLbl="node1" presStyleIdx="1" presStyleCnt="3" custLinFactNeighborX="300" custLinFactNeighborY="10976">
        <dgm:presLayoutVars>
          <dgm:chMax val="0"/>
          <dgm:bulletEnabled val="1"/>
        </dgm:presLayoutVars>
      </dgm:prSet>
      <dgm:spPr/>
    </dgm:pt>
    <dgm:pt modelId="{58B9DF0C-914B-4974-B14E-86D72FF02392}" type="pres">
      <dgm:prSet presAssocID="{AC2328A0-7C99-4E4A-80E7-DDC03963363C}" presName="connSite2" presStyleCnt="0"/>
      <dgm:spPr/>
    </dgm:pt>
    <dgm:pt modelId="{ED858D2E-B222-4FF5-AC4D-E75F319B3146}" type="pres">
      <dgm:prSet presAssocID="{D210A0E9-EC09-404D-AE95-9D0F3C7746F9}" presName="Name18" presStyleLbl="sibTrans2D1" presStyleIdx="1" presStyleCnt="2" custScaleX="82835" custLinFactNeighborX="13520" custLinFactNeighborY="11471"/>
      <dgm:spPr/>
    </dgm:pt>
    <dgm:pt modelId="{5A9624EF-7ACA-4D22-A3CE-12C098F49B49}" type="pres">
      <dgm:prSet presAssocID="{C1797981-BA02-4221-AD0F-2313CD7ACF86}" presName="composite1" presStyleCnt="0"/>
      <dgm:spPr/>
    </dgm:pt>
    <dgm:pt modelId="{AC559BC0-A1DD-4743-9482-DC49DE82FC8D}" type="pres">
      <dgm:prSet presAssocID="{C1797981-BA02-4221-AD0F-2313CD7ACF86}" presName="dummyNode1" presStyleLbl="node1" presStyleIdx="1" presStyleCnt="3"/>
      <dgm:spPr/>
    </dgm:pt>
    <dgm:pt modelId="{73D48363-6B13-4EDD-95B4-3839A8A1ABE4}" type="pres">
      <dgm:prSet presAssocID="{C1797981-BA02-4221-AD0F-2313CD7ACF86}" presName="childNode1" presStyleLbl="bgAcc1" presStyleIdx="2" presStyleCnt="3" custScaleX="112470" custLinFactNeighborX="-361" custLinFactNeighborY="8839">
        <dgm:presLayoutVars>
          <dgm:bulletEnabled val="1"/>
        </dgm:presLayoutVars>
      </dgm:prSet>
      <dgm:spPr/>
    </dgm:pt>
    <dgm:pt modelId="{9352C87A-7656-40B2-B6C5-819BB1233F8D}" type="pres">
      <dgm:prSet presAssocID="{C1797981-BA02-4221-AD0F-2313CD7ACF86}" presName="childNode1tx" presStyleLbl="bgAcc1" presStyleIdx="2" presStyleCnt="3">
        <dgm:presLayoutVars>
          <dgm:bulletEnabled val="1"/>
        </dgm:presLayoutVars>
      </dgm:prSet>
      <dgm:spPr/>
    </dgm:pt>
    <dgm:pt modelId="{D0BD3F7F-67C4-4F88-B218-C262EB65758B}" type="pres">
      <dgm:prSet presAssocID="{C1797981-BA02-4221-AD0F-2313CD7ACF86}" presName="parentNode1" presStyleLbl="node1" presStyleIdx="2" presStyleCnt="3" custLinFactNeighborX="-1954" custLinFactNeighborY="35957">
        <dgm:presLayoutVars>
          <dgm:chMax val="1"/>
          <dgm:bulletEnabled val="1"/>
        </dgm:presLayoutVars>
      </dgm:prSet>
      <dgm:spPr/>
    </dgm:pt>
    <dgm:pt modelId="{94E921BC-BE91-4851-9BA1-A2A963705BC2}" type="pres">
      <dgm:prSet presAssocID="{C1797981-BA02-4221-AD0F-2313CD7ACF86}" presName="connSite1" presStyleCnt="0"/>
      <dgm:spPr/>
    </dgm:pt>
  </dgm:ptLst>
  <dgm:cxnLst>
    <dgm:cxn modelId="{C5C30903-16B8-4A3C-94D2-E8A56E8040D9}" type="presOf" srcId="{4CCDBD81-B0A9-41F1-AFFE-AAF854A5D0A9}" destId="{D426D7F1-2CF3-4954-869F-C37B1183B70D}" srcOrd="0" destOrd="4" presId="urn:microsoft.com/office/officeart/2005/8/layout/hProcess4"/>
    <dgm:cxn modelId="{A1FC6B07-93CF-4289-AD52-A28635EF2F38}" type="presOf" srcId="{83760103-8C31-4F2E-9E87-A016BC9EDCF7}" destId="{D426D7F1-2CF3-4954-869F-C37B1183B70D}" srcOrd="0" destOrd="6" presId="urn:microsoft.com/office/officeart/2005/8/layout/hProcess4"/>
    <dgm:cxn modelId="{71938D08-4513-491E-82F2-AEC0D821CDB6}" type="presOf" srcId="{D46B517D-1D34-438C-A00F-1920ED23890F}" destId="{73D48363-6B13-4EDD-95B4-3839A8A1ABE4}" srcOrd="0" destOrd="5" presId="urn:microsoft.com/office/officeart/2005/8/layout/hProcess4"/>
    <dgm:cxn modelId="{76458E0F-2522-44FD-B4ED-7070073E5808}" type="presOf" srcId="{74D56090-959E-4273-9665-0303C9D54B36}" destId="{73D48363-6B13-4EDD-95B4-3839A8A1ABE4}" srcOrd="0" destOrd="2" presId="urn:microsoft.com/office/officeart/2005/8/layout/hProcess4"/>
    <dgm:cxn modelId="{BDC2DE0F-A07E-4457-8968-BED08735CDE6}" srcId="{BE23C3A3-615C-444E-9654-945F35820CA6}" destId="{5A16A0BA-9FC5-4302-8521-B69A5E1F94AF}" srcOrd="3" destOrd="0" parTransId="{94F05721-4497-48A3-A029-FAA47E7D8A08}" sibTransId="{0F3741A1-60D0-4187-A4F2-924603F2EBBD}"/>
    <dgm:cxn modelId="{DF749B12-5EF9-4497-8219-8B962926C855}" srcId="{BE23C3A3-615C-444E-9654-945F35820CA6}" destId="{83760103-8C31-4F2E-9E87-A016BC9EDCF7}" srcOrd="6" destOrd="0" parTransId="{07C80F2E-7A2D-4570-8240-5606ED569070}" sibTransId="{D47F2C86-3B78-4A0D-8566-EF02A2C3D2B1}"/>
    <dgm:cxn modelId="{42A67313-CABF-4330-A7DF-309CD7901DB5}" type="presOf" srcId="{36B69DD7-2AFA-435A-9B3D-68E19ECAD7D6}" destId="{D426D7F1-2CF3-4954-869F-C37B1183B70D}" srcOrd="0" destOrd="7" presId="urn:microsoft.com/office/officeart/2005/8/layout/hProcess4"/>
    <dgm:cxn modelId="{08924018-2308-4AA7-978B-A758A7F1CB71}" type="presOf" srcId="{4CCDBD81-B0A9-41F1-AFFE-AAF854A5D0A9}" destId="{C9763952-28FA-43E5-8198-043F014217F4}" srcOrd="1" destOrd="4" presId="urn:microsoft.com/office/officeart/2005/8/layout/hProcess4"/>
    <dgm:cxn modelId="{19645D18-4A51-45E4-925D-7C8E50E2E8EA}" type="presOf" srcId="{BE23C3A3-615C-444E-9654-945F35820CA6}" destId="{1791910A-EB15-4B7B-8672-80FBA91A323E}" srcOrd="0" destOrd="0" presId="urn:microsoft.com/office/officeart/2005/8/layout/hProcess4"/>
    <dgm:cxn modelId="{F5A6591C-85AC-46DB-8636-61E45E555C87}" type="presOf" srcId="{73191FC9-4A9F-4831-A9E0-44D5A852EFB9}" destId="{37A149B9-6F57-4997-98BB-83AC3ADD12D4}" srcOrd="1" destOrd="2" presId="urn:microsoft.com/office/officeart/2005/8/layout/hProcess4"/>
    <dgm:cxn modelId="{3BE7371D-7308-4CCE-B276-CC66E90DFC17}" type="presOf" srcId="{45B87E64-4FD7-4D66-A3D8-B7C3D0142A10}" destId="{B4A54CC5-1240-4155-A5C7-C65A3002F664}" srcOrd="0" destOrd="0" presId="urn:microsoft.com/office/officeart/2005/8/layout/hProcess4"/>
    <dgm:cxn modelId="{303A071F-607D-4C92-83C8-ABEF0F91555D}" type="presOf" srcId="{83760103-8C31-4F2E-9E87-A016BC9EDCF7}" destId="{C9763952-28FA-43E5-8198-043F014217F4}" srcOrd="1" destOrd="6" presId="urn:microsoft.com/office/officeart/2005/8/layout/hProcess4"/>
    <dgm:cxn modelId="{1EE8C81F-7BF2-4A9B-8533-1EA9777B1830}" type="presOf" srcId="{1BA3F61E-0DC4-4371-A565-B61778F79F3B}" destId="{FCC1DAB3-11D3-4551-98C3-2825D9103349}" srcOrd="0" destOrd="0" presId="urn:microsoft.com/office/officeart/2005/8/layout/hProcess4"/>
    <dgm:cxn modelId="{C06A6D26-6811-49F8-A4CA-8596728790EB}" type="presOf" srcId="{8E685B0D-05CF-405C-B3F2-168CB508385D}" destId="{671E12EE-B8C0-4FE1-B92F-ED824706C6F2}" srcOrd="0" destOrd="0" presId="urn:microsoft.com/office/officeart/2005/8/layout/hProcess4"/>
    <dgm:cxn modelId="{D1CB3027-FA25-4CE8-80C5-5181871EF8EC}" type="presOf" srcId="{C1797981-BA02-4221-AD0F-2313CD7ACF86}" destId="{D0BD3F7F-67C4-4F88-B218-C262EB65758B}" srcOrd="0" destOrd="0" presId="urn:microsoft.com/office/officeart/2005/8/layout/hProcess4"/>
    <dgm:cxn modelId="{9DF45327-4C17-4BC7-BCA6-86E8E47E9C0B}" type="presOf" srcId="{1947CC2A-3DDC-4F48-8675-A36C5C13C4B1}" destId="{D426D7F1-2CF3-4954-869F-C37B1183B70D}" srcOrd="0" destOrd="5" presId="urn:microsoft.com/office/officeart/2005/8/layout/hProcess4"/>
    <dgm:cxn modelId="{B6A5A827-A598-44BE-B6C2-DE33E428A848}" srcId="{BE23C3A3-615C-444E-9654-945F35820CA6}" destId="{4CCDBD81-B0A9-41F1-AFFE-AAF854A5D0A9}" srcOrd="4" destOrd="0" parTransId="{8079D049-4BB4-4A06-A213-777409B0F062}" sibTransId="{63E65492-78E9-4A0E-90C0-8663B208AC25}"/>
    <dgm:cxn modelId="{E7095F2A-E67C-4E39-B6DB-0DCB4025682E}" srcId="{BE23C3A3-615C-444E-9654-945F35820CA6}" destId="{F54BEE4A-C71B-486E-8742-A74C1845BF0B}" srcOrd="8" destOrd="0" parTransId="{E4925DD9-FD9D-4DD9-87CD-A20079527502}" sibTransId="{2B354394-C637-4172-8A9A-B768241C4C90}"/>
    <dgm:cxn modelId="{F4F90A2D-8D8E-493A-972C-A4464DD4AE90}" type="presOf" srcId="{96FD5A85-1E20-4C2D-BD52-9DC001214E15}" destId="{73D48363-6B13-4EDD-95B4-3839A8A1ABE4}" srcOrd="0" destOrd="1" presId="urn:microsoft.com/office/officeart/2005/8/layout/hProcess4"/>
    <dgm:cxn modelId="{DFB9143B-B6BC-41F3-A496-EBAA2841C8BD}" type="presOf" srcId="{FCE47D1E-0C29-4EAC-9A24-253842A6846F}" destId="{C9763952-28FA-43E5-8198-043F014217F4}" srcOrd="1" destOrd="1" presId="urn:microsoft.com/office/officeart/2005/8/layout/hProcess4"/>
    <dgm:cxn modelId="{66B53C3B-603F-4461-9447-69D26FFD5DE6}" type="presOf" srcId="{F54BEE4A-C71B-486E-8742-A74C1845BF0B}" destId="{C9763952-28FA-43E5-8198-043F014217F4}" srcOrd="1" destOrd="8" presId="urn:microsoft.com/office/officeart/2005/8/layout/hProcess4"/>
    <dgm:cxn modelId="{B517A43F-5096-4CEA-B2E5-8E06628FD37A}" type="presOf" srcId="{36B69DD7-2AFA-435A-9B3D-68E19ECAD7D6}" destId="{C9763952-28FA-43E5-8198-043F014217F4}" srcOrd="1" destOrd="7" presId="urn:microsoft.com/office/officeart/2005/8/layout/hProcess4"/>
    <dgm:cxn modelId="{E149495E-FC14-4C6A-AF9A-C188B8CB59F8}" srcId="{C1797981-BA02-4221-AD0F-2313CD7ACF86}" destId="{3C57CAB1-52DC-4CA4-AD88-C543CA07BAB6}" srcOrd="0" destOrd="0" parTransId="{7FF7DCA8-445E-4918-80D3-F840E1109555}" sibTransId="{41D07190-3DA0-4D4D-9957-F14102DFE1B3}"/>
    <dgm:cxn modelId="{AAE3E05E-B823-494F-BBC5-F86FCB4C3F2D}" type="presOf" srcId="{F54BEE4A-C71B-486E-8742-A74C1845BF0B}" destId="{D426D7F1-2CF3-4954-869F-C37B1183B70D}" srcOrd="0" destOrd="8" presId="urn:microsoft.com/office/officeart/2005/8/layout/hProcess4"/>
    <dgm:cxn modelId="{29344962-DF8E-488A-AAC8-7A38E211E64A}" type="presOf" srcId="{C03CC985-41D4-4384-8183-332032525115}" destId="{73D48363-6B13-4EDD-95B4-3839A8A1ABE4}" srcOrd="0" destOrd="6" presId="urn:microsoft.com/office/officeart/2005/8/layout/hProcess4"/>
    <dgm:cxn modelId="{1626C665-4E64-446C-B462-6833EDD3AE95}" type="presOf" srcId="{2E6F8871-25DC-49B0-B235-8DC5D22666BC}" destId="{C9763952-28FA-43E5-8198-043F014217F4}" srcOrd="1" destOrd="0" presId="urn:microsoft.com/office/officeart/2005/8/layout/hProcess4"/>
    <dgm:cxn modelId="{E9A84048-6B09-4931-A57B-9C828AD9D8BF}" srcId="{AC2328A0-7C99-4E4A-80E7-DDC03963363C}" destId="{A3641C03-8674-4EBF-8610-53858F405B3E}" srcOrd="5" destOrd="0" parTransId="{EAD00674-2BB6-49CE-8581-9CA13D1A7EBA}" sibTransId="{28E6521D-0D11-4A37-B7B2-9191B3F185D8}"/>
    <dgm:cxn modelId="{2C47EE4D-BD26-42D9-A222-A8D9F8BA6019}" srcId="{C1797981-BA02-4221-AD0F-2313CD7ACF86}" destId="{C03CC985-41D4-4384-8183-332032525115}" srcOrd="6" destOrd="0" parTransId="{5EFD9DB0-55C8-48A9-A4D4-2F39F2AB933C}" sibTransId="{80EE9C88-DBD8-4247-829E-8D61BDA86BE5}"/>
    <dgm:cxn modelId="{BB648A4E-8BD0-421A-90EC-4AAB77FF6D52}" type="presOf" srcId="{70335DD4-A500-47DC-A4CE-D8258417CB07}" destId="{73D48363-6B13-4EDD-95B4-3839A8A1ABE4}" srcOrd="0" destOrd="4" presId="urn:microsoft.com/office/officeart/2005/8/layout/hProcess4"/>
    <dgm:cxn modelId="{56D49B73-6361-4301-8D00-2006F72E3C76}" type="presOf" srcId="{3C57CAB1-52DC-4CA4-AD88-C543CA07BAB6}" destId="{9352C87A-7656-40B2-B6C5-819BB1233F8D}" srcOrd="1" destOrd="0" presId="urn:microsoft.com/office/officeart/2005/8/layout/hProcess4"/>
    <dgm:cxn modelId="{BA33E173-15DF-4A38-9C93-CE2DA3DF8FC1}" type="presOf" srcId="{FD3BBA3C-8118-4680-B6B5-4B9653A3BB34}" destId="{FCC1DAB3-11D3-4551-98C3-2825D9103349}" srcOrd="0" destOrd="6" presId="urn:microsoft.com/office/officeart/2005/8/layout/hProcess4"/>
    <dgm:cxn modelId="{D2A51674-E8F7-4305-8D74-8EAF3FA678C9}" type="presOf" srcId="{C03CC985-41D4-4384-8183-332032525115}" destId="{9352C87A-7656-40B2-B6C5-819BB1233F8D}" srcOrd="1" destOrd="6" presId="urn:microsoft.com/office/officeart/2005/8/layout/hProcess4"/>
    <dgm:cxn modelId="{313F0A56-0C17-45D4-BF94-76E9A23B4B43}" type="presOf" srcId="{5A16A0BA-9FC5-4302-8521-B69A5E1F94AF}" destId="{D426D7F1-2CF3-4954-869F-C37B1183B70D}" srcOrd="0" destOrd="3" presId="urn:microsoft.com/office/officeart/2005/8/layout/hProcess4"/>
    <dgm:cxn modelId="{886B4578-DE1F-4AEA-BDB7-FA926BD6FDA3}" type="presOf" srcId="{A9248AB7-B06E-4B56-9F44-8CD1CE746325}" destId="{9352C87A-7656-40B2-B6C5-819BB1233F8D}" srcOrd="1" destOrd="3" presId="urn:microsoft.com/office/officeart/2005/8/layout/hProcess4"/>
    <dgm:cxn modelId="{319BB878-0FA6-4E9D-8BF4-43D431CE6758}" srcId="{AC2328A0-7C99-4E4A-80E7-DDC03963363C}" destId="{899C21C6-0B9D-4910-8667-C81463779747}" srcOrd="1" destOrd="0" parTransId="{56A16CD1-8C51-4FE1-8F9A-7900FC736ED5}" sibTransId="{35AA0963-B102-4001-B780-EB9CC6B451AE}"/>
    <dgm:cxn modelId="{8349C65A-7699-432A-A847-B19ACBE30392}" type="presOf" srcId="{337F733F-9DD4-422B-8225-E357EFBFC92B}" destId="{37A149B9-6F57-4997-98BB-83AC3ADD12D4}" srcOrd="1" destOrd="3" presId="urn:microsoft.com/office/officeart/2005/8/layout/hProcess4"/>
    <dgm:cxn modelId="{5D37CF88-B9FB-42F8-953B-BE71CE67B668}" srcId="{AC2328A0-7C99-4E4A-80E7-DDC03963363C}" destId="{1BA3F61E-0DC4-4371-A565-B61778F79F3B}" srcOrd="0" destOrd="0" parTransId="{04C29E06-50B3-449D-9B85-B6B128530B34}" sibTransId="{50070188-A063-4E8E-A5E5-740201AC908B}"/>
    <dgm:cxn modelId="{3AA76189-9E3D-489C-BFFA-2C15044C6EFE}" srcId="{BE23C3A3-615C-444E-9654-945F35820CA6}" destId="{2E6F8871-25DC-49B0-B235-8DC5D22666BC}" srcOrd="0" destOrd="0" parTransId="{0B2E0B0E-C1CF-4E69-A4A5-6AB4A6BB638C}" sibTransId="{D4DA6CFE-397E-47BD-8767-A6C6FE8E22EE}"/>
    <dgm:cxn modelId="{7B9F698B-1449-4714-99C5-7B3F37FB0A4C}" type="presOf" srcId="{A9248AB7-B06E-4B56-9F44-8CD1CE746325}" destId="{73D48363-6B13-4EDD-95B4-3839A8A1ABE4}" srcOrd="0" destOrd="3" presId="urn:microsoft.com/office/officeart/2005/8/layout/hProcess4"/>
    <dgm:cxn modelId="{4FAA1892-9738-4881-BDE5-57B0BA8FCAA7}" srcId="{C1797981-BA02-4221-AD0F-2313CD7ACF86}" destId="{96FD5A85-1E20-4C2D-BD52-9DC001214E15}" srcOrd="1" destOrd="0" parTransId="{234D8A94-4A0E-4C87-85D8-A5870D2D9A39}" sibTransId="{D3DC4482-27F3-4D04-9625-BAA1EA7136B1}"/>
    <dgm:cxn modelId="{64826F94-FC17-49D4-B2BC-685F538F2CC8}" type="presOf" srcId="{3C57CAB1-52DC-4CA4-AD88-C543CA07BAB6}" destId="{73D48363-6B13-4EDD-95B4-3839A8A1ABE4}" srcOrd="0" destOrd="0" presId="urn:microsoft.com/office/officeart/2005/8/layout/hProcess4"/>
    <dgm:cxn modelId="{485CF696-8202-4AB1-9CAA-2F2376069F13}" type="presOf" srcId="{5A16A0BA-9FC5-4302-8521-B69A5E1F94AF}" destId="{C9763952-28FA-43E5-8198-043F014217F4}" srcOrd="1" destOrd="3" presId="urn:microsoft.com/office/officeart/2005/8/layout/hProcess4"/>
    <dgm:cxn modelId="{17E44C99-D0A4-40C1-9306-96A66D5B8293}" type="presOf" srcId="{FCE47D1E-0C29-4EAC-9A24-253842A6846F}" destId="{D426D7F1-2CF3-4954-869F-C37B1183B70D}" srcOrd="0" destOrd="1" presId="urn:microsoft.com/office/officeart/2005/8/layout/hProcess4"/>
    <dgm:cxn modelId="{2BF50E9C-B025-4B96-9C69-A76A5B18A64A}" type="presOf" srcId="{DA1C945C-3DB9-44D8-86E9-C122A8032771}" destId="{73D48363-6B13-4EDD-95B4-3839A8A1ABE4}" srcOrd="0" destOrd="7" presId="urn:microsoft.com/office/officeart/2005/8/layout/hProcess4"/>
    <dgm:cxn modelId="{E3725F9C-B3CC-4170-BD28-F8F00AA49909}" type="presOf" srcId="{70335DD4-A500-47DC-A4CE-D8258417CB07}" destId="{9352C87A-7656-40B2-B6C5-819BB1233F8D}" srcOrd="1" destOrd="4" presId="urn:microsoft.com/office/officeart/2005/8/layout/hProcess4"/>
    <dgm:cxn modelId="{0F9409A1-F1AC-476D-B2BF-AE26E8FE6A06}" type="presOf" srcId="{AC2328A0-7C99-4E4A-80E7-DDC03963363C}" destId="{88D1E82E-3078-43C3-B12E-DB9E51BF69D4}" srcOrd="0" destOrd="0" presId="urn:microsoft.com/office/officeart/2005/8/layout/hProcess4"/>
    <dgm:cxn modelId="{439906A5-F534-4C8F-9161-861D89DB60F2}" srcId="{AC2328A0-7C99-4E4A-80E7-DDC03963363C}" destId="{15D9BCA0-4793-4161-9A7E-B12BC12E9A28}" srcOrd="4" destOrd="0" parTransId="{97A2FE42-3312-45AC-B8CE-8BB6640F3689}" sibTransId="{5F4B3C11-7EBA-4784-988F-FAB01AEB44D7}"/>
    <dgm:cxn modelId="{9A6FB6A9-4A7F-4684-BB6A-2D1C43BB7E60}" type="presOf" srcId="{1947CC2A-3DDC-4F48-8675-A36C5C13C4B1}" destId="{C9763952-28FA-43E5-8198-043F014217F4}" srcOrd="1" destOrd="5" presId="urn:microsoft.com/office/officeart/2005/8/layout/hProcess4"/>
    <dgm:cxn modelId="{93F6A4AB-B046-494C-B433-2D4A43F8ACF9}" type="presOf" srcId="{A3641C03-8674-4EBF-8610-53858F405B3E}" destId="{FCC1DAB3-11D3-4551-98C3-2825D9103349}" srcOrd="0" destOrd="5" presId="urn:microsoft.com/office/officeart/2005/8/layout/hProcess4"/>
    <dgm:cxn modelId="{113FFEAB-4148-4A5D-B773-ECBEB0165C5A}" srcId="{C1797981-BA02-4221-AD0F-2313CD7ACF86}" destId="{DA1C945C-3DB9-44D8-86E9-C122A8032771}" srcOrd="7" destOrd="0" parTransId="{BA03F99C-3EDA-481F-A8C9-785437A562F3}" sibTransId="{E91B8184-6C98-425F-86BE-7A02CAE8E0EB}"/>
    <dgm:cxn modelId="{E0775AB3-7438-4D93-B994-7147B8B8EC6F}" srcId="{C1797981-BA02-4221-AD0F-2313CD7ACF86}" destId="{74D56090-959E-4273-9665-0303C9D54B36}" srcOrd="2" destOrd="0" parTransId="{39B81FF8-523F-4AEB-ABBE-2678444D8E04}" sibTransId="{F1468E04-7862-4078-A0EC-D7984528ADE9}"/>
    <dgm:cxn modelId="{E390C1B3-147F-44AA-983A-5787AB7F1789}" srcId="{8E685B0D-05CF-405C-B3F2-168CB508385D}" destId="{AC2328A0-7C99-4E4A-80E7-DDC03963363C}" srcOrd="1" destOrd="0" parTransId="{2F6BE1BE-7953-4992-9D58-E06F19D8C54C}" sibTransId="{D210A0E9-EC09-404D-AE95-9D0F3C7746F9}"/>
    <dgm:cxn modelId="{DE5624BC-4A11-4007-99EC-8B1257B3097B}" type="presOf" srcId="{899C21C6-0B9D-4910-8667-C81463779747}" destId="{37A149B9-6F57-4997-98BB-83AC3ADD12D4}" srcOrd="1" destOrd="1" presId="urn:microsoft.com/office/officeart/2005/8/layout/hProcess4"/>
    <dgm:cxn modelId="{0E345CBD-F645-4A1B-9543-225FC14C1685}" type="presOf" srcId="{96FD5A85-1E20-4C2D-BD52-9DC001214E15}" destId="{9352C87A-7656-40B2-B6C5-819BB1233F8D}" srcOrd="1" destOrd="1" presId="urn:microsoft.com/office/officeart/2005/8/layout/hProcess4"/>
    <dgm:cxn modelId="{54557FC4-AC7F-469D-9A62-6A04DB8A34D5}" type="presOf" srcId="{A3641C03-8674-4EBF-8610-53858F405B3E}" destId="{37A149B9-6F57-4997-98BB-83AC3ADD12D4}" srcOrd="1" destOrd="5" presId="urn:microsoft.com/office/officeart/2005/8/layout/hProcess4"/>
    <dgm:cxn modelId="{850FD4C8-94F7-4074-BE58-86734496DFC9}" type="presOf" srcId="{FD3BBA3C-8118-4680-B6B5-4B9653A3BB34}" destId="{37A149B9-6F57-4997-98BB-83AC3ADD12D4}" srcOrd="1" destOrd="6" presId="urn:microsoft.com/office/officeart/2005/8/layout/hProcess4"/>
    <dgm:cxn modelId="{19A594CE-7F68-44DF-900D-007E5357EF33}" type="presOf" srcId="{337F733F-9DD4-422B-8225-E357EFBFC92B}" destId="{FCC1DAB3-11D3-4551-98C3-2825D9103349}" srcOrd="0" destOrd="3" presId="urn:microsoft.com/office/officeart/2005/8/layout/hProcess4"/>
    <dgm:cxn modelId="{A7E029D1-DDD6-4773-904A-D93EE2DE0656}" srcId="{BE23C3A3-615C-444E-9654-945F35820CA6}" destId="{FCE47D1E-0C29-4EAC-9A24-253842A6846F}" srcOrd="1" destOrd="0" parTransId="{B73818B9-11F2-4AF2-82E1-C1820C9A2FED}" sibTransId="{D0408BD7-87A2-48CB-BEBB-1B0561427134}"/>
    <dgm:cxn modelId="{23C860D1-3A55-4F26-BF33-5DE221E11587}" type="presOf" srcId="{2E6F8871-25DC-49B0-B235-8DC5D22666BC}" destId="{D426D7F1-2CF3-4954-869F-C37B1183B70D}" srcOrd="0" destOrd="0" presId="urn:microsoft.com/office/officeart/2005/8/layout/hProcess4"/>
    <dgm:cxn modelId="{CFA606D4-F9AC-4043-A933-6487E13E9C38}" type="presOf" srcId="{D46B517D-1D34-438C-A00F-1920ED23890F}" destId="{9352C87A-7656-40B2-B6C5-819BB1233F8D}" srcOrd="1" destOrd="5" presId="urn:microsoft.com/office/officeart/2005/8/layout/hProcess4"/>
    <dgm:cxn modelId="{9B51D0D7-9D08-4FC0-B9DD-853A1BAC30E0}" type="presOf" srcId="{DA1C945C-3DB9-44D8-86E9-C122A8032771}" destId="{9352C87A-7656-40B2-B6C5-819BB1233F8D}" srcOrd="1" destOrd="7" presId="urn:microsoft.com/office/officeart/2005/8/layout/hProcess4"/>
    <dgm:cxn modelId="{AF24BDD9-C33E-429B-B935-3869C921B886}" srcId="{BE23C3A3-615C-444E-9654-945F35820CA6}" destId="{36B69DD7-2AFA-435A-9B3D-68E19ECAD7D6}" srcOrd="7" destOrd="0" parTransId="{B817FF11-DC76-4341-809C-1B8C10047862}" sibTransId="{FC507C91-73DD-4A2D-AC56-412FD95220B6}"/>
    <dgm:cxn modelId="{A55431DC-4350-47BE-984D-E23C3873266A}" type="presOf" srcId="{899C21C6-0B9D-4910-8667-C81463779747}" destId="{FCC1DAB3-11D3-4551-98C3-2825D9103349}" srcOrd="0" destOrd="1" presId="urn:microsoft.com/office/officeart/2005/8/layout/hProcess4"/>
    <dgm:cxn modelId="{5B8977DD-BF85-45B6-BA1D-C28FF9AAC1C9}" type="presOf" srcId="{73191FC9-4A9F-4831-A9E0-44D5A852EFB9}" destId="{FCC1DAB3-11D3-4551-98C3-2825D9103349}" srcOrd="0" destOrd="2" presId="urn:microsoft.com/office/officeart/2005/8/layout/hProcess4"/>
    <dgm:cxn modelId="{DFD873DF-C6F6-4A78-944F-1C8E564B7EEF}" srcId="{8E685B0D-05CF-405C-B3F2-168CB508385D}" destId="{BE23C3A3-615C-444E-9654-945F35820CA6}" srcOrd="0" destOrd="0" parTransId="{4510D2E0-973A-4645-905C-8A72D1A1D8A9}" sibTransId="{45B87E64-4FD7-4D66-A3D8-B7C3D0142A10}"/>
    <dgm:cxn modelId="{794207E0-C3D6-4D37-B666-014656DE2A58}" srcId="{AC2328A0-7C99-4E4A-80E7-DDC03963363C}" destId="{73191FC9-4A9F-4831-A9E0-44D5A852EFB9}" srcOrd="2" destOrd="0" parTransId="{3EE8E6F5-6B83-4350-8E26-7B339203D056}" sibTransId="{78FE9B96-F63B-446B-B925-095D7C01750A}"/>
    <dgm:cxn modelId="{81848DE1-C0A5-47C7-BA55-BCFBC4107D76}" srcId="{BE23C3A3-615C-444E-9654-945F35820CA6}" destId="{1947CC2A-3DDC-4F48-8675-A36C5C13C4B1}" srcOrd="5" destOrd="0" parTransId="{1FA5601F-660C-4EAB-8774-95FEBF71E323}" sibTransId="{F802D25D-1098-4AE5-A8FE-F72CD3E3903B}"/>
    <dgm:cxn modelId="{6D7EBBE6-3488-45EB-94BB-C477987340DE}" srcId="{BE23C3A3-615C-444E-9654-945F35820CA6}" destId="{AB1D9BE9-777F-435D-9A84-07DC1D054AA8}" srcOrd="2" destOrd="0" parTransId="{5F667B6B-A789-4261-8ECB-F1DB8F12C7ED}" sibTransId="{FCDD5896-7DFA-4EAE-9BDF-83807BAF8DBD}"/>
    <dgm:cxn modelId="{D05273E8-D1DD-4197-972C-8E55F0815196}" type="presOf" srcId="{15D9BCA0-4793-4161-9A7E-B12BC12E9A28}" destId="{37A149B9-6F57-4997-98BB-83AC3ADD12D4}" srcOrd="1" destOrd="4" presId="urn:microsoft.com/office/officeart/2005/8/layout/hProcess4"/>
    <dgm:cxn modelId="{589AACE8-B117-45F4-9B11-81D8881EEBAE}" srcId="{C1797981-BA02-4221-AD0F-2313CD7ACF86}" destId="{70335DD4-A500-47DC-A4CE-D8258417CB07}" srcOrd="4" destOrd="0" parTransId="{85985F61-FA6D-4E76-AFDA-E799AE23F472}" sibTransId="{434BFD39-664A-41A1-B68A-D28BE5623AD1}"/>
    <dgm:cxn modelId="{288D58E9-1DC9-4BDD-BA5E-D7502D9E1396}" type="presOf" srcId="{15D9BCA0-4793-4161-9A7E-B12BC12E9A28}" destId="{FCC1DAB3-11D3-4551-98C3-2825D9103349}" srcOrd="0" destOrd="4" presId="urn:microsoft.com/office/officeart/2005/8/layout/hProcess4"/>
    <dgm:cxn modelId="{4C740FEB-B718-45E1-8D42-5D261F720B59}" srcId="{AC2328A0-7C99-4E4A-80E7-DDC03963363C}" destId="{337F733F-9DD4-422B-8225-E357EFBFC92B}" srcOrd="3" destOrd="0" parTransId="{39B072F9-0CE1-4CE0-9C75-EA28154DB831}" sibTransId="{B64202CF-F70A-4AB4-8749-6ABCA131640A}"/>
    <dgm:cxn modelId="{4D402EED-D1ED-4B0A-BB0B-8BDDA2FA841E}" type="presOf" srcId="{AB1D9BE9-777F-435D-9A84-07DC1D054AA8}" destId="{D426D7F1-2CF3-4954-869F-C37B1183B70D}" srcOrd="0" destOrd="2" presId="urn:microsoft.com/office/officeart/2005/8/layout/hProcess4"/>
    <dgm:cxn modelId="{88A899F0-2218-4CCE-B382-E16AB3FFFBBF}" srcId="{C1797981-BA02-4221-AD0F-2313CD7ACF86}" destId="{D46B517D-1D34-438C-A00F-1920ED23890F}" srcOrd="5" destOrd="0" parTransId="{2B24CD42-5250-4F05-9762-DB49711EAE8A}" sibTransId="{077EF2EC-F0CD-4F9F-AA9E-6F841C92FFBE}"/>
    <dgm:cxn modelId="{15554DF1-950A-474F-90D2-901C072D8329}" type="presOf" srcId="{1BA3F61E-0DC4-4371-A565-B61778F79F3B}" destId="{37A149B9-6F57-4997-98BB-83AC3ADD12D4}" srcOrd="1" destOrd="0" presId="urn:microsoft.com/office/officeart/2005/8/layout/hProcess4"/>
    <dgm:cxn modelId="{6963CEF1-6932-4E42-908C-8A941120B2EB}" type="presOf" srcId="{D210A0E9-EC09-404D-AE95-9D0F3C7746F9}" destId="{ED858D2E-B222-4FF5-AC4D-E75F319B3146}" srcOrd="0" destOrd="0" presId="urn:microsoft.com/office/officeart/2005/8/layout/hProcess4"/>
    <dgm:cxn modelId="{D743EEF6-69E4-45A7-A582-F15248FBE251}" srcId="{C1797981-BA02-4221-AD0F-2313CD7ACF86}" destId="{A9248AB7-B06E-4B56-9F44-8CD1CE746325}" srcOrd="3" destOrd="0" parTransId="{CD5EF1DB-0AD0-4872-9714-D709D5982ABA}" sibTransId="{CDB2A9A0-7480-48AF-9C7D-F2D7B75AD314}"/>
    <dgm:cxn modelId="{CF5FC9F7-CD63-41BC-ADEB-F5448287CD88}" type="presOf" srcId="{74D56090-959E-4273-9665-0303C9D54B36}" destId="{9352C87A-7656-40B2-B6C5-819BB1233F8D}" srcOrd="1" destOrd="2" presId="urn:microsoft.com/office/officeart/2005/8/layout/hProcess4"/>
    <dgm:cxn modelId="{F15FD5F8-800E-4D7D-A451-EC14C0F2C950}" srcId="{8E685B0D-05CF-405C-B3F2-168CB508385D}" destId="{C1797981-BA02-4221-AD0F-2313CD7ACF86}" srcOrd="2" destOrd="0" parTransId="{BA9FD203-3E69-4EFA-BC57-17530CEE3BE2}" sibTransId="{9AB86336-6279-46FC-9D57-ACE00AED4410}"/>
    <dgm:cxn modelId="{3F6000FB-E534-4F0F-8755-28C87AEFDEE1}" type="presOf" srcId="{AB1D9BE9-777F-435D-9A84-07DC1D054AA8}" destId="{C9763952-28FA-43E5-8198-043F014217F4}" srcOrd="1" destOrd="2" presId="urn:microsoft.com/office/officeart/2005/8/layout/hProcess4"/>
    <dgm:cxn modelId="{95BFCFFC-175B-40FA-A2D3-6B0A423D1B29}" srcId="{AC2328A0-7C99-4E4A-80E7-DDC03963363C}" destId="{FD3BBA3C-8118-4680-B6B5-4B9653A3BB34}" srcOrd="6" destOrd="0" parTransId="{EF5E99D8-2562-4B76-9EDD-5C9A33830C93}" sibTransId="{AA7200F1-D641-499C-A415-36A1F749C9D7}"/>
    <dgm:cxn modelId="{1CF53DDA-6C89-425A-A56F-BC5735F5C5E2}" type="presParOf" srcId="{671E12EE-B8C0-4FE1-B92F-ED824706C6F2}" destId="{963EB978-CCDB-4E12-97B6-D5DEFFBFED45}" srcOrd="0" destOrd="0" presId="urn:microsoft.com/office/officeart/2005/8/layout/hProcess4"/>
    <dgm:cxn modelId="{E4689AA9-9D36-4189-AE78-0642494E12E8}" type="presParOf" srcId="{671E12EE-B8C0-4FE1-B92F-ED824706C6F2}" destId="{4B10BA60-BC86-4FEC-918C-ADC571CE35C1}" srcOrd="1" destOrd="0" presId="urn:microsoft.com/office/officeart/2005/8/layout/hProcess4"/>
    <dgm:cxn modelId="{269BBA1A-2147-407F-9C40-CC10DBB5804F}" type="presParOf" srcId="{671E12EE-B8C0-4FE1-B92F-ED824706C6F2}" destId="{300C9C2B-9A23-4F5C-B81D-3AAD3B23C7DE}" srcOrd="2" destOrd="0" presId="urn:microsoft.com/office/officeart/2005/8/layout/hProcess4"/>
    <dgm:cxn modelId="{D1F1D532-F182-4AA0-8D40-4EF580043784}" type="presParOf" srcId="{300C9C2B-9A23-4F5C-B81D-3AAD3B23C7DE}" destId="{1D5D8BC8-572B-4493-9AF5-9466AA627631}" srcOrd="0" destOrd="0" presId="urn:microsoft.com/office/officeart/2005/8/layout/hProcess4"/>
    <dgm:cxn modelId="{FB71C47E-6033-4B2C-9583-D9ABA8FC1674}" type="presParOf" srcId="{1D5D8BC8-572B-4493-9AF5-9466AA627631}" destId="{1D96B3B1-FDC3-469D-A9B6-FABDAC9C3FEA}" srcOrd="0" destOrd="0" presId="urn:microsoft.com/office/officeart/2005/8/layout/hProcess4"/>
    <dgm:cxn modelId="{6C2AA3F8-8FB5-4770-97A9-739734FD45E7}" type="presParOf" srcId="{1D5D8BC8-572B-4493-9AF5-9466AA627631}" destId="{D426D7F1-2CF3-4954-869F-C37B1183B70D}" srcOrd="1" destOrd="0" presId="urn:microsoft.com/office/officeart/2005/8/layout/hProcess4"/>
    <dgm:cxn modelId="{791F9E3C-ABDD-4928-BA1A-9922152E60AB}" type="presParOf" srcId="{1D5D8BC8-572B-4493-9AF5-9466AA627631}" destId="{C9763952-28FA-43E5-8198-043F014217F4}" srcOrd="2" destOrd="0" presId="urn:microsoft.com/office/officeart/2005/8/layout/hProcess4"/>
    <dgm:cxn modelId="{F589235B-2B05-4074-ACBD-2521B287094F}" type="presParOf" srcId="{1D5D8BC8-572B-4493-9AF5-9466AA627631}" destId="{1791910A-EB15-4B7B-8672-80FBA91A323E}" srcOrd="3" destOrd="0" presId="urn:microsoft.com/office/officeart/2005/8/layout/hProcess4"/>
    <dgm:cxn modelId="{7359E2EA-9AE8-4D6A-867F-8EB56FAD2AB1}" type="presParOf" srcId="{1D5D8BC8-572B-4493-9AF5-9466AA627631}" destId="{FDE58960-8844-47CD-BA14-916AF33172C7}" srcOrd="4" destOrd="0" presId="urn:microsoft.com/office/officeart/2005/8/layout/hProcess4"/>
    <dgm:cxn modelId="{8CFFB5D1-8888-46B6-AC36-11B0A729E717}" type="presParOf" srcId="{300C9C2B-9A23-4F5C-B81D-3AAD3B23C7DE}" destId="{B4A54CC5-1240-4155-A5C7-C65A3002F664}" srcOrd="1" destOrd="0" presId="urn:microsoft.com/office/officeart/2005/8/layout/hProcess4"/>
    <dgm:cxn modelId="{54A8612D-0119-4C9F-A4FF-7350DFDC022C}" type="presParOf" srcId="{300C9C2B-9A23-4F5C-B81D-3AAD3B23C7DE}" destId="{EE2C61C9-153D-4815-90B6-07D927AAA174}" srcOrd="2" destOrd="0" presId="urn:microsoft.com/office/officeart/2005/8/layout/hProcess4"/>
    <dgm:cxn modelId="{6F865AC0-547F-4C4A-9D97-783682CFF4F0}" type="presParOf" srcId="{EE2C61C9-153D-4815-90B6-07D927AAA174}" destId="{297F49C2-BA65-4897-9E6A-194D9C50AC9E}" srcOrd="0" destOrd="0" presId="urn:microsoft.com/office/officeart/2005/8/layout/hProcess4"/>
    <dgm:cxn modelId="{7430DB04-2A3E-45E1-9394-23E51B274D05}" type="presParOf" srcId="{EE2C61C9-153D-4815-90B6-07D927AAA174}" destId="{FCC1DAB3-11D3-4551-98C3-2825D9103349}" srcOrd="1" destOrd="0" presId="urn:microsoft.com/office/officeart/2005/8/layout/hProcess4"/>
    <dgm:cxn modelId="{E2A49914-DCDA-4FB5-8D29-44A27F37154C}" type="presParOf" srcId="{EE2C61C9-153D-4815-90B6-07D927AAA174}" destId="{37A149B9-6F57-4997-98BB-83AC3ADD12D4}" srcOrd="2" destOrd="0" presId="urn:microsoft.com/office/officeart/2005/8/layout/hProcess4"/>
    <dgm:cxn modelId="{AD72FD85-308E-44C2-994E-783979167E29}" type="presParOf" srcId="{EE2C61C9-153D-4815-90B6-07D927AAA174}" destId="{88D1E82E-3078-43C3-B12E-DB9E51BF69D4}" srcOrd="3" destOrd="0" presId="urn:microsoft.com/office/officeart/2005/8/layout/hProcess4"/>
    <dgm:cxn modelId="{165ADCBB-940E-4056-8D0C-E3DF62494A8F}" type="presParOf" srcId="{EE2C61C9-153D-4815-90B6-07D927AAA174}" destId="{58B9DF0C-914B-4974-B14E-86D72FF02392}" srcOrd="4" destOrd="0" presId="urn:microsoft.com/office/officeart/2005/8/layout/hProcess4"/>
    <dgm:cxn modelId="{683A7C52-084D-453B-AF0D-2025C6D1D5E2}" type="presParOf" srcId="{300C9C2B-9A23-4F5C-B81D-3AAD3B23C7DE}" destId="{ED858D2E-B222-4FF5-AC4D-E75F319B3146}" srcOrd="3" destOrd="0" presId="urn:microsoft.com/office/officeart/2005/8/layout/hProcess4"/>
    <dgm:cxn modelId="{E5577F0C-AA90-499A-93D9-B20570AB8BCA}" type="presParOf" srcId="{300C9C2B-9A23-4F5C-B81D-3AAD3B23C7DE}" destId="{5A9624EF-7ACA-4D22-A3CE-12C098F49B49}" srcOrd="4" destOrd="0" presId="urn:microsoft.com/office/officeart/2005/8/layout/hProcess4"/>
    <dgm:cxn modelId="{101A28EF-A593-4389-BF74-1B135367F607}" type="presParOf" srcId="{5A9624EF-7ACA-4D22-A3CE-12C098F49B49}" destId="{AC559BC0-A1DD-4743-9482-DC49DE82FC8D}" srcOrd="0" destOrd="0" presId="urn:microsoft.com/office/officeart/2005/8/layout/hProcess4"/>
    <dgm:cxn modelId="{ED401390-CEE9-430C-ACCC-516D7E6AB5CB}" type="presParOf" srcId="{5A9624EF-7ACA-4D22-A3CE-12C098F49B49}" destId="{73D48363-6B13-4EDD-95B4-3839A8A1ABE4}" srcOrd="1" destOrd="0" presId="urn:microsoft.com/office/officeart/2005/8/layout/hProcess4"/>
    <dgm:cxn modelId="{430D6F72-3499-4766-922E-483C0B865231}" type="presParOf" srcId="{5A9624EF-7ACA-4D22-A3CE-12C098F49B49}" destId="{9352C87A-7656-40B2-B6C5-819BB1233F8D}" srcOrd="2" destOrd="0" presId="urn:microsoft.com/office/officeart/2005/8/layout/hProcess4"/>
    <dgm:cxn modelId="{AC36F76C-881A-49D5-9F87-D98066CAA6FD}" type="presParOf" srcId="{5A9624EF-7ACA-4D22-A3CE-12C098F49B49}" destId="{D0BD3F7F-67C4-4F88-B218-C262EB65758B}" srcOrd="3" destOrd="0" presId="urn:microsoft.com/office/officeart/2005/8/layout/hProcess4"/>
    <dgm:cxn modelId="{CC54F304-FBC3-4CEA-A46D-6537315B5038}" type="presParOf" srcId="{5A9624EF-7ACA-4D22-A3CE-12C098F49B49}" destId="{94E921BC-BE91-4851-9BA1-A2A963705BC2}" srcOrd="4" destOrd="0" presId="urn:microsoft.com/office/officeart/2005/8/layout/hProcess4"/>
  </dgm:cxnLst>
  <dgm:bg>
    <a:solidFill>
      <a:schemeClr val="accent1">
        <a:lumMod val="40000"/>
        <a:lumOff val="60000"/>
      </a:schemeClr>
    </a:solidFill>
  </dgm:bg>
  <dgm:whole>
    <a:ln>
      <a:solidFill>
        <a:schemeClr val="accent1"/>
      </a:solidFill>
    </a:ln>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D426D7F1-2CF3-4954-869F-C37B1183B70D}">
      <dsp:nvSpPr>
        <dsp:cNvPr id="0" name=""/>
        <dsp:cNvSpPr/>
      </dsp:nvSpPr>
      <dsp:spPr>
        <a:xfrm>
          <a:off x="780421" y="854074"/>
          <a:ext cx="1921304" cy="1672119"/>
        </a:xfrm>
        <a:prstGeom prst="roundRect">
          <a:avLst>
            <a:gd name="adj" fmla="val 10000"/>
          </a:avLst>
        </a:prstGeom>
        <a:solidFill>
          <a:schemeClr val="accent4">
            <a:lumMod val="60000"/>
            <a:lumOff val="40000"/>
            <a:alpha val="90000"/>
          </a:schemeClr>
        </a:solidFill>
        <a:ln w="12700" cap="flat" cmpd="sng" algn="ctr">
          <a:solidFill>
            <a:schemeClr val="accent2">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19050" tIns="19050" rIns="19050" bIns="19050" numCol="1" spcCol="1270" anchor="t" anchorCtr="0">
          <a:noAutofit/>
        </a:bodyPr>
        <a:lstStyle/>
        <a:p>
          <a:pPr marL="57150" lvl="1" indent="-57150" algn="l" defTabSz="400050">
            <a:lnSpc>
              <a:spcPct val="90000"/>
            </a:lnSpc>
            <a:spcBef>
              <a:spcPct val="0"/>
            </a:spcBef>
            <a:spcAft>
              <a:spcPct val="15000"/>
            </a:spcAft>
            <a:buChar char="•"/>
          </a:pPr>
          <a:r>
            <a:rPr lang="en-ZA" sz="900" kern="1200"/>
            <a:t>Plant capacity/performance </a:t>
          </a:r>
          <a:r>
            <a:rPr lang="en-ZA" sz="900" kern="1200">
              <a:solidFill>
                <a:srgbClr val="FF0000"/>
              </a:solidFill>
            </a:rPr>
            <a:t>(1.1)</a:t>
          </a:r>
        </a:p>
        <a:p>
          <a:pPr marL="57150" lvl="1" indent="-57150" algn="l" defTabSz="400050">
            <a:lnSpc>
              <a:spcPct val="90000"/>
            </a:lnSpc>
            <a:spcBef>
              <a:spcPct val="0"/>
            </a:spcBef>
            <a:spcAft>
              <a:spcPct val="15000"/>
            </a:spcAft>
            <a:buChar char="•"/>
          </a:pPr>
          <a:r>
            <a:rPr lang="en-ZA" sz="900" kern="1200"/>
            <a:t>Capital costs and useful lives </a:t>
          </a:r>
          <a:r>
            <a:rPr lang="en-ZA" sz="900" kern="1200">
              <a:solidFill>
                <a:srgbClr val="FF0000"/>
              </a:solidFill>
            </a:rPr>
            <a:t>(1.2</a:t>
          </a:r>
          <a:r>
            <a:rPr lang="en-ZA" sz="900" kern="1200"/>
            <a:t>)</a:t>
          </a:r>
        </a:p>
        <a:p>
          <a:pPr marL="57150" lvl="1" indent="-57150" algn="l" defTabSz="400050">
            <a:lnSpc>
              <a:spcPct val="90000"/>
            </a:lnSpc>
            <a:spcBef>
              <a:spcPct val="0"/>
            </a:spcBef>
            <a:spcAft>
              <a:spcPct val="15000"/>
            </a:spcAft>
            <a:buChar char="•"/>
          </a:pPr>
          <a:r>
            <a:rPr lang="en-ZA" sz="900" kern="1200"/>
            <a:t>Working capital </a:t>
          </a:r>
          <a:r>
            <a:rPr lang="en-ZA" sz="900" kern="1200">
              <a:solidFill>
                <a:srgbClr val="FF0000"/>
              </a:solidFill>
            </a:rPr>
            <a:t>(1.3)</a:t>
          </a:r>
        </a:p>
        <a:p>
          <a:pPr marL="57150" lvl="1" indent="-57150" algn="l" defTabSz="400050">
            <a:lnSpc>
              <a:spcPct val="90000"/>
            </a:lnSpc>
            <a:spcBef>
              <a:spcPct val="0"/>
            </a:spcBef>
            <a:spcAft>
              <a:spcPct val="15000"/>
            </a:spcAft>
            <a:buChar char="•"/>
          </a:pPr>
          <a:r>
            <a:rPr lang="en-ZA" sz="900" kern="1200"/>
            <a:t>Operating and maintenance costs</a:t>
          </a:r>
          <a:r>
            <a:rPr lang="en-ZA" sz="900" kern="1200">
              <a:solidFill>
                <a:srgbClr val="FF0000"/>
              </a:solidFill>
            </a:rPr>
            <a:t>(1.4)</a:t>
          </a:r>
        </a:p>
        <a:p>
          <a:pPr marL="57150" lvl="1" indent="-57150" algn="l" defTabSz="400050">
            <a:lnSpc>
              <a:spcPct val="90000"/>
            </a:lnSpc>
            <a:spcBef>
              <a:spcPct val="0"/>
            </a:spcBef>
            <a:spcAft>
              <a:spcPct val="15000"/>
            </a:spcAft>
            <a:buChar char="•"/>
          </a:pPr>
          <a:r>
            <a:rPr lang="en-ZA" sz="900" kern="1200"/>
            <a:t>Subsidies/grants/other revenues </a:t>
          </a:r>
          <a:r>
            <a:rPr lang="en-ZA" sz="900" kern="1200">
              <a:solidFill>
                <a:srgbClr val="FF0000"/>
              </a:solidFill>
            </a:rPr>
            <a:t>(1.5)</a:t>
          </a:r>
        </a:p>
        <a:p>
          <a:pPr marL="57150" lvl="1" indent="-57150" algn="l" defTabSz="400050">
            <a:lnSpc>
              <a:spcPct val="90000"/>
            </a:lnSpc>
            <a:spcBef>
              <a:spcPct val="0"/>
            </a:spcBef>
            <a:spcAft>
              <a:spcPct val="15000"/>
            </a:spcAft>
            <a:buChar char="•"/>
          </a:pPr>
          <a:r>
            <a:rPr lang="en-ZA" sz="900" kern="1200"/>
            <a:t>Financing information</a:t>
          </a:r>
          <a:r>
            <a:rPr lang="en-ZA" sz="900" kern="1200">
              <a:solidFill>
                <a:srgbClr val="FF0000"/>
              </a:solidFill>
            </a:rPr>
            <a:t>(1.7)</a:t>
          </a:r>
        </a:p>
        <a:p>
          <a:pPr marL="57150" lvl="1" indent="-57150" algn="l" defTabSz="400050">
            <a:lnSpc>
              <a:spcPct val="90000"/>
            </a:lnSpc>
            <a:spcBef>
              <a:spcPct val="0"/>
            </a:spcBef>
            <a:spcAft>
              <a:spcPct val="15000"/>
            </a:spcAft>
            <a:buChar char="•"/>
          </a:pPr>
          <a:r>
            <a:rPr lang="en-ZA" sz="900" kern="1200"/>
            <a:t>Customer categories </a:t>
          </a:r>
          <a:r>
            <a:rPr lang="en-ZA" sz="900" kern="1200">
              <a:solidFill>
                <a:srgbClr val="FF0000"/>
              </a:solidFill>
            </a:rPr>
            <a:t>(1.8)</a:t>
          </a:r>
        </a:p>
        <a:p>
          <a:pPr marL="57150" lvl="1" indent="-57150" algn="l" defTabSz="400050">
            <a:lnSpc>
              <a:spcPct val="90000"/>
            </a:lnSpc>
            <a:spcBef>
              <a:spcPct val="0"/>
            </a:spcBef>
            <a:spcAft>
              <a:spcPct val="15000"/>
            </a:spcAft>
            <a:buChar char="•"/>
          </a:pPr>
          <a:r>
            <a:rPr lang="en-ZA" sz="900" kern="1200"/>
            <a:t>Economic data</a:t>
          </a:r>
          <a:r>
            <a:rPr lang="en-ZA" sz="900" kern="1200">
              <a:solidFill>
                <a:srgbClr val="FF0000"/>
              </a:solidFill>
            </a:rPr>
            <a:t>(1.9)</a:t>
          </a:r>
        </a:p>
        <a:p>
          <a:pPr marL="57150" lvl="1" indent="-57150" algn="l" defTabSz="400050">
            <a:lnSpc>
              <a:spcPct val="90000"/>
            </a:lnSpc>
            <a:spcBef>
              <a:spcPct val="0"/>
            </a:spcBef>
            <a:spcAft>
              <a:spcPct val="15000"/>
            </a:spcAft>
            <a:buChar char="•"/>
          </a:pPr>
          <a:r>
            <a:rPr lang="en-ZA" sz="900" kern="1200"/>
            <a:t>Benchmarks</a:t>
          </a:r>
          <a:r>
            <a:rPr lang="en-ZA" sz="900" kern="1200">
              <a:solidFill>
                <a:srgbClr val="FF0000"/>
              </a:solidFill>
            </a:rPr>
            <a:t>(1.11)</a:t>
          </a:r>
        </a:p>
      </dsp:txBody>
      <dsp:txXfrm>
        <a:off x="818901" y="892554"/>
        <a:ext cx="1844344" cy="1236848"/>
      </dsp:txXfrm>
    </dsp:sp>
    <dsp:sp modelId="{B4A54CC5-1240-4155-A5C7-C65A3002F664}">
      <dsp:nvSpPr>
        <dsp:cNvPr id="0" name=""/>
        <dsp:cNvSpPr/>
      </dsp:nvSpPr>
      <dsp:spPr>
        <a:xfrm>
          <a:off x="2056266" y="758095"/>
          <a:ext cx="2238550" cy="2238550"/>
        </a:xfrm>
        <a:prstGeom prst="leftCircularArrow">
          <a:avLst>
            <a:gd name="adj1" fmla="val 4007"/>
            <a:gd name="adj2" fmla="val 503308"/>
            <a:gd name="adj3" fmla="val 2044544"/>
            <a:gd name="adj4" fmla="val 8790215"/>
            <a:gd name="adj5" fmla="val 4675"/>
          </a:avLst>
        </a:prstGeom>
        <a:solidFill>
          <a:schemeClr val="accent2">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sp>
    <dsp:sp modelId="{1791910A-EB15-4B7B-8672-80FBA91A323E}">
      <dsp:nvSpPr>
        <dsp:cNvPr id="0" name=""/>
        <dsp:cNvSpPr/>
      </dsp:nvSpPr>
      <dsp:spPr>
        <a:xfrm>
          <a:off x="1188132" y="2169704"/>
          <a:ext cx="1618977" cy="643813"/>
        </a:xfrm>
        <a:prstGeom prst="roundRect">
          <a:avLst>
            <a:gd name="adj" fmla="val 10000"/>
          </a:avLst>
        </a:prstGeom>
        <a:solidFill>
          <a:schemeClr val="accent2">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3815" tIns="29210" rIns="43815" bIns="29210" numCol="1" spcCol="1270" anchor="ctr" anchorCtr="0">
          <a:noAutofit/>
        </a:bodyPr>
        <a:lstStyle/>
        <a:p>
          <a:pPr marL="0" lvl="0" indent="0" algn="ctr" defTabSz="1022350">
            <a:lnSpc>
              <a:spcPct val="90000"/>
            </a:lnSpc>
            <a:spcBef>
              <a:spcPct val="0"/>
            </a:spcBef>
            <a:spcAft>
              <a:spcPct val="35000"/>
            </a:spcAft>
            <a:buNone/>
          </a:pPr>
          <a:r>
            <a:rPr lang="en-ZA" sz="2300" kern="1200"/>
            <a:t>Inputs</a:t>
          </a:r>
        </a:p>
      </dsp:txBody>
      <dsp:txXfrm>
        <a:off x="1206989" y="2188561"/>
        <a:ext cx="1581263" cy="606099"/>
      </dsp:txXfrm>
    </dsp:sp>
    <dsp:sp modelId="{FCC1DAB3-11D3-4551-98C3-2825D9103349}">
      <dsp:nvSpPr>
        <dsp:cNvPr id="0" name=""/>
        <dsp:cNvSpPr/>
      </dsp:nvSpPr>
      <dsp:spPr>
        <a:xfrm>
          <a:off x="3255003" y="756779"/>
          <a:ext cx="1821349" cy="1722204"/>
        </a:xfrm>
        <a:prstGeom prst="roundRect">
          <a:avLst>
            <a:gd name="adj" fmla="val 10000"/>
          </a:avLst>
        </a:prstGeom>
        <a:solidFill>
          <a:schemeClr val="accent5">
            <a:lumMod val="20000"/>
            <a:lumOff val="80000"/>
            <a:alpha val="90000"/>
          </a:schemeClr>
        </a:solidFill>
        <a:ln w="12700" cap="flat" cmpd="sng" algn="ctr">
          <a:solidFill>
            <a:schemeClr val="accent3">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19050" tIns="19050" rIns="19050" bIns="19050" numCol="1" spcCol="1270" anchor="t" anchorCtr="0">
          <a:noAutofit/>
        </a:bodyPr>
        <a:lstStyle/>
        <a:p>
          <a:pPr marL="57150" lvl="1" indent="-57150" algn="l" defTabSz="444500">
            <a:lnSpc>
              <a:spcPct val="90000"/>
            </a:lnSpc>
            <a:spcBef>
              <a:spcPct val="0"/>
            </a:spcBef>
            <a:spcAft>
              <a:spcPct val="15000"/>
            </a:spcAft>
            <a:buChar char="•"/>
          </a:pPr>
          <a:r>
            <a:rPr lang="en-ZA" sz="1000" kern="1200"/>
            <a:t>Net energy output/sold </a:t>
          </a:r>
          <a:r>
            <a:rPr lang="en-ZA" sz="1000" kern="1200">
              <a:solidFill>
                <a:srgbClr val="FF0000"/>
              </a:solidFill>
            </a:rPr>
            <a:t>(2.1)</a:t>
          </a:r>
        </a:p>
        <a:p>
          <a:pPr marL="57150" lvl="1" indent="-57150" algn="l" defTabSz="444500">
            <a:lnSpc>
              <a:spcPct val="90000"/>
            </a:lnSpc>
            <a:spcBef>
              <a:spcPct val="0"/>
            </a:spcBef>
            <a:spcAft>
              <a:spcPct val="15000"/>
            </a:spcAft>
            <a:buChar char="•"/>
          </a:pPr>
          <a:r>
            <a:rPr lang="en-ZA" sz="1000" kern="1200"/>
            <a:t>Depreciation </a:t>
          </a:r>
          <a:r>
            <a:rPr lang="en-ZA" sz="1000" kern="1200">
              <a:solidFill>
                <a:srgbClr val="FF0000"/>
              </a:solidFill>
            </a:rPr>
            <a:t>(2.2)</a:t>
          </a:r>
        </a:p>
        <a:p>
          <a:pPr marL="57150" lvl="1" indent="-57150" algn="l" defTabSz="444500">
            <a:lnSpc>
              <a:spcPct val="90000"/>
            </a:lnSpc>
            <a:spcBef>
              <a:spcPct val="0"/>
            </a:spcBef>
            <a:spcAft>
              <a:spcPct val="15000"/>
            </a:spcAft>
            <a:buChar char="•"/>
          </a:pPr>
          <a:r>
            <a:rPr lang="en-ZA" sz="1000" kern="1200"/>
            <a:t>Revenue Requirement </a:t>
          </a:r>
          <a:r>
            <a:rPr lang="en-ZA" sz="1000" kern="1200">
              <a:solidFill>
                <a:srgbClr val="FF0000"/>
              </a:solidFill>
            </a:rPr>
            <a:t>(2.3)</a:t>
          </a:r>
        </a:p>
        <a:p>
          <a:pPr marL="57150" lvl="1" indent="-57150" algn="l" defTabSz="444500">
            <a:lnSpc>
              <a:spcPct val="90000"/>
            </a:lnSpc>
            <a:spcBef>
              <a:spcPct val="0"/>
            </a:spcBef>
            <a:spcAft>
              <a:spcPct val="15000"/>
            </a:spcAft>
            <a:buChar char="•"/>
          </a:pPr>
          <a:r>
            <a:rPr lang="en-ZA" sz="1000" kern="1200"/>
            <a:t>True up/Deferral balances </a:t>
          </a:r>
          <a:r>
            <a:rPr lang="en-ZA" sz="1000" kern="1200">
              <a:solidFill>
                <a:srgbClr val="FF0000"/>
              </a:solidFill>
            </a:rPr>
            <a:t>(2.4)</a:t>
          </a:r>
        </a:p>
        <a:p>
          <a:pPr marL="57150" lvl="1" indent="-57150" algn="l" defTabSz="444500">
            <a:lnSpc>
              <a:spcPct val="90000"/>
            </a:lnSpc>
            <a:spcBef>
              <a:spcPct val="0"/>
            </a:spcBef>
            <a:spcAft>
              <a:spcPct val="15000"/>
            </a:spcAft>
            <a:buChar char="•"/>
          </a:pPr>
          <a:r>
            <a:rPr lang="en-ZA" sz="1000" kern="1200"/>
            <a:t>Mini grid valuation </a:t>
          </a:r>
          <a:r>
            <a:rPr lang="en-ZA" sz="1000" kern="1200">
              <a:solidFill>
                <a:srgbClr val="FF0000"/>
              </a:solidFill>
            </a:rPr>
            <a:t>(2.5)</a:t>
          </a:r>
        </a:p>
        <a:p>
          <a:pPr marL="57150" lvl="1" indent="-57150" algn="l" defTabSz="444500">
            <a:lnSpc>
              <a:spcPct val="90000"/>
            </a:lnSpc>
            <a:spcBef>
              <a:spcPct val="0"/>
            </a:spcBef>
            <a:spcAft>
              <a:spcPct val="15000"/>
            </a:spcAft>
            <a:buChar char="•"/>
          </a:pPr>
          <a:r>
            <a:rPr lang="en-ZA" sz="1000" kern="1200"/>
            <a:t>Financial performance </a:t>
          </a:r>
          <a:r>
            <a:rPr lang="en-ZA" sz="1000" kern="1200">
              <a:solidFill>
                <a:srgbClr val="FF0000"/>
              </a:solidFill>
            </a:rPr>
            <a:t>(2.7)</a:t>
          </a:r>
        </a:p>
        <a:p>
          <a:pPr marL="57150" lvl="1" indent="-57150" algn="l" defTabSz="444500">
            <a:lnSpc>
              <a:spcPct val="90000"/>
            </a:lnSpc>
            <a:spcBef>
              <a:spcPct val="0"/>
            </a:spcBef>
            <a:spcAft>
              <a:spcPct val="15000"/>
            </a:spcAft>
            <a:buChar char="•"/>
          </a:pPr>
          <a:r>
            <a:rPr lang="en-ZA" sz="1000" kern="1200"/>
            <a:t>Benchmarks </a:t>
          </a:r>
          <a:r>
            <a:rPr lang="en-ZA" sz="1000" kern="1200">
              <a:solidFill>
                <a:srgbClr val="FF0000"/>
              </a:solidFill>
            </a:rPr>
            <a:t>(2.8)</a:t>
          </a:r>
        </a:p>
      </dsp:txBody>
      <dsp:txXfrm>
        <a:off x="3294636" y="1165456"/>
        <a:ext cx="1742083" cy="1273894"/>
      </dsp:txXfrm>
    </dsp:sp>
    <dsp:sp modelId="{ED858D2E-B222-4FF5-AC4D-E75F319B3146}">
      <dsp:nvSpPr>
        <dsp:cNvPr id="0" name=""/>
        <dsp:cNvSpPr/>
      </dsp:nvSpPr>
      <dsp:spPr>
        <a:xfrm>
          <a:off x="4743298" y="158507"/>
          <a:ext cx="2121610" cy="2561249"/>
        </a:xfrm>
        <a:prstGeom prst="circularArrow">
          <a:avLst>
            <a:gd name="adj1" fmla="val 3502"/>
            <a:gd name="adj2" fmla="val 434589"/>
            <a:gd name="adj3" fmla="val 19494984"/>
            <a:gd name="adj4" fmla="val 12680594"/>
            <a:gd name="adj5" fmla="val 4086"/>
          </a:avLst>
        </a:prstGeom>
        <a:solidFill>
          <a:schemeClr val="accent3">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sp>
    <dsp:sp modelId="{88D1E82E-3078-43C3-B12E-DB9E51BF69D4}">
      <dsp:nvSpPr>
        <dsp:cNvPr id="0" name=""/>
        <dsp:cNvSpPr/>
      </dsp:nvSpPr>
      <dsp:spPr>
        <a:xfrm>
          <a:off x="3637593" y="529746"/>
          <a:ext cx="1618977" cy="643813"/>
        </a:xfrm>
        <a:prstGeom prst="roundRect">
          <a:avLst>
            <a:gd name="adj" fmla="val 1000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3815" tIns="29210" rIns="43815" bIns="29210" numCol="1" spcCol="1270" anchor="ctr" anchorCtr="0">
          <a:noAutofit/>
        </a:bodyPr>
        <a:lstStyle/>
        <a:p>
          <a:pPr marL="0" lvl="0" indent="0" algn="ctr" defTabSz="1022350">
            <a:lnSpc>
              <a:spcPct val="90000"/>
            </a:lnSpc>
            <a:spcBef>
              <a:spcPct val="0"/>
            </a:spcBef>
            <a:spcAft>
              <a:spcPct val="35000"/>
            </a:spcAft>
            <a:buNone/>
          </a:pPr>
          <a:r>
            <a:rPr lang="en-ZA" sz="2300" kern="1200"/>
            <a:t>Calculations</a:t>
          </a:r>
        </a:p>
      </dsp:txBody>
      <dsp:txXfrm>
        <a:off x="3656450" y="548603"/>
        <a:ext cx="1581263" cy="606099"/>
      </dsp:txXfrm>
    </dsp:sp>
    <dsp:sp modelId="{73D48363-6B13-4EDD-95B4-3839A8A1ABE4}">
      <dsp:nvSpPr>
        <dsp:cNvPr id="0" name=""/>
        <dsp:cNvSpPr/>
      </dsp:nvSpPr>
      <dsp:spPr>
        <a:xfrm>
          <a:off x="5672303" y="914556"/>
          <a:ext cx="2048471" cy="1502232"/>
        </a:xfrm>
        <a:prstGeom prst="roundRect">
          <a:avLst>
            <a:gd name="adj" fmla="val 10000"/>
          </a:avLst>
        </a:prstGeom>
        <a:solidFill>
          <a:srgbClr val="00FF00">
            <a:alpha val="90000"/>
          </a:srgbClr>
        </a:solidFill>
        <a:ln w="12700" cap="flat" cmpd="sng" algn="ctr">
          <a:solidFill>
            <a:schemeClr val="accent4">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19050" tIns="19050" rIns="19050" bIns="19050" numCol="1" spcCol="1270" anchor="t" anchorCtr="0">
          <a:noAutofit/>
        </a:bodyPr>
        <a:lstStyle/>
        <a:p>
          <a:pPr marL="57150" lvl="1" indent="-57150" algn="l" defTabSz="400050">
            <a:lnSpc>
              <a:spcPct val="90000"/>
            </a:lnSpc>
            <a:spcBef>
              <a:spcPct val="0"/>
            </a:spcBef>
            <a:spcAft>
              <a:spcPct val="15000"/>
            </a:spcAft>
            <a:buChar char="•"/>
          </a:pPr>
          <a:r>
            <a:rPr lang="en-ZA" sz="900" kern="1200"/>
            <a:t>Tariffs and tariff structures </a:t>
          </a:r>
          <a:r>
            <a:rPr lang="en-ZA" sz="900" kern="1200">
              <a:solidFill>
                <a:srgbClr val="FF0000"/>
              </a:solidFill>
            </a:rPr>
            <a:t>(3.1)</a:t>
          </a:r>
        </a:p>
        <a:p>
          <a:pPr marL="57150" lvl="1" indent="-57150" algn="l" defTabSz="400050">
            <a:lnSpc>
              <a:spcPct val="90000"/>
            </a:lnSpc>
            <a:spcBef>
              <a:spcPct val="0"/>
            </a:spcBef>
            <a:spcAft>
              <a:spcPct val="15000"/>
            </a:spcAft>
            <a:buChar char="•"/>
          </a:pPr>
          <a:r>
            <a:rPr lang="en-ZA" sz="900" kern="1200"/>
            <a:t>Financial indicators </a:t>
          </a:r>
          <a:r>
            <a:rPr lang="en-ZA" sz="900" kern="1200">
              <a:solidFill>
                <a:srgbClr val="FF0000"/>
              </a:solidFill>
            </a:rPr>
            <a:t>(3.2)</a:t>
          </a:r>
        </a:p>
        <a:p>
          <a:pPr marL="57150" lvl="1" indent="-57150" algn="l" defTabSz="400050">
            <a:lnSpc>
              <a:spcPct val="90000"/>
            </a:lnSpc>
            <a:spcBef>
              <a:spcPct val="0"/>
            </a:spcBef>
            <a:spcAft>
              <a:spcPct val="15000"/>
            </a:spcAft>
            <a:buChar char="•"/>
          </a:pPr>
          <a:r>
            <a:rPr lang="en-ZA" sz="900" kern="1200"/>
            <a:t>Mini grid Valuation </a:t>
          </a:r>
          <a:r>
            <a:rPr lang="en-ZA" sz="900" kern="1200">
              <a:solidFill>
                <a:srgbClr val="FF0000"/>
              </a:solidFill>
            </a:rPr>
            <a:t>(3.3)</a:t>
          </a:r>
        </a:p>
        <a:p>
          <a:pPr marL="57150" lvl="1" indent="-57150" algn="l" defTabSz="400050">
            <a:lnSpc>
              <a:spcPct val="90000"/>
            </a:lnSpc>
            <a:spcBef>
              <a:spcPct val="0"/>
            </a:spcBef>
            <a:spcAft>
              <a:spcPct val="15000"/>
            </a:spcAft>
            <a:buChar char="•"/>
          </a:pPr>
          <a:r>
            <a:rPr lang="en-ZA" sz="900" kern="1200">
              <a:solidFill>
                <a:sysClr val="windowText" lastClr="000000"/>
              </a:solidFill>
            </a:rPr>
            <a:t>Depreciation methods comparison</a:t>
          </a:r>
          <a:r>
            <a:rPr lang="en-ZA" sz="900" kern="1200">
              <a:solidFill>
                <a:srgbClr val="FF0000"/>
              </a:solidFill>
            </a:rPr>
            <a:t>(3.4)</a:t>
          </a:r>
        </a:p>
        <a:p>
          <a:pPr marL="57150" lvl="1" indent="-57150" algn="l" defTabSz="400050">
            <a:lnSpc>
              <a:spcPct val="90000"/>
            </a:lnSpc>
            <a:spcBef>
              <a:spcPct val="0"/>
            </a:spcBef>
            <a:spcAft>
              <a:spcPct val="15000"/>
            </a:spcAft>
            <a:buChar char="•"/>
          </a:pPr>
          <a:r>
            <a:rPr lang="en-ZA" sz="900" kern="1200"/>
            <a:t>Graphs </a:t>
          </a:r>
          <a:r>
            <a:rPr lang="en-ZA" sz="900" kern="1200">
              <a:solidFill>
                <a:srgbClr val="FF0000"/>
              </a:solidFill>
            </a:rPr>
            <a:t>(3.1b, 3.2b, 3.3b, 3.4b)</a:t>
          </a:r>
        </a:p>
        <a:p>
          <a:pPr marL="57150" lvl="1" indent="-57150" algn="l" defTabSz="400050">
            <a:lnSpc>
              <a:spcPct val="90000"/>
            </a:lnSpc>
            <a:spcBef>
              <a:spcPct val="0"/>
            </a:spcBef>
            <a:spcAft>
              <a:spcPct val="15000"/>
            </a:spcAft>
            <a:buChar char="•"/>
          </a:pPr>
          <a:r>
            <a:rPr lang="en-ZA" sz="900" kern="1200"/>
            <a:t>Benchmarks comparisons </a:t>
          </a:r>
          <a:r>
            <a:rPr lang="en-ZA" sz="900" kern="1200">
              <a:solidFill>
                <a:srgbClr val="FF0000"/>
              </a:solidFill>
            </a:rPr>
            <a:t>(3.5)</a:t>
          </a:r>
        </a:p>
        <a:p>
          <a:pPr marL="57150" lvl="1" indent="-57150" algn="l" defTabSz="400050">
            <a:lnSpc>
              <a:spcPct val="90000"/>
            </a:lnSpc>
            <a:spcBef>
              <a:spcPct val="0"/>
            </a:spcBef>
            <a:spcAft>
              <a:spcPct val="15000"/>
            </a:spcAft>
            <a:buChar char="•"/>
          </a:pPr>
          <a:r>
            <a:rPr lang="en-ZA" sz="900" kern="1200"/>
            <a:t>Sensivity/consumption/grid optimisation scenarios </a:t>
          </a:r>
          <a:r>
            <a:rPr lang="en-ZA" sz="900" kern="1200">
              <a:solidFill>
                <a:srgbClr val="FF0000"/>
              </a:solidFill>
            </a:rPr>
            <a:t>(3.6)</a:t>
          </a:r>
        </a:p>
        <a:p>
          <a:pPr marL="57150" lvl="1" indent="-57150" algn="l" defTabSz="400050">
            <a:lnSpc>
              <a:spcPct val="90000"/>
            </a:lnSpc>
            <a:spcBef>
              <a:spcPct val="0"/>
            </a:spcBef>
            <a:spcAft>
              <a:spcPct val="15000"/>
            </a:spcAft>
            <a:buChar char="•"/>
          </a:pPr>
          <a:r>
            <a:rPr lang="en-ZA" sz="900" kern="1200"/>
            <a:t>Tool User Guide </a:t>
          </a:r>
          <a:r>
            <a:rPr lang="en-ZA" sz="900" kern="1200">
              <a:solidFill>
                <a:srgbClr val="FF0000"/>
              </a:solidFill>
            </a:rPr>
            <a:t>(this tab)</a:t>
          </a:r>
        </a:p>
      </dsp:txBody>
      <dsp:txXfrm>
        <a:off x="5706874" y="949127"/>
        <a:ext cx="1979329" cy="1111183"/>
      </dsp:txXfrm>
    </dsp:sp>
    <dsp:sp modelId="{D0BD3F7F-67C4-4F88-B218-C262EB65758B}">
      <dsp:nvSpPr>
        <dsp:cNvPr id="0" name=""/>
        <dsp:cNvSpPr/>
      </dsp:nvSpPr>
      <dsp:spPr>
        <a:xfrm>
          <a:off x="6165549" y="2193595"/>
          <a:ext cx="1618977" cy="643813"/>
        </a:xfrm>
        <a:prstGeom prst="roundRect">
          <a:avLst>
            <a:gd name="adj" fmla="val 10000"/>
          </a:avLst>
        </a:prstGeom>
        <a:solidFill>
          <a:srgbClr val="92D050"/>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3815" tIns="29210" rIns="43815" bIns="29210" numCol="1" spcCol="1270" anchor="ctr" anchorCtr="0">
          <a:noAutofit/>
        </a:bodyPr>
        <a:lstStyle/>
        <a:p>
          <a:pPr marL="0" lvl="0" indent="0" algn="ctr" defTabSz="1022350">
            <a:lnSpc>
              <a:spcPct val="90000"/>
            </a:lnSpc>
            <a:spcBef>
              <a:spcPct val="0"/>
            </a:spcBef>
            <a:spcAft>
              <a:spcPct val="35000"/>
            </a:spcAft>
            <a:buNone/>
          </a:pPr>
          <a:r>
            <a:rPr lang="en-ZA" sz="2300" kern="1200"/>
            <a:t>Outputs</a:t>
          </a:r>
        </a:p>
      </dsp:txBody>
      <dsp:txXfrm>
        <a:off x="6184406" y="2212452"/>
        <a:ext cx="1581263" cy="606099"/>
      </dsp:txXfrm>
    </dsp:sp>
  </dsp:spTree>
</dsp:drawing>
</file>

<file path=xl/diagrams/layout1.xml><?xml version="1.0" encoding="utf-8"?>
<dgm:layoutDef xmlns:dgm="http://schemas.openxmlformats.org/drawingml/2006/diagram" xmlns:a="http://schemas.openxmlformats.org/drawingml/2006/main" uniqueId="urn:microsoft.com/office/officeart/2005/8/layout/hProcess4">
  <dgm:title val=""/>
  <dgm:desc val=""/>
  <dgm:catLst>
    <dgm:cat type="process" pri="4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Name0">
    <dgm:varLst>
      <dgm:dir/>
      <dgm:animLvl val="lvl"/>
      <dgm:resizeHandles val="exact"/>
    </dgm:varLst>
    <dgm:alg type="composite"/>
    <dgm:shape xmlns:r="http://schemas.openxmlformats.org/officeDocument/2006/relationships" r:blip="">
      <dgm:adjLst/>
    </dgm:shape>
    <dgm:presOf/>
    <dgm:constrLst>
      <dgm:constr type="w" for="ch" forName="tSp" refType="w"/>
      <dgm:constr type="h" for="ch" forName="tSp" refType="h" fact="0.15"/>
      <dgm:constr type="l" for="ch" forName="tSp"/>
      <dgm:constr type="t" for="ch" forName="tSp"/>
      <dgm:constr type="w" for="ch" forName="bSp" refType="w"/>
      <dgm:constr type="h" for="ch" forName="bSp" refType="h" fact="0.15"/>
      <dgm:constr type="l" for="ch" forName="bSp"/>
      <dgm:constr type="t" for="ch" forName="bSp" refType="h" fact="0.85"/>
      <dgm:constr type="w" for="ch" forName="process" refType="w"/>
      <dgm:constr type="h" for="ch" forName="process" refType="h" fact="0.7"/>
      <dgm:constr type="l" for="ch" forName="process"/>
      <dgm:constr type="t" for="ch" forName="process" refType="h" fact="0.15"/>
    </dgm:constrLst>
    <dgm:ruleLst/>
    <dgm:layoutNode name="tSp">
      <dgm:alg type="sp"/>
      <dgm:shape xmlns:r="http://schemas.openxmlformats.org/officeDocument/2006/relationships" r:blip="">
        <dgm:adjLst/>
      </dgm:shape>
      <dgm:presOf/>
      <dgm:constrLst/>
      <dgm:ruleLst/>
    </dgm:layoutNode>
    <dgm:layoutNode name="bSp">
      <dgm:alg type="sp"/>
      <dgm:shape xmlns:r="http://schemas.openxmlformats.org/officeDocument/2006/relationships" r:blip="">
        <dgm:adjLst/>
      </dgm:shape>
      <dgm:presOf/>
      <dgm:constrLst/>
      <dgm:ruleLst/>
    </dgm:layoutNode>
    <dgm:layoutNode name="process">
      <dgm:choose name="Name1">
        <dgm:if name="Name2" func="var" arg="dir" op="equ" val="norm">
          <dgm:alg type="lin">
            <dgm:param type="linDir" val="fromL"/>
          </dgm:alg>
        </dgm:if>
        <dgm:else name="Name3">
          <dgm:alg type="lin">
            <dgm:param type="linDir" val="fromR"/>
          </dgm:alg>
        </dgm:else>
      </dgm:choose>
      <dgm:shape xmlns:r="http://schemas.openxmlformats.org/officeDocument/2006/relationships" r:blip="">
        <dgm:adjLst/>
      </dgm:shape>
      <dgm:presOf/>
      <dgm:constrLst>
        <dgm:constr type="w" for="ch" forName="composite1" refType="w"/>
        <dgm:constr type="w" for="ch" forName="composite2" refType="w" refFor="ch" refForName="composite1" op="equ"/>
        <dgm:constr type="h" for="ch" forName="composite1" refType="h"/>
        <dgm:constr type="h" for="ch" forName="composite2" refType="h" refFor="ch" refForName="composite1" op="equ"/>
        <dgm:constr type="primFontSz" for="des" forName="parentNode1" val="65"/>
        <dgm:constr type="primFontSz" for="des" forName="parentNode2" refType="primFontSz" refFor="des" refForName="parentNode1" op="equ"/>
        <dgm:constr type="secFontSz" for="des" forName="childNode1tx" val="65"/>
        <dgm:constr type="secFontSz" for="des" forName="childNode2tx" refType="secFontSz" refFor="des" refForName="childNode1tx" op="equ"/>
        <dgm:constr type="w" for="des" ptType="sibTrans" refType="w" refFor="ch" refForName="composite1" op="equ" fact="0.05"/>
      </dgm:constrLst>
      <dgm:ruleLst/>
      <dgm:forEach name="Name4" axis="ch" ptType="node" step="2">
        <dgm:layoutNode name="composite1">
          <dgm:alg type="composite">
            <dgm:param type="ar" val="0.943"/>
          </dgm:alg>
          <dgm:shape xmlns:r="http://schemas.openxmlformats.org/officeDocument/2006/relationships" r:blip="">
            <dgm:adjLst/>
          </dgm:shape>
          <dgm:presOf/>
          <dgm:choose name="Name5">
            <dgm:if name="Name6" func="var" arg="dir" op="equ" val="norm">
              <dgm:constrLst>
                <dgm:constr type="h" refType="w" fact="1.06"/>
                <dgm:constr type="w" for="ch" forName="dummyNode1" refType="w"/>
                <dgm:constr type="h" for="ch" forName="dummyNode1" refType="h"/>
                <dgm:constr type="t" for="ch" forName="dummyNode1"/>
                <dgm:constr type="l" for="ch" forName="dummyNode1"/>
                <dgm:constr type="w" for="ch" forName="childNode1" refType="w" fact="0.9"/>
                <dgm:constr type="h" for="ch" forName="childNode1" refType="h" fact="0.7"/>
                <dgm:constr type="t" for="ch" forName="childNode1" refType="h" fact="0.15"/>
                <dgm:constr type="l" for="ch" forName="childNode1"/>
                <dgm:constr type="w" for="ch" forName="childNode1tx" refType="w" fact="0.9"/>
                <dgm:constr type="h" for="ch" forName="childNode1tx" refType="h" fact="0.55"/>
                <dgm:constr type="t" for="ch" forName="childNode1tx" refType="h" fact="0.15"/>
                <dgm:constr type="l" for="ch" forName="childNode1tx"/>
                <dgm:constr type="w" for="ch" forName="parentNode1" refType="w" fact="0.8"/>
                <dgm:constr type="h" for="ch" forName="parentNode1" refType="h" fact="0.3"/>
                <dgm:constr type="t" for="ch" forName="parentNode1" refType="h" fact="0.7"/>
                <dgm:constr type="l" for="ch" forName="parentNode1" refType="w" fact="0.2"/>
                <dgm:constr type="w" for="ch" forName="connSite1" refType="w" fact="0.01"/>
                <dgm:constr type="h" for="ch" forName="connSite1" refType="h" fact="0.01"/>
                <dgm:constr type="t" for="ch" forName="connSite1"/>
                <dgm:constr type="l" for="ch" forName="connSite1" refType="w" fact="0.35"/>
              </dgm:constrLst>
            </dgm:if>
            <dgm:else name="Name7">
              <dgm:constrLst>
                <dgm:constr type="h" refType="w" fact="1.06"/>
                <dgm:constr type="w" for="ch" forName="dummyNode1" refType="w"/>
                <dgm:constr type="h" for="ch" forName="dummyNode1" refType="h"/>
                <dgm:constr type="t" for="ch" forName="dummyNode1"/>
                <dgm:constr type="l" for="ch" forName="dummyNode1"/>
                <dgm:constr type="w" for="ch" forName="childNode1" refType="w" fact="0.9"/>
                <dgm:constr type="h" for="ch" forName="childNode1" refType="h" fact="0.7"/>
                <dgm:constr type="t" for="ch" forName="childNode1" refType="h" fact="0.15"/>
                <dgm:constr type="l" for="ch" forName="childNode1" refType="w" fact="0.1"/>
                <dgm:constr type="w" for="ch" forName="childNode1tx" refType="w" fact="0.9"/>
                <dgm:constr type="h" for="ch" forName="childNode1tx" refType="h" fact="0.55"/>
                <dgm:constr type="t" for="ch" forName="childNode1tx" refType="h" fact="0.15"/>
                <dgm:constr type="l" for="ch" forName="childNode1tx" refType="w" fact="0.1"/>
                <dgm:constr type="w" for="ch" forName="parentNode1" refType="w" fact="0.8"/>
                <dgm:constr type="h" for="ch" forName="parentNode1" refType="h" fact="0.3"/>
                <dgm:constr type="t" for="ch" forName="parentNode1" refType="h" fact="0.7"/>
                <dgm:constr type="l" for="ch" forName="parentNode1"/>
                <dgm:constr type="w" for="ch" forName="connSite1" refType="w" fact="0.01"/>
                <dgm:constr type="h" for="ch" forName="connSite1" refType="h" fact="0.01"/>
                <dgm:constr type="t" for="ch" forName="connSite1"/>
                <dgm:constr type="l" for="ch" forName="connSite1" refType="w" fact="0.65"/>
              </dgm:constrLst>
            </dgm:else>
          </dgm:choose>
          <dgm:ruleLst/>
          <dgm:layoutNode name="dummyNode1">
            <dgm:alg type="sp"/>
            <dgm:shape xmlns:r="http://schemas.openxmlformats.org/officeDocument/2006/relationships" type="rect" r:blip="" hideGeom="1">
              <dgm:adjLst/>
            </dgm:shape>
            <dgm:presOf/>
            <dgm:constrLst/>
            <dgm:ruleLst/>
          </dgm:layoutNode>
          <dgm:layoutNode name="childNode1" styleLbl="bgAcc1">
            <dgm:varLst>
              <dgm:bulletEnabled val="1"/>
            </dgm:varLst>
            <dgm:alg type="sp"/>
            <dgm:shape xmlns:r="http://schemas.openxmlformats.org/officeDocument/2006/relationships" type="roundRect" r:blip="">
              <dgm:adjLst>
                <dgm:adj idx="1" val="0.1"/>
              </dgm:adjLst>
            </dgm:shape>
            <dgm:presOf axis="des" ptType="node"/>
            <dgm:constrLst/>
            <dgm:ruleLst/>
          </dgm:layoutNode>
          <dgm:layoutNode name="childNode1tx" styleLbl="bgAcc1">
            <dgm:varLst>
              <dgm:bulletEnabled val="1"/>
            </dgm:varLst>
            <dgm:alg type="tx">
              <dgm:param type="stBulletLvl" val="1"/>
            </dgm:alg>
            <dgm:shape xmlns:r="http://schemas.openxmlformats.org/officeDocument/2006/relationships" type="roundRect" r:blip="" hideGeom="1">
              <dgm:adjLst>
                <dgm:adj idx="1" val="0.1"/>
              </dgm:adjLst>
            </dgm:shape>
            <dgm:presOf axis="des" ptType="node"/>
            <dgm:constrLst>
              <dgm:constr type="secFontSz" val="65"/>
              <dgm:constr type="primFontSz" refType="secFontSz"/>
              <dgm:constr type="tMarg" refType="secFontSz" fact="0.15"/>
              <dgm:constr type="bMarg" refType="secFontSz" fact="0.15"/>
              <dgm:constr type="lMarg" refType="secFontSz" fact="0.15"/>
              <dgm:constr type="rMarg" refType="secFontSz" fact="0.15"/>
            </dgm:constrLst>
            <dgm:ruleLst>
              <dgm:rule type="secFontSz" val="5" fact="NaN" max="NaN"/>
            </dgm:ruleLst>
          </dgm:layoutNode>
          <dgm:layoutNode name="parentNode1" styleLbl="node1">
            <dgm:varLst>
              <dgm:chMax val="1"/>
              <dgm:bulletEnabled val="1"/>
            </dgm:varLst>
            <dgm:alg type="tx"/>
            <dgm:shape xmlns:r="http://schemas.openxmlformats.org/officeDocument/2006/relationships" type="roundRect" r:blip="">
              <dgm:adjLst>
                <dgm:adj idx="1" val="0.1"/>
              </dgm:adjLst>
            </dgm:shape>
            <dgm:presOf axis="self"/>
            <dgm:constrLst>
              <dgm:constr type="tMarg" refType="primFontSz" fact="0.1"/>
              <dgm:constr type="bMarg" refType="primFontSz" fact="0.1"/>
              <dgm:constr type="lMarg" refType="primFontSz" fact="0.15"/>
              <dgm:constr type="rMarg" refType="primFontSz" fact="0.15"/>
            </dgm:constrLst>
            <dgm:ruleLst>
              <dgm:rule type="primFontSz" val="5" fact="NaN" max="NaN"/>
            </dgm:ruleLst>
          </dgm:layoutNode>
          <dgm:layoutNode name="connSite1" moveWith="childNode1">
            <dgm:alg type="sp"/>
            <dgm:shape xmlns:r="http://schemas.openxmlformats.org/officeDocument/2006/relationships" r:blip="">
              <dgm:adjLst/>
            </dgm:shape>
            <dgm:presOf/>
            <dgm:constrLst/>
            <dgm:ruleLst/>
          </dgm:layoutNode>
        </dgm:layoutNode>
        <dgm:forEach name="Name8" axis="followSib" ptType="sibTrans" cnt="1">
          <dgm:layoutNode name="Name9">
            <dgm:alg type="conn">
              <dgm:param type="connRout" val="curve"/>
              <dgm:param type="srcNode" val="parentNode1"/>
              <dgm:param type="dstNode" val="connSite2"/>
              <dgm:param type="begPts" val="bCtr"/>
              <dgm:param type="endPts" val="bCtr"/>
            </dgm:alg>
            <dgm:shape xmlns:r="http://schemas.openxmlformats.org/officeDocument/2006/relationships" type="conn" r:blip="" zOrderOff="-2">
              <dgm:adjLst/>
            </dgm:shape>
            <dgm:presOf axis="self"/>
            <dgm:choose name="Name10">
              <dgm:if name="Name11" func="var" arg="dir" op="equ" val="norm">
                <dgm:constrLst>
                  <dgm:constr type="h" refType="w" fact="0.35"/>
                  <dgm:constr type="wArH" refType="h"/>
                  <dgm:constr type="hArH" refType="h"/>
                  <dgm:constr type="connDist"/>
                  <dgm:constr type="diam" refType="connDist" fact="-1.15"/>
                  <dgm:constr type="begPad"/>
                  <dgm:constr type="endPad"/>
                </dgm:constrLst>
              </dgm:if>
              <dgm:else name="Name12">
                <dgm:constrLst>
                  <dgm:constr type="h" refType="w" fact="0.35"/>
                  <dgm:constr type="wArH" refType="h"/>
                  <dgm:constr type="hArH" refType="h"/>
                  <dgm:constr type="connDist"/>
                  <dgm:constr type="diam" refType="connDist" fact="1.15"/>
                  <dgm:constr type="begPad"/>
                  <dgm:constr type="endPad"/>
                </dgm:constrLst>
              </dgm:else>
            </dgm:choose>
            <dgm:ruleLst/>
          </dgm:layoutNode>
        </dgm:forEach>
        <dgm:forEach name="Name13" axis="followSib" ptType="node" cnt="1">
          <dgm:layoutNode name="composite2">
            <dgm:alg type="composite">
              <dgm:param type="ar" val="0.943"/>
            </dgm:alg>
            <dgm:shape xmlns:r="http://schemas.openxmlformats.org/officeDocument/2006/relationships" r:blip="">
              <dgm:adjLst/>
            </dgm:shape>
            <dgm:presOf/>
            <dgm:choose name="Name14">
              <dgm:if name="Name15" func="var" arg="dir" op="equ" val="norm">
                <dgm:constrLst>
                  <dgm:constr type="h" refType="w" fact="1.06"/>
                  <dgm:constr type="w" for="ch" forName="dummyNode2" refType="w"/>
                  <dgm:constr type="h" for="ch" forName="dummyNode2" refType="h"/>
                  <dgm:constr type="t" for="ch" forName="dummyNode2"/>
                  <dgm:constr type="l" for="ch" forName="dummyNode2"/>
                  <dgm:constr type="w" for="ch" forName="childNode2" refType="w" fact="0.9"/>
                  <dgm:constr type="h" for="ch" forName="childNode2" refType="h" fact="0.7"/>
                  <dgm:constr type="t" for="ch" forName="childNode2" refType="h" fact="0.15"/>
                  <dgm:constr type="l" for="ch" forName="childNode2"/>
                  <dgm:constr type="w" for="ch" forName="childNode2tx" refType="w" fact="0.9"/>
                  <dgm:constr type="h" for="ch" forName="childNode2tx" refType="h" fact="0.55"/>
                  <dgm:constr type="t" for="ch" forName="childNode2tx" refType="h" fact="0.3"/>
                  <dgm:constr type="l" for="ch" forName="childNode2tx"/>
                  <dgm:constr type="w" for="ch" forName="parentNode2" refType="w" fact="0.8"/>
                  <dgm:constr type="h" for="ch" forName="parentNode2" refType="h" fact="0.3"/>
                  <dgm:constr type="t" for="ch" forName="parentNode2"/>
                  <dgm:constr type="l" for="ch" forName="parentNode2" refType="w" fact="0.2"/>
                  <dgm:constr type="w" for="ch" forName="connSite2" refType="w" fact="0.01"/>
                  <dgm:constr type="h" for="ch" forName="connSite2" refType="h" fact="0.01"/>
                  <dgm:constr type="t" for="ch" forName="connSite2" refType="h" fact="0.99"/>
                  <dgm:constr type="l" for="ch" forName="connSite2" refType="w" fact="0.25"/>
                </dgm:constrLst>
              </dgm:if>
              <dgm:else name="Name16">
                <dgm:constrLst>
                  <dgm:constr type="h" refType="w" fact="1.06"/>
                  <dgm:constr type="w" for="ch" forName="dummyNode2" refType="w"/>
                  <dgm:constr type="h" for="ch" forName="dummyNode2" refType="h"/>
                  <dgm:constr type="t" for="ch" forName="dummyNode2"/>
                  <dgm:constr type="l" for="ch" forName="dummyNode2"/>
                  <dgm:constr type="w" for="ch" forName="childNode2" refType="w" fact="0.9"/>
                  <dgm:constr type="h" for="ch" forName="childNode2" refType="h" fact="0.7"/>
                  <dgm:constr type="t" for="ch" forName="childNode2" refType="h" fact="0.15"/>
                  <dgm:constr type="l" for="ch" forName="childNode2" refType="w" fact="0.1"/>
                  <dgm:constr type="w" for="ch" forName="childNode2tx" refType="w" fact="0.9"/>
                  <dgm:constr type="h" for="ch" forName="childNode2tx" refType="h" fact="0.55"/>
                  <dgm:constr type="t" for="ch" forName="childNode2tx" refType="h" fact="0.3"/>
                  <dgm:constr type="l" for="ch" forName="childNode2tx" refType="w" fact="0.1"/>
                  <dgm:constr type="w" for="ch" forName="parentNode2" refType="w" fact="0.8"/>
                  <dgm:constr type="h" for="ch" forName="parentNode2" refType="h" fact="0.3"/>
                  <dgm:constr type="t" for="ch" forName="parentNode2"/>
                  <dgm:constr type="l" for="ch" forName="parentNode2"/>
                  <dgm:constr type="w" for="ch" forName="connSite2" refType="w" fact="0.01"/>
                  <dgm:constr type="h" for="ch" forName="connSite2" refType="h" fact="0.01"/>
                  <dgm:constr type="t" for="ch" forName="connSite2" refType="h" fact="0.99"/>
                  <dgm:constr type="l" for="ch" forName="connSite2" refType="w" fact="0.85"/>
                </dgm:constrLst>
              </dgm:else>
            </dgm:choose>
            <dgm:ruleLst/>
            <dgm:layoutNode name="dummyNode2">
              <dgm:alg type="sp"/>
              <dgm:shape xmlns:r="http://schemas.openxmlformats.org/officeDocument/2006/relationships" type="rect" r:blip="" hideGeom="1">
                <dgm:adjLst/>
              </dgm:shape>
              <dgm:presOf/>
              <dgm:constrLst/>
              <dgm:ruleLst/>
            </dgm:layoutNode>
            <dgm:layoutNode name="childNode2" styleLbl="bgAcc1">
              <dgm:varLst>
                <dgm:bulletEnabled val="1"/>
              </dgm:varLst>
              <dgm:alg type="sp"/>
              <dgm:shape xmlns:r="http://schemas.openxmlformats.org/officeDocument/2006/relationships" type="roundRect" r:blip="">
                <dgm:adjLst>
                  <dgm:adj idx="1" val="0.1"/>
                </dgm:adjLst>
              </dgm:shape>
              <dgm:presOf axis="des" ptType="node"/>
              <dgm:constrLst/>
              <dgm:ruleLst/>
            </dgm:layoutNode>
            <dgm:layoutNode name="childNode2tx" styleLbl="bgAcc1">
              <dgm:varLst>
                <dgm:bulletEnabled val="1"/>
              </dgm:varLst>
              <dgm:alg type="tx">
                <dgm:param type="stBulletLvl" val="1"/>
              </dgm:alg>
              <dgm:shape xmlns:r="http://schemas.openxmlformats.org/officeDocument/2006/relationships" type="roundRect" r:blip="" hideGeom="1">
                <dgm:adjLst>
                  <dgm:adj idx="1" val="0.1"/>
                </dgm:adjLst>
              </dgm:shape>
              <dgm:presOf axis="des" ptType="node"/>
              <dgm:constrLst>
                <dgm:constr type="secFontSz" val="65"/>
                <dgm:constr type="primFontSz" refType="secFontSz"/>
                <dgm:constr type="tMarg" refType="secFontSz" fact="0.15"/>
                <dgm:constr type="bMarg" refType="secFontSz" fact="0.15"/>
                <dgm:constr type="lMarg" refType="secFontSz" fact="0.15"/>
                <dgm:constr type="rMarg" refType="secFontSz" fact="0.15"/>
              </dgm:constrLst>
              <dgm:ruleLst>
                <dgm:rule type="secFontSz" val="5" fact="NaN" max="NaN"/>
              </dgm:ruleLst>
            </dgm:layoutNode>
            <dgm:layoutNode name="parentNode2" styleLbl="node1">
              <dgm:varLst>
                <dgm:chMax val="0"/>
                <dgm:bulletEnabled val="1"/>
              </dgm:varLst>
              <dgm:alg type="tx"/>
              <dgm:shape xmlns:r="http://schemas.openxmlformats.org/officeDocument/2006/relationships" type="roundRect" r:blip="">
                <dgm:adjLst>
                  <dgm:adj idx="1" val="0.1"/>
                </dgm:adjLst>
              </dgm:shape>
              <dgm:presOf axis="self"/>
              <dgm:constrLst>
                <dgm:constr type="tMarg" refType="primFontSz" fact="0.1"/>
                <dgm:constr type="bMarg" refType="primFontSz" fact="0.1"/>
                <dgm:constr type="lMarg" refType="primFontSz" fact="0.15"/>
                <dgm:constr type="rMarg" refType="primFontSz" fact="0.15"/>
              </dgm:constrLst>
              <dgm:ruleLst>
                <dgm:rule type="primFontSz" val="5" fact="NaN" max="NaN"/>
              </dgm:ruleLst>
            </dgm:layoutNode>
            <dgm:layoutNode name="connSite2" moveWith="childNode2">
              <dgm:alg type="sp"/>
              <dgm:shape xmlns:r="http://schemas.openxmlformats.org/officeDocument/2006/relationships" r:blip="">
                <dgm:adjLst/>
              </dgm:shape>
              <dgm:presOf/>
              <dgm:constrLst/>
              <dgm:ruleLst/>
            </dgm:layoutNode>
          </dgm:layoutNode>
          <dgm:forEach name="Name17" axis="followSib" ptType="sibTrans" cnt="1">
            <dgm:layoutNode name="Name18">
              <dgm:alg type="conn">
                <dgm:param type="connRout" val="curve"/>
                <dgm:param type="srcNode" val="parentNode2"/>
                <dgm:param type="dstNode" val="connSite1"/>
                <dgm:param type="begPts" val="tCtr"/>
                <dgm:param type="endPts" val="tCtr"/>
              </dgm:alg>
              <dgm:shape xmlns:r="http://schemas.openxmlformats.org/officeDocument/2006/relationships" type="conn" r:blip="" zOrderOff="-2">
                <dgm:adjLst/>
              </dgm:shape>
              <dgm:presOf axis="self"/>
              <dgm:choose name="Name19">
                <dgm:if name="Name20" func="var" arg="dir" op="equ" val="norm">
                  <dgm:constrLst>
                    <dgm:constr type="h" refType="w" fact="0.35"/>
                    <dgm:constr type="wArH" refType="h"/>
                    <dgm:constr type="hArH" refType="h"/>
                    <dgm:constr type="connDist"/>
                    <dgm:constr type="diam" refType="connDist" fact="1.15"/>
                    <dgm:constr type="begPad"/>
                    <dgm:constr type="endPad"/>
                  </dgm:constrLst>
                </dgm:if>
                <dgm:else name="Name21">
                  <dgm:constrLst>
                    <dgm:constr type="h" refType="w" fact="0.35"/>
                    <dgm:constr type="wArH" refType="h"/>
                    <dgm:constr type="hArH" refType="h"/>
                    <dgm:constr type="connDist"/>
                    <dgm:constr type="diam" refType="connDist" fact="-1.15"/>
                    <dgm:constr type="begPad"/>
                    <dgm:constr type="endPad"/>
                  </dgm:constrLst>
                </dgm:else>
              </dgm:choose>
              <dgm:ruleLst/>
            </dgm:layoutNode>
          </dgm:forEach>
        </dgm:forEach>
      </dgm:forEach>
    </dgm:layoutNode>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image" Target="../media/image1.png"/><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2.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4.emf"/></Relationships>
</file>

<file path=xl/drawings/_rels/drawing4.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image" Target="../media/image5.emf"/><Relationship Id="rId2" Type="http://schemas.openxmlformats.org/officeDocument/2006/relationships/chart" Target="../charts/chart2.xml"/><Relationship Id="rId1" Type="http://schemas.openxmlformats.org/officeDocument/2006/relationships/image" Target="../media/image4.emf"/><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25400</xdr:colOff>
      <xdr:row>6</xdr:row>
      <xdr:rowOff>31750</xdr:rowOff>
    </xdr:from>
    <xdr:to>
      <xdr:col>2</xdr:col>
      <xdr:colOff>4286250</xdr:colOff>
      <xdr:row>22</xdr:row>
      <xdr:rowOff>171450</xdr:rowOff>
    </xdr:to>
    <xdr:graphicFrame macro="">
      <xdr:nvGraphicFramePr>
        <xdr:cNvPr id="4" name="Diagram 3">
          <a:extLst>
            <a:ext uri="{FF2B5EF4-FFF2-40B4-BE49-F238E27FC236}">
              <a16:creationId xmlns:a16="http://schemas.microsoft.com/office/drawing/2014/main" id="{20DF7D62-51CC-4304-B2E7-EB4845DA4281}"/>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2</xdr:col>
      <xdr:colOff>3959091</xdr:colOff>
      <xdr:row>0</xdr:row>
      <xdr:rowOff>1</xdr:rowOff>
    </xdr:from>
    <xdr:to>
      <xdr:col>2</xdr:col>
      <xdr:colOff>5137150</xdr:colOff>
      <xdr:row>5</xdr:row>
      <xdr:rowOff>13843</xdr:rowOff>
    </xdr:to>
    <xdr:pic>
      <xdr:nvPicPr>
        <xdr:cNvPr id="3" name="Picture 2">
          <a:extLst>
            <a:ext uri="{FF2B5EF4-FFF2-40B4-BE49-F238E27FC236}">
              <a16:creationId xmlns:a16="http://schemas.microsoft.com/office/drawing/2014/main" id="{AF05ECFD-AC91-43EF-B614-E5DA9CE6170D}"/>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8569191" y="1"/>
          <a:ext cx="1178059" cy="9345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282</xdr:row>
      <xdr:rowOff>107950</xdr:rowOff>
    </xdr:from>
    <xdr:to>
      <xdr:col>4</xdr:col>
      <xdr:colOff>784225</xdr:colOff>
      <xdr:row>310</xdr:row>
      <xdr:rowOff>3175</xdr:rowOff>
    </xdr:to>
    <xdr:pic>
      <xdr:nvPicPr>
        <xdr:cNvPr id="3" name="Picture 2">
          <a:extLst>
            <a:ext uri="{FF2B5EF4-FFF2-40B4-BE49-F238E27FC236}">
              <a16:creationId xmlns:a16="http://schemas.microsoft.com/office/drawing/2014/main" id="{5DED1CE8-2995-4AF2-BA38-A811B9C76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707550"/>
          <a:ext cx="7013575" cy="4518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264</xdr:row>
      <xdr:rowOff>0</xdr:rowOff>
    </xdr:from>
    <xdr:to>
      <xdr:col>5</xdr:col>
      <xdr:colOff>631825</xdr:colOff>
      <xdr:row>280</xdr:row>
      <xdr:rowOff>57150</xdr:rowOff>
    </xdr:to>
    <xdr:pic>
      <xdr:nvPicPr>
        <xdr:cNvPr id="4" name="Picture 3">
          <a:extLst>
            <a:ext uri="{FF2B5EF4-FFF2-40B4-BE49-F238E27FC236}">
              <a16:creationId xmlns:a16="http://schemas.microsoft.com/office/drawing/2014/main" id="{B3662D2A-8C22-438C-81A1-57508EBF22E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7310675"/>
          <a:ext cx="7661275" cy="269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1390650</xdr:colOff>
      <xdr:row>17</xdr:row>
      <xdr:rowOff>6350</xdr:rowOff>
    </xdr:from>
    <xdr:to>
      <xdr:col>0</xdr:col>
      <xdr:colOff>1847850</xdr:colOff>
      <xdr:row>17</xdr:row>
      <xdr:rowOff>191031</xdr:rowOff>
    </xdr:to>
    <xdr:pic>
      <xdr:nvPicPr>
        <xdr:cNvPr id="2" name="Picture 1">
          <a:extLst>
            <a:ext uri="{FF2B5EF4-FFF2-40B4-BE49-F238E27FC236}">
              <a16:creationId xmlns:a16="http://schemas.microsoft.com/office/drawing/2014/main" id="{60C5BEF8-DEFC-4965-877E-004F976C181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90650" y="2520950"/>
          <a:ext cx="457200" cy="1846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29</xdr:col>
      <xdr:colOff>0</xdr:colOff>
      <xdr:row>11</xdr:row>
      <xdr:rowOff>0</xdr:rowOff>
    </xdr:from>
    <xdr:to>
      <xdr:col>37</xdr:col>
      <xdr:colOff>431800</xdr:colOff>
      <xdr:row>29</xdr:row>
      <xdr:rowOff>44449</xdr:rowOff>
    </xdr:to>
    <xdr:graphicFrame macro="">
      <xdr:nvGraphicFramePr>
        <xdr:cNvPr id="3" name="Chart 2">
          <a:extLst>
            <a:ext uri="{FF2B5EF4-FFF2-40B4-BE49-F238E27FC236}">
              <a16:creationId xmlns:a16="http://schemas.microsoft.com/office/drawing/2014/main" id="{E363EC53-2163-4D86-A7F4-332000D9E2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1390650</xdr:colOff>
      <xdr:row>113</xdr:row>
      <xdr:rowOff>6350</xdr:rowOff>
    </xdr:from>
    <xdr:to>
      <xdr:col>0</xdr:col>
      <xdr:colOff>1847850</xdr:colOff>
      <xdr:row>114</xdr:row>
      <xdr:rowOff>13231</xdr:rowOff>
    </xdr:to>
    <xdr:pic>
      <xdr:nvPicPr>
        <xdr:cNvPr id="3" name="Picture 2">
          <a:extLst>
            <a:ext uri="{FF2B5EF4-FFF2-40B4-BE49-F238E27FC236}">
              <a16:creationId xmlns:a16="http://schemas.microsoft.com/office/drawing/2014/main" id="{3388F942-3548-46B4-BF32-363FDD682D8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90650" y="2863850"/>
          <a:ext cx="457200" cy="1846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116</xdr:row>
      <xdr:rowOff>19051</xdr:rowOff>
    </xdr:from>
    <xdr:to>
      <xdr:col>3</xdr:col>
      <xdr:colOff>584200</xdr:colOff>
      <xdr:row>132</xdr:row>
      <xdr:rowOff>38101</xdr:rowOff>
    </xdr:to>
    <xdr:graphicFrame macro="">
      <xdr:nvGraphicFramePr>
        <xdr:cNvPr id="4" name="Chart 3">
          <a:extLst>
            <a:ext uri="{FF2B5EF4-FFF2-40B4-BE49-F238E27FC236}">
              <a16:creationId xmlns:a16="http://schemas.microsoft.com/office/drawing/2014/main" id="{E3F3A558-9448-4306-8619-9AF1009984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692150</xdr:colOff>
      <xdr:row>116</xdr:row>
      <xdr:rowOff>31750</xdr:rowOff>
    </xdr:from>
    <xdr:to>
      <xdr:col>16</xdr:col>
      <xdr:colOff>57150</xdr:colOff>
      <xdr:row>132</xdr:row>
      <xdr:rowOff>133349</xdr:rowOff>
    </xdr:to>
    <xdr:graphicFrame macro="">
      <xdr:nvGraphicFramePr>
        <xdr:cNvPr id="5" name="Chart 4">
          <a:extLst>
            <a:ext uri="{FF2B5EF4-FFF2-40B4-BE49-F238E27FC236}">
              <a16:creationId xmlns:a16="http://schemas.microsoft.com/office/drawing/2014/main" id="{7DF63D08-7969-4EB3-AED0-D1064E71E8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22</xdr:row>
      <xdr:rowOff>31750</xdr:rowOff>
    </xdr:from>
    <xdr:to>
      <xdr:col>9</xdr:col>
      <xdr:colOff>266700</xdr:colOff>
      <xdr:row>47</xdr:row>
      <xdr:rowOff>107950</xdr:rowOff>
    </xdr:to>
    <xdr:graphicFrame macro="">
      <xdr:nvGraphicFramePr>
        <xdr:cNvPr id="2" name="Chart 1">
          <a:extLst>
            <a:ext uri="{FF2B5EF4-FFF2-40B4-BE49-F238E27FC236}">
              <a16:creationId xmlns:a16="http://schemas.microsoft.com/office/drawing/2014/main" id="{479D651D-DC10-4CC6-AD8F-8075F284CF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31750</xdr:colOff>
      <xdr:row>63</xdr:row>
      <xdr:rowOff>22225</xdr:rowOff>
    </xdr:from>
    <xdr:to>
      <xdr:col>1</xdr:col>
      <xdr:colOff>660400</xdr:colOff>
      <xdr:row>79</xdr:row>
      <xdr:rowOff>177800</xdr:rowOff>
    </xdr:to>
    <xdr:graphicFrame macro="">
      <xdr:nvGraphicFramePr>
        <xdr:cNvPr id="7" name="Chart 6">
          <a:extLst>
            <a:ext uri="{FF2B5EF4-FFF2-40B4-BE49-F238E27FC236}">
              <a16:creationId xmlns:a16="http://schemas.microsoft.com/office/drawing/2014/main" id="{E3FC5821-C984-4735-BDE9-969FDF28A6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44450</xdr:colOff>
      <xdr:row>89</xdr:row>
      <xdr:rowOff>3175</xdr:rowOff>
    </xdr:from>
    <xdr:to>
      <xdr:col>6</xdr:col>
      <xdr:colOff>527050</xdr:colOff>
      <xdr:row>106</xdr:row>
      <xdr:rowOff>133350</xdr:rowOff>
    </xdr:to>
    <xdr:graphicFrame macro="">
      <xdr:nvGraphicFramePr>
        <xdr:cNvPr id="8" name="Chart 7">
          <a:extLst>
            <a:ext uri="{FF2B5EF4-FFF2-40B4-BE49-F238E27FC236}">
              <a16:creationId xmlns:a16="http://schemas.microsoft.com/office/drawing/2014/main" id="{95A190F0-AD52-49DF-9E35-64C350DB7D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44450</xdr:colOff>
      <xdr:row>248</xdr:row>
      <xdr:rowOff>0</xdr:rowOff>
    </xdr:from>
    <xdr:to>
      <xdr:col>4</xdr:col>
      <xdr:colOff>374650</xdr:colOff>
      <xdr:row>270</xdr:row>
      <xdr:rowOff>139700</xdr:rowOff>
    </xdr:to>
    <xdr:pic>
      <xdr:nvPicPr>
        <xdr:cNvPr id="10" name="Picture 9">
          <a:extLst>
            <a:ext uri="{FF2B5EF4-FFF2-40B4-BE49-F238E27FC236}">
              <a16:creationId xmlns:a16="http://schemas.microsoft.com/office/drawing/2014/main" id="{89FF1401-2865-4BB6-A5D1-371739CCEB6E}"/>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4450" y="42468800"/>
          <a:ext cx="5962650" cy="419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746125</xdr:colOff>
      <xdr:row>63</xdr:row>
      <xdr:rowOff>34925</xdr:rowOff>
    </xdr:from>
    <xdr:to>
      <xdr:col>10</xdr:col>
      <xdr:colOff>571500</xdr:colOff>
      <xdr:row>79</xdr:row>
      <xdr:rowOff>146050</xdr:rowOff>
    </xdr:to>
    <xdr:graphicFrame macro="">
      <xdr:nvGraphicFramePr>
        <xdr:cNvPr id="6" name="Chart 5">
          <a:extLst>
            <a:ext uri="{FF2B5EF4-FFF2-40B4-BE49-F238E27FC236}">
              <a16:creationId xmlns:a16="http://schemas.microsoft.com/office/drawing/2014/main" id="{0EDECF20-9333-4A8E-BAFD-93884F3E02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632C1-63D0-495D-9F1E-88C921D2711E}">
  <sheetPr>
    <pageSetUpPr fitToPage="1"/>
  </sheetPr>
  <dimension ref="A1:G87"/>
  <sheetViews>
    <sheetView topLeftCell="A36" zoomScaleNormal="100" workbookViewId="0">
      <selection activeCell="C74" sqref="C74"/>
    </sheetView>
  </sheetViews>
  <sheetFormatPr defaultRowHeight="14.4" x14ac:dyDescent="0.3"/>
  <cols>
    <col min="1" max="1" width="3.5546875" customWidth="1"/>
    <col min="2" max="2" width="62.44140625" style="496" bestFit="1" customWidth="1"/>
    <col min="3" max="3" width="78.44140625" style="497" customWidth="1"/>
  </cols>
  <sheetData>
    <row r="1" spans="1:3" x14ac:dyDescent="0.3">
      <c r="C1" s="497" t="s">
        <v>520</v>
      </c>
    </row>
    <row r="2" spans="1:3" x14ac:dyDescent="0.3">
      <c r="B2" s="498" t="s">
        <v>429</v>
      </c>
    </row>
    <row r="3" spans="1:3" x14ac:dyDescent="0.3">
      <c r="A3" s="498"/>
      <c r="B3" s="521"/>
      <c r="C3" s="521"/>
    </row>
    <row r="4" spans="1:3" x14ac:dyDescent="0.3">
      <c r="B4" s="521" t="s">
        <v>396</v>
      </c>
      <c r="C4" s="521"/>
    </row>
    <row r="5" spans="1:3" x14ac:dyDescent="0.3">
      <c r="B5" t="s">
        <v>461</v>
      </c>
    </row>
    <row r="6" spans="1:3" x14ac:dyDescent="0.3">
      <c r="B6" s="520" t="s">
        <v>476</v>
      </c>
      <c r="C6" s="521"/>
    </row>
    <row r="24" spans="1:7" x14ac:dyDescent="0.3">
      <c r="B24" s="499" t="s">
        <v>477</v>
      </c>
    </row>
    <row r="25" spans="1:7" x14ac:dyDescent="0.3">
      <c r="B25" s="499" t="s">
        <v>430</v>
      </c>
    </row>
    <row r="27" spans="1:7" s="503" customFormat="1" ht="13.8" x14ac:dyDescent="0.3">
      <c r="A27" s="500"/>
      <c r="B27" s="501" t="s">
        <v>484</v>
      </c>
      <c r="C27" s="500"/>
      <c r="D27" s="500"/>
      <c r="E27" s="500"/>
      <c r="F27" s="500"/>
      <c r="G27" s="502"/>
    </row>
    <row r="28" spans="1:7" s="503" customFormat="1" ht="13.8" x14ac:dyDescent="0.3">
      <c r="A28" s="500"/>
      <c r="B28" s="504" t="s">
        <v>384</v>
      </c>
      <c r="C28" s="500" t="s">
        <v>385</v>
      </c>
      <c r="D28" s="500"/>
      <c r="E28" s="500"/>
      <c r="F28" s="500"/>
      <c r="G28" s="502"/>
    </row>
    <row r="29" spans="1:7" s="503" customFormat="1" ht="13.8" x14ac:dyDescent="0.3">
      <c r="A29" s="500"/>
      <c r="B29" s="505" t="s">
        <v>386</v>
      </c>
      <c r="C29" s="500" t="s">
        <v>387</v>
      </c>
      <c r="D29" s="500"/>
      <c r="E29" s="500"/>
      <c r="F29" s="500"/>
      <c r="G29" s="502"/>
    </row>
    <row r="30" spans="1:7" s="503" customFormat="1" thickBot="1" x14ac:dyDescent="0.35">
      <c r="A30" s="500"/>
      <c r="B30" s="506" t="s">
        <v>388</v>
      </c>
      <c r="C30" s="500" t="s">
        <v>389</v>
      </c>
      <c r="D30" s="500"/>
      <c r="E30" s="500"/>
      <c r="F30" s="500"/>
      <c r="G30" s="502"/>
    </row>
    <row r="31" spans="1:7" s="503" customFormat="1" thickTop="1" x14ac:dyDescent="0.3">
      <c r="A31" s="500"/>
      <c r="B31" s="501"/>
      <c r="C31" s="500"/>
      <c r="D31" s="500"/>
      <c r="E31" s="500"/>
      <c r="F31" s="500"/>
      <c r="G31" s="502"/>
    </row>
    <row r="32" spans="1:7" s="498" customFormat="1" x14ac:dyDescent="0.3">
      <c r="B32" s="507" t="s">
        <v>428</v>
      </c>
      <c r="C32" s="508" t="s">
        <v>390</v>
      </c>
    </row>
    <row r="33" spans="1:3" s="498" customFormat="1" x14ac:dyDescent="0.3">
      <c r="A33" s="509"/>
      <c r="B33" s="510" t="str">
        <f>Inputs!A1</f>
        <v>1. Inputs</v>
      </c>
      <c r="C33" s="511"/>
    </row>
    <row r="34" spans="1:3" ht="115.2" x14ac:dyDescent="0.3">
      <c r="B34" s="512" t="str">
        <f>Inputs!A3</f>
        <v>1.1 Plant Capacity/Performance</v>
      </c>
      <c r="C34" s="496" t="s">
        <v>518</v>
      </c>
    </row>
    <row r="35" spans="1:3" x14ac:dyDescent="0.3">
      <c r="B35" s="513" t="str">
        <f>Inputs!A19</f>
        <v>1.2 Capital Costs and Useful lives</v>
      </c>
      <c r="C35" s="522" t="s">
        <v>519</v>
      </c>
    </row>
    <row r="36" spans="1:3" x14ac:dyDescent="0.3">
      <c r="B36" s="513" t="str">
        <f>Inputs!A23</f>
        <v xml:space="preserve">1.2.1 Solar </v>
      </c>
      <c r="C36" s="521"/>
    </row>
    <row r="37" spans="1:3" x14ac:dyDescent="0.3">
      <c r="B37" s="513" t="str">
        <f>Inputs!A46</f>
        <v>1.2.2 Wind</v>
      </c>
      <c r="C37" s="521"/>
    </row>
    <row r="38" spans="1:3" x14ac:dyDescent="0.3">
      <c r="B38" s="513" t="str">
        <f>Inputs!A62</f>
        <v>1.2.3 Hydro</v>
      </c>
      <c r="C38" s="521"/>
    </row>
    <row r="39" spans="1:3" x14ac:dyDescent="0.3">
      <c r="B39" s="513" t="str">
        <f>Inputs!A80</f>
        <v>1.2.4 Biomass</v>
      </c>
      <c r="C39" s="521"/>
    </row>
    <row r="40" spans="1:3" x14ac:dyDescent="0.3">
      <c r="B40" s="513" t="str">
        <f>Inputs!A98</f>
        <v>1.2.5 Floating Biogas</v>
      </c>
      <c r="C40" s="521"/>
    </row>
    <row r="41" spans="1:3" x14ac:dyDescent="0.3">
      <c r="B41" s="513" t="str">
        <f>Inputs!A116</f>
        <v>1.2.6 General or "shared" assets used in the electricity business</v>
      </c>
      <c r="C41" s="521"/>
    </row>
    <row r="42" spans="1:3" ht="72" x14ac:dyDescent="0.3">
      <c r="B42" s="513" t="str">
        <f>Inputs!A123</f>
        <v>1.2.7 Interest during construction (IDC)</v>
      </c>
      <c r="C42" s="497" t="s">
        <v>481</v>
      </c>
    </row>
    <row r="43" spans="1:3" ht="43.2" x14ac:dyDescent="0.3">
      <c r="B43" s="512" t="str">
        <f>Inputs!A131</f>
        <v>1.3 Working capital</v>
      </c>
      <c r="C43" s="497" t="s">
        <v>437</v>
      </c>
    </row>
    <row r="44" spans="1:3" ht="144" x14ac:dyDescent="0.3">
      <c r="B44" s="512" t="str">
        <f>Inputs!A136</f>
        <v>1.4 Operating and Maintenance (O&amp;M) costs</v>
      </c>
      <c r="C44" s="497" t="s">
        <v>521</v>
      </c>
    </row>
    <row r="45" spans="1:3" ht="72" x14ac:dyDescent="0.3">
      <c r="B45" s="512" t="str">
        <f>Inputs!A154</f>
        <v>1.5 Subsidies/Grants/Contributions Received</v>
      </c>
      <c r="C45" s="497" t="s">
        <v>431</v>
      </c>
    </row>
    <row r="46" spans="1:3" ht="28.8" x14ac:dyDescent="0.3">
      <c r="B46" s="512" t="str">
        <f>Inputs!A160</f>
        <v>1.6 Non-tariff revenues</v>
      </c>
      <c r="C46" s="497" t="s">
        <v>433</v>
      </c>
    </row>
    <row r="47" spans="1:3" x14ac:dyDescent="0.3">
      <c r="B47" s="512" t="str">
        <f>Inputs!A166</f>
        <v>1.7 Financing information</v>
      </c>
      <c r="C47" s="497" t="s">
        <v>468</v>
      </c>
    </row>
    <row r="48" spans="1:3" ht="28.8" x14ac:dyDescent="0.3">
      <c r="B48" s="513" t="str">
        <f>Inputs!A167</f>
        <v>1.7.1 Summary of Sources of Funding for Total Installed Capital Cost</v>
      </c>
      <c r="C48" s="497" t="s">
        <v>465</v>
      </c>
    </row>
    <row r="49" spans="1:3" ht="28.8" x14ac:dyDescent="0.3">
      <c r="B49" s="513" t="str">
        <f>Inputs!A175</f>
        <v>1.7.2 Debt Finance Terms</v>
      </c>
      <c r="C49" s="497" t="s">
        <v>434</v>
      </c>
    </row>
    <row r="50" spans="1:3" ht="43.2" x14ac:dyDescent="0.3">
      <c r="B50" s="513" t="str">
        <f>Inputs!A181</f>
        <v>1.7.3 Weighted Average Cost of Capital (WACC) in Nominal terms</v>
      </c>
      <c r="C50" s="497" t="s">
        <v>435</v>
      </c>
    </row>
    <row r="51" spans="1:3" ht="43.2" x14ac:dyDescent="0.3">
      <c r="B51" s="513" t="str">
        <f>Inputs!A189</f>
        <v>1.7.4 Construction Financing (Interest During Construction)</v>
      </c>
      <c r="C51" s="497" t="s">
        <v>466</v>
      </c>
    </row>
    <row r="52" spans="1:3" ht="86.4" x14ac:dyDescent="0.3">
      <c r="B52" s="512" t="str">
        <f>Inputs!A195</f>
        <v>1.8 Customer categories, consumption and cost causality</v>
      </c>
      <c r="C52" s="497" t="s">
        <v>522</v>
      </c>
    </row>
    <row r="53" spans="1:3" x14ac:dyDescent="0.3">
      <c r="B53" s="512" t="str">
        <f>Inputs!A211</f>
        <v>1.9 Economic data</v>
      </c>
      <c r="C53" s="497" t="s">
        <v>436</v>
      </c>
    </row>
    <row r="54" spans="1:3" ht="100.8" x14ac:dyDescent="0.3">
      <c r="B54" s="513" t="str">
        <f>Inputs!A220</f>
        <v>1.10 Forex Volatility Adjustment(To be added as a separate line to tariff)</v>
      </c>
      <c r="C54" s="497" t="s">
        <v>467</v>
      </c>
    </row>
    <row r="55" spans="1:3" x14ac:dyDescent="0.3">
      <c r="B55" s="512" t="str">
        <f>Inputs!A231</f>
        <v>1.11 Benchmarks</v>
      </c>
      <c r="C55" s="497" t="s">
        <v>456</v>
      </c>
    </row>
    <row r="56" spans="1:3" ht="86.4" x14ac:dyDescent="0.3">
      <c r="B56" s="512" t="str">
        <f>'Portfolio tab'!A1</f>
        <v>1.12 Inputs for Portfolio sites</v>
      </c>
      <c r="C56" s="497" t="s">
        <v>470</v>
      </c>
    </row>
    <row r="58" spans="1:3" s="498" customFormat="1" x14ac:dyDescent="0.3">
      <c r="A58" s="514"/>
      <c r="B58" s="515" t="str">
        <f>Calculations!A1</f>
        <v>2. Calculations</v>
      </c>
      <c r="C58" s="516"/>
    </row>
    <row r="59" spans="1:3" ht="57.6" x14ac:dyDescent="0.3">
      <c r="B59" s="513" t="str">
        <f>Calculations!A5</f>
        <v>2.1 Net Energy Output/Sold:</v>
      </c>
      <c r="C59" s="497" t="s">
        <v>438</v>
      </c>
    </row>
    <row r="60" spans="1:3" ht="100.8" x14ac:dyDescent="0.3">
      <c r="B60" s="513" t="str">
        <f>Calculations!A14</f>
        <v>2.2 Depreciation</v>
      </c>
      <c r="C60" s="497" t="s">
        <v>471</v>
      </c>
    </row>
    <row r="61" spans="1:3" ht="57.6" x14ac:dyDescent="0.3">
      <c r="B61" s="513" t="str">
        <f>Calculations!A21</f>
        <v>2.3 Revenue Requirement = O&amp;M + Depreciation + (Rate Base x WACC) + Tax Allowance</v>
      </c>
      <c r="C61" s="497" t="s">
        <v>443</v>
      </c>
    </row>
    <row r="62" spans="1:3" ht="58.95" customHeight="1" x14ac:dyDescent="0.3">
      <c r="B62" s="513" t="str">
        <f>Calculations!A43</f>
        <v>2.4 True up (IFRS 14 — Regulatory Deferral Accounts Balances)</v>
      </c>
      <c r="C62" s="497" t="s">
        <v>472</v>
      </c>
    </row>
    <row r="63" spans="1:3" ht="28.8" x14ac:dyDescent="0.3">
      <c r="B63" s="513" t="str">
        <f>Calculations!A49</f>
        <v>2.5 Mini grid valuation</v>
      </c>
      <c r="C63" s="497" t="s">
        <v>442</v>
      </c>
    </row>
    <row r="64" spans="1:3" ht="43.2" x14ac:dyDescent="0.3">
      <c r="B64" s="513" t="str">
        <f>Calculations!A59</f>
        <v>2.6 Tariffs Calculations</v>
      </c>
      <c r="C64" s="497" t="s">
        <v>441</v>
      </c>
    </row>
    <row r="65" spans="1:3" x14ac:dyDescent="0.3">
      <c r="B65" s="513" t="str">
        <f>Calculations!A108</f>
        <v>2.7 Financial Performance</v>
      </c>
      <c r="C65" s="522" t="s">
        <v>444</v>
      </c>
    </row>
    <row r="66" spans="1:3" x14ac:dyDescent="0.3">
      <c r="B66" s="513" t="str">
        <f>Calculations!A110</f>
        <v>2.7.1 Statement of Profit or Loss &amp; other Comprehensive Income</v>
      </c>
      <c r="C66" s="522"/>
    </row>
    <row r="67" spans="1:3" x14ac:dyDescent="0.3">
      <c r="B67" s="513" t="str">
        <f>Calculations!A123</f>
        <v>2.7.2 Project Cash Flows</v>
      </c>
      <c r="C67" s="522"/>
    </row>
    <row r="68" spans="1:3" x14ac:dyDescent="0.3">
      <c r="B68" s="513" t="str">
        <f>Calculations!A131</f>
        <v>2.7.3 Debt Ratios and Cashflows available for debt service</v>
      </c>
      <c r="C68" s="522"/>
    </row>
    <row r="69" spans="1:3" x14ac:dyDescent="0.3">
      <c r="B69" s="513" t="str">
        <f>Calculations!A137</f>
        <v>2.7.4 Project NPV and IRR</v>
      </c>
      <c r="C69" s="522"/>
    </row>
    <row r="70" spans="1:3" ht="28.8" x14ac:dyDescent="0.3">
      <c r="B70" s="513" t="str">
        <f>Calculations!A143</f>
        <v>2.7.5 Debt repayment schedule</v>
      </c>
      <c r="C70" s="497" t="s">
        <v>440</v>
      </c>
    </row>
    <row r="71" spans="1:3" ht="28.8" x14ac:dyDescent="0.3">
      <c r="B71" s="513" t="str">
        <f>Calculations!A161</f>
        <v>2.8 Benchmarks</v>
      </c>
      <c r="C71" s="497" t="s">
        <v>445</v>
      </c>
    </row>
    <row r="73" spans="1:3" s="498" customFormat="1" x14ac:dyDescent="0.3">
      <c r="A73" s="517"/>
      <c r="B73" s="518" t="str">
        <f>Outputs!A1</f>
        <v>3. Outputs</v>
      </c>
      <c r="C73" s="519"/>
    </row>
    <row r="74" spans="1:3" ht="100.8" x14ac:dyDescent="0.3">
      <c r="B74" s="513" t="str">
        <f>Outputs!A4</f>
        <v>3.1(a) Tariffs Structure by customer category</v>
      </c>
      <c r="C74" s="497" t="s">
        <v>506</v>
      </c>
    </row>
    <row r="75" spans="1:3" x14ac:dyDescent="0.3">
      <c r="B75" s="513" t="str">
        <f>Outputs!A22</f>
        <v>3.1(b) Graph of the tariffs</v>
      </c>
      <c r="C75" s="497" t="s">
        <v>448</v>
      </c>
    </row>
    <row r="76" spans="1:3" x14ac:dyDescent="0.3">
      <c r="B76" s="513" t="str">
        <f>Outputs!A50</f>
        <v>3.2(a) Financial indicators</v>
      </c>
      <c r="C76" s="497" t="s">
        <v>446</v>
      </c>
    </row>
    <row r="77" spans="1:3" x14ac:dyDescent="0.3">
      <c r="B77" s="513" t="str">
        <f>Outputs!A63</f>
        <v>3.2(b) Financial indicators Graphs</v>
      </c>
      <c r="C77" s="497" t="s">
        <v>447</v>
      </c>
    </row>
    <row r="78" spans="1:3" x14ac:dyDescent="0.3">
      <c r="B78" s="513" t="str">
        <f>Outputs!A83</f>
        <v>3.3(a) Mini grid Valuation</v>
      </c>
      <c r="C78" s="497" t="s">
        <v>449</v>
      </c>
    </row>
    <row r="79" spans="1:3" x14ac:dyDescent="0.3">
      <c r="B79" s="513" t="str">
        <f>Outputs!A89</f>
        <v>3.3(b) Mini grid Valuation Graph</v>
      </c>
      <c r="C79" s="497" t="s">
        <v>450</v>
      </c>
    </row>
    <row r="80" spans="1:3" ht="28.8" x14ac:dyDescent="0.3">
      <c r="B80" s="513" t="str">
        <f>Outputs!A109</f>
        <v xml:space="preserve">3.4(a) Depreciation Methods Amounts Comparison </v>
      </c>
      <c r="C80" s="497" t="s">
        <v>451</v>
      </c>
    </row>
    <row r="81" spans="2:3" ht="28.8" x14ac:dyDescent="0.3">
      <c r="B81" s="513" t="str">
        <f>Outputs!A116</f>
        <v>3.4(b) Depreciation Comparison Graphs</v>
      </c>
      <c r="C81" s="497" t="s">
        <v>452</v>
      </c>
    </row>
    <row r="82" spans="2:3" ht="28.8" x14ac:dyDescent="0.3">
      <c r="B82" s="513" t="str">
        <f>Outputs!A135</f>
        <v>3.5 Benchmarks comparisons</v>
      </c>
      <c r="C82" s="497" t="s">
        <v>453</v>
      </c>
    </row>
    <row r="83" spans="2:3" ht="86.4" x14ac:dyDescent="0.3">
      <c r="B83" s="513" t="str">
        <f>Outputs!A155</f>
        <v>3.6 Sensitivity scenarios outputs</v>
      </c>
      <c r="C83" s="497" t="s">
        <v>459</v>
      </c>
    </row>
    <row r="84" spans="2:3" ht="72" x14ac:dyDescent="0.3">
      <c r="B84" s="513" t="str">
        <f>Outputs!A156</f>
        <v>3.6.1 Inputs variations - Change that input value and then use "paste special values"</v>
      </c>
      <c r="C84" s="497" t="s">
        <v>455</v>
      </c>
    </row>
    <row r="85" spans="2:3" ht="72" x14ac:dyDescent="0.3">
      <c r="B85" s="513" t="str">
        <f>Outputs!A173</f>
        <v>3.6.2 Outputs variations - use "goal seek" and then "paste special values"</v>
      </c>
      <c r="C85" s="497" t="s">
        <v>454</v>
      </c>
    </row>
    <row r="86" spans="2:3" ht="28.8" x14ac:dyDescent="0.3">
      <c r="B86" s="513" t="str">
        <f>Outputs!A193</f>
        <v>3.6.3 Relating subsidies to connections to tariffs = use same approach as #3.6.2(c)</v>
      </c>
      <c r="C86" s="497" t="s">
        <v>457</v>
      </c>
    </row>
    <row r="87" spans="2:3" ht="43.2" x14ac:dyDescent="0.3">
      <c r="B87" s="513" t="str">
        <f>Outputs!A211</f>
        <v>3.6.4 Price elasticity of demand – inputs and outputs</v>
      </c>
      <c r="C87" s="497" t="s">
        <v>458</v>
      </c>
    </row>
  </sheetData>
  <sheetProtection algorithmName="SHA-512" hashValue="eLIHvnPu7X6IDBrSUasOMp0pcf/jMR5aQldYJ+/u/4Ri1w7iDuXJuzhIL7TP2YBIRdSlFFSJjMu/jmTtXdavUw==" saltValue="cKUBzVXDPvPcdmNNQNYhfg==" spinCount="100000" sheet="1" objects="1" scenarios="1" formatCells="0" formatColumns="0" formatRows="0" insertHyperlinks="0"/>
  <protectedRanges>
    <protectedRange sqref="B44:B46 B3:B8" name="Complex Inputs"/>
    <protectedRange sqref="B32:B34 C33 B23:B25 D23:D25 D32:D34" name="Complex Inputs_2"/>
    <protectedRange sqref="D37:D42 B37:B42" name="Complex Inputs_4"/>
    <protectedRange sqref="D4:D11" name="Complex Inputs_5"/>
    <protectedRange sqref="D13:D21" name="Complex Inputs_6"/>
  </protectedRanges>
  <mergeCells count="5">
    <mergeCell ref="B6:C6"/>
    <mergeCell ref="B4:C4"/>
    <mergeCell ref="C35:C41"/>
    <mergeCell ref="C65:C69"/>
    <mergeCell ref="B3:C3"/>
  </mergeCells>
  <hyperlinks>
    <hyperlink ref="B34" location="Inputs!A3" display="Inputs!A3" xr:uid="{1259E57E-4363-4182-8A80-1D297E60B511}"/>
    <hyperlink ref="B33" location="Inputs!A1" display="Inputs!A1" xr:uid="{B8AD28A4-9D1E-4627-8948-DE2C3663CB15}"/>
    <hyperlink ref="B35" location="Inputs!A19" display="Inputs!A19" xr:uid="{73547D4A-D048-4900-82E6-BDBD89D5E96B}"/>
    <hyperlink ref="B36" location="Inputs!A23" display="Inputs!A23" xr:uid="{DE7D2D05-31A5-464E-B6B8-EC389E2A18A6}"/>
    <hyperlink ref="B37" location="Inputs!A46" display="Inputs!A46" xr:uid="{302A1130-B302-4712-9276-3F80A6CF2792}"/>
    <hyperlink ref="B38" location="Inputs!A62" display="Inputs!A62" xr:uid="{34813CAB-EC04-4A1C-A8DC-65B3E82DBC5A}"/>
    <hyperlink ref="B39" location="Inputs!A80" display="Inputs!A80" xr:uid="{0A22F438-0958-44A5-BAD3-1A85B1D18915}"/>
    <hyperlink ref="B42" location="Inputs!A123" display="Inputs!A123" xr:uid="{4CFFE01D-C2A1-43F2-9DC7-82227E0C9C31}"/>
    <hyperlink ref="B40" location="Inputs!A98" display="Inputs!A98" xr:uid="{26BCDFC7-1692-4360-B58F-AC0A76E61590}"/>
    <hyperlink ref="B41" location="Inputs!A116" display="Inputs!A116" xr:uid="{57BC325E-2E17-4050-ADB3-871F462BB0B6}"/>
    <hyperlink ref="B43" location="Inputs!A131" display="Inputs!A131" xr:uid="{B0BC7C64-36E3-4639-BE49-B6AE921E0863}"/>
    <hyperlink ref="B44" location="Inputs!A136" display="Inputs!A136" xr:uid="{89837D87-72EB-45D5-BB19-665E6E70133B}"/>
    <hyperlink ref="B45" location="Inputs!A154" display="Inputs!A154" xr:uid="{1016EF6E-CA05-40F7-94E5-C6C77C5B8361}"/>
    <hyperlink ref="B46" location="Inputs!A160" display="Inputs!A160" xr:uid="{32E20969-B0AC-4513-BC1D-CE85AE0A4B12}"/>
    <hyperlink ref="B47" location="Inputs!A166" display="Inputs!A166" xr:uid="{8164E50A-E036-4D21-8C36-8D3C5FFB3C22}"/>
    <hyperlink ref="B48" location="Inputs!A167" display="Inputs!A167" xr:uid="{7BB5F141-227C-43FA-A390-3AC9D60611C8}"/>
    <hyperlink ref="B49" location="Inputs!A175" display="Inputs!A175" xr:uid="{A061FC85-D880-455A-88D5-C95F62239B7D}"/>
    <hyperlink ref="B50" location="Inputs!A181" display="Inputs!A181" xr:uid="{9FEB5E2B-CE9A-4F8A-BE43-47F1C4C59D0A}"/>
    <hyperlink ref="B51" location="Inputs!A189" display="Inputs!A189" xr:uid="{9FABA1F0-479E-4380-8C59-77433ABF83B0}"/>
    <hyperlink ref="B52" location="Inputs!A195" display="Inputs!A195" xr:uid="{657677F1-8481-4E88-B309-328476AC3039}"/>
    <hyperlink ref="B53" location="Inputs!A211" display="Inputs!A211" xr:uid="{54B8C1EE-A810-4D4D-9CEC-DA735C26039D}"/>
    <hyperlink ref="B54" location="Inputs!A220" display="Inputs!A220" xr:uid="{C289CEDE-A511-48C6-8DC0-5045D5BA634D}"/>
    <hyperlink ref="B55" location="Inputs!A231" display="Inputs!A231" xr:uid="{CD37B920-846A-487E-8528-924286A56EC9}"/>
    <hyperlink ref="B58" location="Calculations!A1" display="Calculations!A1" xr:uid="{064F909B-835F-4048-832F-12B698CBABC2}"/>
    <hyperlink ref="B59" location="Calculations!A5" display="Calculations!A5" xr:uid="{FF5CB57E-05EF-4CE4-BC10-4D673F0EE54F}"/>
    <hyperlink ref="B60" location="Calculations!A14" display="Calculations!A14" xr:uid="{F3E76106-5EBC-4682-8267-7708015AE834}"/>
    <hyperlink ref="B61" location="Calculations!A21" display="Calculations!A21" xr:uid="{EB096405-5612-48A1-8702-F263C2CFA190}"/>
    <hyperlink ref="B62" location="Calculations!A43" display="Calculations!A43" xr:uid="{25640B86-88A4-44FE-B71F-A1475CBD6DEE}"/>
    <hyperlink ref="B63" location="Calculations!A49" display="Calculations!A49" xr:uid="{0CE28893-D34F-4E36-B699-68844D78AD35}"/>
    <hyperlink ref="B64" location="Calculations!A59" display="Calculations!A59" xr:uid="{BC63BD92-0421-41C4-9151-64E4E35D3CC9}"/>
    <hyperlink ref="B65" location="Calculations!A108" display="Calculations!A108" xr:uid="{3EE566BE-4736-431A-94DF-3DF6E37C3FB9}"/>
    <hyperlink ref="B66" location="Calculations!A110" display="Calculations!A110" xr:uid="{C54BD9E4-7AED-464A-908F-90ADBDB04AFF}"/>
    <hyperlink ref="B67" location="Calculations!A123" display="Calculations!A123" xr:uid="{5C81E342-2FA5-47C8-8A74-0C93E1825902}"/>
    <hyperlink ref="B68" location="Calculations!A131" display="Calculations!A131" xr:uid="{BDA2A305-A624-43D5-A51A-BFC025C36E9D}"/>
    <hyperlink ref="B69" location="Calculations!A137" display="Calculations!A137" xr:uid="{9AC0BF74-9FF9-4680-8500-113334A9A59F}"/>
    <hyperlink ref="B70" location="Calculations!A143" display="Calculations!A143" xr:uid="{247362AA-42D0-4C5D-9732-8BF2180B602A}"/>
    <hyperlink ref="B71" location="Calculations!A161" display="Calculations!A161" xr:uid="{0D0EE691-D328-4459-A459-40098C0F3F7D}"/>
    <hyperlink ref="B56" location="'Portfolio tab'!A1" display="'Portfolio tab'!A1" xr:uid="{DC535B96-0C2A-417D-8F91-2CE58576D11A}"/>
    <hyperlink ref="B73" location="Outputs!A1" display="Outputs!A1" xr:uid="{580AAC5A-6B69-4110-B38B-540F9C9969FF}"/>
    <hyperlink ref="B74" location="Outputs!A4" display="Outputs!A4" xr:uid="{4C71E205-90C0-4FA5-8BDB-4558814851DF}"/>
    <hyperlink ref="B75" location="Outputs!A22" display="Outputs!A22" xr:uid="{715BEC65-AF34-404B-B849-B59905355396}"/>
    <hyperlink ref="B76" location="Outputs!A50" display="Outputs!A50" xr:uid="{85A69ACB-0ECA-4A3C-AB42-9A0BF137E67D}"/>
    <hyperlink ref="B77" location="Outputs!A63" display="Outputs!A63" xr:uid="{21B77E5C-654A-4F0B-BF22-A5C923ED1270}"/>
    <hyperlink ref="B78" location="Outputs!A83" display="Outputs!A83" xr:uid="{253034C8-CE2B-4DC2-8037-CE385DD0DB5B}"/>
    <hyperlink ref="B79" location="Outputs!A89" display="Outputs!A89" xr:uid="{58B49676-F429-41B4-A171-CFAE5E5AD0D3}"/>
    <hyperlink ref="B80" location="Outputs!A109" display="Outputs!A109" xr:uid="{79397E90-0A88-41CF-B3E7-10DB4E1FF58D}"/>
    <hyperlink ref="B81" location="Outputs!A116" display="Outputs!A116" xr:uid="{ED5291E6-8487-45FD-BFCF-CF57BB6FB883}"/>
    <hyperlink ref="B82" location="Outputs!A135" display="Outputs!A135" xr:uid="{F6C13BB2-AC7C-4430-B496-E36E75EA38F0}"/>
    <hyperlink ref="B85" location="Outputs!A173" display="Outputs!A173" xr:uid="{0F453F26-F23A-4335-B5DB-39D760EF9B9A}"/>
    <hyperlink ref="B83" location="Outputs!A155" display="Outputs!A155" xr:uid="{F937DD91-2F8E-4B94-B4C1-81564EFA5DAB}"/>
    <hyperlink ref="B84" location="Outputs!A156" display="Outputs!A156" xr:uid="{070FE6FE-DBE2-45F5-B17F-91CFB81F48B7}"/>
    <hyperlink ref="B86" location="Outputs!A193" display="Outputs!A193" xr:uid="{29D2CE12-5BE3-4BC7-8BF7-1A0A41824CD8}"/>
    <hyperlink ref="B87" location="Outputs!A196" display="Outputs!A196" xr:uid="{667FC870-73AE-4EEF-9568-04777C896B6A}"/>
  </hyperlinks>
  <pageMargins left="0.70866141732283472" right="0.70866141732283472" top="0.74803149606299213" bottom="0.74803149606299213" header="0.31496062992125984" footer="0.31496062992125984"/>
  <pageSetup paperSize="9" scale="60" fitToHeight="0"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7297F-3B8F-4A06-BBEB-A745B5883A8F}">
  <dimension ref="A1:KT376"/>
  <sheetViews>
    <sheetView tabSelected="1" topLeftCell="A31" zoomScaleNormal="100" workbookViewId="0">
      <selection activeCell="C124" sqref="C124"/>
    </sheetView>
  </sheetViews>
  <sheetFormatPr defaultColWidth="9.21875" defaultRowHeight="14.4" x14ac:dyDescent="0.3"/>
  <cols>
    <col min="1" max="1" width="54.21875" style="22" customWidth="1"/>
    <col min="2" max="2" width="12" style="34" bestFit="1" customWidth="1"/>
    <col min="3" max="4" width="11.44140625" style="22" customWidth="1"/>
    <col min="5" max="5" width="11.44140625" style="23" customWidth="1"/>
    <col min="6" max="7" width="11.44140625" style="22" customWidth="1"/>
    <col min="8" max="9" width="10.33203125" style="22" bestFit="1" customWidth="1"/>
    <col min="10" max="10" width="9.21875" style="22"/>
    <col min="11" max="11" width="12" style="22" bestFit="1" customWidth="1"/>
    <col min="12" max="14" width="9.21875" style="22"/>
    <col min="15" max="15" width="10.33203125" style="22" bestFit="1" customWidth="1"/>
    <col min="16" max="22" width="9.21875" style="22"/>
    <col min="23" max="23" width="10.33203125" style="22" bestFit="1" customWidth="1"/>
    <col min="24" max="30" width="9.21875" style="22"/>
    <col min="31" max="31" width="10.33203125" style="22" bestFit="1" customWidth="1"/>
    <col min="32" max="32" width="9.21875" style="22"/>
    <col min="33" max="33" width="15.77734375" style="23" bestFit="1" customWidth="1"/>
    <col min="34" max="35" width="13.109375" style="23" bestFit="1" customWidth="1"/>
    <col min="36" max="16384" width="9.21875" style="22"/>
  </cols>
  <sheetData>
    <row r="1" spans="1:45" ht="18" x14ac:dyDescent="0.35">
      <c r="A1" s="20" t="s">
        <v>91</v>
      </c>
      <c r="B1" s="21"/>
      <c r="C1" s="21"/>
    </row>
    <row r="2" spans="1:45" x14ac:dyDescent="0.3">
      <c r="A2" s="24"/>
      <c r="B2" s="21"/>
      <c r="C2" s="21"/>
      <c r="E2" s="21"/>
    </row>
    <row r="3" spans="1:45" s="26" customFormat="1" ht="15.6" x14ac:dyDescent="0.3">
      <c r="A3" s="25" t="s">
        <v>402</v>
      </c>
      <c r="B3" s="25"/>
      <c r="C3" s="25"/>
      <c r="E3" s="21"/>
      <c r="F3" s="27"/>
      <c r="G3" s="27"/>
      <c r="H3" s="27"/>
      <c r="I3" s="27"/>
      <c r="J3" s="27"/>
      <c r="K3" s="27"/>
      <c r="L3" s="27"/>
      <c r="M3" s="27"/>
      <c r="N3" s="27"/>
      <c r="O3" s="27"/>
      <c r="P3" s="27"/>
      <c r="Q3" s="27"/>
      <c r="R3" s="27"/>
      <c r="S3" s="27"/>
      <c r="T3" s="27"/>
      <c r="U3" s="27"/>
      <c r="V3" s="27"/>
      <c r="W3" s="27"/>
      <c r="X3" s="27"/>
      <c r="Y3" s="27"/>
      <c r="Z3" s="27"/>
      <c r="AA3" s="27"/>
      <c r="AB3" s="27"/>
      <c r="AC3" s="27"/>
      <c r="AD3" s="27"/>
      <c r="AE3" s="27"/>
      <c r="AF3" s="27"/>
      <c r="AG3" s="28"/>
      <c r="AH3" s="28"/>
      <c r="AI3" s="28"/>
      <c r="AJ3" s="27"/>
      <c r="AK3" s="27"/>
      <c r="AL3" s="27"/>
      <c r="AM3" s="27"/>
      <c r="AN3" s="27"/>
      <c r="AO3" s="27"/>
      <c r="AP3" s="27"/>
      <c r="AQ3" s="27"/>
      <c r="AR3" s="27"/>
      <c r="AS3" s="27"/>
    </row>
    <row r="4" spans="1:45" s="30" customFormat="1" x14ac:dyDescent="0.3">
      <c r="A4" s="29"/>
      <c r="B4" s="29" t="s">
        <v>49</v>
      </c>
      <c r="C4" s="29" t="s">
        <v>50</v>
      </c>
      <c r="E4" s="21"/>
      <c r="F4" s="31"/>
      <c r="G4" s="31"/>
      <c r="H4" s="31"/>
      <c r="I4" s="31"/>
      <c r="J4" s="31"/>
      <c r="K4" s="31"/>
      <c r="L4" s="31"/>
      <c r="M4" s="31"/>
      <c r="N4" s="31"/>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31"/>
      <c r="AQ4" s="31"/>
      <c r="AR4" s="31"/>
      <c r="AS4" s="31"/>
    </row>
    <row r="5" spans="1:45" x14ac:dyDescent="0.3">
      <c r="A5" s="32" t="s">
        <v>117</v>
      </c>
      <c r="B5" s="4" t="s">
        <v>234</v>
      </c>
      <c r="C5" s="3">
        <v>50</v>
      </c>
      <c r="E5" s="33"/>
      <c r="F5" s="34"/>
      <c r="G5" s="34"/>
      <c r="H5" s="34"/>
      <c r="I5" s="34"/>
      <c r="J5" s="34"/>
      <c r="K5" s="34"/>
      <c r="L5" s="34"/>
      <c r="M5" s="34"/>
      <c r="N5" s="34"/>
      <c r="O5" s="34"/>
      <c r="P5" s="34"/>
      <c r="Q5" s="34"/>
      <c r="R5" s="34"/>
      <c r="S5" s="34"/>
      <c r="T5" s="34"/>
      <c r="U5" s="34"/>
      <c r="V5" s="34"/>
      <c r="W5" s="34"/>
      <c r="X5" s="34"/>
      <c r="Y5" s="34"/>
      <c r="Z5" s="34"/>
      <c r="AA5" s="34"/>
      <c r="AB5" s="34"/>
      <c r="AC5" s="34"/>
      <c r="AD5" s="34"/>
      <c r="AE5" s="34"/>
      <c r="AF5" s="34"/>
      <c r="AG5" s="33"/>
      <c r="AH5" s="33"/>
      <c r="AI5" s="33"/>
      <c r="AJ5" s="34"/>
      <c r="AK5" s="34"/>
      <c r="AL5" s="34"/>
      <c r="AM5" s="34"/>
      <c r="AN5" s="34"/>
      <c r="AO5" s="34"/>
      <c r="AP5" s="34"/>
      <c r="AQ5" s="34"/>
      <c r="AR5" s="34"/>
      <c r="AS5" s="34"/>
    </row>
    <row r="6" spans="1:45" x14ac:dyDescent="0.3">
      <c r="A6" s="32" t="s">
        <v>488</v>
      </c>
      <c r="B6" s="4" t="s">
        <v>87</v>
      </c>
      <c r="C6" s="105">
        <f>365*24</f>
        <v>8760</v>
      </c>
    </row>
    <row r="7" spans="1:45" x14ac:dyDescent="0.3">
      <c r="A7" s="32" t="s">
        <v>84</v>
      </c>
      <c r="B7" s="4" t="s">
        <v>85</v>
      </c>
      <c r="C7" s="5">
        <v>0.95</v>
      </c>
      <c r="D7" s="22" t="s">
        <v>252</v>
      </c>
      <c r="E7" s="33"/>
      <c r="F7" s="34"/>
      <c r="G7" s="34"/>
      <c r="H7" s="34"/>
      <c r="I7" s="34"/>
      <c r="J7" s="34"/>
      <c r="K7" s="34"/>
      <c r="L7" s="34"/>
      <c r="M7" s="34"/>
      <c r="N7" s="34"/>
      <c r="O7" s="34"/>
      <c r="P7" s="34"/>
      <c r="Q7" s="34"/>
      <c r="R7" s="34"/>
      <c r="S7" s="34"/>
      <c r="T7" s="34"/>
      <c r="U7" s="34"/>
      <c r="V7" s="34"/>
      <c r="W7" s="34"/>
      <c r="X7" s="34"/>
      <c r="Y7" s="34"/>
      <c r="Z7" s="34"/>
      <c r="AA7" s="34"/>
      <c r="AB7" s="34"/>
      <c r="AC7" s="34"/>
      <c r="AD7" s="34"/>
      <c r="AE7" s="34"/>
      <c r="AF7" s="34"/>
      <c r="AG7" s="33"/>
      <c r="AH7" s="33"/>
      <c r="AI7" s="33"/>
      <c r="AJ7" s="34"/>
      <c r="AK7" s="34"/>
      <c r="AL7" s="34"/>
      <c r="AM7" s="34"/>
      <c r="AN7" s="34"/>
      <c r="AO7" s="34"/>
      <c r="AP7" s="34"/>
      <c r="AQ7" s="34"/>
      <c r="AR7" s="34"/>
      <c r="AS7" s="34"/>
    </row>
    <row r="8" spans="1:45" x14ac:dyDescent="0.3">
      <c r="A8" s="32" t="s">
        <v>494</v>
      </c>
      <c r="B8" s="4" t="s">
        <v>88</v>
      </c>
      <c r="C8" s="105">
        <f>IF(B5="kWp",C5*C6*C7,C5*C6*C7*1000)</f>
        <v>416100</v>
      </c>
    </row>
    <row r="9" spans="1:45" x14ac:dyDescent="0.3">
      <c r="A9" s="32" t="s">
        <v>86</v>
      </c>
      <c r="B9" s="4" t="s">
        <v>85</v>
      </c>
      <c r="C9" s="5">
        <v>0.95</v>
      </c>
    </row>
    <row r="10" spans="1:45" x14ac:dyDescent="0.3">
      <c r="A10" s="32" t="s">
        <v>495</v>
      </c>
      <c r="B10" s="4" t="s">
        <v>88</v>
      </c>
      <c r="C10" s="105">
        <f>C8*C9</f>
        <v>395295</v>
      </c>
    </row>
    <row r="11" spans="1:45" x14ac:dyDescent="0.3">
      <c r="A11" s="32" t="s">
        <v>513</v>
      </c>
      <c r="B11" s="4" t="s">
        <v>85</v>
      </c>
      <c r="C11" s="5">
        <v>0.04</v>
      </c>
      <c r="D11" s="22" t="s">
        <v>517</v>
      </c>
    </row>
    <row r="12" spans="1:45" x14ac:dyDescent="0.3">
      <c r="A12" s="32" t="s">
        <v>515</v>
      </c>
      <c r="B12" s="4" t="s">
        <v>88</v>
      </c>
      <c r="C12" s="105">
        <f>C10*(1-C11)</f>
        <v>379483.2</v>
      </c>
    </row>
    <row r="13" spans="1:45" x14ac:dyDescent="0.3">
      <c r="A13" s="32" t="s">
        <v>90</v>
      </c>
      <c r="B13" s="4" t="s">
        <v>85</v>
      </c>
      <c r="C13" s="5">
        <v>0.01</v>
      </c>
      <c r="D13" s="22" t="s">
        <v>483</v>
      </c>
    </row>
    <row r="14" spans="1:45" x14ac:dyDescent="0.3">
      <c r="A14" s="32" t="s">
        <v>133</v>
      </c>
      <c r="B14" s="4" t="s">
        <v>88</v>
      </c>
      <c r="C14" s="106">
        <f>C12*(1-C13)</f>
        <v>375688.36800000002</v>
      </c>
    </row>
    <row r="15" spans="1:45" x14ac:dyDescent="0.3">
      <c r="A15" s="32" t="s">
        <v>92</v>
      </c>
      <c r="B15" s="4" t="s">
        <v>85</v>
      </c>
      <c r="C15" s="9">
        <v>2.5000000000000001E-3</v>
      </c>
    </row>
    <row r="16" spans="1:45" x14ac:dyDescent="0.3">
      <c r="A16" s="32" t="s">
        <v>514</v>
      </c>
      <c r="B16" s="35" t="s">
        <v>89</v>
      </c>
      <c r="C16" s="8">
        <v>25</v>
      </c>
    </row>
    <row r="17" spans="1:45" x14ac:dyDescent="0.3">
      <c r="A17" s="36"/>
      <c r="B17" s="37"/>
      <c r="C17" s="37"/>
      <c r="D17" s="38"/>
      <c r="E17" s="38"/>
      <c r="F17" s="38"/>
      <c r="G17" s="38"/>
      <c r="H17" s="38"/>
    </row>
    <row r="18" spans="1:45" x14ac:dyDescent="0.3">
      <c r="A18" s="36"/>
      <c r="B18" s="37"/>
      <c r="C18" s="37"/>
      <c r="D18" s="38"/>
      <c r="E18" s="38"/>
      <c r="F18" s="38"/>
      <c r="G18" s="38"/>
      <c r="H18" s="38"/>
    </row>
    <row r="19" spans="1:45" s="26" customFormat="1" ht="15.6" x14ac:dyDescent="0.3">
      <c r="A19" s="25" t="s">
        <v>95</v>
      </c>
      <c r="B19" s="39"/>
      <c r="C19" s="25"/>
      <c r="E19" s="28"/>
      <c r="F19" s="27"/>
      <c r="G19" s="27"/>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8"/>
      <c r="AH19" s="28"/>
      <c r="AI19" s="28"/>
      <c r="AJ19" s="27"/>
      <c r="AK19" s="27"/>
      <c r="AL19" s="27"/>
      <c r="AM19" s="27"/>
      <c r="AN19" s="27"/>
      <c r="AO19" s="27"/>
      <c r="AP19" s="27"/>
      <c r="AQ19" s="27"/>
      <c r="AR19" s="27"/>
      <c r="AS19" s="27"/>
    </row>
    <row r="20" spans="1:45" s="26" customFormat="1" x14ac:dyDescent="0.3">
      <c r="A20" s="32" t="s">
        <v>485</v>
      </c>
      <c r="B20" s="69"/>
      <c r="C20" s="3" t="s">
        <v>524</v>
      </c>
      <c r="E20" s="28"/>
      <c r="F20" s="27"/>
      <c r="G20" s="27"/>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8"/>
      <c r="AH20" s="28"/>
      <c r="AI20" s="28"/>
      <c r="AJ20" s="27"/>
      <c r="AK20" s="27"/>
      <c r="AL20" s="27"/>
      <c r="AM20" s="27"/>
      <c r="AN20" s="27"/>
      <c r="AO20" s="27"/>
      <c r="AP20" s="27"/>
      <c r="AQ20" s="27"/>
      <c r="AR20" s="27"/>
      <c r="AS20" s="27"/>
    </row>
    <row r="21" spans="1:45" s="24" customFormat="1" x14ac:dyDescent="0.3">
      <c r="A21" s="40" t="s">
        <v>47</v>
      </c>
      <c r="B21" s="38"/>
      <c r="C21" s="38"/>
      <c r="E21" s="37"/>
      <c r="AB21" s="38"/>
      <c r="AC21" s="38"/>
      <c r="AD21" s="38"/>
      <c r="AE21" s="38"/>
      <c r="AF21" s="38"/>
      <c r="AG21" s="37"/>
      <c r="AH21" s="37" t="s">
        <v>185</v>
      </c>
      <c r="AI21" s="37" t="s">
        <v>186</v>
      </c>
      <c r="AJ21" s="38"/>
      <c r="AK21" s="38"/>
      <c r="AL21" s="38"/>
      <c r="AM21" s="38"/>
      <c r="AN21" s="38"/>
      <c r="AO21" s="38"/>
      <c r="AP21" s="38"/>
      <c r="AQ21" s="38"/>
      <c r="AR21" s="38"/>
      <c r="AS21" s="38"/>
    </row>
    <row r="22" spans="1:45" s="42" customFormat="1" ht="13.8" x14ac:dyDescent="0.3">
      <c r="A22" s="41"/>
      <c r="B22" s="41" t="s">
        <v>49</v>
      </c>
      <c r="C22" s="41" t="s">
        <v>50</v>
      </c>
      <c r="E22" s="489" t="s">
        <v>48</v>
      </c>
      <c r="F22" s="43" t="s">
        <v>112</v>
      </c>
      <c r="G22" s="44"/>
      <c r="H22" s="44"/>
      <c r="I22" s="44"/>
      <c r="J22" s="44"/>
      <c r="K22" s="45"/>
      <c r="L22" s="46" t="s">
        <v>135</v>
      </c>
      <c r="M22" s="44"/>
      <c r="N22" s="44"/>
      <c r="O22" s="44"/>
      <c r="P22" s="44"/>
      <c r="Q22" s="44"/>
      <c r="R22" s="44"/>
      <c r="S22" s="44"/>
      <c r="T22" s="44"/>
      <c r="U22" s="44"/>
      <c r="V22" s="44"/>
      <c r="W22" s="44"/>
      <c r="X22" s="44"/>
      <c r="Y22" s="44"/>
      <c r="Z22" s="44"/>
      <c r="AA22" s="44"/>
      <c r="AB22" s="44"/>
      <c r="AC22" s="44"/>
      <c r="AD22" s="44"/>
      <c r="AE22" s="44"/>
      <c r="AF22" s="44"/>
      <c r="AG22" s="47" t="s">
        <v>154</v>
      </c>
      <c r="AH22" s="47" t="s">
        <v>155</v>
      </c>
      <c r="AI22" s="47" t="s">
        <v>155</v>
      </c>
      <c r="AJ22" s="47"/>
      <c r="AK22" s="47"/>
      <c r="AL22" s="47"/>
      <c r="AM22" s="47"/>
      <c r="AN22" s="47"/>
      <c r="AO22" s="47"/>
      <c r="AP22" s="47"/>
      <c r="AQ22" s="47"/>
      <c r="AR22" s="47"/>
      <c r="AS22" s="47"/>
    </row>
    <row r="23" spans="1:45" s="24" customFormat="1" ht="13.8" x14ac:dyDescent="0.3">
      <c r="A23" s="482" t="s">
        <v>98</v>
      </c>
      <c r="B23" s="483"/>
      <c r="C23" s="484"/>
      <c r="E23" s="490" t="s">
        <v>89</v>
      </c>
      <c r="F23" s="48"/>
      <c r="G23" s="49"/>
      <c r="H23" s="49"/>
      <c r="I23" s="49"/>
      <c r="J23" s="49"/>
      <c r="K23" s="50"/>
      <c r="L23" s="49">
        <f>IF($C$16-1&gt;0,5,0)</f>
        <v>5</v>
      </c>
      <c r="M23" s="49">
        <f>IF(MAX($L$23:L23)&gt;=$C$16,0,L23+1)</f>
        <v>6</v>
      </c>
      <c r="N23" s="49">
        <f>IF(MAX($L$23:M23)&gt;=$C$16,0,M23+1)</f>
        <v>7</v>
      </c>
      <c r="O23" s="49">
        <f>IF(MAX($L$23:N23)&gt;=$C$16,0,N23+1)</f>
        <v>8</v>
      </c>
      <c r="P23" s="49">
        <f>IF(MAX($L$23:O23)&gt;=$C$16,0,O23+1)</f>
        <v>9</v>
      </c>
      <c r="Q23" s="49">
        <f>IF(MAX($L$23:P23)&gt;=$C$16,0,P23+1)</f>
        <v>10</v>
      </c>
      <c r="R23" s="49">
        <f>IF(MAX($L$23:Q23)&gt;=$C$16,0,Q23+1)</f>
        <v>11</v>
      </c>
      <c r="S23" s="49">
        <f>IF(MAX($L$23:R23)&gt;=$C$16,0,R23+1)</f>
        <v>12</v>
      </c>
      <c r="T23" s="49">
        <f>IF(MAX($L$23:S23)&gt;=$C$16,0,S23+1)</f>
        <v>13</v>
      </c>
      <c r="U23" s="49">
        <f>IF(MAX($L$23:T23)&gt;=$C$16,0,T23+1)</f>
        <v>14</v>
      </c>
      <c r="V23" s="49">
        <f>IF(MAX($L$23:U23)&gt;=$C$16,0,U23+1)</f>
        <v>15</v>
      </c>
      <c r="W23" s="49">
        <f>IF(MAX($L$23:V23)&gt;=$C$16,0,V23+1)</f>
        <v>16</v>
      </c>
      <c r="X23" s="49">
        <f>IF(MAX($L$23:W23)&gt;=$C$16,0,W23+1)</f>
        <v>17</v>
      </c>
      <c r="Y23" s="49">
        <f>IF(MAX($L$23:X23)&gt;=$C$16,0,X23+1)</f>
        <v>18</v>
      </c>
      <c r="Z23" s="49">
        <f>IF(MAX($L$23:Y23)&gt;=$C$16,0,Y23+1)</f>
        <v>19</v>
      </c>
      <c r="AA23" s="49">
        <f>IF(MAX($L$23:Z23)&gt;=$C$16,0,Z23+1)</f>
        <v>20</v>
      </c>
      <c r="AB23" s="49">
        <f>IF(MAX($L$23:AA23)&gt;=$C$16,0,AA23+1)</f>
        <v>21</v>
      </c>
      <c r="AC23" s="49">
        <f>IF(MAX($L$23:AB23)&gt;=$C$16,0,AB23+1)</f>
        <v>22</v>
      </c>
      <c r="AD23" s="49">
        <f>IF(MAX($L$23:AC23)&gt;=$C$16,0,AC23+1)</f>
        <v>23</v>
      </c>
      <c r="AE23" s="49">
        <f>IF(MAX($L$23:AD23)&gt;=$C$16,0,AD23+1)</f>
        <v>24</v>
      </c>
      <c r="AF23" s="49">
        <f>IF(MAX($L$23:AE23)&gt;=$C$16,0,AE23+1)</f>
        <v>25</v>
      </c>
      <c r="AG23" s="37"/>
      <c r="AH23" s="37"/>
      <c r="AI23" s="37"/>
      <c r="AJ23" s="38"/>
      <c r="AK23" s="38"/>
      <c r="AL23" s="38"/>
      <c r="AM23" s="38"/>
      <c r="AN23" s="38"/>
      <c r="AO23" s="38"/>
      <c r="AP23" s="38"/>
      <c r="AQ23" s="38"/>
      <c r="AR23" s="38"/>
      <c r="AS23" s="38"/>
    </row>
    <row r="24" spans="1:45" s="51" customFormat="1" ht="13.8" x14ac:dyDescent="0.3">
      <c r="A24" s="32" t="s">
        <v>29</v>
      </c>
      <c r="B24" s="166" t="str">
        <f>$C$20</f>
        <v>US$</v>
      </c>
      <c r="C24" s="3">
        <v>15000</v>
      </c>
      <c r="E24" s="3">
        <f>C16</f>
        <v>25</v>
      </c>
      <c r="F24" s="175" t="str">
        <f>IF($C$16&gt;COUNT($E24:E24)*$E24,COUNT($E24:E24)*$E24,"")</f>
        <v/>
      </c>
      <c r="G24" s="176" t="str">
        <f>IF($C$16&gt;COUNT($E24:F24)*$E24,COUNT($E24:F24)*$E24,"")</f>
        <v/>
      </c>
      <c r="H24" s="176" t="str">
        <f>IF($C$16&gt;COUNT($E24:G24)*$E24,COUNT($E24:G24)*$E24,"")</f>
        <v/>
      </c>
      <c r="I24" s="176" t="str">
        <f>IF($C$16&gt;COUNT($E24:H24)*$E24,COUNT($E24:H24)*$E24,"")</f>
        <v/>
      </c>
      <c r="J24" s="176" t="str">
        <f>IF($C$16&gt;COUNT($E24:I24)*$E24,COUNT($E24:I24)*$E24,"")</f>
        <v/>
      </c>
      <c r="K24" s="177" t="str">
        <f>IF($C$16&gt;COUNT($E24:J24)*$E24,COUNT($E24:J24)*$E24,"")</f>
        <v/>
      </c>
      <c r="L24" s="12" t="str">
        <f t="shared" ref="L24:U33" si="0">IF(L$23=0,"",IF($F24=L$23,$C24,IF($G24=L$23,$C24,IF($H24=L$23,$C24,IF($I24=L$23,$C24,IF($J24=L$23,$C24,IF($K24=L$23,$C24,"")))))))</f>
        <v/>
      </c>
      <c r="M24" s="12" t="str">
        <f t="shared" si="0"/>
        <v/>
      </c>
      <c r="N24" s="12" t="str">
        <f t="shared" si="0"/>
        <v/>
      </c>
      <c r="O24" s="12" t="str">
        <f t="shared" si="0"/>
        <v/>
      </c>
      <c r="P24" s="12" t="str">
        <f t="shared" si="0"/>
        <v/>
      </c>
      <c r="Q24" s="12" t="str">
        <f t="shared" si="0"/>
        <v/>
      </c>
      <c r="R24" s="12" t="str">
        <f t="shared" si="0"/>
        <v/>
      </c>
      <c r="S24" s="12" t="str">
        <f t="shared" si="0"/>
        <v/>
      </c>
      <c r="T24" s="12" t="str">
        <f t="shared" si="0"/>
        <v/>
      </c>
      <c r="U24" s="12" t="str">
        <f t="shared" si="0"/>
        <v/>
      </c>
      <c r="V24" s="12" t="str">
        <f t="shared" ref="V24:AF33" si="1">IF(V$23=0,"",IF($F24=V$23,$C24,IF($G24=V$23,$C24,IF($H24=V$23,$C24,IF($I24=V$23,$C24,IF($J24=V$23,$C24,IF($K24=V$23,$C24,"")))))))</f>
        <v/>
      </c>
      <c r="W24" s="12" t="str">
        <f t="shared" si="1"/>
        <v/>
      </c>
      <c r="X24" s="12" t="str">
        <f t="shared" si="1"/>
        <v/>
      </c>
      <c r="Y24" s="12" t="str">
        <f t="shared" si="1"/>
        <v/>
      </c>
      <c r="Z24" s="12" t="str">
        <f t="shared" si="1"/>
        <v/>
      </c>
      <c r="AA24" s="12" t="str">
        <f t="shared" si="1"/>
        <v/>
      </c>
      <c r="AB24" s="12" t="str">
        <f t="shared" si="1"/>
        <v/>
      </c>
      <c r="AC24" s="12" t="str">
        <f t="shared" si="1"/>
        <v/>
      </c>
      <c r="AD24" s="12" t="str">
        <f t="shared" si="1"/>
        <v/>
      </c>
      <c r="AE24" s="12" t="str">
        <f t="shared" si="1"/>
        <v/>
      </c>
      <c r="AF24" s="12" t="str">
        <f t="shared" si="1"/>
        <v/>
      </c>
      <c r="AG24" s="14">
        <f>IF(E24&gt;0,C24/E24*$C$16,C24)</f>
        <v>15000</v>
      </c>
      <c r="AH24" s="14">
        <f t="shared" ref="AH24:AH55" si="2">IF(E24&gt;0,AG24/$C$16,"")</f>
        <v>600</v>
      </c>
      <c r="AI24" s="14">
        <f>IF(E24&gt;0,AG24/Calculations!$AB$10,"")</f>
        <v>1.6455249258520985E-3</v>
      </c>
      <c r="AJ24" s="52"/>
      <c r="AK24" s="52"/>
      <c r="AL24" s="52"/>
      <c r="AM24" s="52"/>
      <c r="AN24" s="52"/>
      <c r="AO24" s="52"/>
      <c r="AP24" s="52"/>
      <c r="AQ24" s="52"/>
      <c r="AR24" s="52"/>
      <c r="AS24" s="52"/>
    </row>
    <row r="25" spans="1:45" s="51" customFormat="1" ht="13.8" x14ac:dyDescent="0.3">
      <c r="A25" s="32" t="s">
        <v>46</v>
      </c>
      <c r="B25" s="174" t="str">
        <f>B24</f>
        <v>US$</v>
      </c>
      <c r="C25" s="3">
        <v>50000</v>
      </c>
      <c r="E25" s="3"/>
      <c r="F25" s="178"/>
      <c r="G25" s="12"/>
      <c r="H25" s="12"/>
      <c r="I25" s="12"/>
      <c r="J25" s="12"/>
      <c r="K25" s="177"/>
      <c r="L25" s="12" t="str">
        <f t="shared" si="0"/>
        <v/>
      </c>
      <c r="M25" s="12" t="str">
        <f t="shared" si="0"/>
        <v/>
      </c>
      <c r="N25" s="12" t="str">
        <f t="shared" si="0"/>
        <v/>
      </c>
      <c r="O25" s="12" t="str">
        <f t="shared" si="0"/>
        <v/>
      </c>
      <c r="P25" s="12" t="str">
        <f t="shared" si="0"/>
        <v/>
      </c>
      <c r="Q25" s="12" t="str">
        <f t="shared" si="0"/>
        <v/>
      </c>
      <c r="R25" s="12" t="str">
        <f t="shared" si="0"/>
        <v/>
      </c>
      <c r="S25" s="12" t="str">
        <f t="shared" si="0"/>
        <v/>
      </c>
      <c r="T25" s="12" t="str">
        <f t="shared" si="0"/>
        <v/>
      </c>
      <c r="U25" s="12" t="str">
        <f t="shared" si="0"/>
        <v/>
      </c>
      <c r="V25" s="12" t="str">
        <f t="shared" si="1"/>
        <v/>
      </c>
      <c r="W25" s="12" t="str">
        <f t="shared" si="1"/>
        <v/>
      </c>
      <c r="X25" s="12" t="str">
        <f t="shared" si="1"/>
        <v/>
      </c>
      <c r="Y25" s="12" t="str">
        <f t="shared" si="1"/>
        <v/>
      </c>
      <c r="Z25" s="12" t="str">
        <f t="shared" si="1"/>
        <v/>
      </c>
      <c r="AA25" s="12" t="str">
        <f t="shared" si="1"/>
        <v/>
      </c>
      <c r="AB25" s="12" t="str">
        <f t="shared" si="1"/>
        <v/>
      </c>
      <c r="AC25" s="12" t="str">
        <f t="shared" si="1"/>
        <v/>
      </c>
      <c r="AD25" s="12" t="str">
        <f t="shared" si="1"/>
        <v/>
      </c>
      <c r="AE25" s="12" t="str">
        <f t="shared" si="1"/>
        <v/>
      </c>
      <c r="AF25" s="12" t="str">
        <f t="shared" si="1"/>
        <v/>
      </c>
      <c r="AG25" s="14">
        <f t="shared" ref="AG25:AG88" si="3">IF(E25&gt;0,C25/E25*$C$16,C25)</f>
        <v>50000</v>
      </c>
      <c r="AH25" s="14" t="str">
        <f t="shared" si="2"/>
        <v/>
      </c>
      <c r="AI25" s="14" t="str">
        <f>IF(E25&gt;0,AG25/Calculations!$AB$10,"")</f>
        <v/>
      </c>
      <c r="AJ25" s="52"/>
      <c r="AK25" s="52"/>
      <c r="AL25" s="52"/>
      <c r="AM25" s="52"/>
      <c r="AN25" s="52"/>
      <c r="AO25" s="52"/>
      <c r="AP25" s="52"/>
      <c r="AQ25" s="52"/>
      <c r="AR25" s="52"/>
      <c r="AS25" s="52"/>
    </row>
    <row r="26" spans="1:45" s="51" customFormat="1" ht="13.8" x14ac:dyDescent="0.3">
      <c r="A26" s="32" t="s">
        <v>75</v>
      </c>
      <c r="B26" s="174" t="str">
        <f>B25</f>
        <v>US$</v>
      </c>
      <c r="C26" s="3">
        <v>14000</v>
      </c>
      <c r="E26" s="3">
        <f>C16</f>
        <v>25</v>
      </c>
      <c r="F26" s="178" t="str">
        <f>IF($C$16&gt;COUNT($E26:E26)*$E26,COUNT($E26:E26)*$E26,"")</f>
        <v/>
      </c>
      <c r="G26" s="12" t="str">
        <f>IF($C$16&gt;COUNT($E26:F26)*$E26,COUNT($E26:F26)*$E26,"")</f>
        <v/>
      </c>
      <c r="H26" s="12" t="str">
        <f>IF($C$16&gt;COUNT($E26:G26)*$E26,COUNT($E26:G26)*$E26,"")</f>
        <v/>
      </c>
      <c r="I26" s="12" t="str">
        <f>IF($C$16&gt;COUNT($E26:H26)*$E26,COUNT($E26:H26)*$E26,"")</f>
        <v/>
      </c>
      <c r="J26" s="12" t="str">
        <f>IF($C$16&gt;COUNT($E26:I26)*$E26,COUNT($E26:I26)*$E26,"")</f>
        <v/>
      </c>
      <c r="K26" s="177" t="str">
        <f>IF($C$16&gt;COUNT($E26:J26)*$E26,COUNT($E26:J26)*$E26,"")</f>
        <v/>
      </c>
      <c r="L26" s="12" t="str">
        <f t="shared" si="0"/>
        <v/>
      </c>
      <c r="M26" s="12" t="str">
        <f t="shared" si="0"/>
        <v/>
      </c>
      <c r="N26" s="12" t="str">
        <f t="shared" si="0"/>
        <v/>
      </c>
      <c r="O26" s="12" t="str">
        <f t="shared" si="0"/>
        <v/>
      </c>
      <c r="P26" s="12" t="str">
        <f t="shared" si="0"/>
        <v/>
      </c>
      <c r="Q26" s="12" t="str">
        <f t="shared" si="0"/>
        <v/>
      </c>
      <c r="R26" s="12" t="str">
        <f t="shared" si="0"/>
        <v/>
      </c>
      <c r="S26" s="12" t="str">
        <f t="shared" si="0"/>
        <v/>
      </c>
      <c r="T26" s="12" t="str">
        <f t="shared" si="0"/>
        <v/>
      </c>
      <c r="U26" s="12" t="str">
        <f t="shared" si="0"/>
        <v/>
      </c>
      <c r="V26" s="12" t="str">
        <f t="shared" si="1"/>
        <v/>
      </c>
      <c r="W26" s="12" t="str">
        <f t="shared" si="1"/>
        <v/>
      </c>
      <c r="X26" s="12" t="str">
        <f t="shared" si="1"/>
        <v/>
      </c>
      <c r="Y26" s="12" t="str">
        <f t="shared" si="1"/>
        <v/>
      </c>
      <c r="Z26" s="12" t="str">
        <f t="shared" si="1"/>
        <v/>
      </c>
      <c r="AA26" s="12" t="str">
        <f t="shared" si="1"/>
        <v/>
      </c>
      <c r="AB26" s="12" t="str">
        <f t="shared" si="1"/>
        <v/>
      </c>
      <c r="AC26" s="12" t="str">
        <f t="shared" si="1"/>
        <v/>
      </c>
      <c r="AD26" s="12" t="str">
        <f t="shared" si="1"/>
        <v/>
      </c>
      <c r="AE26" s="12" t="str">
        <f t="shared" si="1"/>
        <v/>
      </c>
      <c r="AF26" s="12" t="str">
        <f t="shared" si="1"/>
        <v/>
      </c>
      <c r="AG26" s="14">
        <f t="shared" si="3"/>
        <v>14000</v>
      </c>
      <c r="AH26" s="14">
        <f t="shared" si="2"/>
        <v>560</v>
      </c>
      <c r="AI26" s="14">
        <f>IF(E26&gt;0,AG26/Calculations!$AB$10,"")</f>
        <v>1.5358232641286252E-3</v>
      </c>
      <c r="AJ26" s="52"/>
      <c r="AK26" s="52"/>
      <c r="AL26" s="52"/>
      <c r="AM26" s="52"/>
      <c r="AN26" s="52"/>
      <c r="AO26" s="52"/>
      <c r="AP26" s="52"/>
      <c r="AQ26" s="52"/>
      <c r="AR26" s="52"/>
      <c r="AS26" s="52"/>
    </row>
    <row r="27" spans="1:45" s="51" customFormat="1" ht="13.8" x14ac:dyDescent="0.3">
      <c r="A27" s="32" t="s">
        <v>40</v>
      </c>
      <c r="B27" s="174" t="str">
        <f>B25</f>
        <v>US$</v>
      </c>
      <c r="C27" s="3">
        <f>C5*100</f>
        <v>5000</v>
      </c>
      <c r="E27" s="3">
        <f>C16</f>
        <v>25</v>
      </c>
      <c r="F27" s="178" t="str">
        <f>IF($C$16&gt;COUNT($E27:E27)*$E27,COUNT($E27:E27)*$E27,"")</f>
        <v/>
      </c>
      <c r="G27" s="12" t="str">
        <f>IF($C$16&gt;COUNT($E27:F27)*$E27,COUNT($E27:F27)*$E27,"")</f>
        <v/>
      </c>
      <c r="H27" s="12" t="str">
        <f>IF($C$16&gt;COUNT($E27:G27)*$E27,COUNT($E27:G27)*$E27,"")</f>
        <v/>
      </c>
      <c r="I27" s="12" t="str">
        <f>IF($C$16&gt;COUNT($E27:H27)*$E27,COUNT($E27:H27)*$E27,"")</f>
        <v/>
      </c>
      <c r="J27" s="12" t="str">
        <f>IF($C$16&gt;COUNT($E27:I27)*$E27,COUNT($E27:I27)*$E27,"")</f>
        <v/>
      </c>
      <c r="K27" s="177" t="str">
        <f>IF($C$16&gt;COUNT($E27:J27)*$E27,COUNT($E27:J27)*$E27,"")</f>
        <v/>
      </c>
      <c r="L27" s="12" t="str">
        <f t="shared" si="0"/>
        <v/>
      </c>
      <c r="M27" s="12" t="str">
        <f t="shared" si="0"/>
        <v/>
      </c>
      <c r="N27" s="12" t="str">
        <f t="shared" si="0"/>
        <v/>
      </c>
      <c r="O27" s="12" t="str">
        <f t="shared" si="0"/>
        <v/>
      </c>
      <c r="P27" s="12" t="str">
        <f t="shared" si="0"/>
        <v/>
      </c>
      <c r="Q27" s="12" t="str">
        <f t="shared" si="0"/>
        <v/>
      </c>
      <c r="R27" s="12" t="str">
        <f t="shared" si="0"/>
        <v/>
      </c>
      <c r="S27" s="12" t="str">
        <f t="shared" si="0"/>
        <v/>
      </c>
      <c r="T27" s="12" t="str">
        <f t="shared" si="0"/>
        <v/>
      </c>
      <c r="U27" s="12" t="str">
        <f t="shared" si="0"/>
        <v/>
      </c>
      <c r="V27" s="12" t="str">
        <f t="shared" si="1"/>
        <v/>
      </c>
      <c r="W27" s="12" t="str">
        <f t="shared" si="1"/>
        <v/>
      </c>
      <c r="X27" s="12" t="str">
        <f t="shared" si="1"/>
        <v/>
      </c>
      <c r="Y27" s="12" t="str">
        <f t="shared" si="1"/>
        <v/>
      </c>
      <c r="Z27" s="12" t="str">
        <f t="shared" si="1"/>
        <v/>
      </c>
      <c r="AA27" s="12" t="str">
        <f t="shared" si="1"/>
        <v/>
      </c>
      <c r="AB27" s="12" t="str">
        <f t="shared" si="1"/>
        <v/>
      </c>
      <c r="AC27" s="12" t="str">
        <f t="shared" si="1"/>
        <v/>
      </c>
      <c r="AD27" s="12" t="str">
        <f t="shared" si="1"/>
        <v/>
      </c>
      <c r="AE27" s="12" t="str">
        <f t="shared" si="1"/>
        <v/>
      </c>
      <c r="AF27" s="12" t="str">
        <f t="shared" si="1"/>
        <v/>
      </c>
      <c r="AG27" s="14">
        <f t="shared" si="3"/>
        <v>5000</v>
      </c>
      <c r="AH27" s="14">
        <f t="shared" si="2"/>
        <v>200</v>
      </c>
      <c r="AI27" s="14">
        <f>IF(E27&gt;0,AG27/Calculations!$AB$10,"")</f>
        <v>5.4850830861736611E-4</v>
      </c>
      <c r="AJ27" s="52"/>
      <c r="AK27" s="52"/>
      <c r="AL27" s="52"/>
      <c r="AM27" s="52"/>
      <c r="AN27" s="52"/>
      <c r="AO27" s="52"/>
      <c r="AP27" s="52"/>
      <c r="AQ27" s="52"/>
      <c r="AR27" s="52"/>
      <c r="AS27" s="52"/>
    </row>
    <row r="28" spans="1:45" s="51" customFormat="1" ht="13.8" x14ac:dyDescent="0.3">
      <c r="A28" s="32" t="s">
        <v>52</v>
      </c>
      <c r="B28" s="174" t="str">
        <f>B25</f>
        <v>US$</v>
      </c>
      <c r="C28" s="3">
        <v>10000</v>
      </c>
      <c r="E28" s="3">
        <v>13</v>
      </c>
      <c r="F28" s="178">
        <f>IF($C$16&gt;COUNT($E28:E28)*$E28,COUNT($E28:E28)*$E28,"")</f>
        <v>13</v>
      </c>
      <c r="G28" s="12" t="str">
        <f>IF($C$16&gt;COUNT($E28:F28)*$E28,COUNT($E28:F28)*$E28,"")</f>
        <v/>
      </c>
      <c r="H28" s="12" t="str">
        <f>IF($C$16&gt;COUNT($E28:G28)*$E28,COUNT($E28:G28)*$E28,"")</f>
        <v/>
      </c>
      <c r="I28" s="12" t="str">
        <f>IF($C$16&gt;COUNT($E28:H28)*$E28,COUNT($E28:H28)*$E28,"")</f>
        <v/>
      </c>
      <c r="J28" s="12" t="str">
        <f>IF($C$16&gt;COUNT($E28:I28)*$E28,COUNT($E28:I28)*$E28,"")</f>
        <v/>
      </c>
      <c r="K28" s="177" t="str">
        <f>IF($C$16&gt;COUNT($E28:J28)*$E28,COUNT($E28:J28)*$E28,"")</f>
        <v/>
      </c>
      <c r="L28" s="12" t="str">
        <f t="shared" si="0"/>
        <v/>
      </c>
      <c r="M28" s="12" t="str">
        <f t="shared" si="0"/>
        <v/>
      </c>
      <c r="N28" s="12" t="str">
        <f t="shared" si="0"/>
        <v/>
      </c>
      <c r="O28" s="12" t="str">
        <f t="shared" si="0"/>
        <v/>
      </c>
      <c r="P28" s="12" t="str">
        <f t="shared" si="0"/>
        <v/>
      </c>
      <c r="Q28" s="12" t="str">
        <f t="shared" si="0"/>
        <v/>
      </c>
      <c r="R28" s="12" t="str">
        <f t="shared" si="0"/>
        <v/>
      </c>
      <c r="S28" s="12" t="str">
        <f t="shared" si="0"/>
        <v/>
      </c>
      <c r="T28" s="12">
        <f t="shared" si="0"/>
        <v>10000</v>
      </c>
      <c r="U28" s="12" t="str">
        <f t="shared" si="0"/>
        <v/>
      </c>
      <c r="V28" s="12" t="str">
        <f t="shared" si="1"/>
        <v/>
      </c>
      <c r="W28" s="12" t="str">
        <f t="shared" si="1"/>
        <v/>
      </c>
      <c r="X28" s="12" t="str">
        <f t="shared" si="1"/>
        <v/>
      </c>
      <c r="Y28" s="12" t="str">
        <f t="shared" si="1"/>
        <v/>
      </c>
      <c r="Z28" s="12" t="str">
        <f t="shared" si="1"/>
        <v/>
      </c>
      <c r="AA28" s="12" t="str">
        <f t="shared" si="1"/>
        <v/>
      </c>
      <c r="AB28" s="12" t="str">
        <f t="shared" si="1"/>
        <v/>
      </c>
      <c r="AC28" s="12" t="str">
        <f t="shared" si="1"/>
        <v/>
      </c>
      <c r="AD28" s="12" t="str">
        <f t="shared" si="1"/>
        <v/>
      </c>
      <c r="AE28" s="12" t="str">
        <f t="shared" si="1"/>
        <v/>
      </c>
      <c r="AF28" s="12" t="str">
        <f t="shared" si="1"/>
        <v/>
      </c>
      <c r="AG28" s="14">
        <f t="shared" si="3"/>
        <v>19230.76923076923</v>
      </c>
      <c r="AH28" s="14">
        <f t="shared" si="2"/>
        <v>769.23076923076917</v>
      </c>
      <c r="AI28" s="14">
        <f>IF(E28&gt;0,AG28/Calculations!$AB$10,"")</f>
        <v>2.1096473408360236E-3</v>
      </c>
      <c r="AJ28" s="52"/>
      <c r="AK28" s="52"/>
      <c r="AL28" s="52"/>
      <c r="AM28" s="52"/>
      <c r="AN28" s="52"/>
      <c r="AO28" s="52"/>
      <c r="AP28" s="52"/>
      <c r="AQ28" s="52"/>
      <c r="AR28" s="52"/>
      <c r="AS28" s="52"/>
    </row>
    <row r="29" spans="1:45" s="51" customFormat="1" ht="13.8" x14ac:dyDescent="0.3">
      <c r="A29" s="32" t="s">
        <v>74</v>
      </c>
      <c r="B29" s="174" t="str">
        <f>B25</f>
        <v>US$</v>
      </c>
      <c r="C29" s="3">
        <v>10000</v>
      </c>
      <c r="E29" s="3">
        <v>13</v>
      </c>
      <c r="F29" s="178">
        <f>IF($C$16&gt;COUNT($E29:E29)*$E29,COUNT($E29:E29)*$E29,"")</f>
        <v>13</v>
      </c>
      <c r="G29" s="12" t="str">
        <f>IF($C$16&gt;COUNT($E29:F29)*$E29,COUNT($E29:F29)*$E29,"")</f>
        <v/>
      </c>
      <c r="H29" s="12" t="str">
        <f>IF($C$16&gt;COUNT($E29:G29)*$E29,COUNT($E29:G29)*$E29,"")</f>
        <v/>
      </c>
      <c r="I29" s="12" t="str">
        <f>IF($C$16&gt;COUNT($E29:H29)*$E29,COUNT($E29:H29)*$E29,"")</f>
        <v/>
      </c>
      <c r="J29" s="12" t="str">
        <f>IF($C$16&gt;COUNT($E29:I29)*$E29,COUNT($E29:I29)*$E29,"")</f>
        <v/>
      </c>
      <c r="K29" s="177" t="str">
        <f>IF($C$16&gt;COUNT($E29:J29)*$E29,COUNT($E29:J29)*$E29,"")</f>
        <v/>
      </c>
      <c r="L29" s="12" t="str">
        <f t="shared" si="0"/>
        <v/>
      </c>
      <c r="M29" s="12" t="str">
        <f t="shared" si="0"/>
        <v/>
      </c>
      <c r="N29" s="12" t="str">
        <f t="shared" si="0"/>
        <v/>
      </c>
      <c r="O29" s="12" t="str">
        <f t="shared" si="0"/>
        <v/>
      </c>
      <c r="P29" s="12" t="str">
        <f t="shared" si="0"/>
        <v/>
      </c>
      <c r="Q29" s="12" t="str">
        <f t="shared" si="0"/>
        <v/>
      </c>
      <c r="R29" s="12" t="str">
        <f t="shared" si="0"/>
        <v/>
      </c>
      <c r="S29" s="12" t="str">
        <f t="shared" si="0"/>
        <v/>
      </c>
      <c r="T29" s="12">
        <f t="shared" si="0"/>
        <v>10000</v>
      </c>
      <c r="U29" s="12" t="str">
        <f t="shared" si="0"/>
        <v/>
      </c>
      <c r="V29" s="12" t="str">
        <f t="shared" si="1"/>
        <v/>
      </c>
      <c r="W29" s="12" t="str">
        <f t="shared" si="1"/>
        <v/>
      </c>
      <c r="X29" s="12" t="str">
        <f t="shared" si="1"/>
        <v/>
      </c>
      <c r="Y29" s="12" t="str">
        <f t="shared" si="1"/>
        <v/>
      </c>
      <c r="Z29" s="12" t="str">
        <f t="shared" si="1"/>
        <v/>
      </c>
      <c r="AA29" s="12" t="str">
        <f t="shared" si="1"/>
        <v/>
      </c>
      <c r="AB29" s="12" t="str">
        <f t="shared" si="1"/>
        <v/>
      </c>
      <c r="AC29" s="12" t="str">
        <f t="shared" si="1"/>
        <v/>
      </c>
      <c r="AD29" s="12" t="str">
        <f t="shared" si="1"/>
        <v/>
      </c>
      <c r="AE29" s="12" t="str">
        <f t="shared" si="1"/>
        <v/>
      </c>
      <c r="AF29" s="12" t="str">
        <f t="shared" si="1"/>
        <v/>
      </c>
      <c r="AG29" s="14">
        <f t="shared" si="3"/>
        <v>19230.76923076923</v>
      </c>
      <c r="AH29" s="14">
        <f t="shared" si="2"/>
        <v>769.23076923076917</v>
      </c>
      <c r="AI29" s="14">
        <f>IF(E29&gt;0,AG29/Calculations!$AB$10,"")</f>
        <v>2.1096473408360236E-3</v>
      </c>
      <c r="AJ29" s="52"/>
      <c r="AK29" s="52"/>
      <c r="AL29" s="52"/>
      <c r="AM29" s="52"/>
      <c r="AN29" s="52"/>
      <c r="AO29" s="52"/>
      <c r="AP29" s="52"/>
      <c r="AQ29" s="52"/>
      <c r="AR29" s="52"/>
      <c r="AS29" s="52"/>
    </row>
    <row r="30" spans="1:45" s="51" customFormat="1" ht="13.8" x14ac:dyDescent="0.3">
      <c r="A30" s="32" t="s">
        <v>14</v>
      </c>
      <c r="B30" s="174" t="str">
        <f>B25</f>
        <v>US$</v>
      </c>
      <c r="C30" s="3">
        <v>10000</v>
      </c>
      <c r="E30" s="3">
        <v>13</v>
      </c>
      <c r="F30" s="178">
        <f>IF($C$16&gt;COUNT($E30:E30)*$E30,COUNT($E30:E30)*$E30,"")</f>
        <v>13</v>
      </c>
      <c r="G30" s="12" t="str">
        <f>IF($C$16&gt;COUNT($E30:F30)*$E30,COUNT($E30:F30)*$E30,"")</f>
        <v/>
      </c>
      <c r="H30" s="12" t="str">
        <f>IF($C$16&gt;COUNT($E30:G30)*$E30,COUNT($E30:G30)*$E30,"")</f>
        <v/>
      </c>
      <c r="I30" s="12" t="str">
        <f>IF($C$16&gt;COUNT($E30:H30)*$E30,COUNT($E30:H30)*$E30,"")</f>
        <v/>
      </c>
      <c r="J30" s="12" t="str">
        <f>IF($C$16&gt;COUNT($E30:I30)*$E30,COUNT($E30:I30)*$E30,"")</f>
        <v/>
      </c>
      <c r="K30" s="177" t="str">
        <f>IF($C$16&gt;COUNT($E30:J30)*$E30,COUNT($E30:J30)*$E30,"")</f>
        <v/>
      </c>
      <c r="L30" s="12" t="str">
        <f t="shared" si="0"/>
        <v/>
      </c>
      <c r="M30" s="12" t="str">
        <f t="shared" si="0"/>
        <v/>
      </c>
      <c r="N30" s="12" t="str">
        <f t="shared" si="0"/>
        <v/>
      </c>
      <c r="O30" s="12" t="str">
        <f t="shared" si="0"/>
        <v/>
      </c>
      <c r="P30" s="12" t="str">
        <f t="shared" si="0"/>
        <v/>
      </c>
      <c r="Q30" s="12" t="str">
        <f t="shared" si="0"/>
        <v/>
      </c>
      <c r="R30" s="12" t="str">
        <f t="shared" si="0"/>
        <v/>
      </c>
      <c r="S30" s="12" t="str">
        <f t="shared" si="0"/>
        <v/>
      </c>
      <c r="T30" s="12">
        <f t="shared" si="0"/>
        <v>10000</v>
      </c>
      <c r="U30" s="12" t="str">
        <f t="shared" si="0"/>
        <v/>
      </c>
      <c r="V30" s="12" t="str">
        <f t="shared" si="1"/>
        <v/>
      </c>
      <c r="W30" s="12" t="str">
        <f t="shared" si="1"/>
        <v/>
      </c>
      <c r="X30" s="12" t="str">
        <f t="shared" si="1"/>
        <v/>
      </c>
      <c r="Y30" s="12" t="str">
        <f t="shared" si="1"/>
        <v/>
      </c>
      <c r="Z30" s="12" t="str">
        <f t="shared" si="1"/>
        <v/>
      </c>
      <c r="AA30" s="12" t="str">
        <f t="shared" si="1"/>
        <v/>
      </c>
      <c r="AB30" s="12" t="str">
        <f t="shared" si="1"/>
        <v/>
      </c>
      <c r="AC30" s="12" t="str">
        <f t="shared" si="1"/>
        <v/>
      </c>
      <c r="AD30" s="12" t="str">
        <f t="shared" si="1"/>
        <v/>
      </c>
      <c r="AE30" s="12" t="str">
        <f t="shared" si="1"/>
        <v/>
      </c>
      <c r="AF30" s="12" t="str">
        <f t="shared" si="1"/>
        <v/>
      </c>
      <c r="AG30" s="14">
        <f t="shared" si="3"/>
        <v>19230.76923076923</v>
      </c>
      <c r="AH30" s="14">
        <f t="shared" si="2"/>
        <v>769.23076923076917</v>
      </c>
      <c r="AI30" s="14">
        <f>IF(E30&gt;0,AG30/Calculations!$AB$10,"")</f>
        <v>2.1096473408360236E-3</v>
      </c>
      <c r="AJ30" s="52"/>
      <c r="AK30" s="52"/>
      <c r="AL30" s="52"/>
      <c r="AM30" s="52"/>
      <c r="AN30" s="52"/>
      <c r="AO30" s="52"/>
      <c r="AP30" s="52"/>
      <c r="AQ30" s="52"/>
      <c r="AR30" s="52"/>
      <c r="AS30" s="52"/>
    </row>
    <row r="31" spans="1:45" s="51" customFormat="1" ht="13.8" x14ac:dyDescent="0.3">
      <c r="A31" s="32" t="s">
        <v>13</v>
      </c>
      <c r="B31" s="174" t="str">
        <f>B25</f>
        <v>US$</v>
      </c>
      <c r="C31" s="3">
        <v>10000</v>
      </c>
      <c r="E31" s="3">
        <f>C16</f>
        <v>25</v>
      </c>
      <c r="F31" s="178" t="str">
        <f>IF($C$16&gt;COUNT($E31:E31)*$E31,COUNT($E31:E31)*$E31,"")</f>
        <v/>
      </c>
      <c r="G31" s="12" t="str">
        <f>IF($C$16&gt;COUNT($E31:F31)*$E31,COUNT($E31:F31)*$E31,"")</f>
        <v/>
      </c>
      <c r="H31" s="12" t="str">
        <f>IF($C$16&gt;COUNT($E31:G31)*$E31,COUNT($E31:G31)*$E31,"")</f>
        <v/>
      </c>
      <c r="I31" s="12" t="str">
        <f>IF($C$16&gt;COUNT($E31:H31)*$E31,COUNT($E31:H31)*$E31,"")</f>
        <v/>
      </c>
      <c r="J31" s="12" t="str">
        <f>IF($C$16&gt;COUNT($E31:I31)*$E31,COUNT($E31:I31)*$E31,"")</f>
        <v/>
      </c>
      <c r="K31" s="177" t="str">
        <f>IF($C$16&gt;COUNT($E31:J31)*$E31,COUNT($E31:J31)*$E31,"")</f>
        <v/>
      </c>
      <c r="L31" s="12" t="str">
        <f t="shared" si="0"/>
        <v/>
      </c>
      <c r="M31" s="12" t="str">
        <f t="shared" si="0"/>
        <v/>
      </c>
      <c r="N31" s="12" t="str">
        <f t="shared" si="0"/>
        <v/>
      </c>
      <c r="O31" s="12" t="str">
        <f t="shared" si="0"/>
        <v/>
      </c>
      <c r="P31" s="12" t="str">
        <f t="shared" si="0"/>
        <v/>
      </c>
      <c r="Q31" s="12" t="str">
        <f t="shared" si="0"/>
        <v/>
      </c>
      <c r="R31" s="12" t="str">
        <f t="shared" si="0"/>
        <v/>
      </c>
      <c r="S31" s="12" t="str">
        <f t="shared" si="0"/>
        <v/>
      </c>
      <c r="T31" s="12" t="str">
        <f t="shared" si="0"/>
        <v/>
      </c>
      <c r="U31" s="12" t="str">
        <f t="shared" si="0"/>
        <v/>
      </c>
      <c r="V31" s="12" t="str">
        <f t="shared" si="1"/>
        <v/>
      </c>
      <c r="W31" s="12" t="str">
        <f t="shared" si="1"/>
        <v/>
      </c>
      <c r="X31" s="12" t="str">
        <f t="shared" si="1"/>
        <v/>
      </c>
      <c r="Y31" s="12" t="str">
        <f t="shared" si="1"/>
        <v/>
      </c>
      <c r="Z31" s="12" t="str">
        <f t="shared" si="1"/>
        <v/>
      </c>
      <c r="AA31" s="12" t="str">
        <f t="shared" si="1"/>
        <v/>
      </c>
      <c r="AB31" s="12" t="str">
        <f t="shared" si="1"/>
        <v/>
      </c>
      <c r="AC31" s="12" t="str">
        <f t="shared" si="1"/>
        <v/>
      </c>
      <c r="AD31" s="12" t="str">
        <f t="shared" si="1"/>
        <v/>
      </c>
      <c r="AE31" s="12" t="str">
        <f t="shared" si="1"/>
        <v/>
      </c>
      <c r="AF31" s="12" t="str">
        <f t="shared" si="1"/>
        <v/>
      </c>
      <c r="AG31" s="14">
        <f t="shared" si="3"/>
        <v>10000</v>
      </c>
      <c r="AH31" s="14">
        <f t="shared" si="2"/>
        <v>400</v>
      </c>
      <c r="AI31" s="14">
        <f>IF(E31&gt;0,AG31/Calculations!$AB$10,"")</f>
        <v>1.0970166172347322E-3</v>
      </c>
      <c r="AJ31" s="52"/>
      <c r="AK31" s="52"/>
      <c r="AL31" s="52"/>
      <c r="AM31" s="52"/>
      <c r="AN31" s="52"/>
      <c r="AO31" s="52"/>
      <c r="AP31" s="52"/>
      <c r="AQ31" s="52"/>
      <c r="AR31" s="52"/>
      <c r="AS31" s="52"/>
    </row>
    <row r="32" spans="1:45" s="51" customFormat="1" ht="13.8" x14ac:dyDescent="0.3">
      <c r="A32" s="32" t="s">
        <v>15</v>
      </c>
      <c r="B32" s="174" t="str">
        <f>B25</f>
        <v>US$</v>
      </c>
      <c r="C32" s="3">
        <v>10000</v>
      </c>
      <c r="E32" s="3">
        <f>C16</f>
        <v>25</v>
      </c>
      <c r="F32" s="178" t="str">
        <f>IF($C$16&gt;COUNT($E32:E32)*$E32,COUNT($E32:E32)*$E32,"")</f>
        <v/>
      </c>
      <c r="G32" s="12" t="str">
        <f>IF($C$16&gt;COUNT($E32:F32)*$E32,COUNT($E32:F32)*$E32,"")</f>
        <v/>
      </c>
      <c r="H32" s="12" t="str">
        <f>IF($C$16&gt;COUNT($E32:G32)*$E32,COUNT($E32:G32)*$E32,"")</f>
        <v/>
      </c>
      <c r="I32" s="12" t="str">
        <f>IF($C$16&gt;COUNT($E32:H32)*$E32,COUNT($E32:H32)*$E32,"")</f>
        <v/>
      </c>
      <c r="J32" s="12" t="str">
        <f>IF($C$16&gt;COUNT($E32:I32)*$E32,COUNT($E32:I32)*$E32,"")</f>
        <v/>
      </c>
      <c r="K32" s="177" t="str">
        <f>IF($C$16&gt;COUNT($E32:J32)*$E32,COUNT($E32:J32)*$E32,"")</f>
        <v/>
      </c>
      <c r="L32" s="12" t="str">
        <f t="shared" si="0"/>
        <v/>
      </c>
      <c r="M32" s="12" t="str">
        <f t="shared" si="0"/>
        <v/>
      </c>
      <c r="N32" s="12" t="str">
        <f t="shared" si="0"/>
        <v/>
      </c>
      <c r="O32" s="12" t="str">
        <f t="shared" si="0"/>
        <v/>
      </c>
      <c r="P32" s="12" t="str">
        <f t="shared" si="0"/>
        <v/>
      </c>
      <c r="Q32" s="12" t="str">
        <f t="shared" si="0"/>
        <v/>
      </c>
      <c r="R32" s="12" t="str">
        <f t="shared" si="0"/>
        <v/>
      </c>
      <c r="S32" s="12" t="str">
        <f t="shared" si="0"/>
        <v/>
      </c>
      <c r="T32" s="12" t="str">
        <f t="shared" si="0"/>
        <v/>
      </c>
      <c r="U32" s="12" t="str">
        <f t="shared" si="0"/>
        <v/>
      </c>
      <c r="V32" s="12" t="str">
        <f t="shared" si="1"/>
        <v/>
      </c>
      <c r="W32" s="12" t="str">
        <f t="shared" si="1"/>
        <v/>
      </c>
      <c r="X32" s="12" t="str">
        <f t="shared" si="1"/>
        <v/>
      </c>
      <c r="Y32" s="12" t="str">
        <f t="shared" si="1"/>
        <v/>
      </c>
      <c r="Z32" s="12" t="str">
        <f t="shared" si="1"/>
        <v/>
      </c>
      <c r="AA32" s="12" t="str">
        <f t="shared" si="1"/>
        <v/>
      </c>
      <c r="AB32" s="12" t="str">
        <f t="shared" si="1"/>
        <v/>
      </c>
      <c r="AC32" s="12" t="str">
        <f t="shared" si="1"/>
        <v/>
      </c>
      <c r="AD32" s="12" t="str">
        <f t="shared" si="1"/>
        <v/>
      </c>
      <c r="AE32" s="12" t="str">
        <f t="shared" si="1"/>
        <v/>
      </c>
      <c r="AF32" s="12" t="str">
        <f t="shared" si="1"/>
        <v/>
      </c>
      <c r="AG32" s="14">
        <f t="shared" si="3"/>
        <v>10000</v>
      </c>
      <c r="AH32" s="14">
        <f t="shared" si="2"/>
        <v>400</v>
      </c>
      <c r="AI32" s="14">
        <f>IF(E32&gt;0,AG32/Calculations!$AB$10,"")</f>
        <v>1.0970166172347322E-3</v>
      </c>
      <c r="AJ32" s="52"/>
      <c r="AK32" s="52"/>
      <c r="AL32" s="52"/>
      <c r="AM32" s="52"/>
      <c r="AN32" s="52"/>
      <c r="AO32" s="52"/>
      <c r="AP32" s="52"/>
      <c r="AQ32" s="52"/>
      <c r="AR32" s="52"/>
      <c r="AS32" s="52"/>
    </row>
    <row r="33" spans="1:45" s="51" customFormat="1" ht="13.8" x14ac:dyDescent="0.3">
      <c r="A33" s="32" t="s">
        <v>36</v>
      </c>
      <c r="B33" s="174" t="str">
        <f>B25</f>
        <v>US$</v>
      </c>
      <c r="C33" s="3">
        <v>10000</v>
      </c>
      <c r="E33" s="3">
        <f>C16</f>
        <v>25</v>
      </c>
      <c r="F33" s="178" t="str">
        <f>IF($C$16&gt;COUNT($E33:E33)*$E33,COUNT($E33:E33)*$E33,"")</f>
        <v/>
      </c>
      <c r="G33" s="12" t="str">
        <f>IF($C$16&gt;COUNT($E33:F33)*$E33,COUNT($E33:F33)*$E33,"")</f>
        <v/>
      </c>
      <c r="H33" s="12" t="str">
        <f>IF($C$16&gt;COUNT($E33:G33)*$E33,COUNT($E33:G33)*$E33,"")</f>
        <v/>
      </c>
      <c r="I33" s="12" t="str">
        <f>IF($C$16&gt;COUNT($E33:H33)*$E33,COUNT($E33:H33)*$E33,"")</f>
        <v/>
      </c>
      <c r="J33" s="12" t="str">
        <f>IF($C$16&gt;COUNT($E33:I33)*$E33,COUNT($E33:I33)*$E33,"")</f>
        <v/>
      </c>
      <c r="K33" s="177" t="str">
        <f>IF($C$16&gt;COUNT($E33:J33)*$E33,COUNT($E33:J33)*$E33,"")</f>
        <v/>
      </c>
      <c r="L33" s="12" t="str">
        <f t="shared" si="0"/>
        <v/>
      </c>
      <c r="M33" s="12" t="str">
        <f t="shared" si="0"/>
        <v/>
      </c>
      <c r="N33" s="12" t="str">
        <f t="shared" si="0"/>
        <v/>
      </c>
      <c r="O33" s="12" t="str">
        <f t="shared" si="0"/>
        <v/>
      </c>
      <c r="P33" s="12" t="str">
        <f t="shared" si="0"/>
        <v/>
      </c>
      <c r="Q33" s="12" t="str">
        <f t="shared" si="0"/>
        <v/>
      </c>
      <c r="R33" s="12" t="str">
        <f t="shared" si="0"/>
        <v/>
      </c>
      <c r="S33" s="12" t="str">
        <f t="shared" si="0"/>
        <v/>
      </c>
      <c r="T33" s="12" t="str">
        <f t="shared" si="0"/>
        <v/>
      </c>
      <c r="U33" s="12" t="str">
        <f t="shared" si="0"/>
        <v/>
      </c>
      <c r="V33" s="12" t="str">
        <f t="shared" si="1"/>
        <v/>
      </c>
      <c r="W33" s="12" t="str">
        <f t="shared" si="1"/>
        <v/>
      </c>
      <c r="X33" s="12" t="str">
        <f t="shared" si="1"/>
        <v/>
      </c>
      <c r="Y33" s="12" t="str">
        <f t="shared" si="1"/>
        <v/>
      </c>
      <c r="Z33" s="12" t="str">
        <f t="shared" si="1"/>
        <v/>
      </c>
      <c r="AA33" s="12" t="str">
        <f t="shared" si="1"/>
        <v/>
      </c>
      <c r="AB33" s="12" t="str">
        <f t="shared" si="1"/>
        <v/>
      </c>
      <c r="AC33" s="12" t="str">
        <f t="shared" si="1"/>
        <v/>
      </c>
      <c r="AD33" s="12" t="str">
        <f t="shared" si="1"/>
        <v/>
      </c>
      <c r="AE33" s="12" t="str">
        <f t="shared" si="1"/>
        <v/>
      </c>
      <c r="AF33" s="12" t="str">
        <f t="shared" si="1"/>
        <v/>
      </c>
      <c r="AG33" s="14">
        <f t="shared" si="3"/>
        <v>10000</v>
      </c>
      <c r="AH33" s="14">
        <f t="shared" si="2"/>
        <v>400</v>
      </c>
      <c r="AI33" s="14">
        <f>IF(E33&gt;0,AG33/Calculations!$AB$10,"")</f>
        <v>1.0970166172347322E-3</v>
      </c>
      <c r="AJ33" s="52"/>
      <c r="AK33" s="52"/>
      <c r="AL33" s="52"/>
      <c r="AM33" s="52"/>
      <c r="AN33" s="52"/>
      <c r="AO33" s="52"/>
      <c r="AP33" s="52"/>
      <c r="AQ33" s="52"/>
      <c r="AR33" s="52"/>
      <c r="AS33" s="52"/>
    </row>
    <row r="34" spans="1:45" s="51" customFormat="1" ht="13.8" x14ac:dyDescent="0.3">
      <c r="A34" s="32" t="s">
        <v>11</v>
      </c>
      <c r="B34" s="174" t="str">
        <f>B25</f>
        <v>US$</v>
      </c>
      <c r="C34" s="3">
        <v>10000</v>
      </c>
      <c r="E34" s="3">
        <f>C16</f>
        <v>25</v>
      </c>
      <c r="F34" s="178" t="str">
        <f>IF($C$16&gt;COUNT($E34:E34)*$E34,COUNT($E34:E34)*$E34,"")</f>
        <v/>
      </c>
      <c r="G34" s="12" t="str">
        <f>IF($C$16&gt;COUNT($E34:F34)*$E34,COUNT($E34:F34)*$E34,"")</f>
        <v/>
      </c>
      <c r="H34" s="12" t="str">
        <f>IF($C$16&gt;COUNT($E34:G34)*$E34,COUNT($E34:G34)*$E34,"")</f>
        <v/>
      </c>
      <c r="I34" s="12" t="str">
        <f>IF($C$16&gt;COUNT($E34:H34)*$E34,COUNT($E34:H34)*$E34,"")</f>
        <v/>
      </c>
      <c r="J34" s="12" t="str">
        <f>IF($C$16&gt;COUNT($E34:I34)*$E34,COUNT($E34:I34)*$E34,"")</f>
        <v/>
      </c>
      <c r="K34" s="177" t="str">
        <f>IF($C$16&gt;COUNT($E34:J34)*$E34,COUNT($E34:J34)*$E34,"")</f>
        <v/>
      </c>
      <c r="L34" s="12" t="str">
        <f t="shared" ref="L34:U43" si="4">IF(L$23=0,"",IF($F34=L$23,$C34,IF($G34=L$23,$C34,IF($H34=L$23,$C34,IF($I34=L$23,$C34,IF($J34=L$23,$C34,IF($K34=L$23,$C34,"")))))))</f>
        <v/>
      </c>
      <c r="M34" s="12" t="str">
        <f t="shared" si="4"/>
        <v/>
      </c>
      <c r="N34" s="12" t="str">
        <f t="shared" si="4"/>
        <v/>
      </c>
      <c r="O34" s="12" t="str">
        <f t="shared" si="4"/>
        <v/>
      </c>
      <c r="P34" s="12" t="str">
        <f t="shared" si="4"/>
        <v/>
      </c>
      <c r="Q34" s="12" t="str">
        <f t="shared" si="4"/>
        <v/>
      </c>
      <c r="R34" s="12" t="str">
        <f t="shared" si="4"/>
        <v/>
      </c>
      <c r="S34" s="12" t="str">
        <f t="shared" si="4"/>
        <v/>
      </c>
      <c r="T34" s="12" t="str">
        <f t="shared" si="4"/>
        <v/>
      </c>
      <c r="U34" s="12" t="str">
        <f t="shared" si="4"/>
        <v/>
      </c>
      <c r="V34" s="12" t="str">
        <f t="shared" ref="V34:AF43" si="5">IF(V$23=0,"",IF($F34=V$23,$C34,IF($G34=V$23,$C34,IF($H34=V$23,$C34,IF($I34=V$23,$C34,IF($J34=V$23,$C34,IF($K34=V$23,$C34,"")))))))</f>
        <v/>
      </c>
      <c r="W34" s="12" t="str">
        <f t="shared" si="5"/>
        <v/>
      </c>
      <c r="X34" s="12" t="str">
        <f t="shared" si="5"/>
        <v/>
      </c>
      <c r="Y34" s="12" t="str">
        <f t="shared" si="5"/>
        <v/>
      </c>
      <c r="Z34" s="12" t="str">
        <f t="shared" si="5"/>
        <v/>
      </c>
      <c r="AA34" s="12" t="str">
        <f t="shared" si="5"/>
        <v/>
      </c>
      <c r="AB34" s="12" t="str">
        <f t="shared" si="5"/>
        <v/>
      </c>
      <c r="AC34" s="12" t="str">
        <f t="shared" si="5"/>
        <v/>
      </c>
      <c r="AD34" s="12" t="str">
        <f t="shared" si="5"/>
        <v/>
      </c>
      <c r="AE34" s="12" t="str">
        <f t="shared" si="5"/>
        <v/>
      </c>
      <c r="AF34" s="12" t="str">
        <f t="shared" si="5"/>
        <v/>
      </c>
      <c r="AG34" s="14">
        <f>IF(E34&gt;0,C34/E34*$C$16,C34)</f>
        <v>10000</v>
      </c>
      <c r="AH34" s="14">
        <f t="shared" si="2"/>
        <v>400</v>
      </c>
      <c r="AI34" s="14">
        <f>IF(E34&gt;0,AG34/Calculations!$AB$10,"")</f>
        <v>1.0970166172347322E-3</v>
      </c>
      <c r="AJ34" s="52"/>
      <c r="AK34" s="52"/>
      <c r="AL34" s="52"/>
      <c r="AM34" s="52"/>
      <c r="AN34" s="52"/>
      <c r="AO34" s="52"/>
      <c r="AP34" s="52"/>
      <c r="AQ34" s="52"/>
      <c r="AR34" s="52"/>
      <c r="AS34" s="52"/>
    </row>
    <row r="35" spans="1:45" s="51" customFormat="1" ht="13.8" x14ac:dyDescent="0.3">
      <c r="A35" s="32" t="s">
        <v>237</v>
      </c>
      <c r="B35" s="174" t="str">
        <f>B25</f>
        <v>US$</v>
      </c>
      <c r="C35" s="3">
        <v>10000</v>
      </c>
      <c r="E35" s="3">
        <f>C16</f>
        <v>25</v>
      </c>
      <c r="F35" s="178" t="str">
        <f>IF($C$16&gt;COUNT($E35:E35)*$E35,COUNT($E35:E35)*$E35,"")</f>
        <v/>
      </c>
      <c r="G35" s="12" t="str">
        <f>IF($C$16&gt;COUNT($E35:F35)*$E35,COUNT($E35:F35)*$E35,"")</f>
        <v/>
      </c>
      <c r="H35" s="12" t="str">
        <f>IF($C$16&gt;COUNT($E35:G35)*$E35,COUNT($E35:G35)*$E35,"")</f>
        <v/>
      </c>
      <c r="I35" s="12" t="str">
        <f>IF($C$16&gt;COUNT($E35:H35)*$E35,COUNT($E35:H35)*$E35,"")</f>
        <v/>
      </c>
      <c r="J35" s="12" t="str">
        <f>IF($C$16&gt;COUNT($E35:I35)*$E35,COUNT($E35:I35)*$E35,"")</f>
        <v/>
      </c>
      <c r="K35" s="177" t="str">
        <f>IF($C$16&gt;COUNT($E35:J35)*$E35,COUNT($E35:J35)*$E35,"")</f>
        <v/>
      </c>
      <c r="L35" s="12" t="str">
        <f t="shared" si="4"/>
        <v/>
      </c>
      <c r="M35" s="12" t="str">
        <f t="shared" si="4"/>
        <v/>
      </c>
      <c r="N35" s="12" t="str">
        <f t="shared" si="4"/>
        <v/>
      </c>
      <c r="O35" s="12" t="str">
        <f t="shared" si="4"/>
        <v/>
      </c>
      <c r="P35" s="12" t="str">
        <f t="shared" si="4"/>
        <v/>
      </c>
      <c r="Q35" s="12" t="str">
        <f t="shared" si="4"/>
        <v/>
      </c>
      <c r="R35" s="12" t="str">
        <f t="shared" si="4"/>
        <v/>
      </c>
      <c r="S35" s="12" t="str">
        <f t="shared" si="4"/>
        <v/>
      </c>
      <c r="T35" s="12" t="str">
        <f t="shared" si="4"/>
        <v/>
      </c>
      <c r="U35" s="12" t="str">
        <f t="shared" si="4"/>
        <v/>
      </c>
      <c r="V35" s="12" t="str">
        <f t="shared" si="5"/>
        <v/>
      </c>
      <c r="W35" s="12" t="str">
        <f t="shared" si="5"/>
        <v/>
      </c>
      <c r="X35" s="12" t="str">
        <f t="shared" si="5"/>
        <v/>
      </c>
      <c r="Y35" s="12" t="str">
        <f t="shared" si="5"/>
        <v/>
      </c>
      <c r="Z35" s="12" t="str">
        <f t="shared" si="5"/>
        <v/>
      </c>
      <c r="AA35" s="12" t="str">
        <f t="shared" si="5"/>
        <v/>
      </c>
      <c r="AB35" s="12" t="str">
        <f t="shared" si="5"/>
        <v/>
      </c>
      <c r="AC35" s="12" t="str">
        <f t="shared" si="5"/>
        <v/>
      </c>
      <c r="AD35" s="12" t="str">
        <f t="shared" si="5"/>
        <v/>
      </c>
      <c r="AE35" s="12" t="str">
        <f t="shared" si="5"/>
        <v/>
      </c>
      <c r="AF35" s="12" t="str">
        <f t="shared" si="5"/>
        <v/>
      </c>
      <c r="AG35" s="14">
        <f t="shared" si="3"/>
        <v>10000</v>
      </c>
      <c r="AH35" s="14">
        <f t="shared" si="2"/>
        <v>400</v>
      </c>
      <c r="AI35" s="14">
        <f>IF(E35&gt;0,AG35/Calculations!$AB$10,"")</f>
        <v>1.0970166172347322E-3</v>
      </c>
      <c r="AJ35" s="52"/>
      <c r="AK35" s="52"/>
      <c r="AL35" s="52"/>
      <c r="AM35" s="52"/>
      <c r="AN35" s="52"/>
      <c r="AO35" s="52"/>
      <c r="AP35" s="52"/>
      <c r="AQ35" s="52"/>
      <c r="AR35" s="52"/>
      <c r="AS35" s="52"/>
    </row>
    <row r="36" spans="1:45" s="51" customFormat="1" ht="13.8" x14ac:dyDescent="0.3">
      <c r="A36" s="32" t="s">
        <v>238</v>
      </c>
      <c r="B36" s="174" t="str">
        <f>B26</f>
        <v>US$</v>
      </c>
      <c r="C36" s="3">
        <v>10000</v>
      </c>
      <c r="E36" s="3">
        <f>C16</f>
        <v>25</v>
      </c>
      <c r="F36" s="178" t="str">
        <f>IF($C$16&gt;COUNT($E36:E36)*$E36,COUNT($E36:E36)*$E36,"")</f>
        <v/>
      </c>
      <c r="G36" s="12" t="str">
        <f>IF($C$16&gt;COUNT($E36:F36)*$E36,COUNT($E36:F36)*$E36,"")</f>
        <v/>
      </c>
      <c r="H36" s="12" t="str">
        <f>IF($C$16&gt;COUNT($E36:G36)*$E36,COUNT($E36:G36)*$E36,"")</f>
        <v/>
      </c>
      <c r="I36" s="12" t="str">
        <f>IF($C$16&gt;COUNT($E36:H36)*$E36,COUNT($E36:H36)*$E36,"")</f>
        <v/>
      </c>
      <c r="J36" s="12" t="str">
        <f>IF($C$16&gt;COUNT($E36:I36)*$E36,COUNT($E36:I36)*$E36,"")</f>
        <v/>
      </c>
      <c r="K36" s="177" t="str">
        <f>IF($C$16&gt;COUNT($E36:J36)*$E36,COUNT($E36:J36)*$E36,"")</f>
        <v/>
      </c>
      <c r="L36" s="12" t="str">
        <f t="shared" si="4"/>
        <v/>
      </c>
      <c r="M36" s="12" t="str">
        <f t="shared" si="4"/>
        <v/>
      </c>
      <c r="N36" s="12" t="str">
        <f t="shared" si="4"/>
        <v/>
      </c>
      <c r="O36" s="12" t="str">
        <f t="shared" si="4"/>
        <v/>
      </c>
      <c r="P36" s="12" t="str">
        <f t="shared" si="4"/>
        <v/>
      </c>
      <c r="Q36" s="12" t="str">
        <f t="shared" si="4"/>
        <v/>
      </c>
      <c r="R36" s="12" t="str">
        <f t="shared" si="4"/>
        <v/>
      </c>
      <c r="S36" s="12" t="str">
        <f t="shared" si="4"/>
        <v/>
      </c>
      <c r="T36" s="12" t="str">
        <f t="shared" si="4"/>
        <v/>
      </c>
      <c r="U36" s="12" t="str">
        <f t="shared" si="4"/>
        <v/>
      </c>
      <c r="V36" s="12" t="str">
        <f t="shared" si="5"/>
        <v/>
      </c>
      <c r="W36" s="12" t="str">
        <f t="shared" si="5"/>
        <v/>
      </c>
      <c r="X36" s="12" t="str">
        <f t="shared" si="5"/>
        <v/>
      </c>
      <c r="Y36" s="12" t="str">
        <f t="shared" si="5"/>
        <v/>
      </c>
      <c r="Z36" s="12" t="str">
        <f t="shared" si="5"/>
        <v/>
      </c>
      <c r="AA36" s="12" t="str">
        <f t="shared" si="5"/>
        <v/>
      </c>
      <c r="AB36" s="12" t="str">
        <f t="shared" si="5"/>
        <v/>
      </c>
      <c r="AC36" s="12" t="str">
        <f t="shared" si="5"/>
        <v/>
      </c>
      <c r="AD36" s="12" t="str">
        <f t="shared" si="5"/>
        <v/>
      </c>
      <c r="AE36" s="12" t="str">
        <f t="shared" si="5"/>
        <v/>
      </c>
      <c r="AF36" s="12" t="str">
        <f t="shared" si="5"/>
        <v/>
      </c>
      <c r="AG36" s="14">
        <f t="shared" si="3"/>
        <v>10000</v>
      </c>
      <c r="AH36" s="14">
        <f t="shared" si="2"/>
        <v>400</v>
      </c>
      <c r="AI36" s="14">
        <f>IF(E36&gt;0,AG36/Calculations!$AB$10,"")</f>
        <v>1.0970166172347322E-3</v>
      </c>
      <c r="AJ36" s="52"/>
      <c r="AK36" s="52"/>
      <c r="AL36" s="52"/>
      <c r="AM36" s="52"/>
      <c r="AN36" s="52"/>
      <c r="AO36" s="52"/>
      <c r="AP36" s="52"/>
      <c r="AQ36" s="52"/>
      <c r="AR36" s="52"/>
      <c r="AS36" s="52"/>
    </row>
    <row r="37" spans="1:45" s="51" customFormat="1" ht="13.8" x14ac:dyDescent="0.3">
      <c r="A37" s="32" t="s">
        <v>41</v>
      </c>
      <c r="B37" s="174" t="str">
        <f>B25</f>
        <v>US$</v>
      </c>
      <c r="C37" s="3">
        <v>10000</v>
      </c>
      <c r="E37" s="3">
        <f>C16</f>
        <v>25</v>
      </c>
      <c r="F37" s="178" t="str">
        <f>IF($C$16&gt;COUNT($E37:E37)*$E37,COUNT($E37:E37)*$E37,"")</f>
        <v/>
      </c>
      <c r="G37" s="12" t="str">
        <f>IF($C$16&gt;COUNT($E37:F37)*$E37,COUNT($E37:F37)*$E37,"")</f>
        <v/>
      </c>
      <c r="H37" s="12" t="str">
        <f>IF($C$16&gt;COUNT($E37:G37)*$E37,COUNT($E37:G37)*$E37,"")</f>
        <v/>
      </c>
      <c r="I37" s="12" t="str">
        <f>IF($C$16&gt;COUNT($E37:H37)*$E37,COUNT($E37:H37)*$E37,"")</f>
        <v/>
      </c>
      <c r="J37" s="12" t="str">
        <f>IF($C$16&gt;COUNT($E37:I37)*$E37,COUNT($E37:I37)*$E37,"")</f>
        <v/>
      </c>
      <c r="K37" s="177" t="str">
        <f>IF($C$16&gt;COUNT($E37:J37)*$E37,COUNT($E37:J37)*$E37,"")</f>
        <v/>
      </c>
      <c r="L37" s="12" t="str">
        <f t="shared" si="4"/>
        <v/>
      </c>
      <c r="M37" s="12" t="str">
        <f t="shared" si="4"/>
        <v/>
      </c>
      <c r="N37" s="12" t="str">
        <f t="shared" si="4"/>
        <v/>
      </c>
      <c r="O37" s="12" t="str">
        <f t="shared" si="4"/>
        <v/>
      </c>
      <c r="P37" s="12" t="str">
        <f t="shared" si="4"/>
        <v/>
      </c>
      <c r="Q37" s="12" t="str">
        <f t="shared" si="4"/>
        <v/>
      </c>
      <c r="R37" s="12" t="str">
        <f t="shared" si="4"/>
        <v/>
      </c>
      <c r="S37" s="12" t="str">
        <f t="shared" si="4"/>
        <v/>
      </c>
      <c r="T37" s="12" t="str">
        <f t="shared" si="4"/>
        <v/>
      </c>
      <c r="U37" s="12" t="str">
        <f t="shared" si="4"/>
        <v/>
      </c>
      <c r="V37" s="12" t="str">
        <f t="shared" si="5"/>
        <v/>
      </c>
      <c r="W37" s="12" t="str">
        <f t="shared" si="5"/>
        <v/>
      </c>
      <c r="X37" s="12" t="str">
        <f t="shared" si="5"/>
        <v/>
      </c>
      <c r="Y37" s="12" t="str">
        <f t="shared" si="5"/>
        <v/>
      </c>
      <c r="Z37" s="12" t="str">
        <f t="shared" si="5"/>
        <v/>
      </c>
      <c r="AA37" s="12" t="str">
        <f t="shared" si="5"/>
        <v/>
      </c>
      <c r="AB37" s="12" t="str">
        <f t="shared" si="5"/>
        <v/>
      </c>
      <c r="AC37" s="12" t="str">
        <f t="shared" si="5"/>
        <v/>
      </c>
      <c r="AD37" s="12" t="str">
        <f t="shared" si="5"/>
        <v/>
      </c>
      <c r="AE37" s="12" t="str">
        <f t="shared" si="5"/>
        <v/>
      </c>
      <c r="AF37" s="12" t="str">
        <f t="shared" si="5"/>
        <v/>
      </c>
      <c r="AG37" s="14">
        <f t="shared" si="3"/>
        <v>10000</v>
      </c>
      <c r="AH37" s="14">
        <f t="shared" si="2"/>
        <v>400</v>
      </c>
      <c r="AI37" s="14">
        <f>IF(E37&gt;0,AG37/Calculations!$AB$10,"")</f>
        <v>1.0970166172347322E-3</v>
      </c>
      <c r="AJ37" s="52"/>
      <c r="AK37" s="52"/>
      <c r="AL37" s="52"/>
      <c r="AM37" s="52"/>
      <c r="AN37" s="52"/>
      <c r="AO37" s="52"/>
      <c r="AP37" s="52"/>
      <c r="AQ37" s="52"/>
      <c r="AR37" s="52"/>
      <c r="AS37" s="52"/>
    </row>
    <row r="38" spans="1:45" s="51" customFormat="1" ht="13.8" x14ac:dyDescent="0.3">
      <c r="A38" s="32" t="s">
        <v>487</v>
      </c>
      <c r="B38" s="174" t="str">
        <f>B25</f>
        <v>US$</v>
      </c>
      <c r="C38" s="3">
        <v>10000</v>
      </c>
      <c r="E38" s="3">
        <f>C16</f>
        <v>25</v>
      </c>
      <c r="F38" s="178" t="str">
        <f>IF($C$16&gt;COUNT($E38:E38)*$E38,COUNT($E38:E38)*$E38,"")</f>
        <v/>
      </c>
      <c r="G38" s="12" t="str">
        <f>IF($C$16&gt;COUNT($E38:F38)*$E38,COUNT($E38:F38)*$E38,"")</f>
        <v/>
      </c>
      <c r="H38" s="12" t="str">
        <f>IF($C$16&gt;COUNT($E38:G38)*$E38,COUNT($E38:G38)*$E38,"")</f>
        <v/>
      </c>
      <c r="I38" s="12" t="str">
        <f>IF($C$16&gt;COUNT($E38:H38)*$E38,COUNT($E38:H38)*$E38,"")</f>
        <v/>
      </c>
      <c r="J38" s="12" t="str">
        <f>IF($C$16&gt;COUNT($E38:I38)*$E38,COUNT($E38:I38)*$E38,"")</f>
        <v/>
      </c>
      <c r="K38" s="177" t="str">
        <f>IF($C$16&gt;COUNT($E38:J38)*$E38,COUNT($E38:J38)*$E38,"")</f>
        <v/>
      </c>
      <c r="L38" s="12" t="str">
        <f t="shared" si="4"/>
        <v/>
      </c>
      <c r="M38" s="12" t="str">
        <f t="shared" si="4"/>
        <v/>
      </c>
      <c r="N38" s="12" t="str">
        <f t="shared" si="4"/>
        <v/>
      </c>
      <c r="O38" s="12" t="str">
        <f t="shared" si="4"/>
        <v/>
      </c>
      <c r="P38" s="12" t="str">
        <f t="shared" si="4"/>
        <v/>
      </c>
      <c r="Q38" s="12" t="str">
        <f t="shared" si="4"/>
        <v/>
      </c>
      <c r="R38" s="12" t="str">
        <f t="shared" si="4"/>
        <v/>
      </c>
      <c r="S38" s="12" t="str">
        <f t="shared" si="4"/>
        <v/>
      </c>
      <c r="T38" s="12" t="str">
        <f t="shared" si="4"/>
        <v/>
      </c>
      <c r="U38" s="12" t="str">
        <f t="shared" si="4"/>
        <v/>
      </c>
      <c r="V38" s="12" t="str">
        <f t="shared" si="5"/>
        <v/>
      </c>
      <c r="W38" s="12" t="str">
        <f t="shared" si="5"/>
        <v/>
      </c>
      <c r="X38" s="12" t="str">
        <f t="shared" si="5"/>
        <v/>
      </c>
      <c r="Y38" s="12" t="str">
        <f t="shared" si="5"/>
        <v/>
      </c>
      <c r="Z38" s="12" t="str">
        <f t="shared" si="5"/>
        <v/>
      </c>
      <c r="AA38" s="12" t="str">
        <f t="shared" si="5"/>
        <v/>
      </c>
      <c r="AB38" s="12" t="str">
        <f t="shared" si="5"/>
        <v/>
      </c>
      <c r="AC38" s="12" t="str">
        <f t="shared" si="5"/>
        <v/>
      </c>
      <c r="AD38" s="12" t="str">
        <f t="shared" si="5"/>
        <v/>
      </c>
      <c r="AE38" s="12" t="str">
        <f t="shared" si="5"/>
        <v/>
      </c>
      <c r="AF38" s="12" t="str">
        <f t="shared" si="5"/>
        <v/>
      </c>
      <c r="AG38" s="14">
        <f t="shared" si="3"/>
        <v>10000</v>
      </c>
      <c r="AH38" s="14">
        <f t="shared" si="2"/>
        <v>400</v>
      </c>
      <c r="AI38" s="14">
        <f>IF(E38&gt;0,AG38/Calculations!$AB$10,"")</f>
        <v>1.0970166172347322E-3</v>
      </c>
      <c r="AJ38" s="52"/>
      <c r="AK38" s="52"/>
      <c r="AL38" s="52"/>
      <c r="AM38" s="52"/>
      <c r="AN38" s="52"/>
      <c r="AO38" s="52"/>
      <c r="AP38" s="52"/>
      <c r="AQ38" s="52"/>
      <c r="AR38" s="52"/>
      <c r="AS38" s="52"/>
    </row>
    <row r="39" spans="1:45" s="51" customFormat="1" ht="13.8" x14ac:dyDescent="0.3">
      <c r="A39" s="32" t="s">
        <v>38</v>
      </c>
      <c r="B39" s="174" t="str">
        <f>B25</f>
        <v>US$</v>
      </c>
      <c r="C39" s="3">
        <v>10000</v>
      </c>
      <c r="E39" s="3">
        <f>C16</f>
        <v>25</v>
      </c>
      <c r="F39" s="178" t="str">
        <f>IF($C$16&gt;COUNT($E39:E39)*$E39,COUNT($E39:E39)*$E39,"")</f>
        <v/>
      </c>
      <c r="G39" s="12" t="str">
        <f>IF($C$16&gt;COUNT($E39:F39)*$E39,COUNT($E39:F39)*$E39,"")</f>
        <v/>
      </c>
      <c r="H39" s="12" t="str">
        <f>IF($C$16&gt;COUNT($E39:G39)*$E39,COUNT($E39:G39)*$E39,"")</f>
        <v/>
      </c>
      <c r="I39" s="12" t="str">
        <f>IF($C$16&gt;COUNT($E39:H39)*$E39,COUNT($E39:H39)*$E39,"")</f>
        <v/>
      </c>
      <c r="J39" s="12" t="str">
        <f>IF($C$16&gt;COUNT($E39:I39)*$E39,COUNT($E39:I39)*$E39,"")</f>
        <v/>
      </c>
      <c r="K39" s="177" t="str">
        <f>IF($C$16&gt;COUNT($E39:J39)*$E39,COUNT($E39:J39)*$E39,"")</f>
        <v/>
      </c>
      <c r="L39" s="12" t="str">
        <f t="shared" si="4"/>
        <v/>
      </c>
      <c r="M39" s="12" t="str">
        <f t="shared" si="4"/>
        <v/>
      </c>
      <c r="N39" s="12" t="str">
        <f t="shared" si="4"/>
        <v/>
      </c>
      <c r="O39" s="12" t="str">
        <f t="shared" si="4"/>
        <v/>
      </c>
      <c r="P39" s="12" t="str">
        <f t="shared" si="4"/>
        <v/>
      </c>
      <c r="Q39" s="12" t="str">
        <f t="shared" si="4"/>
        <v/>
      </c>
      <c r="R39" s="12" t="str">
        <f t="shared" si="4"/>
        <v/>
      </c>
      <c r="S39" s="12" t="str">
        <f t="shared" si="4"/>
        <v/>
      </c>
      <c r="T39" s="12" t="str">
        <f t="shared" si="4"/>
        <v/>
      </c>
      <c r="U39" s="12" t="str">
        <f t="shared" si="4"/>
        <v/>
      </c>
      <c r="V39" s="12" t="str">
        <f t="shared" si="5"/>
        <v/>
      </c>
      <c r="W39" s="12" t="str">
        <f t="shared" si="5"/>
        <v/>
      </c>
      <c r="X39" s="12" t="str">
        <f t="shared" si="5"/>
        <v/>
      </c>
      <c r="Y39" s="12" t="str">
        <f t="shared" si="5"/>
        <v/>
      </c>
      <c r="Z39" s="12" t="str">
        <f t="shared" si="5"/>
        <v/>
      </c>
      <c r="AA39" s="12" t="str">
        <f t="shared" si="5"/>
        <v/>
      </c>
      <c r="AB39" s="12" t="str">
        <f t="shared" si="5"/>
        <v/>
      </c>
      <c r="AC39" s="12" t="str">
        <f t="shared" si="5"/>
        <v/>
      </c>
      <c r="AD39" s="12" t="str">
        <f t="shared" si="5"/>
        <v/>
      </c>
      <c r="AE39" s="12" t="str">
        <f t="shared" si="5"/>
        <v/>
      </c>
      <c r="AF39" s="12" t="str">
        <f t="shared" si="5"/>
        <v/>
      </c>
      <c r="AG39" s="14">
        <f t="shared" si="3"/>
        <v>10000</v>
      </c>
      <c r="AH39" s="14">
        <f t="shared" si="2"/>
        <v>400</v>
      </c>
      <c r="AI39" s="14">
        <f>IF(E39&gt;0,AG39/Calculations!$AB$10,"")</f>
        <v>1.0970166172347322E-3</v>
      </c>
      <c r="AJ39" s="52"/>
      <c r="AK39" s="52"/>
      <c r="AL39" s="52"/>
      <c r="AM39" s="52"/>
      <c r="AN39" s="52"/>
      <c r="AO39" s="52"/>
      <c r="AP39" s="52"/>
      <c r="AQ39" s="52"/>
      <c r="AR39" s="52"/>
      <c r="AS39" s="52"/>
    </row>
    <row r="40" spans="1:45" s="51" customFormat="1" ht="13.8" x14ac:dyDescent="0.3">
      <c r="A40" s="32" t="s">
        <v>486</v>
      </c>
      <c r="B40" s="174" t="str">
        <f>B25</f>
        <v>US$</v>
      </c>
      <c r="C40" s="3">
        <v>10000</v>
      </c>
      <c r="E40" s="3">
        <f>C16</f>
        <v>25</v>
      </c>
      <c r="F40" s="178" t="str">
        <f>IF($C$16&gt;COUNT($E40:E40)*$E40,COUNT($E40:E40)*$E40,"")</f>
        <v/>
      </c>
      <c r="G40" s="12" t="str">
        <f>IF($C$16&gt;COUNT($E40:F40)*$E40,COUNT($E40:F40)*$E40,"")</f>
        <v/>
      </c>
      <c r="H40" s="12" t="str">
        <f>IF($C$16&gt;COUNT($E40:G40)*$E40,COUNT($E40:G40)*$E40,"")</f>
        <v/>
      </c>
      <c r="I40" s="12" t="str">
        <f>IF($C$16&gt;COUNT($E40:H40)*$E40,COUNT($E40:H40)*$E40,"")</f>
        <v/>
      </c>
      <c r="J40" s="12" t="str">
        <f>IF($C$16&gt;COUNT($E40:I40)*$E40,COUNT($E40:I40)*$E40,"")</f>
        <v/>
      </c>
      <c r="K40" s="177" t="str">
        <f>IF($C$16&gt;COUNT($E40:J40)*$E40,COUNT($E40:J40)*$E40,"")</f>
        <v/>
      </c>
      <c r="L40" s="12" t="str">
        <f t="shared" si="4"/>
        <v/>
      </c>
      <c r="M40" s="12" t="str">
        <f t="shared" si="4"/>
        <v/>
      </c>
      <c r="N40" s="12" t="str">
        <f t="shared" si="4"/>
        <v/>
      </c>
      <c r="O40" s="12" t="str">
        <f t="shared" si="4"/>
        <v/>
      </c>
      <c r="P40" s="12" t="str">
        <f t="shared" si="4"/>
        <v/>
      </c>
      <c r="Q40" s="12" t="str">
        <f t="shared" si="4"/>
        <v/>
      </c>
      <c r="R40" s="12" t="str">
        <f t="shared" si="4"/>
        <v/>
      </c>
      <c r="S40" s="12" t="str">
        <f t="shared" si="4"/>
        <v/>
      </c>
      <c r="T40" s="12" t="str">
        <f t="shared" si="4"/>
        <v/>
      </c>
      <c r="U40" s="12" t="str">
        <f t="shared" si="4"/>
        <v/>
      </c>
      <c r="V40" s="12" t="str">
        <f t="shared" si="5"/>
        <v/>
      </c>
      <c r="W40" s="12" t="str">
        <f t="shared" si="5"/>
        <v/>
      </c>
      <c r="X40" s="12" t="str">
        <f t="shared" si="5"/>
        <v/>
      </c>
      <c r="Y40" s="12" t="str">
        <f t="shared" si="5"/>
        <v/>
      </c>
      <c r="Z40" s="12" t="str">
        <f t="shared" si="5"/>
        <v/>
      </c>
      <c r="AA40" s="12" t="str">
        <f t="shared" si="5"/>
        <v/>
      </c>
      <c r="AB40" s="12" t="str">
        <f t="shared" si="5"/>
        <v/>
      </c>
      <c r="AC40" s="12" t="str">
        <f t="shared" si="5"/>
        <v/>
      </c>
      <c r="AD40" s="12" t="str">
        <f t="shared" si="5"/>
        <v/>
      </c>
      <c r="AE40" s="12" t="str">
        <f t="shared" si="5"/>
        <v/>
      </c>
      <c r="AF40" s="12" t="str">
        <f t="shared" si="5"/>
        <v/>
      </c>
      <c r="AG40" s="14">
        <f t="shared" si="3"/>
        <v>10000</v>
      </c>
      <c r="AH40" s="14">
        <f t="shared" si="2"/>
        <v>400</v>
      </c>
      <c r="AI40" s="14">
        <f>IF(E40&gt;0,AG40/Calculations!$AB$10,"")</f>
        <v>1.0970166172347322E-3</v>
      </c>
      <c r="AJ40" s="52"/>
      <c r="AK40" s="52"/>
      <c r="AL40" s="52"/>
      <c r="AM40" s="52"/>
      <c r="AN40" s="52"/>
      <c r="AO40" s="52"/>
      <c r="AP40" s="52"/>
      <c r="AQ40" s="52"/>
      <c r="AR40" s="52"/>
      <c r="AS40" s="52"/>
    </row>
    <row r="41" spans="1:45" s="24" customFormat="1" ht="13.8" x14ac:dyDescent="0.3">
      <c r="A41" s="32"/>
      <c r="B41" s="174" t="str">
        <f>B25</f>
        <v>US$</v>
      </c>
      <c r="C41" s="3">
        <v>10000</v>
      </c>
      <c r="E41" s="3">
        <f>C16</f>
        <v>25</v>
      </c>
      <c r="F41" s="178"/>
      <c r="G41" s="12"/>
      <c r="H41" s="12"/>
      <c r="I41" s="12"/>
      <c r="J41" s="12"/>
      <c r="K41" s="177" t="str">
        <f>IF($C$16&gt;COUNT($E41:J41)*$E41,COUNT($E41:J41)*$E41,"")</f>
        <v/>
      </c>
      <c r="L41" s="12" t="str">
        <f t="shared" si="4"/>
        <v/>
      </c>
      <c r="M41" s="12" t="str">
        <f t="shared" si="4"/>
        <v/>
      </c>
      <c r="N41" s="12" t="str">
        <f t="shared" si="4"/>
        <v/>
      </c>
      <c r="O41" s="12" t="str">
        <f t="shared" si="4"/>
        <v/>
      </c>
      <c r="P41" s="12" t="str">
        <f t="shared" si="4"/>
        <v/>
      </c>
      <c r="Q41" s="12" t="str">
        <f t="shared" si="4"/>
        <v/>
      </c>
      <c r="R41" s="12" t="str">
        <f t="shared" si="4"/>
        <v/>
      </c>
      <c r="S41" s="12" t="str">
        <f t="shared" si="4"/>
        <v/>
      </c>
      <c r="T41" s="12" t="str">
        <f t="shared" si="4"/>
        <v/>
      </c>
      <c r="U41" s="12" t="str">
        <f t="shared" si="4"/>
        <v/>
      </c>
      <c r="V41" s="12" t="str">
        <f t="shared" si="5"/>
        <v/>
      </c>
      <c r="W41" s="12" t="str">
        <f t="shared" si="5"/>
        <v/>
      </c>
      <c r="X41" s="12" t="str">
        <f t="shared" si="5"/>
        <v/>
      </c>
      <c r="Y41" s="12" t="str">
        <f t="shared" si="5"/>
        <v/>
      </c>
      <c r="Z41" s="12" t="str">
        <f t="shared" si="5"/>
        <v/>
      </c>
      <c r="AA41" s="12" t="str">
        <f t="shared" si="5"/>
        <v/>
      </c>
      <c r="AB41" s="12" t="str">
        <f t="shared" si="5"/>
        <v/>
      </c>
      <c r="AC41" s="12" t="str">
        <f t="shared" si="5"/>
        <v/>
      </c>
      <c r="AD41" s="12" t="str">
        <f t="shared" si="5"/>
        <v/>
      </c>
      <c r="AE41" s="12" t="str">
        <f t="shared" si="5"/>
        <v/>
      </c>
      <c r="AF41" s="12" t="str">
        <f t="shared" si="5"/>
        <v/>
      </c>
      <c r="AG41" s="14">
        <f t="shared" si="3"/>
        <v>10000</v>
      </c>
      <c r="AH41" s="14">
        <f t="shared" si="2"/>
        <v>400</v>
      </c>
      <c r="AI41" s="14">
        <f>IF(E41&gt;0,AG41/Calculations!$AB$10,"")</f>
        <v>1.0970166172347322E-3</v>
      </c>
    </row>
    <row r="42" spans="1:45" s="24" customFormat="1" ht="13.8" x14ac:dyDescent="0.3">
      <c r="A42" s="32"/>
      <c r="B42" s="174" t="str">
        <f>B25</f>
        <v>US$</v>
      </c>
      <c r="C42" s="3">
        <v>10000</v>
      </c>
      <c r="E42" s="3">
        <f>C16</f>
        <v>25</v>
      </c>
      <c r="F42" s="178"/>
      <c r="G42" s="12"/>
      <c r="H42" s="12"/>
      <c r="I42" s="12"/>
      <c r="J42" s="12"/>
      <c r="K42" s="177" t="str">
        <f>IF($C$16&gt;COUNT($E42:J42)*$E42,COUNT($E42:J42)*$E42,"")</f>
        <v/>
      </c>
      <c r="L42" s="12" t="str">
        <f t="shared" si="4"/>
        <v/>
      </c>
      <c r="M42" s="12" t="str">
        <f t="shared" si="4"/>
        <v/>
      </c>
      <c r="N42" s="12" t="str">
        <f t="shared" si="4"/>
        <v/>
      </c>
      <c r="O42" s="12" t="str">
        <f t="shared" si="4"/>
        <v/>
      </c>
      <c r="P42" s="12" t="str">
        <f t="shared" si="4"/>
        <v/>
      </c>
      <c r="Q42" s="12" t="str">
        <f t="shared" si="4"/>
        <v/>
      </c>
      <c r="R42" s="12" t="str">
        <f t="shared" si="4"/>
        <v/>
      </c>
      <c r="S42" s="12" t="str">
        <f t="shared" si="4"/>
        <v/>
      </c>
      <c r="T42" s="12" t="str">
        <f t="shared" si="4"/>
        <v/>
      </c>
      <c r="U42" s="12" t="str">
        <f t="shared" si="4"/>
        <v/>
      </c>
      <c r="V42" s="12" t="str">
        <f t="shared" si="5"/>
        <v/>
      </c>
      <c r="W42" s="12" t="str">
        <f t="shared" si="5"/>
        <v/>
      </c>
      <c r="X42" s="12" t="str">
        <f t="shared" si="5"/>
        <v/>
      </c>
      <c r="Y42" s="12" t="str">
        <f t="shared" si="5"/>
        <v/>
      </c>
      <c r="Z42" s="12" t="str">
        <f t="shared" si="5"/>
        <v/>
      </c>
      <c r="AA42" s="12" t="str">
        <f t="shared" si="5"/>
        <v/>
      </c>
      <c r="AB42" s="12" t="str">
        <f t="shared" si="5"/>
        <v/>
      </c>
      <c r="AC42" s="12" t="str">
        <f t="shared" si="5"/>
        <v/>
      </c>
      <c r="AD42" s="12" t="str">
        <f t="shared" si="5"/>
        <v/>
      </c>
      <c r="AE42" s="12" t="str">
        <f t="shared" si="5"/>
        <v/>
      </c>
      <c r="AF42" s="12" t="str">
        <f t="shared" si="5"/>
        <v/>
      </c>
      <c r="AG42" s="14">
        <f t="shared" si="3"/>
        <v>10000</v>
      </c>
      <c r="AH42" s="14">
        <f t="shared" si="2"/>
        <v>400</v>
      </c>
      <c r="AI42" s="14">
        <f>IF(E42&gt;0,AG42/Calculations!$AB$10,"")</f>
        <v>1.0970166172347322E-3</v>
      </c>
    </row>
    <row r="43" spans="1:45" s="24" customFormat="1" x14ac:dyDescent="0.3">
      <c r="A43" s="485" t="s">
        <v>73</v>
      </c>
      <c r="B43" s="486"/>
      <c r="C43" s="487"/>
      <c r="E43" s="492"/>
      <c r="F43" s="178"/>
      <c r="G43" s="12"/>
      <c r="H43" s="12"/>
      <c r="I43" s="12"/>
      <c r="J43" s="12"/>
      <c r="K43" s="177"/>
      <c r="L43" s="12" t="str">
        <f t="shared" si="4"/>
        <v/>
      </c>
      <c r="M43" s="12" t="str">
        <f t="shared" si="4"/>
        <v/>
      </c>
      <c r="N43" s="12" t="str">
        <f t="shared" si="4"/>
        <v/>
      </c>
      <c r="O43" s="12" t="str">
        <f t="shared" si="4"/>
        <v/>
      </c>
      <c r="P43" s="12" t="str">
        <f t="shared" si="4"/>
        <v/>
      </c>
      <c r="Q43" s="12" t="str">
        <f t="shared" si="4"/>
        <v/>
      </c>
      <c r="R43" s="12" t="str">
        <f t="shared" si="4"/>
        <v/>
      </c>
      <c r="S43" s="12" t="str">
        <f t="shared" si="4"/>
        <v/>
      </c>
      <c r="T43" s="12" t="str">
        <f t="shared" si="4"/>
        <v/>
      </c>
      <c r="U43" s="12" t="str">
        <f t="shared" si="4"/>
        <v/>
      </c>
      <c r="V43" s="12" t="str">
        <f t="shared" si="5"/>
        <v/>
      </c>
      <c r="W43" s="12" t="str">
        <f t="shared" si="5"/>
        <v/>
      </c>
      <c r="X43" s="12" t="str">
        <f t="shared" si="5"/>
        <v/>
      </c>
      <c r="Y43" s="12" t="str">
        <f t="shared" si="5"/>
        <v/>
      </c>
      <c r="Z43" s="12" t="str">
        <f t="shared" si="5"/>
        <v/>
      </c>
      <c r="AA43" s="12" t="str">
        <f t="shared" si="5"/>
        <v/>
      </c>
      <c r="AB43" s="12" t="str">
        <f t="shared" si="5"/>
        <v/>
      </c>
      <c r="AC43" s="12" t="str">
        <f t="shared" si="5"/>
        <v/>
      </c>
      <c r="AD43" s="12" t="str">
        <f t="shared" si="5"/>
        <v/>
      </c>
      <c r="AE43" s="12" t="str">
        <f t="shared" si="5"/>
        <v/>
      </c>
      <c r="AF43" s="12" t="str">
        <f t="shared" si="5"/>
        <v/>
      </c>
      <c r="AG43" s="14">
        <f t="shared" si="3"/>
        <v>0</v>
      </c>
      <c r="AH43" s="14" t="str">
        <f t="shared" si="2"/>
        <v/>
      </c>
      <c r="AI43" s="14" t="str">
        <f>IF(E43&gt;0,AG43/Calculations!$AB$10,"")</f>
        <v/>
      </c>
      <c r="AJ43" s="38"/>
      <c r="AK43" s="38"/>
      <c r="AL43" s="38"/>
      <c r="AM43" s="38"/>
      <c r="AN43" s="38"/>
      <c r="AO43" s="38"/>
      <c r="AP43" s="38"/>
      <c r="AQ43" s="38"/>
      <c r="AR43" s="38"/>
      <c r="AS43" s="38"/>
    </row>
    <row r="44" spans="1:45" s="24" customFormat="1" ht="13.8" x14ac:dyDescent="0.3">
      <c r="A44" s="32" t="s">
        <v>114</v>
      </c>
      <c r="B44" s="174" t="str">
        <f>B25</f>
        <v>US$</v>
      </c>
      <c r="C44" s="3">
        <v>5000</v>
      </c>
      <c r="E44" s="3">
        <v>15</v>
      </c>
      <c r="F44" s="178">
        <f>IF($C$16&gt;COUNT($E44:E44)*$E44,COUNT($E44:E44)*$E44,"")</f>
        <v>15</v>
      </c>
      <c r="G44" s="12" t="str">
        <f>IF($C$16&gt;COUNT($E44:F44)*$E44,COUNT($E44:F44)*$E44,"")</f>
        <v/>
      </c>
      <c r="H44" s="12" t="str">
        <f>IF($C$16&gt;COUNT($E44:G44)*$E44,COUNT($E44:G44)*$E44,"")</f>
        <v/>
      </c>
      <c r="I44" s="12" t="str">
        <f>IF($C$16&gt;COUNT($E44:H44)*$E44,COUNT($E44:H44)*$E44,"")</f>
        <v/>
      </c>
      <c r="J44" s="12" t="str">
        <f>IF($C$16&gt;COUNT($E44:I44)*$E44,COUNT($E44:I44)*$E44,"")</f>
        <v/>
      </c>
      <c r="K44" s="177" t="str">
        <f>IF($C$16&gt;COUNT($E44:J44)*$E44,COUNT($E44:J44)*$E44,"")</f>
        <v/>
      </c>
      <c r="L44" s="12" t="str">
        <f t="shared" ref="L44:U50" si="6">IF(L$23=0,"",IF($F44=L$23,$C44,IF($G44=L$23,$C44,IF($H44=L$23,$C44,IF($I44=L$23,$C44,IF($J44=L$23,$C44,IF($K44=L$23,$C44,"")))))))</f>
        <v/>
      </c>
      <c r="M44" s="12" t="str">
        <f t="shared" si="6"/>
        <v/>
      </c>
      <c r="N44" s="12" t="str">
        <f t="shared" si="6"/>
        <v/>
      </c>
      <c r="O44" s="12" t="str">
        <f t="shared" si="6"/>
        <v/>
      </c>
      <c r="P44" s="12" t="str">
        <f t="shared" si="6"/>
        <v/>
      </c>
      <c r="Q44" s="12" t="str">
        <f t="shared" si="6"/>
        <v/>
      </c>
      <c r="R44" s="12" t="str">
        <f t="shared" si="6"/>
        <v/>
      </c>
      <c r="S44" s="12" t="str">
        <f t="shared" si="6"/>
        <v/>
      </c>
      <c r="T44" s="12" t="str">
        <f t="shared" si="6"/>
        <v/>
      </c>
      <c r="U44" s="12" t="str">
        <f t="shared" si="6"/>
        <v/>
      </c>
      <c r="V44" s="12">
        <f t="shared" ref="V44:AF50" si="7">IF(V$23=0,"",IF($F44=V$23,$C44,IF($G44=V$23,$C44,IF($H44=V$23,$C44,IF($I44=V$23,$C44,IF($J44=V$23,$C44,IF($K44=V$23,$C44,"")))))))</f>
        <v>5000</v>
      </c>
      <c r="W44" s="12" t="str">
        <f t="shared" si="7"/>
        <v/>
      </c>
      <c r="X44" s="12" t="str">
        <f t="shared" si="7"/>
        <v/>
      </c>
      <c r="Y44" s="12" t="str">
        <f t="shared" si="7"/>
        <v/>
      </c>
      <c r="Z44" s="12" t="str">
        <f t="shared" si="7"/>
        <v/>
      </c>
      <c r="AA44" s="12" t="str">
        <f t="shared" si="7"/>
        <v/>
      </c>
      <c r="AB44" s="12" t="str">
        <f t="shared" si="7"/>
        <v/>
      </c>
      <c r="AC44" s="12" t="str">
        <f t="shared" si="7"/>
        <v/>
      </c>
      <c r="AD44" s="12" t="str">
        <f t="shared" si="7"/>
        <v/>
      </c>
      <c r="AE44" s="12" t="str">
        <f t="shared" si="7"/>
        <v/>
      </c>
      <c r="AF44" s="12" t="str">
        <f t="shared" si="7"/>
        <v/>
      </c>
      <c r="AG44" s="14">
        <f>IF(E44&gt;0,C44/E44*$C$16,C44)</f>
        <v>8333.3333333333321</v>
      </c>
      <c r="AH44" s="14">
        <f t="shared" si="2"/>
        <v>333.33333333333326</v>
      </c>
      <c r="AI44" s="14">
        <f>IF(E44&gt;0,AG44/Calculations!$AB$10,"")</f>
        <v>9.1418051436227684E-4</v>
      </c>
    </row>
    <row r="45" spans="1:45" s="24" customFormat="1" ht="13.8" x14ac:dyDescent="0.3">
      <c r="A45" s="54"/>
      <c r="B45" s="37"/>
      <c r="C45" s="55"/>
      <c r="E45" s="492"/>
      <c r="F45" s="178"/>
      <c r="G45" s="12"/>
      <c r="H45" s="12"/>
      <c r="I45" s="12"/>
      <c r="J45" s="12"/>
      <c r="K45" s="177"/>
      <c r="L45" s="12" t="str">
        <f t="shared" si="6"/>
        <v/>
      </c>
      <c r="M45" s="12" t="str">
        <f t="shared" si="6"/>
        <v/>
      </c>
      <c r="N45" s="12" t="str">
        <f t="shared" si="6"/>
        <v/>
      </c>
      <c r="O45" s="12" t="str">
        <f t="shared" si="6"/>
        <v/>
      </c>
      <c r="P45" s="12" t="str">
        <f t="shared" si="6"/>
        <v/>
      </c>
      <c r="Q45" s="12" t="str">
        <f t="shared" si="6"/>
        <v/>
      </c>
      <c r="R45" s="12" t="str">
        <f t="shared" si="6"/>
        <v/>
      </c>
      <c r="S45" s="12" t="str">
        <f t="shared" si="6"/>
        <v/>
      </c>
      <c r="T45" s="12" t="str">
        <f t="shared" si="6"/>
        <v/>
      </c>
      <c r="U45" s="12" t="str">
        <f t="shared" si="6"/>
        <v/>
      </c>
      <c r="V45" s="12" t="str">
        <f t="shared" si="7"/>
        <v/>
      </c>
      <c r="W45" s="12" t="str">
        <f t="shared" si="7"/>
        <v/>
      </c>
      <c r="X45" s="12" t="str">
        <f t="shared" si="7"/>
        <v/>
      </c>
      <c r="Y45" s="12" t="str">
        <f t="shared" si="7"/>
        <v/>
      </c>
      <c r="Z45" s="12" t="str">
        <f t="shared" si="7"/>
        <v/>
      </c>
      <c r="AA45" s="12" t="str">
        <f t="shared" si="7"/>
        <v/>
      </c>
      <c r="AB45" s="12" t="str">
        <f t="shared" si="7"/>
        <v/>
      </c>
      <c r="AC45" s="12" t="str">
        <f t="shared" si="7"/>
        <v/>
      </c>
      <c r="AD45" s="12" t="str">
        <f t="shared" si="7"/>
        <v/>
      </c>
      <c r="AE45" s="12" t="str">
        <f t="shared" si="7"/>
        <v/>
      </c>
      <c r="AF45" s="12" t="str">
        <f t="shared" si="7"/>
        <v/>
      </c>
      <c r="AG45" s="14">
        <f t="shared" si="3"/>
        <v>0</v>
      </c>
      <c r="AH45" s="14" t="str">
        <f t="shared" si="2"/>
        <v/>
      </c>
      <c r="AI45" s="14" t="str">
        <f>IF(E45&gt;0,AG45/Calculations!$AB$10,"")</f>
        <v/>
      </c>
    </row>
    <row r="46" spans="1:45" s="24" customFormat="1" ht="13.8" x14ac:dyDescent="0.3">
      <c r="A46" s="482" t="s">
        <v>99</v>
      </c>
      <c r="B46" s="483"/>
      <c r="C46" s="484"/>
      <c r="E46" s="493"/>
      <c r="F46" s="178"/>
      <c r="G46" s="12"/>
      <c r="H46" s="12"/>
      <c r="I46" s="12"/>
      <c r="J46" s="12"/>
      <c r="K46" s="177"/>
      <c r="L46" s="12" t="str">
        <f t="shared" si="6"/>
        <v/>
      </c>
      <c r="M46" s="12" t="str">
        <f t="shared" si="6"/>
        <v/>
      </c>
      <c r="N46" s="12" t="str">
        <f t="shared" si="6"/>
        <v/>
      </c>
      <c r="O46" s="12" t="str">
        <f t="shared" si="6"/>
        <v/>
      </c>
      <c r="P46" s="12" t="str">
        <f t="shared" si="6"/>
        <v/>
      </c>
      <c r="Q46" s="12" t="str">
        <f t="shared" si="6"/>
        <v/>
      </c>
      <c r="R46" s="12" t="str">
        <f t="shared" si="6"/>
        <v/>
      </c>
      <c r="S46" s="12" t="str">
        <f t="shared" si="6"/>
        <v/>
      </c>
      <c r="T46" s="12" t="str">
        <f t="shared" si="6"/>
        <v/>
      </c>
      <c r="U46" s="12" t="str">
        <f t="shared" si="6"/>
        <v/>
      </c>
      <c r="V46" s="12" t="str">
        <f t="shared" si="7"/>
        <v/>
      </c>
      <c r="W46" s="12" t="str">
        <f t="shared" si="7"/>
        <v/>
      </c>
      <c r="X46" s="12" t="str">
        <f t="shared" si="7"/>
        <v/>
      </c>
      <c r="Y46" s="12" t="str">
        <f t="shared" si="7"/>
        <v/>
      </c>
      <c r="Z46" s="12" t="str">
        <f t="shared" si="7"/>
        <v/>
      </c>
      <c r="AA46" s="12" t="str">
        <f t="shared" si="7"/>
        <v/>
      </c>
      <c r="AB46" s="12" t="str">
        <f t="shared" si="7"/>
        <v/>
      </c>
      <c r="AC46" s="12" t="str">
        <f t="shared" si="7"/>
        <v/>
      </c>
      <c r="AD46" s="12" t="str">
        <f t="shared" si="7"/>
        <v/>
      </c>
      <c r="AE46" s="12" t="str">
        <f t="shared" si="7"/>
        <v/>
      </c>
      <c r="AF46" s="12" t="str">
        <f t="shared" si="7"/>
        <v/>
      </c>
      <c r="AG46" s="14">
        <f t="shared" si="3"/>
        <v>0</v>
      </c>
      <c r="AH46" s="14" t="str">
        <f t="shared" si="2"/>
        <v/>
      </c>
      <c r="AI46" s="14" t="str">
        <f>IF(E46&gt;0,AG46/Calculations!$AB$10,"")</f>
        <v/>
      </c>
      <c r="AJ46" s="38"/>
      <c r="AK46" s="38"/>
      <c r="AL46" s="38"/>
      <c r="AM46" s="38"/>
      <c r="AN46" s="38"/>
      <c r="AO46" s="38"/>
      <c r="AP46" s="38"/>
      <c r="AQ46" s="38"/>
      <c r="AR46" s="38"/>
      <c r="AS46" s="38"/>
    </row>
    <row r="47" spans="1:45" s="51" customFormat="1" ht="13.8" x14ac:dyDescent="0.3">
      <c r="A47" s="32" t="s">
        <v>29</v>
      </c>
      <c r="B47" s="174" t="str">
        <f>B24</f>
        <v>US$</v>
      </c>
      <c r="C47" s="3">
        <v>0</v>
      </c>
      <c r="D47" s="24"/>
      <c r="E47" s="3">
        <f>C16</f>
        <v>25</v>
      </c>
      <c r="F47" s="178" t="str">
        <f>IF($C$16&gt;COUNT($E47:E47)*$E47,COUNT($E47:E47)*$E47,"")</f>
        <v/>
      </c>
      <c r="G47" s="12" t="str">
        <f>IF($C$16&gt;COUNT($E47:F47)*$E47,COUNT($E47:F47)*$E47,"")</f>
        <v/>
      </c>
      <c r="H47" s="12" t="str">
        <f>IF($C$16&gt;COUNT($E47:G47)*$E47,COUNT($E47:G47)*$E47,"")</f>
        <v/>
      </c>
      <c r="I47" s="12" t="str">
        <f>IF($C$16&gt;COUNT($E47:H47)*$E47,COUNT($E47:H47)*$E47,"")</f>
        <v/>
      </c>
      <c r="J47" s="12" t="str">
        <f>IF($C$16&gt;COUNT($E47:I47)*$E47,COUNT($E47:I47)*$E47,"")</f>
        <v/>
      </c>
      <c r="K47" s="177" t="str">
        <f>IF($C$16&gt;COUNT($E47:J47)*$E47,COUNT($E47:J47)*$E47,"")</f>
        <v/>
      </c>
      <c r="L47" s="12" t="str">
        <f t="shared" si="6"/>
        <v/>
      </c>
      <c r="M47" s="12" t="str">
        <f t="shared" si="6"/>
        <v/>
      </c>
      <c r="N47" s="12" t="str">
        <f t="shared" si="6"/>
        <v/>
      </c>
      <c r="O47" s="12" t="str">
        <f t="shared" si="6"/>
        <v/>
      </c>
      <c r="P47" s="12" t="str">
        <f t="shared" si="6"/>
        <v/>
      </c>
      <c r="Q47" s="12" t="str">
        <f t="shared" si="6"/>
        <v/>
      </c>
      <c r="R47" s="12" t="str">
        <f t="shared" si="6"/>
        <v/>
      </c>
      <c r="S47" s="12" t="str">
        <f t="shared" si="6"/>
        <v/>
      </c>
      <c r="T47" s="12" t="str">
        <f t="shared" si="6"/>
        <v/>
      </c>
      <c r="U47" s="12" t="str">
        <f t="shared" si="6"/>
        <v/>
      </c>
      <c r="V47" s="12" t="str">
        <f t="shared" si="7"/>
        <v/>
      </c>
      <c r="W47" s="12" t="str">
        <f t="shared" si="7"/>
        <v/>
      </c>
      <c r="X47" s="12" t="str">
        <f t="shared" si="7"/>
        <v/>
      </c>
      <c r="Y47" s="12" t="str">
        <f t="shared" si="7"/>
        <v/>
      </c>
      <c r="Z47" s="12" t="str">
        <f t="shared" si="7"/>
        <v/>
      </c>
      <c r="AA47" s="12" t="str">
        <f t="shared" si="7"/>
        <v/>
      </c>
      <c r="AB47" s="12" t="str">
        <f t="shared" si="7"/>
        <v/>
      </c>
      <c r="AC47" s="12" t="str">
        <f t="shared" si="7"/>
        <v/>
      </c>
      <c r="AD47" s="12" t="str">
        <f t="shared" si="7"/>
        <v/>
      </c>
      <c r="AE47" s="12" t="str">
        <f t="shared" si="7"/>
        <v/>
      </c>
      <c r="AF47" s="12" t="str">
        <f t="shared" si="7"/>
        <v/>
      </c>
      <c r="AG47" s="14">
        <f t="shared" si="3"/>
        <v>0</v>
      </c>
      <c r="AH47" s="14">
        <f t="shared" si="2"/>
        <v>0</v>
      </c>
      <c r="AI47" s="14">
        <f>IF(E47&gt;0,AG47/Calculations!$AB$10,"")</f>
        <v>0</v>
      </c>
      <c r="AJ47" s="52"/>
      <c r="AK47" s="52"/>
      <c r="AL47" s="52"/>
      <c r="AM47" s="52"/>
      <c r="AN47" s="52"/>
      <c r="AO47" s="52"/>
      <c r="AP47" s="52"/>
      <c r="AQ47" s="52"/>
      <c r="AR47" s="52"/>
      <c r="AS47" s="52"/>
    </row>
    <row r="48" spans="1:45" s="51" customFormat="1" ht="13.8" x14ac:dyDescent="0.3">
      <c r="A48" s="32" t="s">
        <v>46</v>
      </c>
      <c r="B48" s="174" t="str">
        <f>B25</f>
        <v>US$</v>
      </c>
      <c r="C48" s="3">
        <v>0</v>
      </c>
      <c r="D48" s="24"/>
      <c r="E48" s="3"/>
      <c r="F48" s="179"/>
      <c r="G48" s="15"/>
      <c r="H48" s="15"/>
      <c r="I48" s="15"/>
      <c r="J48" s="15"/>
      <c r="K48" s="177"/>
      <c r="L48" s="12" t="str">
        <f t="shared" si="6"/>
        <v/>
      </c>
      <c r="M48" s="12" t="str">
        <f t="shared" si="6"/>
        <v/>
      </c>
      <c r="N48" s="12" t="str">
        <f t="shared" si="6"/>
        <v/>
      </c>
      <c r="O48" s="12" t="str">
        <f t="shared" si="6"/>
        <v/>
      </c>
      <c r="P48" s="12" t="str">
        <f t="shared" si="6"/>
        <v/>
      </c>
      <c r="Q48" s="12" t="str">
        <f t="shared" si="6"/>
        <v/>
      </c>
      <c r="R48" s="12" t="str">
        <f t="shared" si="6"/>
        <v/>
      </c>
      <c r="S48" s="12" t="str">
        <f t="shared" si="6"/>
        <v/>
      </c>
      <c r="T48" s="12" t="str">
        <f t="shared" si="6"/>
        <v/>
      </c>
      <c r="U48" s="12" t="str">
        <f t="shared" si="6"/>
        <v/>
      </c>
      <c r="V48" s="12" t="str">
        <f t="shared" si="7"/>
        <v/>
      </c>
      <c r="W48" s="12" t="str">
        <f t="shared" si="7"/>
        <v/>
      </c>
      <c r="X48" s="12" t="str">
        <f t="shared" si="7"/>
        <v/>
      </c>
      <c r="Y48" s="12" t="str">
        <f t="shared" si="7"/>
        <v/>
      </c>
      <c r="Z48" s="12" t="str">
        <f t="shared" si="7"/>
        <v/>
      </c>
      <c r="AA48" s="12" t="str">
        <f t="shared" si="7"/>
        <v/>
      </c>
      <c r="AB48" s="12" t="str">
        <f t="shared" si="7"/>
        <v/>
      </c>
      <c r="AC48" s="12" t="str">
        <f t="shared" si="7"/>
        <v/>
      </c>
      <c r="AD48" s="12" t="str">
        <f t="shared" si="7"/>
        <v/>
      </c>
      <c r="AE48" s="12" t="str">
        <f t="shared" si="7"/>
        <v/>
      </c>
      <c r="AF48" s="12" t="str">
        <f t="shared" si="7"/>
        <v/>
      </c>
      <c r="AG48" s="14">
        <f t="shared" si="3"/>
        <v>0</v>
      </c>
      <c r="AH48" s="14" t="str">
        <f t="shared" si="2"/>
        <v/>
      </c>
      <c r="AI48" s="14" t="str">
        <f>IF(E48&gt;0,AG48/Calculations!$AB$10,"")</f>
        <v/>
      </c>
      <c r="AJ48" s="52"/>
      <c r="AK48" s="52"/>
      <c r="AL48" s="52"/>
      <c r="AM48" s="52"/>
      <c r="AN48" s="52"/>
      <c r="AO48" s="52"/>
      <c r="AP48" s="52"/>
      <c r="AQ48" s="52"/>
      <c r="AR48" s="52"/>
      <c r="AS48" s="52"/>
    </row>
    <row r="49" spans="1:45" s="51" customFormat="1" ht="13.8" x14ac:dyDescent="0.3">
      <c r="A49" s="32" t="s">
        <v>42</v>
      </c>
      <c r="B49" s="174" t="str">
        <f>B25</f>
        <v>US$</v>
      </c>
      <c r="C49" s="3">
        <v>0</v>
      </c>
      <c r="D49" s="24"/>
      <c r="E49" s="3">
        <f>C16</f>
        <v>25</v>
      </c>
      <c r="F49" s="178" t="str">
        <f>IF($C$16&gt;COUNT($E49:E49)*$E49,COUNT($E49:E49)*$E49,"")</f>
        <v/>
      </c>
      <c r="G49" s="12" t="str">
        <f>IF($C$16&gt;COUNT($E49:F49)*$E49,COUNT($E49:F49)*$E49,"")</f>
        <v/>
      </c>
      <c r="H49" s="12" t="str">
        <f>IF($C$16&gt;COUNT($E49:G49)*$E49,COUNT($E49:G49)*$E49,"")</f>
        <v/>
      </c>
      <c r="I49" s="12" t="str">
        <f>IF($C$16&gt;COUNT($E49:H49)*$E49,COUNT($E49:H49)*$E49,"")</f>
        <v/>
      </c>
      <c r="J49" s="12" t="str">
        <f>IF($C$16&gt;COUNT($E49:I49)*$E49,COUNT($E49:I49)*$E49,"")</f>
        <v/>
      </c>
      <c r="K49" s="177" t="str">
        <f>IF($C$16&gt;COUNT($E49:J49)*$E49,COUNT($E49:J49)*$E49,"")</f>
        <v/>
      </c>
      <c r="L49" s="12" t="str">
        <f t="shared" si="6"/>
        <v/>
      </c>
      <c r="M49" s="12" t="str">
        <f t="shared" si="6"/>
        <v/>
      </c>
      <c r="N49" s="12" t="str">
        <f t="shared" si="6"/>
        <v/>
      </c>
      <c r="O49" s="12" t="str">
        <f t="shared" si="6"/>
        <v/>
      </c>
      <c r="P49" s="12" t="str">
        <f t="shared" si="6"/>
        <v/>
      </c>
      <c r="Q49" s="12" t="str">
        <f t="shared" si="6"/>
        <v/>
      </c>
      <c r="R49" s="12" t="str">
        <f t="shared" si="6"/>
        <v/>
      </c>
      <c r="S49" s="12" t="str">
        <f t="shared" si="6"/>
        <v/>
      </c>
      <c r="T49" s="12" t="str">
        <f t="shared" si="6"/>
        <v/>
      </c>
      <c r="U49" s="12" t="str">
        <f t="shared" si="6"/>
        <v/>
      </c>
      <c r="V49" s="12" t="str">
        <f t="shared" si="7"/>
        <v/>
      </c>
      <c r="W49" s="12" t="str">
        <f t="shared" si="7"/>
        <v/>
      </c>
      <c r="X49" s="12" t="str">
        <f t="shared" si="7"/>
        <v/>
      </c>
      <c r="Y49" s="12" t="str">
        <f t="shared" si="7"/>
        <v/>
      </c>
      <c r="Z49" s="12" t="str">
        <f t="shared" si="7"/>
        <v/>
      </c>
      <c r="AA49" s="12" t="str">
        <f t="shared" si="7"/>
        <v/>
      </c>
      <c r="AB49" s="12" t="str">
        <f t="shared" si="7"/>
        <v/>
      </c>
      <c r="AC49" s="12" t="str">
        <f t="shared" si="7"/>
        <v/>
      </c>
      <c r="AD49" s="12" t="str">
        <f t="shared" si="7"/>
        <v/>
      </c>
      <c r="AE49" s="12" t="str">
        <f t="shared" si="7"/>
        <v/>
      </c>
      <c r="AF49" s="12" t="str">
        <f t="shared" si="7"/>
        <v/>
      </c>
      <c r="AG49" s="14">
        <f t="shared" si="3"/>
        <v>0</v>
      </c>
      <c r="AH49" s="14">
        <f t="shared" si="2"/>
        <v>0</v>
      </c>
      <c r="AI49" s="14">
        <f>IF(E49&gt;0,AG49/Calculations!$AB$10,"")</f>
        <v>0</v>
      </c>
      <c r="AJ49" s="52"/>
      <c r="AK49" s="52"/>
      <c r="AL49" s="52"/>
      <c r="AM49" s="52"/>
      <c r="AN49" s="52"/>
      <c r="AO49" s="52"/>
      <c r="AP49" s="52"/>
      <c r="AQ49" s="52"/>
      <c r="AR49" s="52"/>
      <c r="AS49" s="52"/>
    </row>
    <row r="50" spans="1:45" s="51" customFormat="1" ht="13.8" x14ac:dyDescent="0.3">
      <c r="A50" s="32" t="s">
        <v>13</v>
      </c>
      <c r="B50" s="174" t="str">
        <f>B25</f>
        <v>US$</v>
      </c>
      <c r="C50" s="3">
        <v>0</v>
      </c>
      <c r="D50" s="24"/>
      <c r="E50" s="3">
        <f>C16</f>
        <v>25</v>
      </c>
      <c r="F50" s="178" t="str">
        <f>IF($C$16&gt;COUNT($E50:E50)*$E50,COUNT($E50:E50)*$E50,"")</f>
        <v/>
      </c>
      <c r="G50" s="12" t="str">
        <f>IF($C$16&gt;COUNT($E50:F50)*$E50,COUNT($E50:F50)*$E50,"")</f>
        <v/>
      </c>
      <c r="H50" s="12" t="str">
        <f>IF($C$16&gt;COUNT($E50:G50)*$E50,COUNT($E50:G50)*$E50,"")</f>
        <v/>
      </c>
      <c r="I50" s="12" t="str">
        <f>IF($C$16&gt;COUNT($E50:H50)*$E50,COUNT($E50:H50)*$E50,"")</f>
        <v/>
      </c>
      <c r="J50" s="12" t="str">
        <f>IF($C$16&gt;COUNT($E50:I50)*$E50,COUNT($E50:I50)*$E50,"")</f>
        <v/>
      </c>
      <c r="K50" s="177" t="str">
        <f>IF($C$16&gt;COUNT($E50:J50)*$E50,COUNT($E50:J50)*$E50,"")</f>
        <v/>
      </c>
      <c r="L50" s="12" t="str">
        <f t="shared" si="6"/>
        <v/>
      </c>
      <c r="M50" s="12" t="str">
        <f t="shared" si="6"/>
        <v/>
      </c>
      <c r="N50" s="12" t="str">
        <f t="shared" si="6"/>
        <v/>
      </c>
      <c r="O50" s="12" t="str">
        <f t="shared" si="6"/>
        <v/>
      </c>
      <c r="P50" s="12" t="str">
        <f t="shared" si="6"/>
        <v/>
      </c>
      <c r="Q50" s="12" t="str">
        <f t="shared" si="6"/>
        <v/>
      </c>
      <c r="R50" s="12" t="str">
        <f t="shared" si="6"/>
        <v/>
      </c>
      <c r="S50" s="12" t="str">
        <f t="shared" si="6"/>
        <v/>
      </c>
      <c r="T50" s="12" t="str">
        <f t="shared" si="6"/>
        <v/>
      </c>
      <c r="U50" s="12" t="str">
        <f t="shared" si="6"/>
        <v/>
      </c>
      <c r="V50" s="12" t="str">
        <f t="shared" si="7"/>
        <v/>
      </c>
      <c r="W50" s="12" t="str">
        <f t="shared" si="7"/>
        <v/>
      </c>
      <c r="X50" s="12" t="str">
        <f t="shared" si="7"/>
        <v/>
      </c>
      <c r="Y50" s="12" t="str">
        <f t="shared" si="7"/>
        <v/>
      </c>
      <c r="Z50" s="12" t="str">
        <f t="shared" si="7"/>
        <v/>
      </c>
      <c r="AA50" s="12" t="str">
        <f t="shared" si="7"/>
        <v/>
      </c>
      <c r="AB50" s="12" t="str">
        <f t="shared" si="7"/>
        <v/>
      </c>
      <c r="AC50" s="12" t="str">
        <f t="shared" si="7"/>
        <v/>
      </c>
      <c r="AD50" s="12" t="str">
        <f t="shared" si="7"/>
        <v/>
      </c>
      <c r="AE50" s="12" t="str">
        <f t="shared" si="7"/>
        <v/>
      </c>
      <c r="AF50" s="12" t="str">
        <f t="shared" si="7"/>
        <v/>
      </c>
      <c r="AG50" s="14">
        <f t="shared" si="3"/>
        <v>0</v>
      </c>
      <c r="AH50" s="14">
        <f t="shared" si="2"/>
        <v>0</v>
      </c>
      <c r="AI50" s="14">
        <f>IF(E50&gt;0,AG50/Calculations!$AB$10,"")</f>
        <v>0</v>
      </c>
      <c r="AJ50" s="52"/>
      <c r="AK50" s="52"/>
      <c r="AL50" s="52"/>
      <c r="AM50" s="52"/>
      <c r="AN50" s="52"/>
      <c r="AO50" s="52"/>
      <c r="AP50" s="52"/>
      <c r="AQ50" s="52"/>
      <c r="AR50" s="52"/>
      <c r="AS50" s="52"/>
    </row>
    <row r="51" spans="1:45" s="51" customFormat="1" ht="13.8" x14ac:dyDescent="0.3">
      <c r="A51" s="32" t="s">
        <v>43</v>
      </c>
      <c r="B51" s="174" t="str">
        <f>B25</f>
        <v>US$</v>
      </c>
      <c r="C51" s="3">
        <v>0</v>
      </c>
      <c r="D51" s="24"/>
      <c r="E51" s="3">
        <f>C16</f>
        <v>25</v>
      </c>
      <c r="F51" s="178" t="str">
        <f>IF($C$16&gt;COUNT($E51:E51)*$E51,COUNT($E51:E51)*$E51,"")</f>
        <v/>
      </c>
      <c r="G51" s="12" t="str">
        <f>IF($C$16&gt;COUNT($E51:F51)*$E51,COUNT($E51:F51)*$E51,"")</f>
        <v/>
      </c>
      <c r="H51" s="12" t="str">
        <f>IF($C$16&gt;COUNT($E51:G51)*$E51,COUNT($E51:G51)*$E51,"")</f>
        <v/>
      </c>
      <c r="I51" s="12" t="str">
        <f>IF($C$16&gt;COUNT($E51:H51)*$E51,COUNT($E51:H51)*$E51,"")</f>
        <v/>
      </c>
      <c r="J51" s="12" t="str">
        <f>IF($C$16&gt;COUNT($E51:I51)*$E51,COUNT($E51:I51)*$E51,"")</f>
        <v/>
      </c>
      <c r="K51" s="177" t="str">
        <f>IF($C$16&gt;COUNT($E51:J51)*$E51,COUNT($E51:J51)*$E51,"")</f>
        <v/>
      </c>
      <c r="L51" s="12" t="str">
        <f>IF(L$23=0,"",IF($F51=L$23,$C51,IF($G51=L$23,$C51,IF($H51=L$23,$C51,IF($I51=L$23,$C51,IF($J51=L$23,$C51,IF($K51=L$23,$C51,"")))))))</f>
        <v/>
      </c>
      <c r="M51" s="12" t="str">
        <f>IF(M$23=0,"",IF($F51=M$23,$C51,IF($G51=M$23,$C51,IF($H51=M$23,$C51,IF($I51=M$23,$C51,IF($J51=M$23,$C51,IF($K51=M$23,$C51,"")))))))</f>
        <v/>
      </c>
      <c r="N51" s="12" t="str">
        <f>IF(N$23=0,"",IF($F51=N$23,$C51,IF($G51=N$23,$C51,IF($H51=N$23,$C51,IF($I51=N$23,$C51,IF($J51=N$23,$C51,IF($K51=N$23,$C51,"")))))))</f>
        <v/>
      </c>
      <c r="O51" s="12" t="str">
        <f>IF(O$23=0,"",IF($F51=O$23,$C51,IF($G51=O$23,$C51,IF($H51=O$23,$C51,IF($I51=O$23,$C51,IF($J51=O$23,$C51,IF($K51=O$23,$C51,"")))))))</f>
        <v/>
      </c>
      <c r="P51" s="12" t="str">
        <f>IF(P$23=0,"",IF($F51=P$23,$C51,IF($G51=P$23,$C51,IF($H51=P$23,$C51,IF($I51=P$23,$C51,IF($J51=P$23,$C51,IF($K51=P$23,$C51,"")))))))</f>
        <v/>
      </c>
      <c r="Q51" s="12" t="str">
        <f>IF(Q$23=0,"",IF($F51=Q$23,$C51,IF($G51=Q$23,$C51,IF($H51=Q$23,$C51,IF($I51=Q$23,$C51,IF($J51=Q$23,$C51,IF($K51=Q$23,$C51,"")))))))</f>
        <v/>
      </c>
      <c r="R51" s="12" t="str">
        <f>IF(R$23=0,"",IF($F51=R$23,$C51,IF($G51=R$23,$C51,IF($H51=R$23,$C51,IF($I51=R$23,$C51,IF($J51=R$23,$C51,IF($K51=R$23,$C51,"")))))))</f>
        <v/>
      </c>
      <c r="S51" s="12" t="str">
        <f>IF(S$23=0,"",IF($F51=S$23,$C51,IF($G51=S$23,$C51,IF($H51=S$23,$C51,IF($I51=S$23,$C51,IF($J51=S$23,$C51,IF($K51=S$23,$C51,"")))))))</f>
        <v/>
      </c>
      <c r="T51" s="12" t="str">
        <f>IF(T$23=0,"",IF($F51=T$23,$C51,IF($G51=T$23,$C51,IF($H51=T$23,$C51,IF($I51=T$23,$C51,IF($J51=T$23,$C51,IF($K51=T$23,$C51,"")))))))</f>
        <v/>
      </c>
      <c r="U51" s="12" t="str">
        <f>IF(U$23=0,"",IF($F51=U$23,$C51,IF($G51=U$23,$C51,IF($H51=U$23,$C51,IF($I51=U$23,$C51,IF($J51=U$23,$C51,IF($K51=U$23,$C51,"")))))))</f>
        <v/>
      </c>
      <c r="V51" s="12" t="str">
        <f>IF(V$23=0,"",IF($F51=V$23,$C51,IF($G51=V$23,$C51,IF($H51=V$23,$C51,IF($I51=V$23,$C51,IF($J51=V$23,$C51,IF($K51=V$23,$C51,"")))))))</f>
        <v/>
      </c>
      <c r="W51" s="12" t="str">
        <f>IF(W$23=0,"",IF($F51=W$23,$C51,IF($G51=W$23,$C51,IF($H51=W$23,$C51,IF($I51=W$23,$C51,IF($J51=W$23,$C51,IF($K51=W$23,$C51,"")))))))</f>
        <v/>
      </c>
      <c r="X51" s="12" t="str">
        <f>IF(X$23=0,"",IF($F51=X$23,$C51,IF($G51=X$23,$C51,IF($H51=X$23,$C51,IF($I51=X$23,$C51,IF($J51=X$23,$C51,IF($K51=X$23,$C51,"")))))))</f>
        <v/>
      </c>
      <c r="Y51" s="12" t="str">
        <f>IF(Y$23=0,"",IF($F51=Y$23,$C51,IF($G51=Y$23,$C51,IF($H51=Y$23,$C51,IF($I51=Y$23,$C51,IF($J51=Y$23,$C51,IF($K51=Y$23,$C51,"")))))))</f>
        <v/>
      </c>
      <c r="Z51" s="12" t="str">
        <f>IF(Z$23=0,"",IF($F51=Z$23,$C51,IF($G51=Z$23,$C51,IF($H51=Z$23,$C51,IF($I51=Z$23,$C51,IF($J51=Z$23,$C51,IF($K51=Z$23,$C51,"")))))))</f>
        <v/>
      </c>
      <c r="AA51" s="12" t="str">
        <f>IF(AA$23=0,"",IF($F51=AA$23,$C51,IF($G51=AA$23,$C51,IF($H51=AA$23,$C51,IF($I51=AA$23,$C51,IF($J51=AA$23,$C51,IF($K51=AA$23,$C51,"")))))))</f>
        <v/>
      </c>
      <c r="AB51" s="12" t="str">
        <f>IF(AB$23=0,"",IF($F51=AB$23,$C51,IF($G51=AB$23,$C51,IF($H51=AB$23,$C51,IF($I51=AB$23,$C51,IF($J51=AB$23,$C51,IF($K51=AB$23,$C51,"")))))))</f>
        <v/>
      </c>
      <c r="AC51" s="12" t="str">
        <f>IF(AC$23=0,"",IF($F51=AC$23,$C51,IF($G51=AC$23,$C51,IF($H51=AC$23,$C51,IF($I51=AC$23,$C51,IF($J51=AC$23,$C51,IF($K51=AC$23,$C51,"")))))))</f>
        <v/>
      </c>
      <c r="AD51" s="12" t="str">
        <f>IF(AD$23=0,"",IF($F51=AD$23,$C51,IF($G51=AD$23,$C51,IF($H51=AD$23,$C51,IF($I51=AD$23,$C51,IF($J51=AD$23,$C51,IF($K51=AD$23,$C51,"")))))))</f>
        <v/>
      </c>
      <c r="AE51" s="12" t="str">
        <f>IF(AE$23=0,"",IF($F51=AE$23,$C51,IF($G51=AE$23,$C51,IF($H51=AE$23,$C51,IF($I51=AE$23,$C51,IF($J51=AE$23,$C51,IF($K51=AE$23,$C51,"")))))))</f>
        <v/>
      </c>
      <c r="AF51" s="12" t="str">
        <f>IF(AF$23=0,"",IF($F51=AF$23,$C51,IF($G51=AF$23,$C51,IF($H51=AF$23,$C51,IF($I51=AF$23,$C51,IF($J51=AF$23,$C51,IF($K51=AF$23,$C51,"")))))))</f>
        <v/>
      </c>
      <c r="AG51" s="14">
        <f>IF(E51&gt;0,C51/E51*$C$16,C51)</f>
        <v>0</v>
      </c>
      <c r="AH51" s="14">
        <f t="shared" si="2"/>
        <v>0</v>
      </c>
      <c r="AI51" s="14">
        <f>IF(E51&gt;0,AG51/Calculations!$AB$10,"")</f>
        <v>0</v>
      </c>
      <c r="AJ51" s="52"/>
      <c r="AK51" s="52"/>
      <c r="AL51" s="52"/>
      <c r="AM51" s="52"/>
      <c r="AN51" s="52"/>
      <c r="AO51" s="52"/>
      <c r="AP51" s="52"/>
      <c r="AQ51" s="52"/>
      <c r="AR51" s="52"/>
      <c r="AS51" s="52"/>
    </row>
    <row r="52" spans="1:45" s="51" customFormat="1" ht="13.8" x14ac:dyDescent="0.3">
      <c r="A52" s="32" t="s">
        <v>36</v>
      </c>
      <c r="B52" s="174" t="str">
        <f>B25</f>
        <v>US$</v>
      </c>
      <c r="C52" s="3">
        <v>0</v>
      </c>
      <c r="D52" s="24"/>
      <c r="E52" s="3">
        <f>C16</f>
        <v>25</v>
      </c>
      <c r="F52" s="178" t="str">
        <f>IF($C$16&gt;COUNT($E52:E52)*$E52,COUNT($E52:E52)*$E52,"")</f>
        <v/>
      </c>
      <c r="G52" s="12" t="str">
        <f>IF($C$16&gt;COUNT($E52:F52)*$E52,COUNT($E52:F52)*$E52,"")</f>
        <v/>
      </c>
      <c r="H52" s="12" t="str">
        <f>IF($C$16&gt;COUNT($E52:G52)*$E52,COUNT($E52:G52)*$E52,"")</f>
        <v/>
      </c>
      <c r="I52" s="12" t="str">
        <f>IF($C$16&gt;COUNT($E52:H52)*$E52,COUNT($E52:H52)*$E52,"")</f>
        <v/>
      </c>
      <c r="J52" s="12" t="str">
        <f>IF($C$16&gt;COUNT($E52:I52)*$E52,COUNT($E52:I52)*$E52,"")</f>
        <v/>
      </c>
      <c r="K52" s="177" t="str">
        <f>IF($C$16&gt;COUNT($E52:J52)*$E52,COUNT($E52:J52)*$E52,"")</f>
        <v/>
      </c>
      <c r="L52" s="12" t="str">
        <f>IF(L$23=0,"",IF($F52=L$23,$C52,IF($G52=L$23,$C52,IF($H52=L$23,$C52,IF($I52=L$23,$C52,IF($J52=L$23,$C52,IF($K52=L$23,$C52,"")))))))</f>
        <v/>
      </c>
      <c r="M52" s="12" t="str">
        <f>IF(M$23=0,"",IF($F52=M$23,$C52,IF($G52=M$23,$C52,IF($H52=M$23,$C52,IF($I52=M$23,$C52,IF($J52=M$23,$C52,IF($K52=M$23,$C52,"")))))))</f>
        <v/>
      </c>
      <c r="N52" s="12" t="str">
        <f>IF(N$23=0,"",IF($F52=N$23,$C52,IF($G52=N$23,$C52,IF($H52=N$23,$C52,IF($I52=N$23,$C52,IF($J52=N$23,$C52,IF($K52=N$23,$C52,"")))))))</f>
        <v/>
      </c>
      <c r="O52" s="12" t="str">
        <f>IF(O$23=0,"",IF($F52=O$23,$C52,IF($G52=O$23,$C52,IF($H52=O$23,$C52,IF($I52=O$23,$C52,IF($J52=O$23,$C52,IF($K52=O$23,$C52,"")))))))</f>
        <v/>
      </c>
      <c r="P52" s="12" t="str">
        <f>IF(P$23=0,"",IF($F52=P$23,$C52,IF($G52=P$23,$C52,IF($H52=P$23,$C52,IF($I52=P$23,$C52,IF($J52=P$23,$C52,IF($K52=P$23,$C52,"")))))))</f>
        <v/>
      </c>
      <c r="Q52" s="12" t="str">
        <f>IF(Q$23=0,"",IF($F52=Q$23,$C52,IF($G52=Q$23,$C52,IF($H52=Q$23,$C52,IF($I52=Q$23,$C52,IF($J52=Q$23,$C52,IF($K52=Q$23,$C52,"")))))))</f>
        <v/>
      </c>
      <c r="R52" s="12" t="str">
        <f>IF(R$23=0,"",IF($F52=R$23,$C52,IF($G52=R$23,$C52,IF($H52=R$23,$C52,IF($I52=R$23,$C52,IF($J52=R$23,$C52,IF($K52=R$23,$C52,"")))))))</f>
        <v/>
      </c>
      <c r="S52" s="12" t="str">
        <f>IF(S$23=0,"",IF($F52=S$23,$C52,IF($G52=S$23,$C52,IF($H52=S$23,$C52,IF($I52=S$23,$C52,IF($J52=S$23,$C52,IF($K52=S$23,$C52,"")))))))</f>
        <v/>
      </c>
      <c r="T52" s="12" t="str">
        <f>IF(T$23=0,"",IF($F52=T$23,$C52,IF($G52=T$23,$C52,IF($H52=T$23,$C52,IF($I52=T$23,$C52,IF($J52=T$23,$C52,IF($K52=T$23,$C52,"")))))))</f>
        <v/>
      </c>
      <c r="U52" s="12" t="str">
        <f>IF(U$23=0,"",IF($F52=U$23,$C52,IF($G52=U$23,$C52,IF($H52=U$23,$C52,IF($I52=U$23,$C52,IF($J52=U$23,$C52,IF($K52=U$23,$C52,"")))))))</f>
        <v/>
      </c>
      <c r="V52" s="12" t="str">
        <f>IF(V$23=0,"",IF($F52=V$23,$C52,IF($G52=V$23,$C52,IF($H52=V$23,$C52,IF($I52=V$23,$C52,IF($J52=V$23,$C52,IF($K52=V$23,$C52,"")))))))</f>
        <v/>
      </c>
      <c r="W52" s="12" t="str">
        <f>IF(W$23=0,"",IF($F52=W$23,$C52,IF($G52=W$23,$C52,IF($H52=W$23,$C52,IF($I52=W$23,$C52,IF($J52=W$23,$C52,IF($K52=W$23,$C52,"")))))))</f>
        <v/>
      </c>
      <c r="X52" s="12" t="str">
        <f>IF(X$23=0,"",IF($F52=X$23,$C52,IF($G52=X$23,$C52,IF($H52=X$23,$C52,IF($I52=X$23,$C52,IF($J52=X$23,$C52,IF($K52=X$23,$C52,"")))))))</f>
        <v/>
      </c>
      <c r="Y52" s="12" t="str">
        <f>IF(Y$23=0,"",IF($F52=Y$23,$C52,IF($G52=Y$23,$C52,IF($H52=Y$23,$C52,IF($I52=Y$23,$C52,IF($J52=Y$23,$C52,IF($K52=Y$23,$C52,"")))))))</f>
        <v/>
      </c>
      <c r="Z52" s="12" t="str">
        <f>IF(Z$23=0,"",IF($F52=Z$23,$C52,IF($G52=Z$23,$C52,IF($H52=Z$23,$C52,IF($I52=Z$23,$C52,IF($J52=Z$23,$C52,IF($K52=Z$23,$C52,"")))))))</f>
        <v/>
      </c>
      <c r="AA52" s="12" t="str">
        <f>IF(AA$23=0,"",IF($F52=AA$23,$C52,IF($G52=AA$23,$C52,IF($H52=AA$23,$C52,IF($I52=AA$23,$C52,IF($J52=AA$23,$C52,IF($K52=AA$23,$C52,"")))))))</f>
        <v/>
      </c>
      <c r="AB52" s="12" t="str">
        <f>IF(AB$23=0,"",IF($F52=AB$23,$C52,IF($G52=AB$23,$C52,IF($H52=AB$23,$C52,IF($I52=AB$23,$C52,IF($J52=AB$23,$C52,IF($K52=AB$23,$C52,"")))))))</f>
        <v/>
      </c>
      <c r="AC52" s="12" t="str">
        <f>IF(AC$23=0,"",IF($F52=AC$23,$C52,IF($G52=AC$23,$C52,IF($H52=AC$23,$C52,IF($I52=AC$23,$C52,IF($J52=AC$23,$C52,IF($K52=AC$23,$C52,"")))))))</f>
        <v/>
      </c>
      <c r="AD52" s="12" t="str">
        <f>IF(AD$23=0,"",IF($F52=AD$23,$C52,IF($G52=AD$23,$C52,IF($H52=AD$23,$C52,IF($I52=AD$23,$C52,IF($J52=AD$23,$C52,IF($K52=AD$23,$C52,"")))))))</f>
        <v/>
      </c>
      <c r="AE52" s="12" t="str">
        <f>IF(AE$23=0,"",IF($F52=AE$23,$C52,IF($G52=AE$23,$C52,IF($H52=AE$23,$C52,IF($I52=AE$23,$C52,IF($J52=AE$23,$C52,IF($K52=AE$23,$C52,"")))))))</f>
        <v/>
      </c>
      <c r="AF52" s="12" t="str">
        <f>IF(AF$23=0,"",IF($F52=AF$23,$C52,IF($G52=AF$23,$C52,IF($H52=AF$23,$C52,IF($I52=AF$23,$C52,IF($J52=AF$23,$C52,IF($K52=AF$23,$C52,"")))))))</f>
        <v/>
      </c>
      <c r="AG52" s="14">
        <f>IF(E52&gt;0,C52/E52*$C$16,C52)</f>
        <v>0</v>
      </c>
      <c r="AH52" s="14">
        <f t="shared" si="2"/>
        <v>0</v>
      </c>
      <c r="AI52" s="14">
        <f>IF(E52&gt;0,AG52/Calculations!$AB$10,"")</f>
        <v>0</v>
      </c>
      <c r="AJ52" s="52"/>
      <c r="AK52" s="52"/>
      <c r="AL52" s="52"/>
      <c r="AM52" s="52"/>
      <c r="AN52" s="52"/>
      <c r="AO52" s="52"/>
      <c r="AP52" s="52"/>
      <c r="AQ52" s="52"/>
      <c r="AR52" s="52"/>
      <c r="AS52" s="52"/>
    </row>
    <row r="53" spans="1:45" s="51" customFormat="1" ht="13.8" x14ac:dyDescent="0.3">
      <c r="A53" s="32" t="s">
        <v>11</v>
      </c>
      <c r="B53" s="174" t="str">
        <f>B25</f>
        <v>US$</v>
      </c>
      <c r="C53" s="3">
        <v>0</v>
      </c>
      <c r="D53" s="24"/>
      <c r="E53" s="3">
        <f>C16</f>
        <v>25</v>
      </c>
      <c r="F53" s="178" t="str">
        <f>IF($C$16&gt;COUNT($E53:E53)*$E53,COUNT($E53:E53)*$E53,"")</f>
        <v/>
      </c>
      <c r="G53" s="12" t="str">
        <f>IF($C$16&gt;COUNT($E53:F53)*$E53,COUNT($E53:F53)*$E53,"")</f>
        <v/>
      </c>
      <c r="H53" s="12" t="str">
        <f>IF($C$16&gt;COUNT($E53:G53)*$E53,COUNT($E53:G53)*$E53,"")</f>
        <v/>
      </c>
      <c r="I53" s="12" t="str">
        <f>IF($C$16&gt;COUNT($E53:H53)*$E53,COUNT($E53:H53)*$E53,"")</f>
        <v/>
      </c>
      <c r="J53" s="12" t="str">
        <f>IF($C$16&gt;COUNT($E53:I53)*$E53,COUNT($E53:I53)*$E53,"")</f>
        <v/>
      </c>
      <c r="K53" s="177" t="str">
        <f>IF($C$16&gt;COUNT($E53:J53)*$E53,COUNT($E53:J53)*$E53,"")</f>
        <v/>
      </c>
      <c r="L53" s="12" t="str">
        <f>IF(L$23=0,"",IF($F53=L$23,$C53,IF($G53=L$23,$C53,IF($H53=L$23,$C53,IF($I53=L$23,$C53,IF($J53=L$23,$C53,IF($K53=L$23,$C53,"")))))))</f>
        <v/>
      </c>
      <c r="M53" s="12" t="str">
        <f>IF(M$23=0,"",IF($F53=M$23,$C53,IF($G53=M$23,$C53,IF($H53=M$23,$C53,IF($I53=M$23,$C53,IF($J53=M$23,$C53,IF($K53=M$23,$C53,"")))))))</f>
        <v/>
      </c>
      <c r="N53" s="12" t="str">
        <f>IF(N$23=0,"",IF($F53=N$23,$C53,IF($G53=N$23,$C53,IF($H53=N$23,$C53,IF($I53=N$23,$C53,IF($J53=N$23,$C53,IF($K53=N$23,$C53,"")))))))</f>
        <v/>
      </c>
      <c r="O53" s="12" t="str">
        <f>IF(O$23=0,"",IF($F53=O$23,$C53,IF($G53=O$23,$C53,IF($H53=O$23,$C53,IF($I53=O$23,$C53,IF($J53=O$23,$C53,IF($K53=O$23,$C53,"")))))))</f>
        <v/>
      </c>
      <c r="P53" s="12" t="str">
        <f>IF(P$23=0,"",IF($F53=P$23,$C53,IF($G53=P$23,$C53,IF($H53=P$23,$C53,IF($I53=P$23,$C53,IF($J53=P$23,$C53,IF($K53=P$23,$C53,"")))))))</f>
        <v/>
      </c>
      <c r="Q53" s="12" t="str">
        <f>IF(Q$23=0,"",IF($F53=Q$23,$C53,IF($G53=Q$23,$C53,IF($H53=Q$23,$C53,IF($I53=Q$23,$C53,IF($J53=Q$23,$C53,IF($K53=Q$23,$C53,"")))))))</f>
        <v/>
      </c>
      <c r="R53" s="12" t="str">
        <f>IF(R$23=0,"",IF($F53=R$23,$C53,IF($G53=R$23,$C53,IF($H53=R$23,$C53,IF($I53=R$23,$C53,IF($J53=R$23,$C53,IF($K53=R$23,$C53,"")))))))</f>
        <v/>
      </c>
      <c r="S53" s="12" t="str">
        <f>IF(S$23=0,"",IF($F53=S$23,$C53,IF($G53=S$23,$C53,IF($H53=S$23,$C53,IF($I53=S$23,$C53,IF($J53=S$23,$C53,IF($K53=S$23,$C53,"")))))))</f>
        <v/>
      </c>
      <c r="T53" s="12" t="str">
        <f>IF(T$23=0,"",IF($F53=T$23,$C53,IF($G53=T$23,$C53,IF($H53=T$23,$C53,IF($I53=T$23,$C53,IF($J53=T$23,$C53,IF($K53=T$23,$C53,"")))))))</f>
        <v/>
      </c>
      <c r="U53" s="12" t="str">
        <f>IF(U$23=0,"",IF($F53=U$23,$C53,IF($G53=U$23,$C53,IF($H53=U$23,$C53,IF($I53=U$23,$C53,IF($J53=U$23,$C53,IF($K53=U$23,$C53,"")))))))</f>
        <v/>
      </c>
      <c r="V53" s="12" t="str">
        <f>IF(V$23=0,"",IF($F53=V$23,$C53,IF($G53=V$23,$C53,IF($H53=V$23,$C53,IF($I53=V$23,$C53,IF($J53=V$23,$C53,IF($K53=V$23,$C53,"")))))))</f>
        <v/>
      </c>
      <c r="W53" s="12" t="str">
        <f>IF(W$23=0,"",IF($F53=W$23,$C53,IF($G53=W$23,$C53,IF($H53=W$23,$C53,IF($I53=W$23,$C53,IF($J53=W$23,$C53,IF($K53=W$23,$C53,"")))))))</f>
        <v/>
      </c>
      <c r="X53" s="12" t="str">
        <f>IF(X$23=0,"",IF($F53=X$23,$C53,IF($G53=X$23,$C53,IF($H53=X$23,$C53,IF($I53=X$23,$C53,IF($J53=X$23,$C53,IF($K53=X$23,$C53,"")))))))</f>
        <v/>
      </c>
      <c r="Y53" s="12" t="str">
        <f>IF(Y$23=0,"",IF($F53=Y$23,$C53,IF($G53=Y$23,$C53,IF($H53=Y$23,$C53,IF($I53=Y$23,$C53,IF($J53=Y$23,$C53,IF($K53=Y$23,$C53,"")))))))</f>
        <v/>
      </c>
      <c r="Z53" s="12" t="str">
        <f>IF(Z$23=0,"",IF($F53=Z$23,$C53,IF($G53=Z$23,$C53,IF($H53=Z$23,$C53,IF($I53=Z$23,$C53,IF($J53=Z$23,$C53,IF($K53=Z$23,$C53,"")))))))</f>
        <v/>
      </c>
      <c r="AA53" s="12" t="str">
        <f>IF(AA$23=0,"",IF($F53=AA$23,$C53,IF($G53=AA$23,$C53,IF($H53=AA$23,$C53,IF($I53=AA$23,$C53,IF($J53=AA$23,$C53,IF($K53=AA$23,$C53,"")))))))</f>
        <v/>
      </c>
      <c r="AB53" s="12" t="str">
        <f>IF(AB$23=0,"",IF($F53=AB$23,$C53,IF($G53=AB$23,$C53,IF($H53=AB$23,$C53,IF($I53=AB$23,$C53,IF($J53=AB$23,$C53,IF($K53=AB$23,$C53,"")))))))</f>
        <v/>
      </c>
      <c r="AC53" s="12" t="str">
        <f>IF(AC$23=0,"",IF($F53=AC$23,$C53,IF($G53=AC$23,$C53,IF($H53=AC$23,$C53,IF($I53=AC$23,$C53,IF($J53=AC$23,$C53,IF($K53=AC$23,$C53,"")))))))</f>
        <v/>
      </c>
      <c r="AD53" s="12" t="str">
        <f>IF(AD$23=0,"",IF($F53=AD$23,$C53,IF($G53=AD$23,$C53,IF($H53=AD$23,$C53,IF($I53=AD$23,$C53,IF($J53=AD$23,$C53,IF($K53=AD$23,$C53,"")))))))</f>
        <v/>
      </c>
      <c r="AE53" s="12" t="str">
        <f>IF(AE$23=0,"",IF($F53=AE$23,$C53,IF($G53=AE$23,$C53,IF($H53=AE$23,$C53,IF($I53=AE$23,$C53,IF($J53=AE$23,$C53,IF($K53=AE$23,$C53,"")))))))</f>
        <v/>
      </c>
      <c r="AF53" s="12" t="str">
        <f>IF(AF$23=0,"",IF($F53=AF$23,$C53,IF($G53=AF$23,$C53,IF($H53=AF$23,$C53,IF($I53=AF$23,$C53,IF($J53=AF$23,$C53,IF($K53=AF$23,$C53,"")))))))</f>
        <v/>
      </c>
      <c r="AG53" s="14">
        <f>IF(E53&gt;0,C53/E53*$C$16,C53)</f>
        <v>0</v>
      </c>
      <c r="AH53" s="14">
        <f t="shared" si="2"/>
        <v>0</v>
      </c>
      <c r="AI53" s="14">
        <f>IF(E53&gt;0,AG53/Calculations!$AB$10,"")</f>
        <v>0</v>
      </c>
      <c r="AJ53" s="52"/>
      <c r="AK53" s="52"/>
      <c r="AL53" s="52"/>
      <c r="AM53" s="52"/>
      <c r="AN53" s="52"/>
      <c r="AO53" s="52"/>
      <c r="AP53" s="52"/>
      <c r="AQ53" s="52"/>
      <c r="AR53" s="52"/>
      <c r="AS53" s="52"/>
    </row>
    <row r="54" spans="1:45" s="51" customFormat="1" ht="13.8" x14ac:dyDescent="0.3">
      <c r="A54" s="32" t="s">
        <v>239</v>
      </c>
      <c r="B54" s="174" t="str">
        <f>B25</f>
        <v>US$</v>
      </c>
      <c r="C54" s="3">
        <v>0</v>
      </c>
      <c r="D54" s="24"/>
      <c r="E54" s="3">
        <f>C16</f>
        <v>25</v>
      </c>
      <c r="F54" s="178" t="str">
        <f>IF($C$16&gt;COUNT($E54:E54)*$E54,COUNT($E54:E54)*$E54,"")</f>
        <v/>
      </c>
      <c r="G54" s="12" t="str">
        <f>IF($C$16&gt;COUNT($E54:F54)*$E54,COUNT($E54:F54)*$E54,"")</f>
        <v/>
      </c>
      <c r="H54" s="12" t="str">
        <f>IF($C$16&gt;COUNT($E54:G54)*$E54,COUNT($E54:G54)*$E54,"")</f>
        <v/>
      </c>
      <c r="I54" s="12" t="str">
        <f>IF($C$16&gt;COUNT($E54:H54)*$E54,COUNT($E54:H54)*$E54,"")</f>
        <v/>
      </c>
      <c r="J54" s="12" t="str">
        <f>IF($C$16&gt;COUNT($E54:I54)*$E54,COUNT($E54:I54)*$E54,"")</f>
        <v/>
      </c>
      <c r="K54" s="177" t="str">
        <f>IF($C$16&gt;COUNT($E54:J54)*$E54,COUNT($E54:J54)*$E54,"")</f>
        <v/>
      </c>
      <c r="L54" s="12" t="str">
        <f t="shared" ref="L54:U63" si="8">IF(L$23=0,"",IF($F54=L$23,$C54,IF($G54=L$23,$C54,IF($H54=L$23,$C54,IF($I54=L$23,$C54,IF($J54=L$23,$C54,IF($K54=L$23,$C54,"")))))))</f>
        <v/>
      </c>
      <c r="M54" s="12" t="str">
        <f t="shared" si="8"/>
        <v/>
      </c>
      <c r="N54" s="12" t="str">
        <f t="shared" si="8"/>
        <v/>
      </c>
      <c r="O54" s="12" t="str">
        <f t="shared" si="8"/>
        <v/>
      </c>
      <c r="P54" s="12" t="str">
        <f t="shared" si="8"/>
        <v/>
      </c>
      <c r="Q54" s="12" t="str">
        <f t="shared" si="8"/>
        <v/>
      </c>
      <c r="R54" s="12" t="str">
        <f t="shared" si="8"/>
        <v/>
      </c>
      <c r="S54" s="12" t="str">
        <f t="shared" si="8"/>
        <v/>
      </c>
      <c r="T54" s="12" t="str">
        <f t="shared" si="8"/>
        <v/>
      </c>
      <c r="U54" s="12" t="str">
        <f t="shared" si="8"/>
        <v/>
      </c>
      <c r="V54" s="12" t="str">
        <f t="shared" ref="V54:AF63" si="9">IF(V$23=0,"",IF($F54=V$23,$C54,IF($G54=V$23,$C54,IF($H54=V$23,$C54,IF($I54=V$23,$C54,IF($J54=V$23,$C54,IF($K54=V$23,$C54,"")))))))</f>
        <v/>
      </c>
      <c r="W54" s="12" t="str">
        <f t="shared" si="9"/>
        <v/>
      </c>
      <c r="X54" s="12" t="str">
        <f t="shared" si="9"/>
        <v/>
      </c>
      <c r="Y54" s="12" t="str">
        <f t="shared" si="9"/>
        <v/>
      </c>
      <c r="Z54" s="12" t="str">
        <f t="shared" si="9"/>
        <v/>
      </c>
      <c r="AA54" s="12" t="str">
        <f t="shared" si="9"/>
        <v/>
      </c>
      <c r="AB54" s="12" t="str">
        <f t="shared" si="9"/>
        <v/>
      </c>
      <c r="AC54" s="12" t="str">
        <f t="shared" si="9"/>
        <v/>
      </c>
      <c r="AD54" s="12" t="str">
        <f t="shared" si="9"/>
        <v/>
      </c>
      <c r="AE54" s="12" t="str">
        <f t="shared" si="9"/>
        <v/>
      </c>
      <c r="AF54" s="12" t="str">
        <f t="shared" si="9"/>
        <v/>
      </c>
      <c r="AG54" s="14">
        <f t="shared" si="3"/>
        <v>0</v>
      </c>
      <c r="AH54" s="14">
        <f t="shared" si="2"/>
        <v>0</v>
      </c>
      <c r="AI54" s="14">
        <f>IF(E54&gt;0,AG54/Calculations!$AB$10,"")</f>
        <v>0</v>
      </c>
      <c r="AJ54" s="52"/>
      <c r="AK54" s="52"/>
      <c r="AL54" s="52"/>
      <c r="AM54" s="52"/>
      <c r="AN54" s="52"/>
      <c r="AO54" s="52"/>
      <c r="AP54" s="52"/>
      <c r="AQ54" s="52"/>
      <c r="AR54" s="52"/>
      <c r="AS54" s="52"/>
    </row>
    <row r="55" spans="1:45" s="51" customFormat="1" ht="13.8" x14ac:dyDescent="0.3">
      <c r="A55" s="32" t="s">
        <v>238</v>
      </c>
      <c r="B55" s="174" t="str">
        <f>B26</f>
        <v>US$</v>
      </c>
      <c r="C55" s="3">
        <v>0</v>
      </c>
      <c r="D55" s="24"/>
      <c r="E55" s="3">
        <f>C16</f>
        <v>25</v>
      </c>
      <c r="F55" s="178" t="str">
        <f>IF($C$16&gt;COUNT($E55:E55)*$E55,COUNT($E55:E55)*$E55,"")</f>
        <v/>
      </c>
      <c r="G55" s="12" t="str">
        <f>IF($C$16&gt;COUNT($E55:F55)*$E55,COUNT($E55:F55)*$E55,"")</f>
        <v/>
      </c>
      <c r="H55" s="12" t="str">
        <f>IF($C$16&gt;COUNT($E55:G55)*$E55,COUNT($E55:G55)*$E55,"")</f>
        <v/>
      </c>
      <c r="I55" s="12" t="str">
        <f>IF($C$16&gt;COUNT($E55:H55)*$E55,COUNT($E55:H55)*$E55,"")</f>
        <v/>
      </c>
      <c r="J55" s="12" t="str">
        <f>IF($C$16&gt;COUNT($E55:I55)*$E55,COUNT($E55:I55)*$E55,"")</f>
        <v/>
      </c>
      <c r="K55" s="177" t="str">
        <f>IF($C$16&gt;COUNT($E55:J55)*$E55,COUNT($E55:J55)*$E55,"")</f>
        <v/>
      </c>
      <c r="L55" s="12" t="str">
        <f t="shared" si="8"/>
        <v/>
      </c>
      <c r="M55" s="12" t="str">
        <f t="shared" si="8"/>
        <v/>
      </c>
      <c r="N55" s="12" t="str">
        <f t="shared" si="8"/>
        <v/>
      </c>
      <c r="O55" s="12" t="str">
        <f t="shared" si="8"/>
        <v/>
      </c>
      <c r="P55" s="12" t="str">
        <f t="shared" si="8"/>
        <v/>
      </c>
      <c r="Q55" s="12" t="str">
        <f t="shared" si="8"/>
        <v/>
      </c>
      <c r="R55" s="12" t="str">
        <f t="shared" si="8"/>
        <v/>
      </c>
      <c r="S55" s="12" t="str">
        <f t="shared" si="8"/>
        <v/>
      </c>
      <c r="T55" s="12" t="str">
        <f t="shared" si="8"/>
        <v/>
      </c>
      <c r="U55" s="12" t="str">
        <f t="shared" si="8"/>
        <v/>
      </c>
      <c r="V55" s="12" t="str">
        <f t="shared" si="9"/>
        <v/>
      </c>
      <c r="W55" s="12" t="str">
        <f t="shared" si="9"/>
        <v/>
      </c>
      <c r="X55" s="12" t="str">
        <f t="shared" si="9"/>
        <v/>
      </c>
      <c r="Y55" s="12" t="str">
        <f t="shared" si="9"/>
        <v/>
      </c>
      <c r="Z55" s="12" t="str">
        <f t="shared" si="9"/>
        <v/>
      </c>
      <c r="AA55" s="12" t="str">
        <f t="shared" si="9"/>
        <v/>
      </c>
      <c r="AB55" s="12" t="str">
        <f t="shared" si="9"/>
        <v/>
      </c>
      <c r="AC55" s="12" t="str">
        <f t="shared" si="9"/>
        <v/>
      </c>
      <c r="AD55" s="12" t="str">
        <f t="shared" si="9"/>
        <v/>
      </c>
      <c r="AE55" s="12" t="str">
        <f t="shared" si="9"/>
        <v/>
      </c>
      <c r="AF55" s="12" t="str">
        <f t="shared" si="9"/>
        <v/>
      </c>
      <c r="AG55" s="14">
        <f t="shared" si="3"/>
        <v>0</v>
      </c>
      <c r="AH55" s="14">
        <f t="shared" si="2"/>
        <v>0</v>
      </c>
      <c r="AI55" s="14">
        <f>IF(E55&gt;0,AG55/Calculations!$AB$10,"")</f>
        <v>0</v>
      </c>
      <c r="AJ55" s="52"/>
      <c r="AK55" s="52"/>
      <c r="AL55" s="52"/>
      <c r="AM55" s="52"/>
      <c r="AN55" s="52"/>
      <c r="AO55" s="52"/>
      <c r="AP55" s="52"/>
      <c r="AQ55" s="52"/>
      <c r="AR55" s="52"/>
      <c r="AS55" s="52"/>
    </row>
    <row r="56" spans="1:45" s="51" customFormat="1" ht="13.8" x14ac:dyDescent="0.3">
      <c r="A56" s="32" t="s">
        <v>41</v>
      </c>
      <c r="B56" s="174" t="str">
        <f>B25</f>
        <v>US$</v>
      </c>
      <c r="C56" s="3">
        <v>0</v>
      </c>
      <c r="D56" s="24"/>
      <c r="E56" s="3">
        <f>C16</f>
        <v>25</v>
      </c>
      <c r="F56" s="178" t="str">
        <f>IF($C$16&gt;COUNT($E56:E56)*$E56,COUNT($E56:E56)*$E56,"")</f>
        <v/>
      </c>
      <c r="G56" s="12" t="str">
        <f>IF($C$16&gt;COUNT($E56:F56)*$E56,COUNT($E56:F56)*$E56,"")</f>
        <v/>
      </c>
      <c r="H56" s="12" t="str">
        <f>IF($C$16&gt;COUNT($E56:G56)*$E56,COUNT($E56:G56)*$E56,"")</f>
        <v/>
      </c>
      <c r="I56" s="12" t="str">
        <f>IF($C$16&gt;COUNT($E56:H56)*$E56,COUNT($E56:H56)*$E56,"")</f>
        <v/>
      </c>
      <c r="J56" s="12" t="str">
        <f>IF($C$16&gt;COUNT($E56:I56)*$E56,COUNT($E56:I56)*$E56,"")</f>
        <v/>
      </c>
      <c r="K56" s="177" t="str">
        <f>IF($C$16&gt;COUNT($E56:J56)*$E56,COUNT($E56:J56)*$E56,"")</f>
        <v/>
      </c>
      <c r="L56" s="12" t="str">
        <f t="shared" si="8"/>
        <v/>
      </c>
      <c r="M56" s="12" t="str">
        <f t="shared" si="8"/>
        <v/>
      </c>
      <c r="N56" s="12" t="str">
        <f t="shared" si="8"/>
        <v/>
      </c>
      <c r="O56" s="12" t="str">
        <f t="shared" si="8"/>
        <v/>
      </c>
      <c r="P56" s="12" t="str">
        <f t="shared" si="8"/>
        <v/>
      </c>
      <c r="Q56" s="12" t="str">
        <f t="shared" si="8"/>
        <v/>
      </c>
      <c r="R56" s="12" t="str">
        <f t="shared" si="8"/>
        <v/>
      </c>
      <c r="S56" s="12" t="str">
        <f t="shared" si="8"/>
        <v/>
      </c>
      <c r="T56" s="12" t="str">
        <f t="shared" si="8"/>
        <v/>
      </c>
      <c r="U56" s="12" t="str">
        <f t="shared" si="8"/>
        <v/>
      </c>
      <c r="V56" s="12" t="str">
        <f t="shared" si="9"/>
        <v/>
      </c>
      <c r="W56" s="12" t="str">
        <f t="shared" si="9"/>
        <v/>
      </c>
      <c r="X56" s="12" t="str">
        <f t="shared" si="9"/>
        <v/>
      </c>
      <c r="Y56" s="12" t="str">
        <f t="shared" si="9"/>
        <v/>
      </c>
      <c r="Z56" s="12" t="str">
        <f t="shared" si="9"/>
        <v/>
      </c>
      <c r="AA56" s="12" t="str">
        <f t="shared" si="9"/>
        <v/>
      </c>
      <c r="AB56" s="12" t="str">
        <f t="shared" si="9"/>
        <v/>
      </c>
      <c r="AC56" s="12" t="str">
        <f t="shared" si="9"/>
        <v/>
      </c>
      <c r="AD56" s="12" t="str">
        <f t="shared" si="9"/>
        <v/>
      </c>
      <c r="AE56" s="12" t="str">
        <f t="shared" si="9"/>
        <v/>
      </c>
      <c r="AF56" s="12" t="str">
        <f t="shared" si="9"/>
        <v/>
      </c>
      <c r="AG56" s="14">
        <f t="shared" si="3"/>
        <v>0</v>
      </c>
      <c r="AH56" s="14">
        <f t="shared" ref="AH56:AH87" si="10">IF(E56&gt;0,AG56/$C$16,"")</f>
        <v>0</v>
      </c>
      <c r="AI56" s="14">
        <f>IF(E56&gt;0,AG56/Calculations!$AB$10,"")</f>
        <v>0</v>
      </c>
      <c r="AJ56" s="52"/>
      <c r="AK56" s="52"/>
      <c r="AL56" s="52"/>
      <c r="AM56" s="52"/>
      <c r="AN56" s="52"/>
      <c r="AO56" s="52"/>
      <c r="AP56" s="52"/>
      <c r="AQ56" s="52"/>
      <c r="AR56" s="52"/>
      <c r="AS56" s="52"/>
    </row>
    <row r="57" spans="1:45" s="51" customFormat="1" ht="13.8" x14ac:dyDescent="0.3">
      <c r="A57" s="32" t="s">
        <v>10</v>
      </c>
      <c r="B57" s="174" t="str">
        <f>B25</f>
        <v>US$</v>
      </c>
      <c r="C57" s="3">
        <v>0</v>
      </c>
      <c r="D57" s="24"/>
      <c r="E57" s="3">
        <f>C16</f>
        <v>25</v>
      </c>
      <c r="F57" s="178" t="str">
        <f>IF($C$16&gt;COUNT($E57:E57)*$E57,COUNT($E57:E57)*$E57,"")</f>
        <v/>
      </c>
      <c r="G57" s="12" t="str">
        <f>IF($C$16&gt;COUNT($E57:F57)*$E57,COUNT($E57:F57)*$E57,"")</f>
        <v/>
      </c>
      <c r="H57" s="12" t="str">
        <f>IF($C$16&gt;COUNT($E57:G57)*$E57,COUNT($E57:G57)*$E57,"")</f>
        <v/>
      </c>
      <c r="I57" s="12" t="str">
        <f>IF($C$16&gt;COUNT($E57:H57)*$E57,COUNT($E57:H57)*$E57,"")</f>
        <v/>
      </c>
      <c r="J57" s="12" t="str">
        <f>IF($C$16&gt;COUNT($E57:I57)*$E57,COUNT($E57:I57)*$E57,"")</f>
        <v/>
      </c>
      <c r="K57" s="177" t="str">
        <f>IF($C$16&gt;COUNT($E57:J57)*$E57,COUNT($E57:J57)*$E57,"")</f>
        <v/>
      </c>
      <c r="L57" s="12" t="str">
        <f t="shared" si="8"/>
        <v/>
      </c>
      <c r="M57" s="12" t="str">
        <f t="shared" si="8"/>
        <v/>
      </c>
      <c r="N57" s="12" t="str">
        <f t="shared" si="8"/>
        <v/>
      </c>
      <c r="O57" s="12" t="str">
        <f t="shared" si="8"/>
        <v/>
      </c>
      <c r="P57" s="12" t="str">
        <f t="shared" si="8"/>
        <v/>
      </c>
      <c r="Q57" s="12" t="str">
        <f t="shared" si="8"/>
        <v/>
      </c>
      <c r="R57" s="12" t="str">
        <f t="shared" si="8"/>
        <v/>
      </c>
      <c r="S57" s="12" t="str">
        <f t="shared" si="8"/>
        <v/>
      </c>
      <c r="T57" s="12" t="str">
        <f t="shared" si="8"/>
        <v/>
      </c>
      <c r="U57" s="12" t="str">
        <f t="shared" si="8"/>
        <v/>
      </c>
      <c r="V57" s="12" t="str">
        <f t="shared" si="9"/>
        <v/>
      </c>
      <c r="W57" s="12" t="str">
        <f t="shared" si="9"/>
        <v/>
      </c>
      <c r="X57" s="12" t="str">
        <f t="shared" si="9"/>
        <v/>
      </c>
      <c r="Y57" s="12" t="str">
        <f t="shared" si="9"/>
        <v/>
      </c>
      <c r="Z57" s="12" t="str">
        <f t="shared" si="9"/>
        <v/>
      </c>
      <c r="AA57" s="12" t="str">
        <f t="shared" si="9"/>
        <v/>
      </c>
      <c r="AB57" s="12" t="str">
        <f t="shared" si="9"/>
        <v/>
      </c>
      <c r="AC57" s="12" t="str">
        <f t="shared" si="9"/>
        <v/>
      </c>
      <c r="AD57" s="12" t="str">
        <f t="shared" si="9"/>
        <v/>
      </c>
      <c r="AE57" s="12" t="str">
        <f t="shared" si="9"/>
        <v/>
      </c>
      <c r="AF57" s="12" t="str">
        <f t="shared" si="9"/>
        <v/>
      </c>
      <c r="AG57" s="14">
        <f t="shared" si="3"/>
        <v>0</v>
      </c>
      <c r="AH57" s="14">
        <f t="shared" si="10"/>
        <v>0</v>
      </c>
      <c r="AI57" s="14">
        <f>IF(E57&gt;0,AG57/Calculations!$AB$10,"")</f>
        <v>0</v>
      </c>
      <c r="AJ57" s="52"/>
      <c r="AK57" s="52"/>
      <c r="AL57" s="52"/>
      <c r="AM57" s="52"/>
      <c r="AN57" s="52"/>
      <c r="AO57" s="52"/>
      <c r="AP57" s="52"/>
      <c r="AQ57" s="52"/>
      <c r="AR57" s="52"/>
      <c r="AS57" s="52"/>
    </row>
    <row r="58" spans="1:45" s="51" customFormat="1" ht="13.8" x14ac:dyDescent="0.3">
      <c r="A58" s="32" t="s">
        <v>38</v>
      </c>
      <c r="B58" s="174" t="str">
        <f>B25</f>
        <v>US$</v>
      </c>
      <c r="C58" s="3">
        <v>0</v>
      </c>
      <c r="D58" s="24"/>
      <c r="E58" s="3">
        <f>C16</f>
        <v>25</v>
      </c>
      <c r="F58" s="178" t="str">
        <f>IF($C$16&gt;COUNT($E58:E58)*$E58,COUNT($E58:E58)*$E58,"")</f>
        <v/>
      </c>
      <c r="G58" s="12" t="str">
        <f>IF($C$16&gt;COUNT($E58:F58)*$E58,COUNT($E58:F58)*$E58,"")</f>
        <v/>
      </c>
      <c r="H58" s="12" t="str">
        <f>IF($C$16&gt;COUNT($E58:G58)*$E58,COUNT($E58:G58)*$E58,"")</f>
        <v/>
      </c>
      <c r="I58" s="12" t="str">
        <f>IF($C$16&gt;COUNT($E58:H58)*$E58,COUNT($E58:H58)*$E58,"")</f>
        <v/>
      </c>
      <c r="J58" s="12" t="str">
        <f>IF($C$16&gt;COUNT($E58:I58)*$E58,COUNT($E58:I58)*$E58,"")</f>
        <v/>
      </c>
      <c r="K58" s="177" t="str">
        <f>IF($C$16&gt;COUNT($E58:J58)*$E58,COUNT($E58:J58)*$E58,"")</f>
        <v/>
      </c>
      <c r="L58" s="12" t="str">
        <f t="shared" si="8"/>
        <v/>
      </c>
      <c r="M58" s="12" t="str">
        <f t="shared" si="8"/>
        <v/>
      </c>
      <c r="N58" s="12" t="str">
        <f t="shared" si="8"/>
        <v/>
      </c>
      <c r="O58" s="12" t="str">
        <f t="shared" si="8"/>
        <v/>
      </c>
      <c r="P58" s="12" t="str">
        <f t="shared" si="8"/>
        <v/>
      </c>
      <c r="Q58" s="12" t="str">
        <f t="shared" si="8"/>
        <v/>
      </c>
      <c r="R58" s="12" t="str">
        <f t="shared" si="8"/>
        <v/>
      </c>
      <c r="S58" s="12" t="str">
        <f t="shared" si="8"/>
        <v/>
      </c>
      <c r="T58" s="12" t="str">
        <f t="shared" si="8"/>
        <v/>
      </c>
      <c r="U58" s="12" t="str">
        <f t="shared" si="8"/>
        <v/>
      </c>
      <c r="V58" s="12" t="str">
        <f t="shared" si="9"/>
        <v/>
      </c>
      <c r="W58" s="12" t="str">
        <f t="shared" si="9"/>
        <v/>
      </c>
      <c r="X58" s="12" t="str">
        <f t="shared" si="9"/>
        <v/>
      </c>
      <c r="Y58" s="12" t="str">
        <f t="shared" si="9"/>
        <v/>
      </c>
      <c r="Z58" s="12" t="str">
        <f t="shared" si="9"/>
        <v/>
      </c>
      <c r="AA58" s="12" t="str">
        <f t="shared" si="9"/>
        <v/>
      </c>
      <c r="AB58" s="12" t="str">
        <f t="shared" si="9"/>
        <v/>
      </c>
      <c r="AC58" s="12" t="str">
        <f t="shared" si="9"/>
        <v/>
      </c>
      <c r="AD58" s="12" t="str">
        <f t="shared" si="9"/>
        <v/>
      </c>
      <c r="AE58" s="12" t="str">
        <f t="shared" si="9"/>
        <v/>
      </c>
      <c r="AF58" s="12" t="str">
        <f t="shared" si="9"/>
        <v/>
      </c>
      <c r="AG58" s="14">
        <f t="shared" si="3"/>
        <v>0</v>
      </c>
      <c r="AH58" s="14">
        <f t="shared" si="10"/>
        <v>0</v>
      </c>
      <c r="AI58" s="14">
        <f>IF(E58&gt;0,AG58/Calculations!$AB$10,"")</f>
        <v>0</v>
      </c>
      <c r="AJ58" s="52"/>
      <c r="AK58" s="52"/>
      <c r="AL58" s="52"/>
      <c r="AM58" s="52"/>
      <c r="AN58" s="52"/>
      <c r="AO58" s="52"/>
      <c r="AP58" s="52"/>
      <c r="AQ58" s="52"/>
      <c r="AR58" s="52"/>
      <c r="AS58" s="52"/>
    </row>
    <row r="59" spans="1:45" s="51" customFormat="1" ht="13.8" x14ac:dyDescent="0.3">
      <c r="A59" s="32" t="s">
        <v>12</v>
      </c>
      <c r="B59" s="174" t="str">
        <f>B25</f>
        <v>US$</v>
      </c>
      <c r="C59" s="3">
        <v>0</v>
      </c>
      <c r="D59" s="24"/>
      <c r="E59" s="3">
        <f>C16</f>
        <v>25</v>
      </c>
      <c r="F59" s="178" t="str">
        <f>IF($C$16&gt;COUNT($E59:E59)*$E59,COUNT($E59:E59)*$E59,"")</f>
        <v/>
      </c>
      <c r="G59" s="12" t="str">
        <f>IF($C$16&gt;COUNT($E59:F59)*$E59,COUNT($E59:F59)*$E59,"")</f>
        <v/>
      </c>
      <c r="H59" s="12" t="str">
        <f>IF($C$16&gt;COUNT($E59:G59)*$E59,COUNT($E59:G59)*$E59,"")</f>
        <v/>
      </c>
      <c r="I59" s="12" t="str">
        <f>IF($C$16&gt;COUNT($E59:H59)*$E59,COUNT($E59:H59)*$E59,"")</f>
        <v/>
      </c>
      <c r="J59" s="12" t="str">
        <f>IF($C$16&gt;COUNT($E59:I59)*$E59,COUNT($E59:I59)*$E59,"")</f>
        <v/>
      </c>
      <c r="K59" s="177" t="str">
        <f>IF($C$16&gt;COUNT($E59:J59)*$E59,COUNT($E59:J59)*$E59,"")</f>
        <v/>
      </c>
      <c r="L59" s="12" t="str">
        <f t="shared" si="8"/>
        <v/>
      </c>
      <c r="M59" s="12" t="str">
        <f t="shared" si="8"/>
        <v/>
      </c>
      <c r="N59" s="12" t="str">
        <f t="shared" si="8"/>
        <v/>
      </c>
      <c r="O59" s="12" t="str">
        <f t="shared" si="8"/>
        <v/>
      </c>
      <c r="P59" s="12" t="str">
        <f t="shared" si="8"/>
        <v/>
      </c>
      <c r="Q59" s="12" t="str">
        <f t="shared" si="8"/>
        <v/>
      </c>
      <c r="R59" s="12" t="str">
        <f t="shared" si="8"/>
        <v/>
      </c>
      <c r="S59" s="12" t="str">
        <f t="shared" si="8"/>
        <v/>
      </c>
      <c r="T59" s="12" t="str">
        <f t="shared" si="8"/>
        <v/>
      </c>
      <c r="U59" s="12" t="str">
        <f t="shared" si="8"/>
        <v/>
      </c>
      <c r="V59" s="12" t="str">
        <f t="shared" si="9"/>
        <v/>
      </c>
      <c r="W59" s="12" t="str">
        <f t="shared" si="9"/>
        <v/>
      </c>
      <c r="X59" s="12" t="str">
        <f t="shared" si="9"/>
        <v/>
      </c>
      <c r="Y59" s="12" t="str">
        <f t="shared" si="9"/>
        <v/>
      </c>
      <c r="Z59" s="12" t="str">
        <f t="shared" si="9"/>
        <v/>
      </c>
      <c r="AA59" s="12" t="str">
        <f t="shared" si="9"/>
        <v/>
      </c>
      <c r="AB59" s="12" t="str">
        <f t="shared" si="9"/>
        <v/>
      </c>
      <c r="AC59" s="12" t="str">
        <f t="shared" si="9"/>
        <v/>
      </c>
      <c r="AD59" s="12" t="str">
        <f t="shared" si="9"/>
        <v/>
      </c>
      <c r="AE59" s="12" t="str">
        <f t="shared" si="9"/>
        <v/>
      </c>
      <c r="AF59" s="12" t="str">
        <f t="shared" si="9"/>
        <v/>
      </c>
      <c r="AG59" s="14">
        <f t="shared" si="3"/>
        <v>0</v>
      </c>
      <c r="AH59" s="14">
        <f t="shared" si="10"/>
        <v>0</v>
      </c>
      <c r="AI59" s="14">
        <f>IF(E59&gt;0,AG59/Calculations!$AB$10,"")</f>
        <v>0</v>
      </c>
      <c r="AJ59" s="52"/>
      <c r="AK59" s="52"/>
      <c r="AL59" s="52"/>
      <c r="AM59" s="52"/>
      <c r="AN59" s="52"/>
      <c r="AO59" s="52"/>
      <c r="AP59" s="52"/>
      <c r="AQ59" s="52"/>
      <c r="AR59" s="52"/>
      <c r="AS59" s="52"/>
    </row>
    <row r="60" spans="1:45" s="51" customFormat="1" ht="13.8" x14ac:dyDescent="0.3">
      <c r="A60" s="32"/>
      <c r="B60" s="174" t="str">
        <f>B25</f>
        <v>US$</v>
      </c>
      <c r="C60" s="3">
        <v>0</v>
      </c>
      <c r="D60" s="24"/>
      <c r="E60" s="3">
        <f>C16</f>
        <v>25</v>
      </c>
      <c r="F60" s="178" t="str">
        <f>IF($C$16&gt;COUNT($E60:E60)*$E60,COUNT($E60:E60)*$E60,"")</f>
        <v/>
      </c>
      <c r="G60" s="12" t="str">
        <f>IF($C$16&gt;COUNT($E60:F60)*$E60,COUNT($E60:F60)*$E60,"")</f>
        <v/>
      </c>
      <c r="H60" s="12" t="str">
        <f>IF($C$16&gt;COUNT($E60:G60)*$E60,COUNT($E60:G60)*$E60,"")</f>
        <v/>
      </c>
      <c r="I60" s="12" t="str">
        <f>IF($C$16&gt;COUNT($E60:H60)*$E60,COUNT($E60:H60)*$E60,"")</f>
        <v/>
      </c>
      <c r="J60" s="12" t="str">
        <f>IF($C$16&gt;COUNT($E60:I60)*$E60,COUNT($E60:I60)*$E60,"")</f>
        <v/>
      </c>
      <c r="K60" s="177" t="str">
        <f>IF($C$16&gt;COUNT($E60:J60)*$E60,COUNT($E60:J60)*$E60,"")</f>
        <v/>
      </c>
      <c r="L60" s="12" t="str">
        <f t="shared" si="8"/>
        <v/>
      </c>
      <c r="M60" s="12" t="str">
        <f t="shared" si="8"/>
        <v/>
      </c>
      <c r="N60" s="12" t="str">
        <f t="shared" si="8"/>
        <v/>
      </c>
      <c r="O60" s="12" t="str">
        <f t="shared" si="8"/>
        <v/>
      </c>
      <c r="P60" s="12" t="str">
        <f t="shared" si="8"/>
        <v/>
      </c>
      <c r="Q60" s="12" t="str">
        <f t="shared" si="8"/>
        <v/>
      </c>
      <c r="R60" s="12" t="str">
        <f t="shared" si="8"/>
        <v/>
      </c>
      <c r="S60" s="12" t="str">
        <f t="shared" si="8"/>
        <v/>
      </c>
      <c r="T60" s="12" t="str">
        <f t="shared" si="8"/>
        <v/>
      </c>
      <c r="U60" s="12" t="str">
        <f t="shared" si="8"/>
        <v/>
      </c>
      <c r="V60" s="12" t="str">
        <f t="shared" si="9"/>
        <v/>
      </c>
      <c r="W60" s="12" t="str">
        <f t="shared" si="9"/>
        <v/>
      </c>
      <c r="X60" s="12" t="str">
        <f t="shared" si="9"/>
        <v/>
      </c>
      <c r="Y60" s="12" t="str">
        <f t="shared" si="9"/>
        <v/>
      </c>
      <c r="Z60" s="12" t="str">
        <f t="shared" si="9"/>
        <v/>
      </c>
      <c r="AA60" s="12" t="str">
        <f t="shared" si="9"/>
        <v/>
      </c>
      <c r="AB60" s="12" t="str">
        <f t="shared" si="9"/>
        <v/>
      </c>
      <c r="AC60" s="12" t="str">
        <f t="shared" si="9"/>
        <v/>
      </c>
      <c r="AD60" s="12" t="str">
        <f t="shared" si="9"/>
        <v/>
      </c>
      <c r="AE60" s="12" t="str">
        <f t="shared" si="9"/>
        <v/>
      </c>
      <c r="AF60" s="12" t="str">
        <f t="shared" si="9"/>
        <v/>
      </c>
      <c r="AG60" s="14">
        <f t="shared" si="3"/>
        <v>0</v>
      </c>
      <c r="AH60" s="14">
        <f t="shared" si="10"/>
        <v>0</v>
      </c>
      <c r="AI60" s="14">
        <f>IF(E60&gt;0,AG60/Calculations!$AB$10,"")</f>
        <v>0</v>
      </c>
      <c r="AJ60" s="52"/>
      <c r="AK60" s="52"/>
      <c r="AL60" s="52"/>
      <c r="AM60" s="52"/>
      <c r="AN60" s="52"/>
      <c r="AO60" s="52"/>
      <c r="AP60" s="52"/>
      <c r="AQ60" s="52"/>
      <c r="AR60" s="52"/>
      <c r="AS60" s="52"/>
    </row>
    <row r="61" spans="1:45" s="51" customFormat="1" ht="13.8" x14ac:dyDescent="0.3">
      <c r="A61" s="32"/>
      <c r="B61" s="174" t="str">
        <f>B25</f>
        <v>US$</v>
      </c>
      <c r="C61" s="3">
        <v>0</v>
      </c>
      <c r="D61" s="24"/>
      <c r="E61" s="3">
        <f>C16</f>
        <v>25</v>
      </c>
      <c r="F61" s="178" t="str">
        <f>IF($C$16&gt;COUNT($E61:E61)*$E61,COUNT($E61:E61)*$E61,"")</f>
        <v/>
      </c>
      <c r="G61" s="12" t="str">
        <f>IF($C$16&gt;COUNT($E61:F61)*$E61,COUNT($E61:F61)*$E61,"")</f>
        <v/>
      </c>
      <c r="H61" s="12" t="str">
        <f>IF($C$16&gt;COUNT($E61:G61)*$E61,COUNT($E61:G61)*$E61,"")</f>
        <v/>
      </c>
      <c r="I61" s="12" t="str">
        <f>IF($C$16&gt;COUNT($E61:H61)*$E61,COUNT($E61:H61)*$E61,"")</f>
        <v/>
      </c>
      <c r="J61" s="12" t="str">
        <f>IF($C$16&gt;COUNT($E61:I61)*$E61,COUNT($E61:I61)*$E61,"")</f>
        <v/>
      </c>
      <c r="K61" s="177" t="str">
        <f>IF($C$16&gt;COUNT($E61:J61)*$E61,COUNT($E61:J61)*$E61,"")</f>
        <v/>
      </c>
      <c r="L61" s="12" t="str">
        <f t="shared" si="8"/>
        <v/>
      </c>
      <c r="M61" s="12" t="str">
        <f t="shared" si="8"/>
        <v/>
      </c>
      <c r="N61" s="12" t="str">
        <f t="shared" si="8"/>
        <v/>
      </c>
      <c r="O61" s="12" t="str">
        <f t="shared" si="8"/>
        <v/>
      </c>
      <c r="P61" s="12" t="str">
        <f t="shared" si="8"/>
        <v/>
      </c>
      <c r="Q61" s="12" t="str">
        <f t="shared" si="8"/>
        <v/>
      </c>
      <c r="R61" s="12" t="str">
        <f t="shared" si="8"/>
        <v/>
      </c>
      <c r="S61" s="12" t="str">
        <f t="shared" si="8"/>
        <v/>
      </c>
      <c r="T61" s="12" t="str">
        <f t="shared" si="8"/>
        <v/>
      </c>
      <c r="U61" s="12" t="str">
        <f t="shared" si="8"/>
        <v/>
      </c>
      <c r="V61" s="12" t="str">
        <f t="shared" si="9"/>
        <v/>
      </c>
      <c r="W61" s="12" t="str">
        <f t="shared" si="9"/>
        <v/>
      </c>
      <c r="X61" s="12" t="str">
        <f t="shared" si="9"/>
        <v/>
      </c>
      <c r="Y61" s="12" t="str">
        <f t="shared" si="9"/>
        <v/>
      </c>
      <c r="Z61" s="12" t="str">
        <f t="shared" si="9"/>
        <v/>
      </c>
      <c r="AA61" s="12" t="str">
        <f t="shared" si="9"/>
        <v/>
      </c>
      <c r="AB61" s="12" t="str">
        <f t="shared" si="9"/>
        <v/>
      </c>
      <c r="AC61" s="12" t="str">
        <f t="shared" si="9"/>
        <v/>
      </c>
      <c r="AD61" s="12" t="str">
        <f t="shared" si="9"/>
        <v/>
      </c>
      <c r="AE61" s="12" t="str">
        <f t="shared" si="9"/>
        <v/>
      </c>
      <c r="AF61" s="12" t="str">
        <f t="shared" si="9"/>
        <v/>
      </c>
      <c r="AG61" s="14">
        <f t="shared" si="3"/>
        <v>0</v>
      </c>
      <c r="AH61" s="14">
        <f t="shared" si="10"/>
        <v>0</v>
      </c>
      <c r="AI61" s="14">
        <f>IF(E61&gt;0,AG61/Calculations!$AB$10,"")</f>
        <v>0</v>
      </c>
      <c r="AJ61" s="52"/>
      <c r="AK61" s="52"/>
      <c r="AL61" s="52"/>
      <c r="AM61" s="52"/>
      <c r="AN61" s="52"/>
      <c r="AO61" s="52"/>
      <c r="AP61" s="52"/>
      <c r="AQ61" s="52"/>
      <c r="AR61" s="52"/>
      <c r="AS61" s="52"/>
    </row>
    <row r="62" spans="1:45" s="24" customFormat="1" x14ac:dyDescent="0.3">
      <c r="A62" s="485" t="s">
        <v>321</v>
      </c>
      <c r="B62" s="486"/>
      <c r="C62" s="487"/>
      <c r="E62" s="492"/>
      <c r="F62" s="178"/>
      <c r="G62" s="12"/>
      <c r="H62" s="12"/>
      <c r="I62" s="12"/>
      <c r="J62" s="12"/>
      <c r="K62" s="177"/>
      <c r="L62" s="12" t="str">
        <f t="shared" si="8"/>
        <v/>
      </c>
      <c r="M62" s="12" t="str">
        <f t="shared" si="8"/>
        <v/>
      </c>
      <c r="N62" s="12" t="str">
        <f t="shared" si="8"/>
        <v/>
      </c>
      <c r="O62" s="12" t="str">
        <f t="shared" si="8"/>
        <v/>
      </c>
      <c r="P62" s="12" t="str">
        <f t="shared" si="8"/>
        <v/>
      </c>
      <c r="Q62" s="12" t="str">
        <f t="shared" si="8"/>
        <v/>
      </c>
      <c r="R62" s="12" t="str">
        <f t="shared" si="8"/>
        <v/>
      </c>
      <c r="S62" s="12" t="str">
        <f t="shared" si="8"/>
        <v/>
      </c>
      <c r="T62" s="12" t="str">
        <f t="shared" si="8"/>
        <v/>
      </c>
      <c r="U62" s="12" t="str">
        <f t="shared" si="8"/>
        <v/>
      </c>
      <c r="V62" s="12" t="str">
        <f t="shared" si="9"/>
        <v/>
      </c>
      <c r="W62" s="12" t="str">
        <f t="shared" si="9"/>
        <v/>
      </c>
      <c r="X62" s="12" t="str">
        <f t="shared" si="9"/>
        <v/>
      </c>
      <c r="Y62" s="12" t="str">
        <f t="shared" si="9"/>
        <v/>
      </c>
      <c r="Z62" s="12" t="str">
        <f t="shared" si="9"/>
        <v/>
      </c>
      <c r="AA62" s="12" t="str">
        <f t="shared" si="9"/>
        <v/>
      </c>
      <c r="AB62" s="12" t="str">
        <f t="shared" si="9"/>
        <v/>
      </c>
      <c r="AC62" s="12" t="str">
        <f t="shared" si="9"/>
        <v/>
      </c>
      <c r="AD62" s="12" t="str">
        <f t="shared" si="9"/>
        <v/>
      </c>
      <c r="AE62" s="12" t="str">
        <f t="shared" si="9"/>
        <v/>
      </c>
      <c r="AF62" s="12" t="str">
        <f t="shared" si="9"/>
        <v/>
      </c>
      <c r="AG62" s="14">
        <f t="shared" si="3"/>
        <v>0</v>
      </c>
      <c r="AH62" s="14" t="str">
        <f t="shared" si="10"/>
        <v/>
      </c>
      <c r="AI62" s="14" t="str">
        <f>IF(E62&gt;0,AG62/Calculations!$AB$10,"")</f>
        <v/>
      </c>
      <c r="AJ62" s="38"/>
      <c r="AK62" s="38"/>
      <c r="AL62" s="38"/>
      <c r="AM62" s="38"/>
      <c r="AN62" s="38"/>
      <c r="AO62" s="38"/>
      <c r="AP62" s="38"/>
      <c r="AQ62" s="38"/>
      <c r="AR62" s="38"/>
      <c r="AS62" s="38"/>
    </row>
    <row r="63" spans="1:45" s="51" customFormat="1" ht="13.8" x14ac:dyDescent="0.3">
      <c r="A63" s="32" t="s">
        <v>29</v>
      </c>
      <c r="B63" s="174" t="str">
        <f>B25</f>
        <v>US$</v>
      </c>
      <c r="C63" s="3">
        <v>0</v>
      </c>
      <c r="D63" s="24"/>
      <c r="E63" s="3">
        <f>C16</f>
        <v>25</v>
      </c>
      <c r="F63" s="178" t="str">
        <f>IF($C$16&gt;COUNT($E63:E63)*$E63,COUNT($E63:E63)*$E63,"")</f>
        <v/>
      </c>
      <c r="G63" s="12" t="str">
        <f>IF($C$16&gt;COUNT($E63:F63)*$E63,COUNT($E63:F63)*$E63,"")</f>
        <v/>
      </c>
      <c r="H63" s="12" t="str">
        <f>IF($C$16&gt;COUNT($E63:G63)*$E63,COUNT($E63:G63)*$E63,"")</f>
        <v/>
      </c>
      <c r="I63" s="12" t="str">
        <f>IF($C$16&gt;COUNT($E63:H63)*$E63,COUNT($E63:H63)*$E63,"")</f>
        <v/>
      </c>
      <c r="J63" s="12" t="str">
        <f>IF($C$16&gt;COUNT($E63:I63)*$E63,COUNT($E63:I63)*$E63,"")</f>
        <v/>
      </c>
      <c r="K63" s="177" t="str">
        <f>IF($C$16&gt;COUNT($E63:J63)*$E63,COUNT($E63:J63)*$E63,"")</f>
        <v/>
      </c>
      <c r="L63" s="12" t="str">
        <f t="shared" si="8"/>
        <v/>
      </c>
      <c r="M63" s="12" t="str">
        <f t="shared" si="8"/>
        <v/>
      </c>
      <c r="N63" s="12" t="str">
        <f t="shared" si="8"/>
        <v/>
      </c>
      <c r="O63" s="12" t="str">
        <f t="shared" si="8"/>
        <v/>
      </c>
      <c r="P63" s="12" t="str">
        <f t="shared" si="8"/>
        <v/>
      </c>
      <c r="Q63" s="12" t="str">
        <f t="shared" si="8"/>
        <v/>
      </c>
      <c r="R63" s="12" t="str">
        <f t="shared" si="8"/>
        <v/>
      </c>
      <c r="S63" s="12" t="str">
        <f t="shared" si="8"/>
        <v/>
      </c>
      <c r="T63" s="12" t="str">
        <f t="shared" si="8"/>
        <v/>
      </c>
      <c r="U63" s="12" t="str">
        <f t="shared" si="8"/>
        <v/>
      </c>
      <c r="V63" s="12" t="str">
        <f t="shared" si="9"/>
        <v/>
      </c>
      <c r="W63" s="12" t="str">
        <f t="shared" si="9"/>
        <v/>
      </c>
      <c r="X63" s="12" t="str">
        <f t="shared" si="9"/>
        <v/>
      </c>
      <c r="Y63" s="12" t="str">
        <f t="shared" si="9"/>
        <v/>
      </c>
      <c r="Z63" s="12" t="str">
        <f t="shared" si="9"/>
        <v/>
      </c>
      <c r="AA63" s="12" t="str">
        <f t="shared" si="9"/>
        <v/>
      </c>
      <c r="AB63" s="12" t="str">
        <f t="shared" si="9"/>
        <v/>
      </c>
      <c r="AC63" s="12" t="str">
        <f t="shared" si="9"/>
        <v/>
      </c>
      <c r="AD63" s="12" t="str">
        <f t="shared" si="9"/>
        <v/>
      </c>
      <c r="AE63" s="12" t="str">
        <f t="shared" si="9"/>
        <v/>
      </c>
      <c r="AF63" s="12" t="str">
        <f t="shared" si="9"/>
        <v/>
      </c>
      <c r="AG63" s="14">
        <f>IF(E63&gt;0,C63/E63*$C$16,C63)</f>
        <v>0</v>
      </c>
      <c r="AH63" s="14">
        <f t="shared" si="10"/>
        <v>0</v>
      </c>
      <c r="AI63" s="14">
        <f>IF(E63&gt;0,AG63/Calculations!$AB$10,"")</f>
        <v>0</v>
      </c>
      <c r="AJ63" s="52"/>
      <c r="AK63" s="52"/>
      <c r="AL63" s="52"/>
      <c r="AM63" s="52"/>
      <c r="AN63" s="52"/>
      <c r="AO63" s="52"/>
      <c r="AP63" s="52"/>
      <c r="AQ63" s="52"/>
      <c r="AR63" s="52"/>
      <c r="AS63" s="52"/>
    </row>
    <row r="64" spans="1:45" s="51" customFormat="1" ht="13.8" x14ac:dyDescent="0.3">
      <c r="A64" s="32" t="s">
        <v>46</v>
      </c>
      <c r="B64" s="174" t="str">
        <f>B25</f>
        <v>US$</v>
      </c>
      <c r="C64" s="3">
        <v>0</v>
      </c>
      <c r="D64" s="24"/>
      <c r="E64" s="3"/>
      <c r="F64" s="178"/>
      <c r="G64" s="12"/>
      <c r="H64" s="12"/>
      <c r="I64" s="12"/>
      <c r="J64" s="12"/>
      <c r="K64" s="177"/>
      <c r="L64" s="12" t="str">
        <f t="shared" ref="L64:U73" si="11">IF(L$23=0,"",IF($F64=L$23,$C64,IF($G64=L$23,$C64,IF($H64=L$23,$C64,IF($I64=L$23,$C64,IF($J64=L$23,$C64,IF($K64=L$23,$C64,"")))))))</f>
        <v/>
      </c>
      <c r="M64" s="12" t="str">
        <f t="shared" si="11"/>
        <v/>
      </c>
      <c r="N64" s="12" t="str">
        <f t="shared" si="11"/>
        <v/>
      </c>
      <c r="O64" s="12" t="str">
        <f t="shared" si="11"/>
        <v/>
      </c>
      <c r="P64" s="12" t="str">
        <f t="shared" si="11"/>
        <v/>
      </c>
      <c r="Q64" s="12" t="str">
        <f t="shared" si="11"/>
        <v/>
      </c>
      <c r="R64" s="12" t="str">
        <f t="shared" si="11"/>
        <v/>
      </c>
      <c r="S64" s="12" t="str">
        <f t="shared" si="11"/>
        <v/>
      </c>
      <c r="T64" s="12" t="str">
        <f t="shared" si="11"/>
        <v/>
      </c>
      <c r="U64" s="12" t="str">
        <f t="shared" si="11"/>
        <v/>
      </c>
      <c r="V64" s="12" t="str">
        <f t="shared" ref="V64:AF73" si="12">IF(V$23=0,"",IF($F64=V$23,$C64,IF($G64=V$23,$C64,IF($H64=V$23,$C64,IF($I64=V$23,$C64,IF($J64=V$23,$C64,IF($K64=V$23,$C64,"")))))))</f>
        <v/>
      </c>
      <c r="W64" s="12" t="str">
        <f t="shared" si="12"/>
        <v/>
      </c>
      <c r="X64" s="12" t="str">
        <f t="shared" si="12"/>
        <v/>
      </c>
      <c r="Y64" s="12" t="str">
        <f t="shared" si="12"/>
        <v/>
      </c>
      <c r="Z64" s="12" t="str">
        <f t="shared" si="12"/>
        <v/>
      </c>
      <c r="AA64" s="12" t="str">
        <f t="shared" si="12"/>
        <v/>
      </c>
      <c r="AB64" s="12" t="str">
        <f t="shared" si="12"/>
        <v/>
      </c>
      <c r="AC64" s="12" t="str">
        <f t="shared" si="12"/>
        <v/>
      </c>
      <c r="AD64" s="12" t="str">
        <f t="shared" si="12"/>
        <v/>
      </c>
      <c r="AE64" s="12" t="str">
        <f t="shared" si="12"/>
        <v/>
      </c>
      <c r="AF64" s="12" t="str">
        <f t="shared" si="12"/>
        <v/>
      </c>
      <c r="AG64" s="14">
        <f t="shared" si="3"/>
        <v>0</v>
      </c>
      <c r="AH64" s="14" t="str">
        <f t="shared" si="10"/>
        <v/>
      </c>
      <c r="AI64" s="14" t="str">
        <f>IF(E64&gt;0,AG64/Calculations!$AB$10,"")</f>
        <v/>
      </c>
      <c r="AJ64" s="52"/>
      <c r="AK64" s="52"/>
      <c r="AL64" s="52"/>
      <c r="AM64" s="52"/>
      <c r="AN64" s="52"/>
      <c r="AO64" s="52"/>
      <c r="AP64" s="52"/>
      <c r="AQ64" s="52"/>
      <c r="AR64" s="52"/>
      <c r="AS64" s="52"/>
    </row>
    <row r="65" spans="1:45" s="51" customFormat="1" ht="13.8" x14ac:dyDescent="0.3">
      <c r="A65" s="32" t="s">
        <v>228</v>
      </c>
      <c r="B65" s="174" t="str">
        <f>B25</f>
        <v>US$</v>
      </c>
      <c r="C65" s="3">
        <v>0</v>
      </c>
      <c r="D65" s="24"/>
      <c r="E65" s="3">
        <f>C16</f>
        <v>25</v>
      </c>
      <c r="F65" s="178" t="str">
        <f>IF($C$16&gt;COUNT($E65:E65)*$E65,COUNT($E65:E65)*$E65,"")</f>
        <v/>
      </c>
      <c r="G65" s="12" t="str">
        <f>IF($C$16&gt;COUNT($E65:F65)*$E65,COUNT($E65:F65)*$E65,"")</f>
        <v/>
      </c>
      <c r="H65" s="12" t="str">
        <f>IF($C$16&gt;COUNT($E65:G65)*$E65,COUNT($E65:G65)*$E65,"")</f>
        <v/>
      </c>
      <c r="I65" s="12" t="str">
        <f>IF($C$16&gt;COUNT($E65:H65)*$E65,COUNT($E65:H65)*$E65,"")</f>
        <v/>
      </c>
      <c r="J65" s="12" t="str">
        <f>IF($C$16&gt;COUNT($E65:I65)*$E65,COUNT($E65:I65)*$E65,"")</f>
        <v/>
      </c>
      <c r="K65" s="177" t="str">
        <f>IF($C$16&gt;COUNT($E65:J65)*$E65,COUNT($E65:J65)*$E65,"")</f>
        <v/>
      </c>
      <c r="L65" s="12" t="str">
        <f t="shared" si="11"/>
        <v/>
      </c>
      <c r="M65" s="12" t="str">
        <f t="shared" si="11"/>
        <v/>
      </c>
      <c r="N65" s="12" t="str">
        <f t="shared" si="11"/>
        <v/>
      </c>
      <c r="O65" s="12" t="str">
        <f t="shared" si="11"/>
        <v/>
      </c>
      <c r="P65" s="12" t="str">
        <f t="shared" si="11"/>
        <v/>
      </c>
      <c r="Q65" s="12" t="str">
        <f t="shared" si="11"/>
        <v/>
      </c>
      <c r="R65" s="12" t="str">
        <f t="shared" si="11"/>
        <v/>
      </c>
      <c r="S65" s="12" t="str">
        <f t="shared" si="11"/>
        <v/>
      </c>
      <c r="T65" s="12" t="str">
        <f t="shared" si="11"/>
        <v/>
      </c>
      <c r="U65" s="12" t="str">
        <f t="shared" si="11"/>
        <v/>
      </c>
      <c r="V65" s="12" t="str">
        <f t="shared" si="12"/>
        <v/>
      </c>
      <c r="W65" s="12" t="str">
        <f t="shared" si="12"/>
        <v/>
      </c>
      <c r="X65" s="12" t="str">
        <f t="shared" si="12"/>
        <v/>
      </c>
      <c r="Y65" s="12" t="str">
        <f t="shared" si="12"/>
        <v/>
      </c>
      <c r="Z65" s="12" t="str">
        <f t="shared" si="12"/>
        <v/>
      </c>
      <c r="AA65" s="12" t="str">
        <f t="shared" si="12"/>
        <v/>
      </c>
      <c r="AB65" s="12" t="str">
        <f t="shared" si="12"/>
        <v/>
      </c>
      <c r="AC65" s="12" t="str">
        <f t="shared" si="12"/>
        <v/>
      </c>
      <c r="AD65" s="12" t="str">
        <f t="shared" si="12"/>
        <v/>
      </c>
      <c r="AE65" s="12" t="str">
        <f t="shared" si="12"/>
        <v/>
      </c>
      <c r="AF65" s="12" t="str">
        <f t="shared" si="12"/>
        <v/>
      </c>
      <c r="AG65" s="14">
        <f>IF(E65&gt;0,C65/E65*$C$16,C65)</f>
        <v>0</v>
      </c>
      <c r="AH65" s="14">
        <f t="shared" si="10"/>
        <v>0</v>
      </c>
      <c r="AI65" s="14">
        <f>IF(E65&gt;0,AG65/Calculations!$AB$10,"")</f>
        <v>0</v>
      </c>
      <c r="AJ65" s="52"/>
      <c r="AK65" s="52"/>
      <c r="AL65" s="52"/>
      <c r="AM65" s="52"/>
      <c r="AN65" s="52"/>
      <c r="AO65" s="52"/>
      <c r="AP65" s="52"/>
      <c r="AQ65" s="52"/>
      <c r="AR65" s="52"/>
      <c r="AS65" s="52"/>
    </row>
    <row r="66" spans="1:45" s="51" customFormat="1" ht="13.8" x14ac:dyDescent="0.3">
      <c r="A66" s="32" t="s">
        <v>229</v>
      </c>
      <c r="B66" s="174" t="str">
        <f>B25</f>
        <v>US$</v>
      </c>
      <c r="C66" s="3">
        <v>0</v>
      </c>
      <c r="D66" s="24"/>
      <c r="E66" s="3">
        <f>C16</f>
        <v>25</v>
      </c>
      <c r="F66" s="178" t="str">
        <f>IF($C$16&gt;COUNT($E66:E66)*$E66,COUNT($E66:E66)*$E66,"")</f>
        <v/>
      </c>
      <c r="G66" s="12" t="str">
        <f>IF($C$16&gt;COUNT($E66:F66)*$E66,COUNT($E66:F66)*$E66,"")</f>
        <v/>
      </c>
      <c r="H66" s="12" t="str">
        <f>IF($C$16&gt;COUNT($E66:G66)*$E66,COUNT($E66:G66)*$E66,"")</f>
        <v/>
      </c>
      <c r="I66" s="12" t="str">
        <f>IF($C$16&gt;COUNT($E66:H66)*$E66,COUNT($E66:H66)*$E66,"")</f>
        <v/>
      </c>
      <c r="J66" s="12" t="str">
        <f>IF($C$16&gt;COUNT($E66:I66)*$E66,COUNT($E66:I66)*$E66,"")</f>
        <v/>
      </c>
      <c r="K66" s="177" t="str">
        <f>IF($C$16&gt;COUNT($E66:J66)*$E66,COUNT($E66:J66)*$E66,"")</f>
        <v/>
      </c>
      <c r="L66" s="12" t="str">
        <f t="shared" si="11"/>
        <v/>
      </c>
      <c r="M66" s="12" t="str">
        <f t="shared" si="11"/>
        <v/>
      </c>
      <c r="N66" s="12" t="str">
        <f t="shared" si="11"/>
        <v/>
      </c>
      <c r="O66" s="12" t="str">
        <f t="shared" si="11"/>
        <v/>
      </c>
      <c r="P66" s="12" t="str">
        <f t="shared" si="11"/>
        <v/>
      </c>
      <c r="Q66" s="12" t="str">
        <f t="shared" si="11"/>
        <v/>
      </c>
      <c r="R66" s="12" t="str">
        <f t="shared" si="11"/>
        <v/>
      </c>
      <c r="S66" s="12" t="str">
        <f t="shared" si="11"/>
        <v/>
      </c>
      <c r="T66" s="12" t="str">
        <f t="shared" si="11"/>
        <v/>
      </c>
      <c r="U66" s="12" t="str">
        <f t="shared" si="11"/>
        <v/>
      </c>
      <c r="V66" s="12" t="str">
        <f t="shared" si="12"/>
        <v/>
      </c>
      <c r="W66" s="12" t="str">
        <f t="shared" si="12"/>
        <v/>
      </c>
      <c r="X66" s="12" t="str">
        <f t="shared" si="12"/>
        <v/>
      </c>
      <c r="Y66" s="12" t="str">
        <f t="shared" si="12"/>
        <v/>
      </c>
      <c r="Z66" s="12" t="str">
        <f t="shared" si="12"/>
        <v/>
      </c>
      <c r="AA66" s="12" t="str">
        <f t="shared" si="12"/>
        <v/>
      </c>
      <c r="AB66" s="12" t="str">
        <f t="shared" si="12"/>
        <v/>
      </c>
      <c r="AC66" s="12" t="str">
        <f t="shared" si="12"/>
        <v/>
      </c>
      <c r="AD66" s="12" t="str">
        <f t="shared" si="12"/>
        <v/>
      </c>
      <c r="AE66" s="12" t="str">
        <f t="shared" si="12"/>
        <v/>
      </c>
      <c r="AF66" s="12" t="str">
        <f t="shared" si="12"/>
        <v/>
      </c>
      <c r="AG66" s="14">
        <f t="shared" si="3"/>
        <v>0</v>
      </c>
      <c r="AH66" s="14">
        <f t="shared" si="10"/>
        <v>0</v>
      </c>
      <c r="AI66" s="14">
        <f>IF(E66&gt;0,AG66/Calculations!$AB$10,"")</f>
        <v>0</v>
      </c>
      <c r="AJ66" s="52"/>
      <c r="AK66" s="52"/>
      <c r="AL66" s="52"/>
      <c r="AM66" s="52"/>
      <c r="AN66" s="52"/>
      <c r="AO66" s="52"/>
      <c r="AP66" s="52"/>
      <c r="AQ66" s="52"/>
      <c r="AR66" s="52"/>
      <c r="AS66" s="52"/>
    </row>
    <row r="67" spans="1:45" s="51" customFormat="1" ht="13.8" x14ac:dyDescent="0.3">
      <c r="A67" s="32" t="s">
        <v>76</v>
      </c>
      <c r="B67" s="174" t="str">
        <f>B25</f>
        <v>US$</v>
      </c>
      <c r="C67" s="3">
        <v>0</v>
      </c>
      <c r="D67" s="24"/>
      <c r="E67" s="3">
        <f>C16</f>
        <v>25</v>
      </c>
      <c r="F67" s="178" t="str">
        <f>IF($C$16&gt;COUNT($E67:E67)*$E67,COUNT($E67:E67)*$E67,"")</f>
        <v/>
      </c>
      <c r="G67" s="12" t="str">
        <f>IF($C$16&gt;COUNT($E67:F67)*$E67,COUNT($E67:F67)*$E67,"")</f>
        <v/>
      </c>
      <c r="H67" s="12" t="str">
        <f>IF($C$16&gt;COUNT($E67:G67)*$E67,COUNT($E67:G67)*$E67,"")</f>
        <v/>
      </c>
      <c r="I67" s="12" t="str">
        <f>IF($C$16&gt;COUNT($E67:H67)*$E67,COUNT($E67:H67)*$E67,"")</f>
        <v/>
      </c>
      <c r="J67" s="12" t="str">
        <f>IF($C$16&gt;COUNT($E67:I67)*$E67,COUNT($E67:I67)*$E67,"")</f>
        <v/>
      </c>
      <c r="K67" s="177" t="str">
        <f>IF($C$16&gt;COUNT($E67:J67)*$E67,COUNT($E67:J67)*$E67,"")</f>
        <v/>
      </c>
      <c r="L67" s="12" t="str">
        <f t="shared" si="11"/>
        <v/>
      </c>
      <c r="M67" s="12" t="str">
        <f t="shared" si="11"/>
        <v/>
      </c>
      <c r="N67" s="12" t="str">
        <f t="shared" si="11"/>
        <v/>
      </c>
      <c r="O67" s="12" t="str">
        <f t="shared" si="11"/>
        <v/>
      </c>
      <c r="P67" s="12" t="str">
        <f t="shared" si="11"/>
        <v/>
      </c>
      <c r="Q67" s="12" t="str">
        <f t="shared" si="11"/>
        <v/>
      </c>
      <c r="R67" s="12" t="str">
        <f t="shared" si="11"/>
        <v/>
      </c>
      <c r="S67" s="12" t="str">
        <f t="shared" si="11"/>
        <v/>
      </c>
      <c r="T67" s="12" t="str">
        <f t="shared" si="11"/>
        <v/>
      </c>
      <c r="U67" s="12" t="str">
        <f t="shared" si="11"/>
        <v/>
      </c>
      <c r="V67" s="12" t="str">
        <f t="shared" si="12"/>
        <v/>
      </c>
      <c r="W67" s="12" t="str">
        <f t="shared" si="12"/>
        <v/>
      </c>
      <c r="X67" s="12" t="str">
        <f t="shared" si="12"/>
        <v/>
      </c>
      <c r="Y67" s="12" t="str">
        <f t="shared" si="12"/>
        <v/>
      </c>
      <c r="Z67" s="12" t="str">
        <f t="shared" si="12"/>
        <v/>
      </c>
      <c r="AA67" s="12" t="str">
        <f t="shared" si="12"/>
        <v/>
      </c>
      <c r="AB67" s="12" t="str">
        <f t="shared" si="12"/>
        <v/>
      </c>
      <c r="AC67" s="12" t="str">
        <f t="shared" si="12"/>
        <v/>
      </c>
      <c r="AD67" s="12" t="str">
        <f t="shared" si="12"/>
        <v/>
      </c>
      <c r="AE67" s="12" t="str">
        <f t="shared" si="12"/>
        <v/>
      </c>
      <c r="AF67" s="12" t="str">
        <f t="shared" si="12"/>
        <v/>
      </c>
      <c r="AG67" s="14">
        <f t="shared" si="3"/>
        <v>0</v>
      </c>
      <c r="AH67" s="14">
        <f t="shared" si="10"/>
        <v>0</v>
      </c>
      <c r="AI67" s="14">
        <f>IF(E67&gt;0,AG67/Calculations!$AB$10,"")</f>
        <v>0</v>
      </c>
      <c r="AJ67" s="52"/>
      <c r="AK67" s="52"/>
      <c r="AL67" s="52"/>
      <c r="AM67" s="52"/>
      <c r="AN67" s="52"/>
      <c r="AO67" s="52"/>
      <c r="AP67" s="52"/>
      <c r="AQ67" s="52"/>
      <c r="AR67" s="52"/>
      <c r="AS67" s="52"/>
    </row>
    <row r="68" spans="1:45" s="51" customFormat="1" ht="13.8" x14ac:dyDescent="0.3">
      <c r="A68" s="32" t="s">
        <v>13</v>
      </c>
      <c r="B68" s="174" t="str">
        <f>B25</f>
        <v>US$</v>
      </c>
      <c r="C68" s="3">
        <v>0</v>
      </c>
      <c r="D68" s="24"/>
      <c r="E68" s="3">
        <f>C16</f>
        <v>25</v>
      </c>
      <c r="F68" s="178" t="str">
        <f>IF($C$16&gt;COUNT($E68:E68)*$E68,COUNT($E68:E68)*$E68,"")</f>
        <v/>
      </c>
      <c r="G68" s="12" t="str">
        <f>IF($C$16&gt;COUNT($E68:F68)*$E68,COUNT($E68:F68)*$E68,"")</f>
        <v/>
      </c>
      <c r="H68" s="12" t="str">
        <f>IF($C$16&gt;COUNT($E68:G68)*$E68,COUNT($E68:G68)*$E68,"")</f>
        <v/>
      </c>
      <c r="I68" s="12" t="str">
        <f>IF($C$16&gt;COUNT($E68:H68)*$E68,COUNT($E68:H68)*$E68,"")</f>
        <v/>
      </c>
      <c r="J68" s="12" t="str">
        <f>IF($C$16&gt;COUNT($E68:I68)*$E68,COUNT($E68:I68)*$E68,"")</f>
        <v/>
      </c>
      <c r="K68" s="177" t="str">
        <f>IF($C$16&gt;COUNT($E68:J68)*$E68,COUNT($E68:J68)*$E68,"")</f>
        <v/>
      </c>
      <c r="L68" s="12" t="str">
        <f t="shared" si="11"/>
        <v/>
      </c>
      <c r="M68" s="12" t="str">
        <f t="shared" si="11"/>
        <v/>
      </c>
      <c r="N68" s="12" t="str">
        <f t="shared" si="11"/>
        <v/>
      </c>
      <c r="O68" s="12" t="str">
        <f t="shared" si="11"/>
        <v/>
      </c>
      <c r="P68" s="12" t="str">
        <f t="shared" si="11"/>
        <v/>
      </c>
      <c r="Q68" s="12" t="str">
        <f t="shared" si="11"/>
        <v/>
      </c>
      <c r="R68" s="12" t="str">
        <f t="shared" si="11"/>
        <v/>
      </c>
      <c r="S68" s="12" t="str">
        <f t="shared" si="11"/>
        <v/>
      </c>
      <c r="T68" s="12" t="str">
        <f t="shared" si="11"/>
        <v/>
      </c>
      <c r="U68" s="12" t="str">
        <f t="shared" si="11"/>
        <v/>
      </c>
      <c r="V68" s="12" t="str">
        <f t="shared" si="12"/>
        <v/>
      </c>
      <c r="W68" s="12" t="str">
        <f t="shared" si="12"/>
        <v/>
      </c>
      <c r="X68" s="12" t="str">
        <f t="shared" si="12"/>
        <v/>
      </c>
      <c r="Y68" s="12" t="str">
        <f t="shared" si="12"/>
        <v/>
      </c>
      <c r="Z68" s="12" t="str">
        <f t="shared" si="12"/>
        <v/>
      </c>
      <c r="AA68" s="12" t="str">
        <f t="shared" si="12"/>
        <v/>
      </c>
      <c r="AB68" s="12" t="str">
        <f t="shared" si="12"/>
        <v/>
      </c>
      <c r="AC68" s="12" t="str">
        <f t="shared" si="12"/>
        <v/>
      </c>
      <c r="AD68" s="12" t="str">
        <f t="shared" si="12"/>
        <v/>
      </c>
      <c r="AE68" s="12" t="str">
        <f t="shared" si="12"/>
        <v/>
      </c>
      <c r="AF68" s="12" t="str">
        <f t="shared" si="12"/>
        <v/>
      </c>
      <c r="AG68" s="14">
        <f t="shared" si="3"/>
        <v>0</v>
      </c>
      <c r="AH68" s="14">
        <f t="shared" si="10"/>
        <v>0</v>
      </c>
      <c r="AI68" s="14">
        <f>IF(E68&gt;0,AG68/Calculations!$AB$10,"")</f>
        <v>0</v>
      </c>
      <c r="AJ68" s="52"/>
      <c r="AK68" s="52"/>
      <c r="AL68" s="52"/>
      <c r="AM68" s="52"/>
      <c r="AN68" s="52"/>
      <c r="AO68" s="52"/>
      <c r="AP68" s="52"/>
      <c r="AQ68" s="52"/>
      <c r="AR68" s="52"/>
      <c r="AS68" s="52"/>
    </row>
    <row r="69" spans="1:45" s="51" customFormat="1" ht="13.8" x14ac:dyDescent="0.3">
      <c r="A69" s="32" t="s">
        <v>43</v>
      </c>
      <c r="B69" s="174" t="str">
        <f>B25</f>
        <v>US$</v>
      </c>
      <c r="C69" s="3">
        <v>0</v>
      </c>
      <c r="D69" s="24"/>
      <c r="E69" s="3">
        <f>C16</f>
        <v>25</v>
      </c>
      <c r="F69" s="178" t="str">
        <f>IF($C$16&gt;COUNT($E69:E69)*$E69,COUNT($E69:E69)*$E69,"")</f>
        <v/>
      </c>
      <c r="G69" s="12" t="str">
        <f>IF($C$16&gt;COUNT($E69:F69)*$E69,COUNT($E69:F69)*$E69,"")</f>
        <v/>
      </c>
      <c r="H69" s="12" t="str">
        <f>IF($C$16&gt;COUNT($E69:G69)*$E69,COUNT($E69:G69)*$E69,"")</f>
        <v/>
      </c>
      <c r="I69" s="12" t="str">
        <f>IF($C$16&gt;COUNT($E69:H69)*$E69,COUNT($E69:H69)*$E69,"")</f>
        <v/>
      </c>
      <c r="J69" s="12" t="str">
        <f>IF($C$16&gt;COUNT($E69:I69)*$E69,COUNT($E69:I69)*$E69,"")</f>
        <v/>
      </c>
      <c r="K69" s="177" t="str">
        <f>IF($C$16&gt;COUNT($E69:J69)*$E69,COUNT($E69:J69)*$E69,"")</f>
        <v/>
      </c>
      <c r="L69" s="12" t="str">
        <f t="shared" si="11"/>
        <v/>
      </c>
      <c r="M69" s="12" t="str">
        <f t="shared" si="11"/>
        <v/>
      </c>
      <c r="N69" s="12" t="str">
        <f t="shared" si="11"/>
        <v/>
      </c>
      <c r="O69" s="12" t="str">
        <f t="shared" si="11"/>
        <v/>
      </c>
      <c r="P69" s="12" t="str">
        <f t="shared" si="11"/>
        <v/>
      </c>
      <c r="Q69" s="12" t="str">
        <f t="shared" si="11"/>
        <v/>
      </c>
      <c r="R69" s="12" t="str">
        <f t="shared" si="11"/>
        <v/>
      </c>
      <c r="S69" s="12" t="str">
        <f t="shared" si="11"/>
        <v/>
      </c>
      <c r="T69" s="12" t="str">
        <f t="shared" si="11"/>
        <v/>
      </c>
      <c r="U69" s="12" t="str">
        <f t="shared" si="11"/>
        <v/>
      </c>
      <c r="V69" s="12" t="str">
        <f t="shared" si="12"/>
        <v/>
      </c>
      <c r="W69" s="12" t="str">
        <f t="shared" si="12"/>
        <v/>
      </c>
      <c r="X69" s="12" t="str">
        <f t="shared" si="12"/>
        <v/>
      </c>
      <c r="Y69" s="12" t="str">
        <f t="shared" si="12"/>
        <v/>
      </c>
      <c r="Z69" s="12" t="str">
        <f t="shared" si="12"/>
        <v/>
      </c>
      <c r="AA69" s="12" t="str">
        <f t="shared" si="12"/>
        <v/>
      </c>
      <c r="AB69" s="12" t="str">
        <f t="shared" si="12"/>
        <v/>
      </c>
      <c r="AC69" s="12" t="str">
        <f t="shared" si="12"/>
        <v/>
      </c>
      <c r="AD69" s="12" t="str">
        <f t="shared" si="12"/>
        <v/>
      </c>
      <c r="AE69" s="12" t="str">
        <f t="shared" si="12"/>
        <v/>
      </c>
      <c r="AF69" s="12" t="str">
        <f t="shared" si="12"/>
        <v/>
      </c>
      <c r="AG69" s="14">
        <f t="shared" si="3"/>
        <v>0</v>
      </c>
      <c r="AH69" s="14">
        <f t="shared" si="10"/>
        <v>0</v>
      </c>
      <c r="AI69" s="14">
        <f>IF(E69&gt;0,AG69/Calculations!$AB$10,"")</f>
        <v>0</v>
      </c>
      <c r="AJ69" s="52"/>
      <c r="AK69" s="52"/>
      <c r="AL69" s="52"/>
      <c r="AM69" s="52"/>
      <c r="AN69" s="52"/>
      <c r="AO69" s="52"/>
      <c r="AP69" s="52"/>
      <c r="AQ69" s="52"/>
      <c r="AR69" s="52"/>
      <c r="AS69" s="52"/>
    </row>
    <row r="70" spans="1:45" s="51" customFormat="1" ht="13.8" x14ac:dyDescent="0.3">
      <c r="A70" s="32" t="s">
        <v>36</v>
      </c>
      <c r="B70" s="174" t="str">
        <f>B25</f>
        <v>US$</v>
      </c>
      <c r="C70" s="3">
        <v>0</v>
      </c>
      <c r="D70" s="24"/>
      <c r="E70" s="3">
        <f>C16</f>
        <v>25</v>
      </c>
      <c r="F70" s="178" t="str">
        <f>IF($C$16&gt;COUNT($E70:E70)*$E70,COUNT($E70:E70)*$E70,"")</f>
        <v/>
      </c>
      <c r="G70" s="12" t="str">
        <f>IF($C$16&gt;COUNT($E70:F70)*$E70,COUNT($E70:F70)*$E70,"")</f>
        <v/>
      </c>
      <c r="H70" s="12" t="str">
        <f>IF($C$16&gt;COUNT($E70:G70)*$E70,COUNT($E70:G70)*$E70,"")</f>
        <v/>
      </c>
      <c r="I70" s="12" t="str">
        <f>IF($C$16&gt;COUNT($E70:H70)*$E70,COUNT($E70:H70)*$E70,"")</f>
        <v/>
      </c>
      <c r="J70" s="12" t="str">
        <f>IF($C$16&gt;COUNT($E70:I70)*$E70,COUNT($E70:I70)*$E70,"")</f>
        <v/>
      </c>
      <c r="K70" s="177" t="str">
        <f>IF($C$16&gt;COUNT($E70:J70)*$E70,COUNT($E70:J70)*$E70,"")</f>
        <v/>
      </c>
      <c r="L70" s="12" t="str">
        <f t="shared" si="11"/>
        <v/>
      </c>
      <c r="M70" s="12" t="str">
        <f t="shared" si="11"/>
        <v/>
      </c>
      <c r="N70" s="12" t="str">
        <f t="shared" si="11"/>
        <v/>
      </c>
      <c r="O70" s="12" t="str">
        <f t="shared" si="11"/>
        <v/>
      </c>
      <c r="P70" s="12" t="str">
        <f t="shared" si="11"/>
        <v/>
      </c>
      <c r="Q70" s="12" t="str">
        <f t="shared" si="11"/>
        <v/>
      </c>
      <c r="R70" s="12" t="str">
        <f t="shared" si="11"/>
        <v/>
      </c>
      <c r="S70" s="12" t="str">
        <f t="shared" si="11"/>
        <v/>
      </c>
      <c r="T70" s="12" t="str">
        <f t="shared" si="11"/>
        <v/>
      </c>
      <c r="U70" s="12" t="str">
        <f t="shared" si="11"/>
        <v/>
      </c>
      <c r="V70" s="12" t="str">
        <f t="shared" si="12"/>
        <v/>
      </c>
      <c r="W70" s="12" t="str">
        <f t="shared" si="12"/>
        <v/>
      </c>
      <c r="X70" s="12" t="str">
        <f t="shared" si="12"/>
        <v/>
      </c>
      <c r="Y70" s="12" t="str">
        <f t="shared" si="12"/>
        <v/>
      </c>
      <c r="Z70" s="12" t="str">
        <f t="shared" si="12"/>
        <v/>
      </c>
      <c r="AA70" s="12" t="str">
        <f t="shared" si="12"/>
        <v/>
      </c>
      <c r="AB70" s="12" t="str">
        <f t="shared" si="12"/>
        <v/>
      </c>
      <c r="AC70" s="12" t="str">
        <f t="shared" si="12"/>
        <v/>
      </c>
      <c r="AD70" s="12" t="str">
        <f t="shared" si="12"/>
        <v/>
      </c>
      <c r="AE70" s="12" t="str">
        <f t="shared" si="12"/>
        <v/>
      </c>
      <c r="AF70" s="12" t="str">
        <f t="shared" si="12"/>
        <v/>
      </c>
      <c r="AG70" s="14">
        <f t="shared" si="3"/>
        <v>0</v>
      </c>
      <c r="AH70" s="14">
        <f t="shared" si="10"/>
        <v>0</v>
      </c>
      <c r="AI70" s="14">
        <f>IF(E70&gt;0,AG70/Calculations!$AB$10,"")</f>
        <v>0</v>
      </c>
      <c r="AJ70" s="52"/>
      <c r="AK70" s="52"/>
      <c r="AL70" s="52"/>
      <c r="AM70" s="52"/>
      <c r="AN70" s="52"/>
      <c r="AO70" s="52"/>
      <c r="AP70" s="52"/>
      <c r="AQ70" s="52"/>
      <c r="AR70" s="52"/>
      <c r="AS70" s="52"/>
    </row>
    <row r="71" spans="1:45" s="51" customFormat="1" ht="13.8" x14ac:dyDescent="0.3">
      <c r="A71" s="32" t="s">
        <v>11</v>
      </c>
      <c r="B71" s="174" t="str">
        <f>B25</f>
        <v>US$</v>
      </c>
      <c r="C71" s="3">
        <v>0</v>
      </c>
      <c r="D71" s="24"/>
      <c r="E71" s="3">
        <f>C16</f>
        <v>25</v>
      </c>
      <c r="F71" s="178" t="str">
        <f>IF($C$16&gt;COUNT($E71:E71)*$E71,COUNT($E71:E71)*$E71,"")</f>
        <v/>
      </c>
      <c r="G71" s="12" t="str">
        <f>IF($C$16&gt;COUNT($E71:F71)*$E71,COUNT($E71:F71)*$E71,"")</f>
        <v/>
      </c>
      <c r="H71" s="12" t="str">
        <f>IF($C$16&gt;COUNT($E71:G71)*$E71,COUNT($E71:G71)*$E71,"")</f>
        <v/>
      </c>
      <c r="I71" s="12" t="str">
        <f>IF($C$16&gt;COUNT($E71:H71)*$E71,COUNT($E71:H71)*$E71,"")</f>
        <v/>
      </c>
      <c r="J71" s="12" t="str">
        <f>IF($C$16&gt;COUNT($E71:I71)*$E71,COUNT($E71:I71)*$E71,"")</f>
        <v/>
      </c>
      <c r="K71" s="177" t="str">
        <f>IF($C$16&gt;COUNT($E71:J71)*$E71,COUNT($E71:J71)*$E71,"")</f>
        <v/>
      </c>
      <c r="L71" s="12" t="str">
        <f t="shared" si="11"/>
        <v/>
      </c>
      <c r="M71" s="12" t="str">
        <f t="shared" si="11"/>
        <v/>
      </c>
      <c r="N71" s="12" t="str">
        <f t="shared" si="11"/>
        <v/>
      </c>
      <c r="O71" s="12" t="str">
        <f t="shared" si="11"/>
        <v/>
      </c>
      <c r="P71" s="12" t="str">
        <f t="shared" si="11"/>
        <v/>
      </c>
      <c r="Q71" s="12" t="str">
        <f t="shared" si="11"/>
        <v/>
      </c>
      <c r="R71" s="12" t="str">
        <f t="shared" si="11"/>
        <v/>
      </c>
      <c r="S71" s="12" t="str">
        <f t="shared" si="11"/>
        <v/>
      </c>
      <c r="T71" s="12" t="str">
        <f t="shared" si="11"/>
        <v/>
      </c>
      <c r="U71" s="12" t="str">
        <f t="shared" si="11"/>
        <v/>
      </c>
      <c r="V71" s="12" t="str">
        <f t="shared" si="12"/>
        <v/>
      </c>
      <c r="W71" s="12" t="str">
        <f t="shared" si="12"/>
        <v/>
      </c>
      <c r="X71" s="12" t="str">
        <f t="shared" si="12"/>
        <v/>
      </c>
      <c r="Y71" s="12" t="str">
        <f t="shared" si="12"/>
        <v/>
      </c>
      <c r="Z71" s="12" t="str">
        <f t="shared" si="12"/>
        <v/>
      </c>
      <c r="AA71" s="12" t="str">
        <f t="shared" si="12"/>
        <v/>
      </c>
      <c r="AB71" s="12" t="str">
        <f t="shared" si="12"/>
        <v/>
      </c>
      <c r="AC71" s="12" t="str">
        <f t="shared" si="12"/>
        <v/>
      </c>
      <c r="AD71" s="12" t="str">
        <f t="shared" si="12"/>
        <v/>
      </c>
      <c r="AE71" s="12" t="str">
        <f t="shared" si="12"/>
        <v/>
      </c>
      <c r="AF71" s="12" t="str">
        <f t="shared" si="12"/>
        <v/>
      </c>
      <c r="AG71" s="14">
        <f t="shared" si="3"/>
        <v>0</v>
      </c>
      <c r="AH71" s="14">
        <f t="shared" si="10"/>
        <v>0</v>
      </c>
      <c r="AI71" s="14">
        <f>IF(E71&gt;0,AG71/Calculations!$AB$10,"")</f>
        <v>0</v>
      </c>
      <c r="AJ71" s="52"/>
      <c r="AK71" s="52"/>
      <c r="AL71" s="52"/>
      <c r="AM71" s="52"/>
      <c r="AN71" s="52"/>
      <c r="AO71" s="52"/>
      <c r="AP71" s="52"/>
      <c r="AQ71" s="52"/>
      <c r="AR71" s="52"/>
      <c r="AS71" s="52"/>
    </row>
    <row r="72" spans="1:45" s="51" customFormat="1" ht="13.8" x14ac:dyDescent="0.3">
      <c r="A72" s="32" t="s">
        <v>239</v>
      </c>
      <c r="B72" s="174" t="str">
        <f>B25</f>
        <v>US$</v>
      </c>
      <c r="C72" s="3">
        <v>0</v>
      </c>
      <c r="D72" s="24"/>
      <c r="E72" s="3">
        <f>C16</f>
        <v>25</v>
      </c>
      <c r="F72" s="178" t="str">
        <f>IF($C$16&gt;COUNT($E72:E72)*$E72,COUNT($E72:E72)*$E72,"")</f>
        <v/>
      </c>
      <c r="G72" s="12" t="str">
        <f>IF($C$16&gt;COUNT($E72:F72)*$E72,COUNT($E72:F72)*$E72,"")</f>
        <v/>
      </c>
      <c r="H72" s="12" t="str">
        <f>IF($C$16&gt;COUNT($E72:G72)*$E72,COUNT($E72:G72)*$E72,"")</f>
        <v/>
      </c>
      <c r="I72" s="12" t="str">
        <f>IF($C$16&gt;COUNT($E72:H72)*$E72,COUNT($E72:H72)*$E72,"")</f>
        <v/>
      </c>
      <c r="J72" s="12" t="str">
        <f>IF($C$16&gt;COUNT($E72:I72)*$E72,COUNT($E72:I72)*$E72,"")</f>
        <v/>
      </c>
      <c r="K72" s="177" t="str">
        <f>IF($C$16&gt;COUNT($E72:J72)*$E72,COUNT($E72:J72)*$E72,"")</f>
        <v/>
      </c>
      <c r="L72" s="12" t="str">
        <f t="shared" si="11"/>
        <v/>
      </c>
      <c r="M72" s="12" t="str">
        <f t="shared" si="11"/>
        <v/>
      </c>
      <c r="N72" s="12" t="str">
        <f t="shared" si="11"/>
        <v/>
      </c>
      <c r="O72" s="12" t="str">
        <f t="shared" si="11"/>
        <v/>
      </c>
      <c r="P72" s="12" t="str">
        <f t="shared" si="11"/>
        <v/>
      </c>
      <c r="Q72" s="12" t="str">
        <f t="shared" si="11"/>
        <v/>
      </c>
      <c r="R72" s="12" t="str">
        <f t="shared" si="11"/>
        <v/>
      </c>
      <c r="S72" s="12" t="str">
        <f t="shared" si="11"/>
        <v/>
      </c>
      <c r="T72" s="12" t="str">
        <f t="shared" si="11"/>
        <v/>
      </c>
      <c r="U72" s="12" t="str">
        <f t="shared" si="11"/>
        <v/>
      </c>
      <c r="V72" s="12" t="str">
        <f t="shared" si="12"/>
        <v/>
      </c>
      <c r="W72" s="12" t="str">
        <f t="shared" si="12"/>
        <v/>
      </c>
      <c r="X72" s="12" t="str">
        <f t="shared" si="12"/>
        <v/>
      </c>
      <c r="Y72" s="12" t="str">
        <f t="shared" si="12"/>
        <v/>
      </c>
      <c r="Z72" s="12" t="str">
        <f t="shared" si="12"/>
        <v/>
      </c>
      <c r="AA72" s="12" t="str">
        <f t="shared" si="12"/>
        <v/>
      </c>
      <c r="AB72" s="12" t="str">
        <f t="shared" si="12"/>
        <v/>
      </c>
      <c r="AC72" s="12" t="str">
        <f t="shared" si="12"/>
        <v/>
      </c>
      <c r="AD72" s="12" t="str">
        <f t="shared" si="12"/>
        <v/>
      </c>
      <c r="AE72" s="12" t="str">
        <f t="shared" si="12"/>
        <v/>
      </c>
      <c r="AF72" s="12" t="str">
        <f t="shared" si="12"/>
        <v/>
      </c>
      <c r="AG72" s="14">
        <f t="shared" si="3"/>
        <v>0</v>
      </c>
      <c r="AH72" s="14">
        <f t="shared" si="10"/>
        <v>0</v>
      </c>
      <c r="AI72" s="14">
        <f>IF(E72&gt;0,AG72/Calculations!$AB$10,"")</f>
        <v>0</v>
      </c>
      <c r="AJ72" s="52"/>
      <c r="AK72" s="52"/>
      <c r="AL72" s="52"/>
      <c r="AM72" s="52"/>
      <c r="AN72" s="52"/>
      <c r="AO72" s="52"/>
      <c r="AP72" s="52"/>
      <c r="AQ72" s="52"/>
      <c r="AR72" s="52"/>
      <c r="AS72" s="52"/>
    </row>
    <row r="73" spans="1:45" s="51" customFormat="1" ht="13.8" x14ac:dyDescent="0.3">
      <c r="A73" s="32" t="s">
        <v>238</v>
      </c>
      <c r="B73" s="174" t="str">
        <f>B26</f>
        <v>US$</v>
      </c>
      <c r="C73" s="3">
        <v>0</v>
      </c>
      <c r="D73" s="24"/>
      <c r="E73" s="3">
        <f>C16</f>
        <v>25</v>
      </c>
      <c r="F73" s="178" t="str">
        <f>IF($C$16&gt;COUNT($E73:E73)*$E73,COUNT($E73:E73)*$E73,"")</f>
        <v/>
      </c>
      <c r="G73" s="12" t="str">
        <f>IF($C$16&gt;COUNT($E73:F73)*$E73,COUNT($E73:F73)*$E73,"")</f>
        <v/>
      </c>
      <c r="H73" s="12" t="str">
        <f>IF($C$16&gt;COUNT($E73:G73)*$E73,COUNT($E73:G73)*$E73,"")</f>
        <v/>
      </c>
      <c r="I73" s="12" t="str">
        <f>IF($C$16&gt;COUNT($E73:H73)*$E73,COUNT($E73:H73)*$E73,"")</f>
        <v/>
      </c>
      <c r="J73" s="12" t="str">
        <f>IF($C$16&gt;COUNT($E73:I73)*$E73,COUNT($E73:I73)*$E73,"")</f>
        <v/>
      </c>
      <c r="K73" s="177" t="str">
        <f>IF($C$16&gt;COUNT($E73:J73)*$E73,COUNT($E73:J73)*$E73,"")</f>
        <v/>
      </c>
      <c r="L73" s="12" t="str">
        <f t="shared" si="11"/>
        <v/>
      </c>
      <c r="M73" s="12" t="str">
        <f t="shared" si="11"/>
        <v/>
      </c>
      <c r="N73" s="12" t="str">
        <f t="shared" si="11"/>
        <v/>
      </c>
      <c r="O73" s="12" t="str">
        <f t="shared" si="11"/>
        <v/>
      </c>
      <c r="P73" s="12" t="str">
        <f t="shared" si="11"/>
        <v/>
      </c>
      <c r="Q73" s="12" t="str">
        <f t="shared" si="11"/>
        <v/>
      </c>
      <c r="R73" s="12" t="str">
        <f t="shared" si="11"/>
        <v/>
      </c>
      <c r="S73" s="12" t="str">
        <f t="shared" si="11"/>
        <v/>
      </c>
      <c r="T73" s="12" t="str">
        <f t="shared" si="11"/>
        <v/>
      </c>
      <c r="U73" s="12" t="str">
        <f t="shared" si="11"/>
        <v/>
      </c>
      <c r="V73" s="12" t="str">
        <f t="shared" si="12"/>
        <v/>
      </c>
      <c r="W73" s="12" t="str">
        <f t="shared" si="12"/>
        <v/>
      </c>
      <c r="X73" s="12" t="str">
        <f t="shared" si="12"/>
        <v/>
      </c>
      <c r="Y73" s="12" t="str">
        <f t="shared" si="12"/>
        <v/>
      </c>
      <c r="Z73" s="12" t="str">
        <f t="shared" si="12"/>
        <v/>
      </c>
      <c r="AA73" s="12" t="str">
        <f t="shared" si="12"/>
        <v/>
      </c>
      <c r="AB73" s="12" t="str">
        <f t="shared" si="12"/>
        <v/>
      </c>
      <c r="AC73" s="12" t="str">
        <f t="shared" si="12"/>
        <v/>
      </c>
      <c r="AD73" s="12" t="str">
        <f t="shared" si="12"/>
        <v/>
      </c>
      <c r="AE73" s="12" t="str">
        <f t="shared" si="12"/>
        <v/>
      </c>
      <c r="AF73" s="12" t="str">
        <f t="shared" si="12"/>
        <v/>
      </c>
      <c r="AG73" s="14">
        <f t="shared" si="3"/>
        <v>0</v>
      </c>
      <c r="AH73" s="14">
        <f t="shared" si="10"/>
        <v>0</v>
      </c>
      <c r="AI73" s="14">
        <f>IF(E73&gt;0,AG73/Calculations!$AB$10,"")</f>
        <v>0</v>
      </c>
      <c r="AJ73" s="52"/>
      <c r="AK73" s="52"/>
      <c r="AL73" s="52"/>
      <c r="AM73" s="52"/>
      <c r="AN73" s="52"/>
      <c r="AO73" s="52"/>
      <c r="AP73" s="52"/>
      <c r="AQ73" s="52"/>
      <c r="AR73" s="52"/>
      <c r="AS73" s="52"/>
    </row>
    <row r="74" spans="1:45" s="51" customFormat="1" ht="13.8" x14ac:dyDescent="0.3">
      <c r="A74" s="32" t="s">
        <v>41</v>
      </c>
      <c r="B74" s="174" t="str">
        <f>B25</f>
        <v>US$</v>
      </c>
      <c r="C74" s="3">
        <v>0</v>
      </c>
      <c r="D74" s="24"/>
      <c r="E74" s="3">
        <f>C16</f>
        <v>25</v>
      </c>
      <c r="F74" s="178" t="str">
        <f>IF($C$16&gt;COUNT($E74:E74)*$E74,COUNT($E74:E74)*$E74,"")</f>
        <v/>
      </c>
      <c r="G74" s="12" t="str">
        <f>IF($C$16&gt;COUNT($E74:F74)*$E74,COUNT($E74:F74)*$E74,"")</f>
        <v/>
      </c>
      <c r="H74" s="12" t="str">
        <f>IF($C$16&gt;COUNT($E74:G74)*$E74,COUNT($E74:G74)*$E74,"")</f>
        <v/>
      </c>
      <c r="I74" s="12" t="str">
        <f>IF($C$16&gt;COUNT($E74:H74)*$E74,COUNT($E74:H74)*$E74,"")</f>
        <v/>
      </c>
      <c r="J74" s="12" t="str">
        <f>IF($C$16&gt;COUNT($E74:I74)*$E74,COUNT($E74:I74)*$E74,"")</f>
        <v/>
      </c>
      <c r="K74" s="177" t="str">
        <f>IF($C$16&gt;COUNT($E74:J74)*$E74,COUNT($E74:J74)*$E74,"")</f>
        <v/>
      </c>
      <c r="L74" s="12" t="str">
        <f t="shared" ref="L74:U83" si="13">IF(L$23=0,"",IF($F74=L$23,$C74,IF($G74=L$23,$C74,IF($H74=L$23,$C74,IF($I74=L$23,$C74,IF($J74=L$23,$C74,IF($K74=L$23,$C74,"")))))))</f>
        <v/>
      </c>
      <c r="M74" s="12" t="str">
        <f t="shared" si="13"/>
        <v/>
      </c>
      <c r="N74" s="12" t="str">
        <f t="shared" si="13"/>
        <v/>
      </c>
      <c r="O74" s="12" t="str">
        <f t="shared" si="13"/>
        <v/>
      </c>
      <c r="P74" s="12" t="str">
        <f t="shared" si="13"/>
        <v/>
      </c>
      <c r="Q74" s="12" t="str">
        <f t="shared" si="13"/>
        <v/>
      </c>
      <c r="R74" s="12" t="str">
        <f t="shared" si="13"/>
        <v/>
      </c>
      <c r="S74" s="12" t="str">
        <f t="shared" si="13"/>
        <v/>
      </c>
      <c r="T74" s="12" t="str">
        <f t="shared" si="13"/>
        <v/>
      </c>
      <c r="U74" s="12" t="str">
        <f t="shared" si="13"/>
        <v/>
      </c>
      <c r="V74" s="12" t="str">
        <f t="shared" ref="V74:AF83" si="14">IF(V$23=0,"",IF($F74=V$23,$C74,IF($G74=V$23,$C74,IF($H74=V$23,$C74,IF($I74=V$23,$C74,IF($J74=V$23,$C74,IF($K74=V$23,$C74,"")))))))</f>
        <v/>
      </c>
      <c r="W74" s="12" t="str">
        <f t="shared" si="14"/>
        <v/>
      </c>
      <c r="X74" s="12" t="str">
        <f t="shared" si="14"/>
        <v/>
      </c>
      <c r="Y74" s="12" t="str">
        <f t="shared" si="14"/>
        <v/>
      </c>
      <c r="Z74" s="12" t="str">
        <f t="shared" si="14"/>
        <v/>
      </c>
      <c r="AA74" s="12" t="str">
        <f t="shared" si="14"/>
        <v/>
      </c>
      <c r="AB74" s="12" t="str">
        <f t="shared" si="14"/>
        <v/>
      </c>
      <c r="AC74" s="12" t="str">
        <f t="shared" si="14"/>
        <v/>
      </c>
      <c r="AD74" s="12" t="str">
        <f t="shared" si="14"/>
        <v/>
      </c>
      <c r="AE74" s="12" t="str">
        <f t="shared" si="14"/>
        <v/>
      </c>
      <c r="AF74" s="12" t="str">
        <f t="shared" si="14"/>
        <v/>
      </c>
      <c r="AG74" s="14">
        <f t="shared" si="3"/>
        <v>0</v>
      </c>
      <c r="AH74" s="14">
        <f t="shared" si="10"/>
        <v>0</v>
      </c>
      <c r="AI74" s="14">
        <f>IF(E74&gt;0,AG74/Calculations!$AB$10,"")</f>
        <v>0</v>
      </c>
      <c r="AJ74" s="52"/>
      <c r="AK74" s="52"/>
      <c r="AL74" s="52"/>
      <c r="AM74" s="52"/>
      <c r="AN74" s="52"/>
      <c r="AO74" s="52"/>
      <c r="AP74" s="52"/>
      <c r="AQ74" s="52"/>
      <c r="AR74" s="52"/>
      <c r="AS74" s="52"/>
    </row>
    <row r="75" spans="1:45" s="51" customFormat="1" ht="13.8" x14ac:dyDescent="0.3">
      <c r="A75" s="32" t="s">
        <v>10</v>
      </c>
      <c r="B75" s="174" t="str">
        <f>B25</f>
        <v>US$</v>
      </c>
      <c r="C75" s="3">
        <v>0</v>
      </c>
      <c r="D75" s="24"/>
      <c r="E75" s="3">
        <f>C16</f>
        <v>25</v>
      </c>
      <c r="F75" s="178" t="str">
        <f>IF($C$16&gt;COUNT($E75:E75)*$E75,COUNT($E75:E75)*$E75,"")</f>
        <v/>
      </c>
      <c r="G75" s="12" t="str">
        <f>IF($C$16&gt;COUNT($E75:F75)*$E75,COUNT($E75:F75)*$E75,"")</f>
        <v/>
      </c>
      <c r="H75" s="12" t="str">
        <f>IF($C$16&gt;COUNT($E75:G75)*$E75,COUNT($E75:G75)*$E75,"")</f>
        <v/>
      </c>
      <c r="I75" s="12" t="str">
        <f>IF($C$16&gt;COUNT($E75:H75)*$E75,COUNT($E75:H75)*$E75,"")</f>
        <v/>
      </c>
      <c r="J75" s="12" t="str">
        <f>IF($C$16&gt;COUNT($E75:I75)*$E75,COUNT($E75:I75)*$E75,"")</f>
        <v/>
      </c>
      <c r="K75" s="177" t="str">
        <f>IF($C$16&gt;COUNT($E75:J75)*$E75,COUNT($E75:J75)*$E75,"")</f>
        <v/>
      </c>
      <c r="L75" s="12" t="str">
        <f t="shared" si="13"/>
        <v/>
      </c>
      <c r="M75" s="12" t="str">
        <f t="shared" si="13"/>
        <v/>
      </c>
      <c r="N75" s="12" t="str">
        <f t="shared" si="13"/>
        <v/>
      </c>
      <c r="O75" s="12" t="str">
        <f t="shared" si="13"/>
        <v/>
      </c>
      <c r="P75" s="12" t="str">
        <f t="shared" si="13"/>
        <v/>
      </c>
      <c r="Q75" s="12" t="str">
        <f t="shared" si="13"/>
        <v/>
      </c>
      <c r="R75" s="12" t="str">
        <f t="shared" si="13"/>
        <v/>
      </c>
      <c r="S75" s="12" t="str">
        <f t="shared" si="13"/>
        <v/>
      </c>
      <c r="T75" s="12" t="str">
        <f t="shared" si="13"/>
        <v/>
      </c>
      <c r="U75" s="12" t="str">
        <f t="shared" si="13"/>
        <v/>
      </c>
      <c r="V75" s="12" t="str">
        <f t="shared" si="14"/>
        <v/>
      </c>
      <c r="W75" s="12" t="str">
        <f t="shared" si="14"/>
        <v/>
      </c>
      <c r="X75" s="12" t="str">
        <f t="shared" si="14"/>
        <v/>
      </c>
      <c r="Y75" s="12" t="str">
        <f t="shared" si="14"/>
        <v/>
      </c>
      <c r="Z75" s="12" t="str">
        <f t="shared" si="14"/>
        <v/>
      </c>
      <c r="AA75" s="12" t="str">
        <f t="shared" si="14"/>
        <v/>
      </c>
      <c r="AB75" s="12" t="str">
        <f t="shared" si="14"/>
        <v/>
      </c>
      <c r="AC75" s="12" t="str">
        <f t="shared" si="14"/>
        <v/>
      </c>
      <c r="AD75" s="12" t="str">
        <f t="shared" si="14"/>
        <v/>
      </c>
      <c r="AE75" s="12" t="str">
        <f t="shared" si="14"/>
        <v/>
      </c>
      <c r="AF75" s="12" t="str">
        <f t="shared" si="14"/>
        <v/>
      </c>
      <c r="AG75" s="14">
        <f>IF(E75&gt;0,C75/E75*$C$16,C75)</f>
        <v>0</v>
      </c>
      <c r="AH75" s="14">
        <f t="shared" si="10"/>
        <v>0</v>
      </c>
      <c r="AI75" s="14">
        <f>IF(E75&gt;0,AG75/Calculations!$AB$10,"")</f>
        <v>0</v>
      </c>
      <c r="AJ75" s="52"/>
      <c r="AK75" s="52"/>
      <c r="AL75" s="52"/>
      <c r="AM75" s="52"/>
      <c r="AN75" s="52"/>
      <c r="AO75" s="52"/>
      <c r="AP75" s="52"/>
      <c r="AQ75" s="52"/>
      <c r="AR75" s="52"/>
      <c r="AS75" s="52"/>
    </row>
    <row r="76" spans="1:45" s="51" customFormat="1" ht="13.8" x14ac:dyDescent="0.3">
      <c r="A76" s="32" t="s">
        <v>38</v>
      </c>
      <c r="B76" s="174" t="str">
        <f>B25</f>
        <v>US$</v>
      </c>
      <c r="C76" s="3">
        <v>0</v>
      </c>
      <c r="D76" s="24"/>
      <c r="E76" s="3">
        <f>C16</f>
        <v>25</v>
      </c>
      <c r="F76" s="178" t="str">
        <f>IF($C$16&gt;COUNT($E76:E76)*$E76,COUNT($E76:E76)*$E76,"")</f>
        <v/>
      </c>
      <c r="G76" s="12" t="str">
        <f>IF($C$16&gt;COUNT($E76:F76)*$E76,COUNT($E76:F76)*$E76,"")</f>
        <v/>
      </c>
      <c r="H76" s="12" t="str">
        <f>IF($C$16&gt;COUNT($E76:G76)*$E76,COUNT($E76:G76)*$E76,"")</f>
        <v/>
      </c>
      <c r="I76" s="12" t="str">
        <f>IF($C$16&gt;COUNT($E76:H76)*$E76,COUNT($E76:H76)*$E76,"")</f>
        <v/>
      </c>
      <c r="J76" s="12" t="str">
        <f>IF($C$16&gt;COUNT($E76:I76)*$E76,COUNT($E76:I76)*$E76,"")</f>
        <v/>
      </c>
      <c r="K76" s="177" t="str">
        <f>IF($C$16&gt;COUNT($E76:J76)*$E76,COUNT($E76:J76)*$E76,"")</f>
        <v/>
      </c>
      <c r="L76" s="12" t="str">
        <f t="shared" si="13"/>
        <v/>
      </c>
      <c r="M76" s="12" t="str">
        <f t="shared" si="13"/>
        <v/>
      </c>
      <c r="N76" s="12" t="str">
        <f t="shared" si="13"/>
        <v/>
      </c>
      <c r="O76" s="12" t="str">
        <f t="shared" si="13"/>
        <v/>
      </c>
      <c r="P76" s="12" t="str">
        <f t="shared" si="13"/>
        <v/>
      </c>
      <c r="Q76" s="12" t="str">
        <f t="shared" si="13"/>
        <v/>
      </c>
      <c r="R76" s="12" t="str">
        <f t="shared" si="13"/>
        <v/>
      </c>
      <c r="S76" s="12" t="str">
        <f t="shared" si="13"/>
        <v/>
      </c>
      <c r="T76" s="12" t="str">
        <f t="shared" si="13"/>
        <v/>
      </c>
      <c r="U76" s="12" t="str">
        <f t="shared" si="13"/>
        <v/>
      </c>
      <c r="V76" s="12" t="str">
        <f t="shared" si="14"/>
        <v/>
      </c>
      <c r="W76" s="12" t="str">
        <f t="shared" si="14"/>
        <v/>
      </c>
      <c r="X76" s="12" t="str">
        <f t="shared" si="14"/>
        <v/>
      </c>
      <c r="Y76" s="12" t="str">
        <f t="shared" si="14"/>
        <v/>
      </c>
      <c r="Z76" s="12" t="str">
        <f t="shared" si="14"/>
        <v/>
      </c>
      <c r="AA76" s="12" t="str">
        <f t="shared" si="14"/>
        <v/>
      </c>
      <c r="AB76" s="12" t="str">
        <f t="shared" si="14"/>
        <v/>
      </c>
      <c r="AC76" s="12" t="str">
        <f t="shared" si="14"/>
        <v/>
      </c>
      <c r="AD76" s="12" t="str">
        <f t="shared" si="14"/>
        <v/>
      </c>
      <c r="AE76" s="12" t="str">
        <f t="shared" si="14"/>
        <v/>
      </c>
      <c r="AF76" s="12" t="str">
        <f t="shared" si="14"/>
        <v/>
      </c>
      <c r="AG76" s="14">
        <f t="shared" si="3"/>
        <v>0</v>
      </c>
      <c r="AH76" s="14">
        <f t="shared" si="10"/>
        <v>0</v>
      </c>
      <c r="AI76" s="14">
        <f>IF(E76&gt;0,AG76/Calculations!$AB$10,"")</f>
        <v>0</v>
      </c>
      <c r="AJ76" s="52"/>
      <c r="AK76" s="52"/>
      <c r="AL76" s="52"/>
      <c r="AM76" s="52"/>
      <c r="AN76" s="52"/>
      <c r="AO76" s="52"/>
      <c r="AP76" s="52"/>
      <c r="AQ76" s="52"/>
      <c r="AR76" s="52"/>
      <c r="AS76" s="52"/>
    </row>
    <row r="77" spans="1:45" s="51" customFormat="1" ht="13.8" x14ac:dyDescent="0.3">
      <c r="A77" s="32" t="s">
        <v>12</v>
      </c>
      <c r="B77" s="174" t="str">
        <f>B25</f>
        <v>US$</v>
      </c>
      <c r="C77" s="3">
        <v>0</v>
      </c>
      <c r="D77" s="24"/>
      <c r="E77" s="3">
        <f>C16</f>
        <v>25</v>
      </c>
      <c r="F77" s="178" t="str">
        <f>IF($C$16&gt;COUNT($E77:E77)*$E77,COUNT($E77:E77)*$E77,"")</f>
        <v/>
      </c>
      <c r="G77" s="12" t="str">
        <f>IF($C$16&gt;COUNT($E77:F77)*$E77,COUNT($E77:F77)*$E77,"")</f>
        <v/>
      </c>
      <c r="H77" s="12" t="str">
        <f>IF($C$16&gt;COUNT($E77:G77)*$E77,COUNT($E77:G77)*$E77,"")</f>
        <v/>
      </c>
      <c r="I77" s="12" t="str">
        <f>IF($C$16&gt;COUNT($E77:H77)*$E77,COUNT($E77:H77)*$E77,"")</f>
        <v/>
      </c>
      <c r="J77" s="12" t="str">
        <f>IF($C$16&gt;COUNT($E77:I77)*$E77,COUNT($E77:I77)*$E77,"")</f>
        <v/>
      </c>
      <c r="K77" s="177" t="str">
        <f>IF($C$16&gt;COUNT($E77:J77)*$E77,COUNT($E77:J77)*$E77,"")</f>
        <v/>
      </c>
      <c r="L77" s="12" t="str">
        <f t="shared" si="13"/>
        <v/>
      </c>
      <c r="M77" s="12" t="str">
        <f t="shared" si="13"/>
        <v/>
      </c>
      <c r="N77" s="12" t="str">
        <f t="shared" si="13"/>
        <v/>
      </c>
      <c r="O77" s="12" t="str">
        <f t="shared" si="13"/>
        <v/>
      </c>
      <c r="P77" s="12" t="str">
        <f t="shared" si="13"/>
        <v/>
      </c>
      <c r="Q77" s="12" t="str">
        <f t="shared" si="13"/>
        <v/>
      </c>
      <c r="R77" s="12" t="str">
        <f t="shared" si="13"/>
        <v/>
      </c>
      <c r="S77" s="12" t="str">
        <f t="shared" si="13"/>
        <v/>
      </c>
      <c r="T77" s="12" t="str">
        <f t="shared" si="13"/>
        <v/>
      </c>
      <c r="U77" s="12" t="str">
        <f t="shared" si="13"/>
        <v/>
      </c>
      <c r="V77" s="12" t="str">
        <f t="shared" si="14"/>
        <v/>
      </c>
      <c r="W77" s="12" t="str">
        <f t="shared" si="14"/>
        <v/>
      </c>
      <c r="X77" s="12" t="str">
        <f t="shared" si="14"/>
        <v/>
      </c>
      <c r="Y77" s="12" t="str">
        <f t="shared" si="14"/>
        <v/>
      </c>
      <c r="Z77" s="12" t="str">
        <f t="shared" si="14"/>
        <v/>
      </c>
      <c r="AA77" s="12" t="str">
        <f t="shared" si="14"/>
        <v/>
      </c>
      <c r="AB77" s="12" t="str">
        <f t="shared" si="14"/>
        <v/>
      </c>
      <c r="AC77" s="12" t="str">
        <f t="shared" si="14"/>
        <v/>
      </c>
      <c r="AD77" s="12" t="str">
        <f t="shared" si="14"/>
        <v/>
      </c>
      <c r="AE77" s="12" t="str">
        <f t="shared" si="14"/>
        <v/>
      </c>
      <c r="AF77" s="12" t="str">
        <f t="shared" si="14"/>
        <v/>
      </c>
      <c r="AG77" s="14">
        <f t="shared" si="3"/>
        <v>0</v>
      </c>
      <c r="AH77" s="14">
        <f t="shared" si="10"/>
        <v>0</v>
      </c>
      <c r="AI77" s="14">
        <f>IF(E77&gt;0,AG77/Calculations!$AB$10,"")</f>
        <v>0</v>
      </c>
      <c r="AJ77" s="52"/>
      <c r="AK77" s="52"/>
      <c r="AL77" s="52"/>
      <c r="AM77" s="52"/>
      <c r="AN77" s="52"/>
      <c r="AO77" s="52"/>
      <c r="AP77" s="52"/>
      <c r="AQ77" s="52"/>
      <c r="AR77" s="52"/>
      <c r="AS77" s="52"/>
    </row>
    <row r="78" spans="1:45" s="51" customFormat="1" ht="13.8" x14ac:dyDescent="0.3">
      <c r="A78" s="32"/>
      <c r="B78" s="174" t="str">
        <f>B25</f>
        <v>US$</v>
      </c>
      <c r="C78" s="3">
        <v>0</v>
      </c>
      <c r="D78" s="24"/>
      <c r="E78" s="3">
        <f>C16</f>
        <v>25</v>
      </c>
      <c r="F78" s="178"/>
      <c r="G78" s="12"/>
      <c r="H78" s="12"/>
      <c r="I78" s="12"/>
      <c r="J78" s="12"/>
      <c r="K78" s="177" t="str">
        <f>IF($C$16&gt;COUNT($E78:J78)*$E78,COUNT($E78:J78)*$E78,"")</f>
        <v/>
      </c>
      <c r="L78" s="12" t="str">
        <f t="shared" si="13"/>
        <v/>
      </c>
      <c r="M78" s="12" t="str">
        <f t="shared" si="13"/>
        <v/>
      </c>
      <c r="N78" s="12" t="str">
        <f t="shared" si="13"/>
        <v/>
      </c>
      <c r="O78" s="12" t="str">
        <f t="shared" si="13"/>
        <v/>
      </c>
      <c r="P78" s="12" t="str">
        <f t="shared" si="13"/>
        <v/>
      </c>
      <c r="Q78" s="12" t="str">
        <f t="shared" si="13"/>
        <v/>
      </c>
      <c r="R78" s="12" t="str">
        <f t="shared" si="13"/>
        <v/>
      </c>
      <c r="S78" s="12" t="str">
        <f t="shared" si="13"/>
        <v/>
      </c>
      <c r="T78" s="12" t="str">
        <f t="shared" si="13"/>
        <v/>
      </c>
      <c r="U78" s="12" t="str">
        <f t="shared" si="13"/>
        <v/>
      </c>
      <c r="V78" s="12" t="str">
        <f t="shared" si="14"/>
        <v/>
      </c>
      <c r="W78" s="12" t="str">
        <f t="shared" si="14"/>
        <v/>
      </c>
      <c r="X78" s="12" t="str">
        <f t="shared" si="14"/>
        <v/>
      </c>
      <c r="Y78" s="12" t="str">
        <f t="shared" si="14"/>
        <v/>
      </c>
      <c r="Z78" s="12" t="str">
        <f t="shared" si="14"/>
        <v/>
      </c>
      <c r="AA78" s="12" t="str">
        <f t="shared" si="14"/>
        <v/>
      </c>
      <c r="AB78" s="12" t="str">
        <f t="shared" si="14"/>
        <v/>
      </c>
      <c r="AC78" s="12" t="str">
        <f t="shared" si="14"/>
        <v/>
      </c>
      <c r="AD78" s="12" t="str">
        <f t="shared" si="14"/>
        <v/>
      </c>
      <c r="AE78" s="12" t="str">
        <f t="shared" si="14"/>
        <v/>
      </c>
      <c r="AF78" s="12" t="str">
        <f t="shared" si="14"/>
        <v/>
      </c>
      <c r="AG78" s="14">
        <f t="shared" si="3"/>
        <v>0</v>
      </c>
      <c r="AH78" s="14">
        <f t="shared" si="10"/>
        <v>0</v>
      </c>
      <c r="AI78" s="14">
        <f>IF(E78&gt;0,AG78/Calculations!$AB$10,"")</f>
        <v>0</v>
      </c>
      <c r="AJ78" s="52"/>
      <c r="AK78" s="52"/>
      <c r="AL78" s="52"/>
      <c r="AM78" s="52"/>
      <c r="AN78" s="52"/>
      <c r="AO78" s="52"/>
      <c r="AP78" s="52"/>
      <c r="AQ78" s="52"/>
      <c r="AR78" s="52"/>
      <c r="AS78" s="52"/>
    </row>
    <row r="79" spans="1:45" s="51" customFormat="1" ht="13.8" x14ac:dyDescent="0.3">
      <c r="A79" s="32"/>
      <c r="B79" s="174" t="str">
        <f>B25</f>
        <v>US$</v>
      </c>
      <c r="C79" s="3">
        <v>0</v>
      </c>
      <c r="D79" s="24"/>
      <c r="E79" s="3">
        <f>C16</f>
        <v>25</v>
      </c>
      <c r="F79" s="178"/>
      <c r="G79" s="12"/>
      <c r="H79" s="12"/>
      <c r="I79" s="12"/>
      <c r="J79" s="12"/>
      <c r="K79" s="177" t="str">
        <f>IF($C$16&gt;COUNT($E79:J79)*$E79,COUNT($E79:J79)*$E79,"")</f>
        <v/>
      </c>
      <c r="L79" s="12" t="str">
        <f t="shared" si="13"/>
        <v/>
      </c>
      <c r="M79" s="12" t="str">
        <f t="shared" si="13"/>
        <v/>
      </c>
      <c r="N79" s="12" t="str">
        <f t="shared" si="13"/>
        <v/>
      </c>
      <c r="O79" s="12" t="str">
        <f t="shared" si="13"/>
        <v/>
      </c>
      <c r="P79" s="12" t="str">
        <f t="shared" si="13"/>
        <v/>
      </c>
      <c r="Q79" s="12" t="str">
        <f t="shared" si="13"/>
        <v/>
      </c>
      <c r="R79" s="12" t="str">
        <f t="shared" si="13"/>
        <v/>
      </c>
      <c r="S79" s="12" t="str">
        <f t="shared" si="13"/>
        <v/>
      </c>
      <c r="T79" s="12" t="str">
        <f t="shared" si="13"/>
        <v/>
      </c>
      <c r="U79" s="12" t="str">
        <f t="shared" si="13"/>
        <v/>
      </c>
      <c r="V79" s="12" t="str">
        <f t="shared" si="14"/>
        <v/>
      </c>
      <c r="W79" s="12" t="str">
        <f t="shared" si="14"/>
        <v/>
      </c>
      <c r="X79" s="12" t="str">
        <f t="shared" si="14"/>
        <v/>
      </c>
      <c r="Y79" s="12" t="str">
        <f t="shared" si="14"/>
        <v/>
      </c>
      <c r="Z79" s="12" t="str">
        <f t="shared" si="14"/>
        <v/>
      </c>
      <c r="AA79" s="12" t="str">
        <f t="shared" si="14"/>
        <v/>
      </c>
      <c r="AB79" s="12" t="str">
        <f t="shared" si="14"/>
        <v/>
      </c>
      <c r="AC79" s="12" t="str">
        <f t="shared" si="14"/>
        <v/>
      </c>
      <c r="AD79" s="12" t="str">
        <f t="shared" si="14"/>
        <v/>
      </c>
      <c r="AE79" s="12" t="str">
        <f t="shared" si="14"/>
        <v/>
      </c>
      <c r="AF79" s="12" t="str">
        <f t="shared" si="14"/>
        <v/>
      </c>
      <c r="AG79" s="14">
        <f t="shared" si="3"/>
        <v>0</v>
      </c>
      <c r="AH79" s="14">
        <f t="shared" si="10"/>
        <v>0</v>
      </c>
      <c r="AI79" s="14">
        <f>IF(E79&gt;0,AG79/Calculations!$AB$10,"")</f>
        <v>0</v>
      </c>
      <c r="AJ79" s="52"/>
      <c r="AK79" s="52"/>
      <c r="AL79" s="52"/>
      <c r="AM79" s="52"/>
      <c r="AN79" s="52"/>
      <c r="AO79" s="52"/>
      <c r="AP79" s="52"/>
      <c r="AQ79" s="52"/>
      <c r="AR79" s="52"/>
      <c r="AS79" s="52"/>
    </row>
    <row r="80" spans="1:45" s="24" customFormat="1" x14ac:dyDescent="0.3">
      <c r="A80" s="485" t="s">
        <v>230</v>
      </c>
      <c r="B80" s="486"/>
      <c r="C80" s="487"/>
      <c r="E80" s="492"/>
      <c r="F80" s="178"/>
      <c r="G80" s="12"/>
      <c r="H80" s="12"/>
      <c r="I80" s="12"/>
      <c r="J80" s="12"/>
      <c r="K80" s="177"/>
      <c r="L80" s="12" t="str">
        <f t="shared" si="13"/>
        <v/>
      </c>
      <c r="M80" s="12" t="str">
        <f t="shared" si="13"/>
        <v/>
      </c>
      <c r="N80" s="12" t="str">
        <f t="shared" si="13"/>
        <v/>
      </c>
      <c r="O80" s="12" t="str">
        <f t="shared" si="13"/>
        <v/>
      </c>
      <c r="P80" s="12" t="str">
        <f t="shared" si="13"/>
        <v/>
      </c>
      <c r="Q80" s="12" t="str">
        <f t="shared" si="13"/>
        <v/>
      </c>
      <c r="R80" s="12" t="str">
        <f t="shared" si="13"/>
        <v/>
      </c>
      <c r="S80" s="12" t="str">
        <f t="shared" si="13"/>
        <v/>
      </c>
      <c r="T80" s="12" t="str">
        <f t="shared" si="13"/>
        <v/>
      </c>
      <c r="U80" s="12" t="str">
        <f t="shared" si="13"/>
        <v/>
      </c>
      <c r="V80" s="12" t="str">
        <f t="shared" si="14"/>
        <v/>
      </c>
      <c r="W80" s="12" t="str">
        <f t="shared" si="14"/>
        <v/>
      </c>
      <c r="X80" s="12" t="str">
        <f t="shared" si="14"/>
        <v/>
      </c>
      <c r="Y80" s="12" t="str">
        <f t="shared" si="14"/>
        <v/>
      </c>
      <c r="Z80" s="12" t="str">
        <f t="shared" si="14"/>
        <v/>
      </c>
      <c r="AA80" s="12" t="str">
        <f t="shared" si="14"/>
        <v/>
      </c>
      <c r="AB80" s="12" t="str">
        <f t="shared" si="14"/>
        <v/>
      </c>
      <c r="AC80" s="12" t="str">
        <f t="shared" si="14"/>
        <v/>
      </c>
      <c r="AD80" s="12" t="str">
        <f t="shared" si="14"/>
        <v/>
      </c>
      <c r="AE80" s="12" t="str">
        <f t="shared" si="14"/>
        <v/>
      </c>
      <c r="AF80" s="12" t="str">
        <f t="shared" si="14"/>
        <v/>
      </c>
      <c r="AG80" s="14">
        <f>IF(E80&gt;0,C80/E80*$C$16,C80)</f>
        <v>0</v>
      </c>
      <c r="AH80" s="14" t="str">
        <f t="shared" si="10"/>
        <v/>
      </c>
      <c r="AI80" s="14" t="str">
        <f>IF(E80&gt;0,AG80/Calculations!$AB$10,"")</f>
        <v/>
      </c>
      <c r="AJ80" s="38"/>
      <c r="AK80" s="38"/>
      <c r="AL80" s="38"/>
      <c r="AM80" s="38"/>
      <c r="AN80" s="38"/>
      <c r="AO80" s="38"/>
      <c r="AP80" s="38"/>
      <c r="AQ80" s="38"/>
      <c r="AR80" s="38"/>
      <c r="AS80" s="38"/>
    </row>
    <row r="81" spans="1:45" s="51" customFormat="1" ht="13.8" x14ac:dyDescent="0.3">
      <c r="A81" s="32" t="s">
        <v>29</v>
      </c>
      <c r="B81" s="174" t="str">
        <f>B25</f>
        <v>US$</v>
      </c>
      <c r="C81" s="3">
        <v>0</v>
      </c>
      <c r="D81" s="24"/>
      <c r="E81" s="3">
        <f>C16</f>
        <v>25</v>
      </c>
      <c r="F81" s="178" t="str">
        <f>IF($C$16&gt;COUNT($E81:E81)*$E81,COUNT($E81:E81)*$E81,"")</f>
        <v/>
      </c>
      <c r="G81" s="12" t="str">
        <f>IF($C$16&gt;COUNT($E81:F81)*$E81,COUNT($E81:F81)*$E81,"")</f>
        <v/>
      </c>
      <c r="H81" s="12" t="str">
        <f>IF($C$16&gt;COUNT($E81:G81)*$E81,COUNT($E81:G81)*$E81,"")</f>
        <v/>
      </c>
      <c r="I81" s="12" t="str">
        <f>IF($C$16&gt;COUNT($E81:H81)*$E81,COUNT($E81:H81)*$E81,"")</f>
        <v/>
      </c>
      <c r="J81" s="12" t="str">
        <f>IF($C$16&gt;COUNT($E81:I81)*$E81,COUNT($E81:I81)*$E81,"")</f>
        <v/>
      </c>
      <c r="K81" s="177" t="str">
        <f>IF($C$16&gt;COUNT($E81:J81)*$E81,COUNT($E81:J81)*$E81,"")</f>
        <v/>
      </c>
      <c r="L81" s="12" t="str">
        <f t="shared" si="13"/>
        <v/>
      </c>
      <c r="M81" s="12" t="str">
        <f t="shared" si="13"/>
        <v/>
      </c>
      <c r="N81" s="12" t="str">
        <f t="shared" si="13"/>
        <v/>
      </c>
      <c r="O81" s="12" t="str">
        <f t="shared" si="13"/>
        <v/>
      </c>
      <c r="P81" s="12" t="str">
        <f t="shared" si="13"/>
        <v/>
      </c>
      <c r="Q81" s="12" t="str">
        <f t="shared" si="13"/>
        <v/>
      </c>
      <c r="R81" s="12" t="str">
        <f t="shared" si="13"/>
        <v/>
      </c>
      <c r="S81" s="12" t="str">
        <f t="shared" si="13"/>
        <v/>
      </c>
      <c r="T81" s="12" t="str">
        <f t="shared" si="13"/>
        <v/>
      </c>
      <c r="U81" s="12" t="str">
        <f t="shared" si="13"/>
        <v/>
      </c>
      <c r="V81" s="12" t="str">
        <f t="shared" si="14"/>
        <v/>
      </c>
      <c r="W81" s="12" t="str">
        <f t="shared" si="14"/>
        <v/>
      </c>
      <c r="X81" s="12" t="str">
        <f t="shared" si="14"/>
        <v/>
      </c>
      <c r="Y81" s="12" t="str">
        <f t="shared" si="14"/>
        <v/>
      </c>
      <c r="Z81" s="12" t="str">
        <f t="shared" si="14"/>
        <v/>
      </c>
      <c r="AA81" s="12" t="str">
        <f t="shared" si="14"/>
        <v/>
      </c>
      <c r="AB81" s="12" t="str">
        <f t="shared" si="14"/>
        <v/>
      </c>
      <c r="AC81" s="12" t="str">
        <f t="shared" si="14"/>
        <v/>
      </c>
      <c r="AD81" s="12" t="str">
        <f t="shared" si="14"/>
        <v/>
      </c>
      <c r="AE81" s="12" t="str">
        <f t="shared" si="14"/>
        <v/>
      </c>
      <c r="AF81" s="12" t="str">
        <f t="shared" si="14"/>
        <v/>
      </c>
      <c r="AG81" s="14">
        <f t="shared" si="3"/>
        <v>0</v>
      </c>
      <c r="AH81" s="14">
        <f t="shared" si="10"/>
        <v>0</v>
      </c>
      <c r="AI81" s="14">
        <f>IF(E81&gt;0,AG81/Calculations!$AB$10,"")</f>
        <v>0</v>
      </c>
      <c r="AJ81" s="52"/>
      <c r="AK81" s="52"/>
      <c r="AL81" s="52"/>
      <c r="AM81" s="52"/>
      <c r="AN81" s="52"/>
      <c r="AO81" s="52"/>
      <c r="AP81" s="52"/>
      <c r="AQ81" s="52"/>
      <c r="AR81" s="52"/>
      <c r="AS81" s="52"/>
    </row>
    <row r="82" spans="1:45" s="51" customFormat="1" ht="13.8" x14ac:dyDescent="0.3">
      <c r="A82" s="32" t="s">
        <v>46</v>
      </c>
      <c r="B82" s="174" t="str">
        <f>B25</f>
        <v>US$</v>
      </c>
      <c r="C82" s="3">
        <v>0</v>
      </c>
      <c r="D82" s="24"/>
      <c r="E82" s="3"/>
      <c r="F82" s="178"/>
      <c r="G82" s="12"/>
      <c r="H82" s="12"/>
      <c r="I82" s="12"/>
      <c r="J82" s="12"/>
      <c r="K82" s="177"/>
      <c r="L82" s="12" t="str">
        <f t="shared" si="13"/>
        <v/>
      </c>
      <c r="M82" s="12" t="str">
        <f t="shared" si="13"/>
        <v/>
      </c>
      <c r="N82" s="12" t="str">
        <f t="shared" si="13"/>
        <v/>
      </c>
      <c r="O82" s="12" t="str">
        <f t="shared" si="13"/>
        <v/>
      </c>
      <c r="P82" s="12" t="str">
        <f t="shared" si="13"/>
        <v/>
      </c>
      <c r="Q82" s="12" t="str">
        <f t="shared" si="13"/>
        <v/>
      </c>
      <c r="R82" s="12" t="str">
        <f t="shared" si="13"/>
        <v/>
      </c>
      <c r="S82" s="12" t="str">
        <f t="shared" si="13"/>
        <v/>
      </c>
      <c r="T82" s="12" t="str">
        <f t="shared" si="13"/>
        <v/>
      </c>
      <c r="U82" s="12" t="str">
        <f t="shared" si="13"/>
        <v/>
      </c>
      <c r="V82" s="12" t="str">
        <f t="shared" si="14"/>
        <v/>
      </c>
      <c r="W82" s="12" t="str">
        <f t="shared" si="14"/>
        <v/>
      </c>
      <c r="X82" s="12" t="str">
        <f t="shared" si="14"/>
        <v/>
      </c>
      <c r="Y82" s="12" t="str">
        <f t="shared" si="14"/>
        <v/>
      </c>
      <c r="Z82" s="12" t="str">
        <f t="shared" si="14"/>
        <v/>
      </c>
      <c r="AA82" s="12" t="str">
        <f t="shared" si="14"/>
        <v/>
      </c>
      <c r="AB82" s="12" t="str">
        <f t="shared" si="14"/>
        <v/>
      </c>
      <c r="AC82" s="12" t="str">
        <f t="shared" si="14"/>
        <v/>
      </c>
      <c r="AD82" s="12" t="str">
        <f t="shared" si="14"/>
        <v/>
      </c>
      <c r="AE82" s="12" t="str">
        <f t="shared" si="14"/>
        <v/>
      </c>
      <c r="AF82" s="12" t="str">
        <f t="shared" si="14"/>
        <v/>
      </c>
      <c r="AG82" s="14">
        <f t="shared" si="3"/>
        <v>0</v>
      </c>
      <c r="AH82" s="14" t="str">
        <f t="shared" si="10"/>
        <v/>
      </c>
      <c r="AI82" s="14" t="str">
        <f>IF(E82&gt;0,AG82/Calculations!$AB$10,"")</f>
        <v/>
      </c>
      <c r="AJ82" s="52"/>
      <c r="AK82" s="52"/>
      <c r="AL82" s="52"/>
      <c r="AM82" s="52"/>
      <c r="AN82" s="52"/>
      <c r="AO82" s="52"/>
      <c r="AP82" s="52"/>
      <c r="AQ82" s="52"/>
      <c r="AR82" s="52"/>
      <c r="AS82" s="52"/>
    </row>
    <row r="83" spans="1:45" s="51" customFormat="1" ht="13.8" x14ac:dyDescent="0.3">
      <c r="A83" s="32" t="s">
        <v>231</v>
      </c>
      <c r="B83" s="174" t="str">
        <f>B25</f>
        <v>US$</v>
      </c>
      <c r="C83" s="3">
        <v>0</v>
      </c>
      <c r="D83" s="24"/>
      <c r="E83" s="3">
        <f>C16</f>
        <v>25</v>
      </c>
      <c r="F83" s="178" t="str">
        <f>IF($C$16&gt;COUNT($E83:E83)*$E83,COUNT($E83:E83)*$E83,"")</f>
        <v/>
      </c>
      <c r="G83" s="12" t="str">
        <f>IF($C$16&gt;COUNT($E83:F83)*$E83,COUNT($E83:F83)*$E83,"")</f>
        <v/>
      </c>
      <c r="H83" s="12" t="str">
        <f>IF($C$16&gt;COUNT($E83:G83)*$E83,COUNT($E83:G83)*$E83,"")</f>
        <v/>
      </c>
      <c r="I83" s="12" t="str">
        <f>IF($C$16&gt;COUNT($E83:H83)*$E83,COUNT($E83:H83)*$E83,"")</f>
        <v/>
      </c>
      <c r="J83" s="12" t="str">
        <f>IF($C$16&gt;COUNT($E83:I83)*$E83,COUNT($E83:I83)*$E83,"")</f>
        <v/>
      </c>
      <c r="K83" s="177" t="str">
        <f>IF($C$16&gt;COUNT($E83:J83)*$E83,COUNT($E83:J83)*$E83,"")</f>
        <v/>
      </c>
      <c r="L83" s="12" t="str">
        <f t="shared" si="13"/>
        <v/>
      </c>
      <c r="M83" s="12" t="str">
        <f t="shared" si="13"/>
        <v/>
      </c>
      <c r="N83" s="12" t="str">
        <f t="shared" si="13"/>
        <v/>
      </c>
      <c r="O83" s="12" t="str">
        <f t="shared" si="13"/>
        <v/>
      </c>
      <c r="P83" s="12" t="str">
        <f t="shared" si="13"/>
        <v/>
      </c>
      <c r="Q83" s="12" t="str">
        <f t="shared" si="13"/>
        <v/>
      </c>
      <c r="R83" s="12" t="str">
        <f t="shared" si="13"/>
        <v/>
      </c>
      <c r="S83" s="12" t="str">
        <f t="shared" si="13"/>
        <v/>
      </c>
      <c r="T83" s="12" t="str">
        <f t="shared" si="13"/>
        <v/>
      </c>
      <c r="U83" s="12" t="str">
        <f t="shared" si="13"/>
        <v/>
      </c>
      <c r="V83" s="12" t="str">
        <f t="shared" si="14"/>
        <v/>
      </c>
      <c r="W83" s="12" t="str">
        <f t="shared" si="14"/>
        <v/>
      </c>
      <c r="X83" s="12" t="str">
        <f t="shared" si="14"/>
        <v/>
      </c>
      <c r="Y83" s="12" t="str">
        <f t="shared" si="14"/>
        <v/>
      </c>
      <c r="Z83" s="12" t="str">
        <f t="shared" si="14"/>
        <v/>
      </c>
      <c r="AA83" s="12" t="str">
        <f t="shared" si="14"/>
        <v/>
      </c>
      <c r="AB83" s="12" t="str">
        <f t="shared" si="14"/>
        <v/>
      </c>
      <c r="AC83" s="12" t="str">
        <f t="shared" si="14"/>
        <v/>
      </c>
      <c r="AD83" s="12" t="str">
        <f t="shared" si="14"/>
        <v/>
      </c>
      <c r="AE83" s="12" t="str">
        <f t="shared" si="14"/>
        <v/>
      </c>
      <c r="AF83" s="12" t="str">
        <f t="shared" si="14"/>
        <v/>
      </c>
      <c r="AG83" s="14">
        <f t="shared" si="3"/>
        <v>0</v>
      </c>
      <c r="AH83" s="14">
        <f t="shared" si="10"/>
        <v>0</v>
      </c>
      <c r="AI83" s="14">
        <f>IF(E83&gt;0,AG83/Calculations!$AB$10,"")</f>
        <v>0</v>
      </c>
      <c r="AJ83" s="52"/>
      <c r="AK83" s="52"/>
      <c r="AL83" s="52"/>
      <c r="AM83" s="52"/>
      <c r="AN83" s="52"/>
      <c r="AO83" s="52"/>
      <c r="AP83" s="52"/>
      <c r="AQ83" s="52"/>
      <c r="AR83" s="52"/>
      <c r="AS83" s="52"/>
    </row>
    <row r="84" spans="1:45" s="51" customFormat="1" ht="13.8" x14ac:dyDescent="0.3">
      <c r="A84" s="32" t="s">
        <v>233</v>
      </c>
      <c r="B84" s="174" t="str">
        <f>B25</f>
        <v>US$</v>
      </c>
      <c r="C84" s="3">
        <v>0</v>
      </c>
      <c r="D84" s="24"/>
      <c r="E84" s="3">
        <f>C16</f>
        <v>25</v>
      </c>
      <c r="F84" s="178" t="str">
        <f>IF($C$16&gt;COUNT($E84:E84)*$E84,COUNT($E84:E84)*$E84,"")</f>
        <v/>
      </c>
      <c r="G84" s="12" t="str">
        <f>IF($C$16&gt;COUNT($E84:F84)*$E84,COUNT($E84:F84)*$E84,"")</f>
        <v/>
      </c>
      <c r="H84" s="12" t="str">
        <f>IF($C$16&gt;COUNT($E84:G84)*$E84,COUNT($E84:G84)*$E84,"")</f>
        <v/>
      </c>
      <c r="I84" s="12" t="str">
        <f>IF($C$16&gt;COUNT($E84:H84)*$E84,COUNT($E84:H84)*$E84,"")</f>
        <v/>
      </c>
      <c r="J84" s="12" t="str">
        <f>IF($C$16&gt;COUNT($E84:I84)*$E84,COUNT($E84:I84)*$E84,"")</f>
        <v/>
      </c>
      <c r="K84" s="177" t="str">
        <f>IF($C$16&gt;COUNT($E84:J84)*$E84,COUNT($E84:J84)*$E84,"")</f>
        <v/>
      </c>
      <c r="L84" s="12" t="str">
        <f t="shared" ref="L84:U93" si="15">IF(L$23=0,"",IF($F84=L$23,$C84,IF($G84=L$23,$C84,IF($H84=L$23,$C84,IF($I84=L$23,$C84,IF($J84=L$23,$C84,IF($K84=L$23,$C84,"")))))))</f>
        <v/>
      </c>
      <c r="M84" s="12" t="str">
        <f t="shared" si="15"/>
        <v/>
      </c>
      <c r="N84" s="12" t="str">
        <f t="shared" si="15"/>
        <v/>
      </c>
      <c r="O84" s="12" t="str">
        <f t="shared" si="15"/>
        <v/>
      </c>
      <c r="P84" s="12" t="str">
        <f t="shared" si="15"/>
        <v/>
      </c>
      <c r="Q84" s="12" t="str">
        <f t="shared" si="15"/>
        <v/>
      </c>
      <c r="R84" s="12" t="str">
        <f t="shared" si="15"/>
        <v/>
      </c>
      <c r="S84" s="12" t="str">
        <f t="shared" si="15"/>
        <v/>
      </c>
      <c r="T84" s="12" t="str">
        <f t="shared" si="15"/>
        <v/>
      </c>
      <c r="U84" s="12" t="str">
        <f t="shared" si="15"/>
        <v/>
      </c>
      <c r="V84" s="12" t="str">
        <f t="shared" ref="V84:AF93" si="16">IF(V$23=0,"",IF($F84=V$23,$C84,IF($G84=V$23,$C84,IF($H84=V$23,$C84,IF($I84=V$23,$C84,IF($J84=V$23,$C84,IF($K84=V$23,$C84,"")))))))</f>
        <v/>
      </c>
      <c r="W84" s="12" t="str">
        <f t="shared" si="16"/>
        <v/>
      </c>
      <c r="X84" s="12" t="str">
        <f t="shared" si="16"/>
        <v/>
      </c>
      <c r="Y84" s="12" t="str">
        <f t="shared" si="16"/>
        <v/>
      </c>
      <c r="Z84" s="12" t="str">
        <f t="shared" si="16"/>
        <v/>
      </c>
      <c r="AA84" s="12" t="str">
        <f t="shared" si="16"/>
        <v/>
      </c>
      <c r="AB84" s="12" t="str">
        <f t="shared" si="16"/>
        <v/>
      </c>
      <c r="AC84" s="12" t="str">
        <f t="shared" si="16"/>
        <v/>
      </c>
      <c r="AD84" s="12" t="str">
        <f t="shared" si="16"/>
        <v/>
      </c>
      <c r="AE84" s="12" t="str">
        <f t="shared" si="16"/>
        <v/>
      </c>
      <c r="AF84" s="12" t="str">
        <f t="shared" si="16"/>
        <v/>
      </c>
      <c r="AG84" s="14">
        <f t="shared" si="3"/>
        <v>0</v>
      </c>
      <c r="AH84" s="14">
        <f t="shared" si="10"/>
        <v>0</v>
      </c>
      <c r="AI84" s="14">
        <f>IF(E84&gt;0,AG84/Calculations!$AB$10,"")</f>
        <v>0</v>
      </c>
      <c r="AJ84" s="52"/>
      <c r="AK84" s="52"/>
      <c r="AL84" s="52"/>
      <c r="AM84" s="52"/>
      <c r="AN84" s="52"/>
      <c r="AO84" s="52"/>
      <c r="AP84" s="52"/>
      <c r="AQ84" s="52"/>
      <c r="AR84" s="52"/>
      <c r="AS84" s="52"/>
    </row>
    <row r="85" spans="1:45" s="51" customFormat="1" ht="13.8" x14ac:dyDescent="0.3">
      <c r="A85" s="32" t="s">
        <v>232</v>
      </c>
      <c r="B85" s="174" t="str">
        <f>B25</f>
        <v>US$</v>
      </c>
      <c r="C85" s="3">
        <v>0</v>
      </c>
      <c r="D85" s="24"/>
      <c r="E85" s="3">
        <f>C16</f>
        <v>25</v>
      </c>
      <c r="F85" s="178" t="str">
        <f>IF($C$16&gt;COUNT($E85:E85)*$E85,COUNT($E85:E85)*$E85,"")</f>
        <v/>
      </c>
      <c r="G85" s="12" t="str">
        <f>IF($C$16&gt;COUNT($E85:F85)*$E85,COUNT($E85:F85)*$E85,"")</f>
        <v/>
      </c>
      <c r="H85" s="12" t="str">
        <f>IF($C$16&gt;COUNT($E85:G85)*$E85,COUNT($E85:G85)*$E85,"")</f>
        <v/>
      </c>
      <c r="I85" s="12" t="str">
        <f>IF($C$16&gt;COUNT($E85:H85)*$E85,COUNT($E85:H85)*$E85,"")</f>
        <v/>
      </c>
      <c r="J85" s="12" t="str">
        <f>IF($C$16&gt;COUNT($E85:I85)*$E85,COUNT($E85:I85)*$E85,"")</f>
        <v/>
      </c>
      <c r="K85" s="177" t="str">
        <f>IF($C$16&gt;COUNT($E85:J85)*$E85,COUNT($E85:J85)*$E85,"")</f>
        <v/>
      </c>
      <c r="L85" s="12" t="str">
        <f t="shared" si="15"/>
        <v/>
      </c>
      <c r="M85" s="12" t="str">
        <f t="shared" si="15"/>
        <v/>
      </c>
      <c r="N85" s="12" t="str">
        <f t="shared" si="15"/>
        <v/>
      </c>
      <c r="O85" s="12" t="str">
        <f t="shared" si="15"/>
        <v/>
      </c>
      <c r="P85" s="12" t="str">
        <f t="shared" si="15"/>
        <v/>
      </c>
      <c r="Q85" s="12" t="str">
        <f t="shared" si="15"/>
        <v/>
      </c>
      <c r="R85" s="12" t="str">
        <f t="shared" si="15"/>
        <v/>
      </c>
      <c r="S85" s="12" t="str">
        <f t="shared" si="15"/>
        <v/>
      </c>
      <c r="T85" s="12" t="str">
        <f t="shared" si="15"/>
        <v/>
      </c>
      <c r="U85" s="12" t="str">
        <f t="shared" si="15"/>
        <v/>
      </c>
      <c r="V85" s="12" t="str">
        <f t="shared" si="16"/>
        <v/>
      </c>
      <c r="W85" s="12" t="str">
        <f t="shared" si="16"/>
        <v/>
      </c>
      <c r="X85" s="12" t="str">
        <f t="shared" si="16"/>
        <v/>
      </c>
      <c r="Y85" s="12" t="str">
        <f t="shared" si="16"/>
        <v/>
      </c>
      <c r="Z85" s="12" t="str">
        <f t="shared" si="16"/>
        <v/>
      </c>
      <c r="AA85" s="12" t="str">
        <f t="shared" si="16"/>
        <v/>
      </c>
      <c r="AB85" s="12" t="str">
        <f t="shared" si="16"/>
        <v/>
      </c>
      <c r="AC85" s="12" t="str">
        <f t="shared" si="16"/>
        <v/>
      </c>
      <c r="AD85" s="12" t="str">
        <f t="shared" si="16"/>
        <v/>
      </c>
      <c r="AE85" s="12" t="str">
        <f t="shared" si="16"/>
        <v/>
      </c>
      <c r="AF85" s="12" t="str">
        <f t="shared" si="16"/>
        <v/>
      </c>
      <c r="AG85" s="14">
        <f t="shared" si="3"/>
        <v>0</v>
      </c>
      <c r="AH85" s="14">
        <f t="shared" si="10"/>
        <v>0</v>
      </c>
      <c r="AI85" s="14">
        <f>IF(E85&gt;0,AG85/Calculations!$AB$10,"")</f>
        <v>0</v>
      </c>
      <c r="AJ85" s="52"/>
      <c r="AK85" s="52"/>
      <c r="AL85" s="52"/>
      <c r="AM85" s="52"/>
      <c r="AN85" s="52"/>
      <c r="AO85" s="52"/>
      <c r="AP85" s="52"/>
      <c r="AQ85" s="52"/>
      <c r="AR85" s="52"/>
      <c r="AS85" s="52"/>
    </row>
    <row r="86" spans="1:45" s="51" customFormat="1" ht="13.8" x14ac:dyDescent="0.3">
      <c r="A86" s="32" t="s">
        <v>13</v>
      </c>
      <c r="B86" s="174" t="str">
        <f>B25</f>
        <v>US$</v>
      </c>
      <c r="C86" s="3">
        <v>0</v>
      </c>
      <c r="D86" s="24"/>
      <c r="E86" s="3">
        <f>C16</f>
        <v>25</v>
      </c>
      <c r="F86" s="178" t="str">
        <f>IF($C$16&gt;COUNT($E86:E86)*$E86,COUNT($E86:E86)*$E86,"")</f>
        <v/>
      </c>
      <c r="G86" s="12" t="str">
        <f>IF($C$16&gt;COUNT($E86:F86)*$E86,COUNT($E86:F86)*$E86,"")</f>
        <v/>
      </c>
      <c r="H86" s="12" t="str">
        <f>IF($C$16&gt;COUNT($E86:G86)*$E86,COUNT($E86:G86)*$E86,"")</f>
        <v/>
      </c>
      <c r="I86" s="12" t="str">
        <f>IF($C$16&gt;COUNT($E86:H86)*$E86,COUNT($E86:H86)*$E86,"")</f>
        <v/>
      </c>
      <c r="J86" s="12" t="str">
        <f>IF($C$16&gt;COUNT($E86:I86)*$E86,COUNT($E86:I86)*$E86,"")</f>
        <v/>
      </c>
      <c r="K86" s="177" t="str">
        <f>IF($C$16&gt;COUNT($E86:J86)*$E86,COUNT($E86:J86)*$E86,"")</f>
        <v/>
      </c>
      <c r="L86" s="12" t="str">
        <f t="shared" si="15"/>
        <v/>
      </c>
      <c r="M86" s="12" t="str">
        <f t="shared" si="15"/>
        <v/>
      </c>
      <c r="N86" s="12" t="str">
        <f t="shared" si="15"/>
        <v/>
      </c>
      <c r="O86" s="12" t="str">
        <f t="shared" si="15"/>
        <v/>
      </c>
      <c r="P86" s="12" t="str">
        <f t="shared" si="15"/>
        <v/>
      </c>
      <c r="Q86" s="12" t="str">
        <f t="shared" si="15"/>
        <v/>
      </c>
      <c r="R86" s="12" t="str">
        <f t="shared" si="15"/>
        <v/>
      </c>
      <c r="S86" s="12" t="str">
        <f t="shared" si="15"/>
        <v/>
      </c>
      <c r="T86" s="12" t="str">
        <f t="shared" si="15"/>
        <v/>
      </c>
      <c r="U86" s="12" t="str">
        <f t="shared" si="15"/>
        <v/>
      </c>
      <c r="V86" s="12" t="str">
        <f t="shared" si="16"/>
        <v/>
      </c>
      <c r="W86" s="12" t="str">
        <f t="shared" si="16"/>
        <v/>
      </c>
      <c r="X86" s="12" t="str">
        <f t="shared" si="16"/>
        <v/>
      </c>
      <c r="Y86" s="12" t="str">
        <f t="shared" si="16"/>
        <v/>
      </c>
      <c r="Z86" s="12" t="str">
        <f t="shared" si="16"/>
        <v/>
      </c>
      <c r="AA86" s="12" t="str">
        <f t="shared" si="16"/>
        <v/>
      </c>
      <c r="AB86" s="12" t="str">
        <f t="shared" si="16"/>
        <v/>
      </c>
      <c r="AC86" s="12" t="str">
        <f t="shared" si="16"/>
        <v/>
      </c>
      <c r="AD86" s="12" t="str">
        <f t="shared" si="16"/>
        <v/>
      </c>
      <c r="AE86" s="12" t="str">
        <f t="shared" si="16"/>
        <v/>
      </c>
      <c r="AF86" s="12" t="str">
        <f t="shared" si="16"/>
        <v/>
      </c>
      <c r="AG86" s="14">
        <f t="shared" si="3"/>
        <v>0</v>
      </c>
      <c r="AH86" s="14">
        <f t="shared" si="10"/>
        <v>0</v>
      </c>
      <c r="AI86" s="14">
        <f>IF(E86&gt;0,AG86/Calculations!$AB$10,"")</f>
        <v>0</v>
      </c>
      <c r="AJ86" s="52"/>
      <c r="AK86" s="52"/>
      <c r="AL86" s="52"/>
      <c r="AM86" s="52"/>
      <c r="AN86" s="52"/>
      <c r="AO86" s="52"/>
      <c r="AP86" s="52"/>
      <c r="AQ86" s="52"/>
      <c r="AR86" s="52"/>
      <c r="AS86" s="52"/>
    </row>
    <row r="87" spans="1:45" s="51" customFormat="1" ht="13.8" x14ac:dyDescent="0.3">
      <c r="A87" s="32" t="s">
        <v>43</v>
      </c>
      <c r="B87" s="174" t="str">
        <f>B25</f>
        <v>US$</v>
      </c>
      <c r="C87" s="3">
        <v>0</v>
      </c>
      <c r="D87" s="24"/>
      <c r="E87" s="3">
        <f>C16</f>
        <v>25</v>
      </c>
      <c r="F87" s="178" t="str">
        <f>IF($C$16&gt;COUNT($E87:E87)*$E87,COUNT($E87:E87)*$E87,"")</f>
        <v/>
      </c>
      <c r="G87" s="12" t="str">
        <f>IF($C$16&gt;COUNT($E87:F87)*$E87,COUNT($E87:F87)*$E87,"")</f>
        <v/>
      </c>
      <c r="H87" s="12" t="str">
        <f>IF($C$16&gt;COUNT($E87:G87)*$E87,COUNT($E87:G87)*$E87,"")</f>
        <v/>
      </c>
      <c r="I87" s="12" t="str">
        <f>IF($C$16&gt;COUNT($E87:H87)*$E87,COUNT($E87:H87)*$E87,"")</f>
        <v/>
      </c>
      <c r="J87" s="12" t="str">
        <f>IF($C$16&gt;COUNT($E87:I87)*$E87,COUNT($E87:I87)*$E87,"")</f>
        <v/>
      </c>
      <c r="K87" s="177" t="str">
        <f>IF($C$16&gt;COUNT($E87:J87)*$E87,COUNT($E87:J87)*$E87,"")</f>
        <v/>
      </c>
      <c r="L87" s="12" t="str">
        <f t="shared" si="15"/>
        <v/>
      </c>
      <c r="M87" s="12" t="str">
        <f t="shared" si="15"/>
        <v/>
      </c>
      <c r="N87" s="12" t="str">
        <f t="shared" si="15"/>
        <v/>
      </c>
      <c r="O87" s="12" t="str">
        <f t="shared" si="15"/>
        <v/>
      </c>
      <c r="P87" s="12" t="str">
        <f t="shared" si="15"/>
        <v/>
      </c>
      <c r="Q87" s="12" t="str">
        <f t="shared" si="15"/>
        <v/>
      </c>
      <c r="R87" s="12" t="str">
        <f t="shared" si="15"/>
        <v/>
      </c>
      <c r="S87" s="12" t="str">
        <f t="shared" si="15"/>
        <v/>
      </c>
      <c r="T87" s="12" t="str">
        <f t="shared" si="15"/>
        <v/>
      </c>
      <c r="U87" s="12" t="str">
        <f t="shared" si="15"/>
        <v/>
      </c>
      <c r="V87" s="12" t="str">
        <f t="shared" si="16"/>
        <v/>
      </c>
      <c r="W87" s="12" t="str">
        <f t="shared" si="16"/>
        <v/>
      </c>
      <c r="X87" s="12" t="str">
        <f t="shared" si="16"/>
        <v/>
      </c>
      <c r="Y87" s="12" t="str">
        <f t="shared" si="16"/>
        <v/>
      </c>
      <c r="Z87" s="12" t="str">
        <f t="shared" si="16"/>
        <v/>
      </c>
      <c r="AA87" s="12" t="str">
        <f t="shared" si="16"/>
        <v/>
      </c>
      <c r="AB87" s="12" t="str">
        <f t="shared" si="16"/>
        <v/>
      </c>
      <c r="AC87" s="12" t="str">
        <f t="shared" si="16"/>
        <v/>
      </c>
      <c r="AD87" s="12" t="str">
        <f t="shared" si="16"/>
        <v/>
      </c>
      <c r="AE87" s="12" t="str">
        <f t="shared" si="16"/>
        <v/>
      </c>
      <c r="AF87" s="12" t="str">
        <f t="shared" si="16"/>
        <v/>
      </c>
      <c r="AG87" s="14">
        <f t="shared" si="3"/>
        <v>0</v>
      </c>
      <c r="AH87" s="14">
        <f t="shared" si="10"/>
        <v>0</v>
      </c>
      <c r="AI87" s="14">
        <f>IF(E87&gt;0,AG87/Calculations!$AB$10,"")</f>
        <v>0</v>
      </c>
      <c r="AJ87" s="52"/>
      <c r="AK87" s="52"/>
      <c r="AL87" s="52"/>
      <c r="AM87" s="52"/>
      <c r="AN87" s="52"/>
      <c r="AO87" s="52"/>
      <c r="AP87" s="52"/>
      <c r="AQ87" s="52"/>
      <c r="AR87" s="52"/>
      <c r="AS87" s="52"/>
    </row>
    <row r="88" spans="1:45" s="51" customFormat="1" ht="13.8" x14ac:dyDescent="0.3">
      <c r="A88" s="32" t="s">
        <v>36</v>
      </c>
      <c r="B88" s="174" t="str">
        <f>B25</f>
        <v>US$</v>
      </c>
      <c r="C88" s="3">
        <v>0</v>
      </c>
      <c r="D88" s="24"/>
      <c r="E88" s="3">
        <f>C16</f>
        <v>25</v>
      </c>
      <c r="F88" s="178" t="str">
        <f>IF($C$16&gt;COUNT($E88:E88)*$E88,COUNT($E88:E88)*$E88,"")</f>
        <v/>
      </c>
      <c r="G88" s="12" t="str">
        <f>IF($C$16&gt;COUNT($E88:F88)*$E88,COUNT($E88:F88)*$E88,"")</f>
        <v/>
      </c>
      <c r="H88" s="12" t="str">
        <f>IF($C$16&gt;COUNT($E88:G88)*$E88,COUNT($E88:G88)*$E88,"")</f>
        <v/>
      </c>
      <c r="I88" s="12" t="str">
        <f>IF($C$16&gt;COUNT($E88:H88)*$E88,COUNT($E88:H88)*$E88,"")</f>
        <v/>
      </c>
      <c r="J88" s="12" t="str">
        <f>IF($C$16&gt;COUNT($E88:I88)*$E88,COUNT($E88:I88)*$E88,"")</f>
        <v/>
      </c>
      <c r="K88" s="177" t="str">
        <f>IF($C$16&gt;COUNT($E88:J88)*$E88,COUNT($E88:J88)*$E88,"")</f>
        <v/>
      </c>
      <c r="L88" s="12" t="str">
        <f t="shared" si="15"/>
        <v/>
      </c>
      <c r="M88" s="12" t="str">
        <f t="shared" si="15"/>
        <v/>
      </c>
      <c r="N88" s="12" t="str">
        <f t="shared" si="15"/>
        <v/>
      </c>
      <c r="O88" s="12" t="str">
        <f t="shared" si="15"/>
        <v/>
      </c>
      <c r="P88" s="12" t="str">
        <f t="shared" si="15"/>
        <v/>
      </c>
      <c r="Q88" s="12" t="str">
        <f t="shared" si="15"/>
        <v/>
      </c>
      <c r="R88" s="12" t="str">
        <f t="shared" si="15"/>
        <v/>
      </c>
      <c r="S88" s="12" t="str">
        <f t="shared" si="15"/>
        <v/>
      </c>
      <c r="T88" s="12" t="str">
        <f t="shared" si="15"/>
        <v/>
      </c>
      <c r="U88" s="12" t="str">
        <f t="shared" si="15"/>
        <v/>
      </c>
      <c r="V88" s="12" t="str">
        <f t="shared" si="16"/>
        <v/>
      </c>
      <c r="W88" s="12" t="str">
        <f t="shared" si="16"/>
        <v/>
      </c>
      <c r="X88" s="12" t="str">
        <f t="shared" si="16"/>
        <v/>
      </c>
      <c r="Y88" s="12" t="str">
        <f t="shared" si="16"/>
        <v/>
      </c>
      <c r="Z88" s="12" t="str">
        <f t="shared" si="16"/>
        <v/>
      </c>
      <c r="AA88" s="12" t="str">
        <f t="shared" si="16"/>
        <v/>
      </c>
      <c r="AB88" s="12" t="str">
        <f t="shared" si="16"/>
        <v/>
      </c>
      <c r="AC88" s="12" t="str">
        <f t="shared" si="16"/>
        <v/>
      </c>
      <c r="AD88" s="12" t="str">
        <f t="shared" si="16"/>
        <v/>
      </c>
      <c r="AE88" s="12" t="str">
        <f t="shared" si="16"/>
        <v/>
      </c>
      <c r="AF88" s="12" t="str">
        <f t="shared" si="16"/>
        <v/>
      </c>
      <c r="AG88" s="14">
        <f t="shared" si="3"/>
        <v>0</v>
      </c>
      <c r="AH88" s="14">
        <f t="shared" ref="AH88:AH119" si="17">IF(E88&gt;0,AG88/$C$16,"")</f>
        <v>0</v>
      </c>
      <c r="AI88" s="14">
        <f>IF(E88&gt;0,AG88/Calculations!$AB$10,"")</f>
        <v>0</v>
      </c>
      <c r="AJ88" s="52"/>
      <c r="AK88" s="52"/>
      <c r="AL88" s="52"/>
      <c r="AM88" s="52"/>
      <c r="AN88" s="52"/>
      <c r="AO88" s="52"/>
      <c r="AP88" s="52"/>
      <c r="AQ88" s="52"/>
      <c r="AR88" s="52"/>
      <c r="AS88" s="52"/>
    </row>
    <row r="89" spans="1:45" s="51" customFormat="1" ht="13.8" x14ac:dyDescent="0.3">
      <c r="A89" s="32" t="s">
        <v>11</v>
      </c>
      <c r="B89" s="174" t="str">
        <f>B25</f>
        <v>US$</v>
      </c>
      <c r="C89" s="3">
        <v>0</v>
      </c>
      <c r="D89" s="24"/>
      <c r="E89" s="3">
        <f>C16</f>
        <v>25</v>
      </c>
      <c r="F89" s="178" t="str">
        <f>IF($C$16&gt;COUNT($E89:E89)*$E89,COUNT($E89:E89)*$E89,"")</f>
        <v/>
      </c>
      <c r="G89" s="12" t="str">
        <f>IF($C$16&gt;COUNT($E89:F89)*$E89,COUNT($E89:F89)*$E89,"")</f>
        <v/>
      </c>
      <c r="H89" s="12" t="str">
        <f>IF($C$16&gt;COUNT($E89:G89)*$E89,COUNT($E89:G89)*$E89,"")</f>
        <v/>
      </c>
      <c r="I89" s="12" t="str">
        <f>IF($C$16&gt;COUNT($E89:H89)*$E89,COUNT($E89:H89)*$E89,"")</f>
        <v/>
      </c>
      <c r="J89" s="12" t="str">
        <f>IF($C$16&gt;COUNT($E89:I89)*$E89,COUNT($E89:I89)*$E89,"")</f>
        <v/>
      </c>
      <c r="K89" s="177" t="str">
        <f>IF($C$16&gt;COUNT($E89:J89)*$E89,COUNT($E89:J89)*$E89,"")</f>
        <v/>
      </c>
      <c r="L89" s="12" t="str">
        <f t="shared" si="15"/>
        <v/>
      </c>
      <c r="M89" s="12" t="str">
        <f t="shared" si="15"/>
        <v/>
      </c>
      <c r="N89" s="12" t="str">
        <f t="shared" si="15"/>
        <v/>
      </c>
      <c r="O89" s="12" t="str">
        <f t="shared" si="15"/>
        <v/>
      </c>
      <c r="P89" s="12" t="str">
        <f t="shared" si="15"/>
        <v/>
      </c>
      <c r="Q89" s="12" t="str">
        <f t="shared" si="15"/>
        <v/>
      </c>
      <c r="R89" s="12" t="str">
        <f t="shared" si="15"/>
        <v/>
      </c>
      <c r="S89" s="12" t="str">
        <f t="shared" si="15"/>
        <v/>
      </c>
      <c r="T89" s="12" t="str">
        <f t="shared" si="15"/>
        <v/>
      </c>
      <c r="U89" s="12" t="str">
        <f t="shared" si="15"/>
        <v/>
      </c>
      <c r="V89" s="12" t="str">
        <f t="shared" si="16"/>
        <v/>
      </c>
      <c r="W89" s="12" t="str">
        <f t="shared" si="16"/>
        <v/>
      </c>
      <c r="X89" s="12" t="str">
        <f t="shared" si="16"/>
        <v/>
      </c>
      <c r="Y89" s="12" t="str">
        <f t="shared" si="16"/>
        <v/>
      </c>
      <c r="Z89" s="12" t="str">
        <f t="shared" si="16"/>
        <v/>
      </c>
      <c r="AA89" s="12" t="str">
        <f t="shared" si="16"/>
        <v/>
      </c>
      <c r="AB89" s="12" t="str">
        <f t="shared" si="16"/>
        <v/>
      </c>
      <c r="AC89" s="12" t="str">
        <f t="shared" si="16"/>
        <v/>
      </c>
      <c r="AD89" s="12" t="str">
        <f t="shared" si="16"/>
        <v/>
      </c>
      <c r="AE89" s="12" t="str">
        <f t="shared" si="16"/>
        <v/>
      </c>
      <c r="AF89" s="12" t="str">
        <f t="shared" si="16"/>
        <v/>
      </c>
      <c r="AG89" s="14">
        <f t="shared" ref="AG89:AG91" si="18">IF(E89&gt;0,C89/E89*$C$16,C89)</f>
        <v>0</v>
      </c>
      <c r="AH89" s="14">
        <f t="shared" si="17"/>
        <v>0</v>
      </c>
      <c r="AI89" s="14">
        <f>IF(E89&gt;0,AG89/Calculations!$AB$10,"")</f>
        <v>0</v>
      </c>
      <c r="AJ89" s="52"/>
      <c r="AK89" s="52"/>
      <c r="AL89" s="52"/>
      <c r="AM89" s="52"/>
      <c r="AN89" s="52"/>
      <c r="AO89" s="52"/>
      <c r="AP89" s="52"/>
      <c r="AQ89" s="52"/>
      <c r="AR89" s="52"/>
      <c r="AS89" s="52"/>
    </row>
    <row r="90" spans="1:45" s="51" customFormat="1" ht="13.8" x14ac:dyDescent="0.3">
      <c r="A90" s="32" t="s">
        <v>239</v>
      </c>
      <c r="B90" s="174" t="str">
        <f>B25</f>
        <v>US$</v>
      </c>
      <c r="C90" s="3">
        <v>0</v>
      </c>
      <c r="D90" s="24"/>
      <c r="E90" s="3">
        <f>C16</f>
        <v>25</v>
      </c>
      <c r="F90" s="178" t="str">
        <f>IF($C$16&gt;COUNT($E90:E90)*$E90,COUNT($E90:E90)*$E90,"")</f>
        <v/>
      </c>
      <c r="G90" s="12" t="str">
        <f>IF($C$16&gt;COUNT($E90:F90)*$E90,COUNT($E90:F90)*$E90,"")</f>
        <v/>
      </c>
      <c r="H90" s="12" t="str">
        <f>IF($C$16&gt;COUNT($E90:G90)*$E90,COUNT($E90:G90)*$E90,"")</f>
        <v/>
      </c>
      <c r="I90" s="12" t="str">
        <f>IF($C$16&gt;COUNT($E90:H90)*$E90,COUNT($E90:H90)*$E90,"")</f>
        <v/>
      </c>
      <c r="J90" s="12" t="str">
        <f>IF($C$16&gt;COUNT($E90:I90)*$E90,COUNT($E90:I90)*$E90,"")</f>
        <v/>
      </c>
      <c r="K90" s="177" t="str">
        <f>IF($C$16&gt;COUNT($E90:J90)*$E90,COUNT($E90:J90)*$E90,"")</f>
        <v/>
      </c>
      <c r="L90" s="12" t="str">
        <f t="shared" si="15"/>
        <v/>
      </c>
      <c r="M90" s="12" t="str">
        <f t="shared" si="15"/>
        <v/>
      </c>
      <c r="N90" s="12" t="str">
        <f t="shared" si="15"/>
        <v/>
      </c>
      <c r="O90" s="12" t="str">
        <f t="shared" si="15"/>
        <v/>
      </c>
      <c r="P90" s="12" t="str">
        <f t="shared" si="15"/>
        <v/>
      </c>
      <c r="Q90" s="12" t="str">
        <f t="shared" si="15"/>
        <v/>
      </c>
      <c r="R90" s="12" t="str">
        <f t="shared" si="15"/>
        <v/>
      </c>
      <c r="S90" s="12" t="str">
        <f t="shared" si="15"/>
        <v/>
      </c>
      <c r="T90" s="12" t="str">
        <f t="shared" si="15"/>
        <v/>
      </c>
      <c r="U90" s="12" t="str">
        <f t="shared" si="15"/>
        <v/>
      </c>
      <c r="V90" s="12" t="str">
        <f t="shared" si="16"/>
        <v/>
      </c>
      <c r="W90" s="12" t="str">
        <f t="shared" si="16"/>
        <v/>
      </c>
      <c r="X90" s="12" t="str">
        <f t="shared" si="16"/>
        <v/>
      </c>
      <c r="Y90" s="12" t="str">
        <f t="shared" si="16"/>
        <v/>
      </c>
      <c r="Z90" s="12" t="str">
        <f t="shared" si="16"/>
        <v/>
      </c>
      <c r="AA90" s="12" t="str">
        <f t="shared" si="16"/>
        <v/>
      </c>
      <c r="AB90" s="12" t="str">
        <f t="shared" si="16"/>
        <v/>
      </c>
      <c r="AC90" s="12" t="str">
        <f t="shared" si="16"/>
        <v/>
      </c>
      <c r="AD90" s="12" t="str">
        <f t="shared" si="16"/>
        <v/>
      </c>
      <c r="AE90" s="12" t="str">
        <f t="shared" si="16"/>
        <v/>
      </c>
      <c r="AF90" s="12" t="str">
        <f t="shared" si="16"/>
        <v/>
      </c>
      <c r="AG90" s="14">
        <f>IF(E90&gt;0,C90/E90*$C$16,C90)</f>
        <v>0</v>
      </c>
      <c r="AH90" s="14">
        <f t="shared" si="17"/>
        <v>0</v>
      </c>
      <c r="AI90" s="14">
        <f>IF(E90&gt;0,AG90/Calculations!$AB$10,"")</f>
        <v>0</v>
      </c>
      <c r="AJ90" s="52"/>
      <c r="AK90" s="52"/>
      <c r="AL90" s="52"/>
      <c r="AM90" s="52"/>
      <c r="AN90" s="52"/>
      <c r="AO90" s="52"/>
      <c r="AP90" s="52"/>
      <c r="AQ90" s="52"/>
      <c r="AR90" s="52"/>
      <c r="AS90" s="52"/>
    </row>
    <row r="91" spans="1:45" s="51" customFormat="1" ht="13.8" x14ac:dyDescent="0.3">
      <c r="A91" s="32" t="s">
        <v>238</v>
      </c>
      <c r="B91" s="174" t="str">
        <f>B25</f>
        <v>US$</v>
      </c>
      <c r="C91" s="3">
        <v>0</v>
      </c>
      <c r="D91" s="24"/>
      <c r="E91" s="3">
        <f>C16</f>
        <v>25</v>
      </c>
      <c r="F91" s="178" t="str">
        <f>IF($C$16&gt;COUNT($E91:E91)*$E91,COUNT($E91:E91)*$E91,"")</f>
        <v/>
      </c>
      <c r="G91" s="12" t="str">
        <f>IF($C$16&gt;COUNT($E91:F91)*$E91,COUNT($E91:F91)*$E91,"")</f>
        <v/>
      </c>
      <c r="H91" s="12" t="str">
        <f>IF($C$16&gt;COUNT($E91:G91)*$E91,COUNT($E91:G91)*$E91,"")</f>
        <v/>
      </c>
      <c r="I91" s="12" t="str">
        <f>IF($C$16&gt;COUNT($E91:H91)*$E91,COUNT($E91:H91)*$E91,"")</f>
        <v/>
      </c>
      <c r="J91" s="12" t="str">
        <f>IF($C$16&gt;COUNT($E91:I91)*$E91,COUNT($E91:I91)*$E91,"")</f>
        <v/>
      </c>
      <c r="K91" s="177" t="str">
        <f>IF($C$16&gt;COUNT($E91:J91)*$E91,COUNT($E91:J91)*$E91,"")</f>
        <v/>
      </c>
      <c r="L91" s="12" t="str">
        <f t="shared" si="15"/>
        <v/>
      </c>
      <c r="M91" s="12" t="str">
        <f t="shared" si="15"/>
        <v/>
      </c>
      <c r="N91" s="12" t="str">
        <f t="shared" si="15"/>
        <v/>
      </c>
      <c r="O91" s="12" t="str">
        <f t="shared" si="15"/>
        <v/>
      </c>
      <c r="P91" s="12" t="str">
        <f t="shared" si="15"/>
        <v/>
      </c>
      <c r="Q91" s="12" t="str">
        <f t="shared" si="15"/>
        <v/>
      </c>
      <c r="R91" s="12" t="str">
        <f t="shared" si="15"/>
        <v/>
      </c>
      <c r="S91" s="12" t="str">
        <f t="shared" si="15"/>
        <v/>
      </c>
      <c r="T91" s="12" t="str">
        <f t="shared" si="15"/>
        <v/>
      </c>
      <c r="U91" s="12" t="str">
        <f t="shared" si="15"/>
        <v/>
      </c>
      <c r="V91" s="12" t="str">
        <f t="shared" si="16"/>
        <v/>
      </c>
      <c r="W91" s="12" t="str">
        <f t="shared" si="16"/>
        <v/>
      </c>
      <c r="X91" s="12" t="str">
        <f t="shared" si="16"/>
        <v/>
      </c>
      <c r="Y91" s="12" t="str">
        <f t="shared" si="16"/>
        <v/>
      </c>
      <c r="Z91" s="12" t="str">
        <f t="shared" si="16"/>
        <v/>
      </c>
      <c r="AA91" s="12" t="str">
        <f t="shared" si="16"/>
        <v/>
      </c>
      <c r="AB91" s="12" t="str">
        <f t="shared" si="16"/>
        <v/>
      </c>
      <c r="AC91" s="12" t="str">
        <f t="shared" si="16"/>
        <v/>
      </c>
      <c r="AD91" s="12" t="str">
        <f t="shared" si="16"/>
        <v/>
      </c>
      <c r="AE91" s="12" t="str">
        <f t="shared" si="16"/>
        <v/>
      </c>
      <c r="AF91" s="12" t="str">
        <f t="shared" si="16"/>
        <v/>
      </c>
      <c r="AG91" s="14">
        <f t="shared" si="18"/>
        <v>0</v>
      </c>
      <c r="AH91" s="14">
        <f t="shared" si="17"/>
        <v>0</v>
      </c>
      <c r="AI91" s="14">
        <f>IF(E91&gt;0,AG91/Calculations!$AB$10,"")</f>
        <v>0</v>
      </c>
      <c r="AJ91" s="52"/>
      <c r="AK91" s="52"/>
      <c r="AL91" s="52"/>
      <c r="AM91" s="52"/>
      <c r="AN91" s="52"/>
      <c r="AO91" s="52"/>
      <c r="AP91" s="52"/>
      <c r="AQ91" s="52"/>
      <c r="AR91" s="52"/>
      <c r="AS91" s="52"/>
    </row>
    <row r="92" spans="1:45" s="51" customFormat="1" ht="13.8" x14ac:dyDescent="0.3">
      <c r="A92" s="32" t="s">
        <v>41</v>
      </c>
      <c r="B92" s="174" t="str">
        <f>B25</f>
        <v>US$</v>
      </c>
      <c r="C92" s="3">
        <v>0</v>
      </c>
      <c r="D92" s="24"/>
      <c r="E92" s="3">
        <f>C16</f>
        <v>25</v>
      </c>
      <c r="F92" s="178" t="str">
        <f>IF($C$16&gt;COUNT($E92:E92)*$E92,COUNT($E92:E92)*$E92,"")</f>
        <v/>
      </c>
      <c r="G92" s="12" t="str">
        <f>IF($C$16&gt;COUNT($E92:F92)*$E92,COUNT($E92:F92)*$E92,"")</f>
        <v/>
      </c>
      <c r="H92" s="12" t="str">
        <f>IF($C$16&gt;COUNT($E92:G92)*$E92,COUNT($E92:G92)*$E92,"")</f>
        <v/>
      </c>
      <c r="I92" s="12" t="str">
        <f>IF($C$16&gt;COUNT($E92:H92)*$E92,COUNT($E92:H92)*$E92,"")</f>
        <v/>
      </c>
      <c r="J92" s="12" t="str">
        <f>IF($C$16&gt;COUNT($E92:I92)*$E92,COUNT($E92:I92)*$E92,"")</f>
        <v/>
      </c>
      <c r="K92" s="177" t="str">
        <f>IF($C$16&gt;COUNT($E92:J92)*$E92,COUNT($E92:J92)*$E92,"")</f>
        <v/>
      </c>
      <c r="L92" s="12" t="str">
        <f t="shared" si="15"/>
        <v/>
      </c>
      <c r="M92" s="12" t="str">
        <f t="shared" si="15"/>
        <v/>
      </c>
      <c r="N92" s="12" t="str">
        <f t="shared" si="15"/>
        <v/>
      </c>
      <c r="O92" s="12" t="str">
        <f t="shared" si="15"/>
        <v/>
      </c>
      <c r="P92" s="12" t="str">
        <f t="shared" si="15"/>
        <v/>
      </c>
      <c r="Q92" s="12" t="str">
        <f t="shared" si="15"/>
        <v/>
      </c>
      <c r="R92" s="12" t="str">
        <f t="shared" si="15"/>
        <v/>
      </c>
      <c r="S92" s="12" t="str">
        <f t="shared" si="15"/>
        <v/>
      </c>
      <c r="T92" s="12" t="str">
        <f t="shared" si="15"/>
        <v/>
      </c>
      <c r="U92" s="12" t="str">
        <f t="shared" si="15"/>
        <v/>
      </c>
      <c r="V92" s="12" t="str">
        <f t="shared" si="16"/>
        <v/>
      </c>
      <c r="W92" s="12" t="str">
        <f t="shared" si="16"/>
        <v/>
      </c>
      <c r="X92" s="12" t="str">
        <f t="shared" si="16"/>
        <v/>
      </c>
      <c r="Y92" s="12" t="str">
        <f t="shared" si="16"/>
        <v/>
      </c>
      <c r="Z92" s="12" t="str">
        <f t="shared" si="16"/>
        <v/>
      </c>
      <c r="AA92" s="12" t="str">
        <f t="shared" si="16"/>
        <v/>
      </c>
      <c r="AB92" s="12" t="str">
        <f t="shared" si="16"/>
        <v/>
      </c>
      <c r="AC92" s="12" t="str">
        <f t="shared" si="16"/>
        <v/>
      </c>
      <c r="AD92" s="12" t="str">
        <f t="shared" si="16"/>
        <v/>
      </c>
      <c r="AE92" s="12" t="str">
        <f t="shared" si="16"/>
        <v/>
      </c>
      <c r="AF92" s="12" t="str">
        <f t="shared" si="16"/>
        <v/>
      </c>
      <c r="AG92" s="14">
        <f>IF(E92&gt;0,C92/E92*$C$16,C92)</f>
        <v>0</v>
      </c>
      <c r="AH92" s="14">
        <f t="shared" si="17"/>
        <v>0</v>
      </c>
      <c r="AI92" s="14">
        <f>IF(E92&gt;0,AG92/Calculations!$AB$10,"")</f>
        <v>0</v>
      </c>
      <c r="AJ92" s="52"/>
      <c r="AK92" s="52"/>
      <c r="AL92" s="52"/>
      <c r="AM92" s="52"/>
      <c r="AN92" s="52"/>
      <c r="AO92" s="52"/>
      <c r="AP92" s="52"/>
      <c r="AQ92" s="52"/>
      <c r="AR92" s="52"/>
      <c r="AS92" s="52"/>
    </row>
    <row r="93" spans="1:45" s="51" customFormat="1" ht="13.8" x14ac:dyDescent="0.3">
      <c r="A93" s="32" t="s">
        <v>96</v>
      </c>
      <c r="B93" s="174" t="str">
        <f>B25</f>
        <v>US$</v>
      </c>
      <c r="C93" s="3">
        <v>0</v>
      </c>
      <c r="D93" s="24"/>
      <c r="E93" s="3">
        <f>C16</f>
        <v>25</v>
      </c>
      <c r="F93" s="178" t="str">
        <f>IF($C$16&gt;COUNT($E93:E93)*$E93,COUNT($E93:E93)*$E93,"")</f>
        <v/>
      </c>
      <c r="G93" s="12" t="str">
        <f>IF($C$16&gt;COUNT($E93:F93)*$E93,COUNT($E93:F93)*$E93,"")</f>
        <v/>
      </c>
      <c r="H93" s="12" t="str">
        <f>IF($C$16&gt;COUNT($E93:G93)*$E93,COUNT($E93:G93)*$E93,"")</f>
        <v/>
      </c>
      <c r="I93" s="12" t="str">
        <f>IF($C$16&gt;COUNT($E93:H93)*$E93,COUNT($E93:H93)*$E93,"")</f>
        <v/>
      </c>
      <c r="J93" s="12" t="str">
        <f>IF($C$16&gt;COUNT($E93:I93)*$E93,COUNT($E93:I93)*$E93,"")</f>
        <v/>
      </c>
      <c r="K93" s="177" t="str">
        <f>IF($C$16&gt;COUNT($E93:J93)*$E93,COUNT($E93:J93)*$E93,"")</f>
        <v/>
      </c>
      <c r="L93" s="12" t="str">
        <f t="shared" si="15"/>
        <v/>
      </c>
      <c r="M93" s="12" t="str">
        <f t="shared" si="15"/>
        <v/>
      </c>
      <c r="N93" s="12" t="str">
        <f t="shared" si="15"/>
        <v/>
      </c>
      <c r="O93" s="12" t="str">
        <f t="shared" si="15"/>
        <v/>
      </c>
      <c r="P93" s="12" t="str">
        <f t="shared" si="15"/>
        <v/>
      </c>
      <c r="Q93" s="12" t="str">
        <f t="shared" si="15"/>
        <v/>
      </c>
      <c r="R93" s="12" t="str">
        <f t="shared" si="15"/>
        <v/>
      </c>
      <c r="S93" s="12" t="str">
        <f t="shared" si="15"/>
        <v/>
      </c>
      <c r="T93" s="12" t="str">
        <f t="shared" si="15"/>
        <v/>
      </c>
      <c r="U93" s="12" t="str">
        <f t="shared" si="15"/>
        <v/>
      </c>
      <c r="V93" s="12" t="str">
        <f t="shared" si="16"/>
        <v/>
      </c>
      <c r="W93" s="12" t="str">
        <f t="shared" si="16"/>
        <v/>
      </c>
      <c r="X93" s="12" t="str">
        <f t="shared" si="16"/>
        <v/>
      </c>
      <c r="Y93" s="12" t="str">
        <f t="shared" si="16"/>
        <v/>
      </c>
      <c r="Z93" s="12" t="str">
        <f t="shared" si="16"/>
        <v/>
      </c>
      <c r="AA93" s="12" t="str">
        <f t="shared" si="16"/>
        <v/>
      </c>
      <c r="AB93" s="12" t="str">
        <f t="shared" si="16"/>
        <v/>
      </c>
      <c r="AC93" s="12" t="str">
        <f t="shared" si="16"/>
        <v/>
      </c>
      <c r="AD93" s="12" t="str">
        <f t="shared" si="16"/>
        <v/>
      </c>
      <c r="AE93" s="12" t="str">
        <f t="shared" si="16"/>
        <v/>
      </c>
      <c r="AF93" s="12" t="str">
        <f t="shared" si="16"/>
        <v/>
      </c>
      <c r="AG93" s="14">
        <f t="shared" ref="AG93:AG109" si="19">IF(E93&gt;0,C93/E93*$C$16,C93)</f>
        <v>0</v>
      </c>
      <c r="AH93" s="14">
        <f t="shared" si="17"/>
        <v>0</v>
      </c>
      <c r="AI93" s="14">
        <f>IF(E93&gt;0,AG93/Calculations!$AB$10,"")</f>
        <v>0</v>
      </c>
      <c r="AJ93" s="52"/>
      <c r="AK93" s="52"/>
      <c r="AL93" s="52"/>
      <c r="AM93" s="52"/>
      <c r="AN93" s="52"/>
      <c r="AO93" s="52"/>
      <c r="AP93" s="52"/>
      <c r="AQ93" s="52"/>
      <c r="AR93" s="52"/>
      <c r="AS93" s="52"/>
    </row>
    <row r="94" spans="1:45" s="51" customFormat="1" ht="13.8" x14ac:dyDescent="0.3">
      <c r="A94" s="32" t="s">
        <v>38</v>
      </c>
      <c r="B94" s="174" t="str">
        <f>B25</f>
        <v>US$</v>
      </c>
      <c r="C94" s="3">
        <v>0</v>
      </c>
      <c r="D94" s="24"/>
      <c r="E94" s="3">
        <f>C16</f>
        <v>25</v>
      </c>
      <c r="F94" s="178" t="str">
        <f>IF($C$16&gt;COUNT($E94:E94)*$E94,COUNT($E94:E94)*$E94,"")</f>
        <v/>
      </c>
      <c r="G94" s="12" t="str">
        <f>IF($C$16&gt;COUNT($E94:F94)*$E94,COUNT($E94:F94)*$E94,"")</f>
        <v/>
      </c>
      <c r="H94" s="12" t="str">
        <f>IF($C$16&gt;COUNT($E94:G94)*$E94,COUNT($E94:G94)*$E94,"")</f>
        <v/>
      </c>
      <c r="I94" s="12" t="str">
        <f>IF($C$16&gt;COUNT($E94:H94)*$E94,COUNT($E94:H94)*$E94,"")</f>
        <v/>
      </c>
      <c r="J94" s="12" t="str">
        <f>IF($C$16&gt;COUNT($E94:I94)*$E94,COUNT($E94:I94)*$E94,"")</f>
        <v/>
      </c>
      <c r="K94" s="177" t="str">
        <f>IF($C$16&gt;COUNT($E94:J94)*$E94,COUNT($E94:J94)*$E94,"")</f>
        <v/>
      </c>
      <c r="L94" s="12" t="str">
        <f t="shared" ref="L94:U103" si="20">IF(L$23=0,"",IF($F94=L$23,$C94,IF($G94=L$23,$C94,IF($H94=L$23,$C94,IF($I94=L$23,$C94,IF($J94=L$23,$C94,IF($K94=L$23,$C94,"")))))))</f>
        <v/>
      </c>
      <c r="M94" s="12" t="str">
        <f t="shared" si="20"/>
        <v/>
      </c>
      <c r="N94" s="12" t="str">
        <f t="shared" si="20"/>
        <v/>
      </c>
      <c r="O94" s="12" t="str">
        <f t="shared" si="20"/>
        <v/>
      </c>
      <c r="P94" s="12" t="str">
        <f t="shared" si="20"/>
        <v/>
      </c>
      <c r="Q94" s="12" t="str">
        <f t="shared" si="20"/>
        <v/>
      </c>
      <c r="R94" s="12" t="str">
        <f t="shared" si="20"/>
        <v/>
      </c>
      <c r="S94" s="12" t="str">
        <f t="shared" si="20"/>
        <v/>
      </c>
      <c r="T94" s="12" t="str">
        <f t="shared" si="20"/>
        <v/>
      </c>
      <c r="U94" s="12" t="str">
        <f t="shared" si="20"/>
        <v/>
      </c>
      <c r="V94" s="12" t="str">
        <f t="shared" ref="V94:AF103" si="21">IF(V$23=0,"",IF($F94=V$23,$C94,IF($G94=V$23,$C94,IF($H94=V$23,$C94,IF($I94=V$23,$C94,IF($J94=V$23,$C94,IF($K94=V$23,$C94,"")))))))</f>
        <v/>
      </c>
      <c r="W94" s="12" t="str">
        <f t="shared" si="21"/>
        <v/>
      </c>
      <c r="X94" s="12" t="str">
        <f t="shared" si="21"/>
        <v/>
      </c>
      <c r="Y94" s="12" t="str">
        <f t="shared" si="21"/>
        <v/>
      </c>
      <c r="Z94" s="12" t="str">
        <f t="shared" si="21"/>
        <v/>
      </c>
      <c r="AA94" s="12" t="str">
        <f t="shared" si="21"/>
        <v/>
      </c>
      <c r="AB94" s="12" t="str">
        <f t="shared" si="21"/>
        <v/>
      </c>
      <c r="AC94" s="12" t="str">
        <f t="shared" si="21"/>
        <v/>
      </c>
      <c r="AD94" s="12" t="str">
        <f t="shared" si="21"/>
        <v/>
      </c>
      <c r="AE94" s="12" t="str">
        <f t="shared" si="21"/>
        <v/>
      </c>
      <c r="AF94" s="12" t="str">
        <f t="shared" si="21"/>
        <v/>
      </c>
      <c r="AG94" s="14">
        <f t="shared" si="19"/>
        <v>0</v>
      </c>
      <c r="AH94" s="14">
        <f t="shared" si="17"/>
        <v>0</v>
      </c>
      <c r="AI94" s="14">
        <f>IF(E94&gt;0,AG94/Calculations!$AB$10,"")</f>
        <v>0</v>
      </c>
      <c r="AJ94" s="52"/>
      <c r="AK94" s="52"/>
      <c r="AL94" s="52"/>
      <c r="AM94" s="52"/>
      <c r="AN94" s="52"/>
      <c r="AO94" s="52"/>
      <c r="AP94" s="52"/>
      <c r="AQ94" s="52"/>
      <c r="AR94" s="52"/>
      <c r="AS94" s="52"/>
    </row>
    <row r="95" spans="1:45" s="51" customFormat="1" ht="13.8" x14ac:dyDescent="0.3">
      <c r="A95" s="32" t="s">
        <v>12</v>
      </c>
      <c r="B95" s="174" t="str">
        <f>B25</f>
        <v>US$</v>
      </c>
      <c r="C95" s="3">
        <v>0</v>
      </c>
      <c r="D95" s="24"/>
      <c r="E95" s="3">
        <f>C16</f>
        <v>25</v>
      </c>
      <c r="F95" s="178" t="str">
        <f>IF($C$16&gt;COUNT($E95:E95)*$E95,COUNT($E95:E95)*$E95,"")</f>
        <v/>
      </c>
      <c r="G95" s="12" t="str">
        <f>IF($C$16&gt;COUNT($E95:F95)*$E95,COUNT($E95:F95)*$E95,"")</f>
        <v/>
      </c>
      <c r="H95" s="12" t="str">
        <f>IF($C$16&gt;COUNT($E95:G95)*$E95,COUNT($E95:G95)*$E95,"")</f>
        <v/>
      </c>
      <c r="I95" s="12" t="str">
        <f>IF($C$16&gt;COUNT($E95:H95)*$E95,COUNT($E95:H95)*$E95,"")</f>
        <v/>
      </c>
      <c r="J95" s="12" t="str">
        <f>IF($C$16&gt;COUNT($E95:I95)*$E95,COUNT($E95:I95)*$E95,"")</f>
        <v/>
      </c>
      <c r="K95" s="177" t="str">
        <f>IF($C$16&gt;COUNT($E95:J95)*$E95,COUNT($E95:J95)*$E95,"")</f>
        <v/>
      </c>
      <c r="L95" s="12" t="str">
        <f t="shared" si="20"/>
        <v/>
      </c>
      <c r="M95" s="12" t="str">
        <f t="shared" si="20"/>
        <v/>
      </c>
      <c r="N95" s="12" t="str">
        <f t="shared" si="20"/>
        <v/>
      </c>
      <c r="O95" s="12" t="str">
        <f t="shared" si="20"/>
        <v/>
      </c>
      <c r="P95" s="12" t="str">
        <f t="shared" si="20"/>
        <v/>
      </c>
      <c r="Q95" s="12" t="str">
        <f t="shared" si="20"/>
        <v/>
      </c>
      <c r="R95" s="12" t="str">
        <f t="shared" si="20"/>
        <v/>
      </c>
      <c r="S95" s="12" t="str">
        <f t="shared" si="20"/>
        <v/>
      </c>
      <c r="T95" s="12" t="str">
        <f t="shared" si="20"/>
        <v/>
      </c>
      <c r="U95" s="12" t="str">
        <f t="shared" si="20"/>
        <v/>
      </c>
      <c r="V95" s="12" t="str">
        <f t="shared" si="21"/>
        <v/>
      </c>
      <c r="W95" s="12" t="str">
        <f t="shared" si="21"/>
        <v/>
      </c>
      <c r="X95" s="12" t="str">
        <f t="shared" si="21"/>
        <v/>
      </c>
      <c r="Y95" s="12" t="str">
        <f t="shared" si="21"/>
        <v/>
      </c>
      <c r="Z95" s="12" t="str">
        <f t="shared" si="21"/>
        <v/>
      </c>
      <c r="AA95" s="12" t="str">
        <f t="shared" si="21"/>
        <v/>
      </c>
      <c r="AB95" s="12" t="str">
        <f t="shared" si="21"/>
        <v/>
      </c>
      <c r="AC95" s="12" t="str">
        <f t="shared" si="21"/>
        <v/>
      </c>
      <c r="AD95" s="12" t="str">
        <f t="shared" si="21"/>
        <v/>
      </c>
      <c r="AE95" s="12" t="str">
        <f t="shared" si="21"/>
        <v/>
      </c>
      <c r="AF95" s="12" t="str">
        <f t="shared" si="21"/>
        <v/>
      </c>
      <c r="AG95" s="14">
        <f t="shared" si="19"/>
        <v>0</v>
      </c>
      <c r="AH95" s="14">
        <f t="shared" si="17"/>
        <v>0</v>
      </c>
      <c r="AI95" s="14">
        <f>IF(E95&gt;0,AG95/Calculations!$AB$10,"")</f>
        <v>0</v>
      </c>
      <c r="AJ95" s="52"/>
      <c r="AK95" s="52"/>
      <c r="AL95" s="52"/>
      <c r="AM95" s="52"/>
      <c r="AN95" s="52"/>
      <c r="AO95" s="52"/>
      <c r="AP95" s="52"/>
      <c r="AQ95" s="52"/>
      <c r="AR95" s="52"/>
      <c r="AS95" s="52"/>
    </row>
    <row r="96" spans="1:45" s="51" customFormat="1" ht="13.8" x14ac:dyDescent="0.3">
      <c r="A96" s="32"/>
      <c r="B96" s="174" t="str">
        <f>B25</f>
        <v>US$</v>
      </c>
      <c r="C96" s="3">
        <v>0</v>
      </c>
      <c r="D96" s="24"/>
      <c r="E96" s="3">
        <f>C16</f>
        <v>25</v>
      </c>
      <c r="F96" s="178"/>
      <c r="G96" s="12"/>
      <c r="H96" s="12"/>
      <c r="I96" s="12"/>
      <c r="J96" s="12"/>
      <c r="K96" s="177" t="str">
        <f>IF($C$16&gt;COUNT($E96:J96)*$E96,COUNT($E96:J96)*$E96,"")</f>
        <v/>
      </c>
      <c r="L96" s="12" t="str">
        <f t="shared" si="20"/>
        <v/>
      </c>
      <c r="M96" s="12" t="str">
        <f t="shared" si="20"/>
        <v/>
      </c>
      <c r="N96" s="12" t="str">
        <f t="shared" si="20"/>
        <v/>
      </c>
      <c r="O96" s="12" t="str">
        <f t="shared" si="20"/>
        <v/>
      </c>
      <c r="P96" s="12" t="str">
        <f t="shared" si="20"/>
        <v/>
      </c>
      <c r="Q96" s="12" t="str">
        <f t="shared" si="20"/>
        <v/>
      </c>
      <c r="R96" s="12" t="str">
        <f t="shared" si="20"/>
        <v/>
      </c>
      <c r="S96" s="12" t="str">
        <f t="shared" si="20"/>
        <v/>
      </c>
      <c r="T96" s="12" t="str">
        <f t="shared" si="20"/>
        <v/>
      </c>
      <c r="U96" s="12" t="str">
        <f t="shared" si="20"/>
        <v/>
      </c>
      <c r="V96" s="12" t="str">
        <f t="shared" si="21"/>
        <v/>
      </c>
      <c r="W96" s="12" t="str">
        <f t="shared" si="21"/>
        <v/>
      </c>
      <c r="X96" s="12" t="str">
        <f t="shared" si="21"/>
        <v/>
      </c>
      <c r="Y96" s="12" t="str">
        <f t="shared" si="21"/>
        <v/>
      </c>
      <c r="Z96" s="12" t="str">
        <f t="shared" si="21"/>
        <v/>
      </c>
      <c r="AA96" s="12" t="str">
        <f t="shared" si="21"/>
        <v/>
      </c>
      <c r="AB96" s="12" t="str">
        <f t="shared" si="21"/>
        <v/>
      </c>
      <c r="AC96" s="12" t="str">
        <f t="shared" si="21"/>
        <v/>
      </c>
      <c r="AD96" s="12" t="str">
        <f t="shared" si="21"/>
        <v/>
      </c>
      <c r="AE96" s="12" t="str">
        <f t="shared" si="21"/>
        <v/>
      </c>
      <c r="AF96" s="12" t="str">
        <f t="shared" si="21"/>
        <v/>
      </c>
      <c r="AG96" s="14">
        <f t="shared" si="19"/>
        <v>0</v>
      </c>
      <c r="AH96" s="14">
        <f t="shared" si="17"/>
        <v>0</v>
      </c>
      <c r="AI96" s="14">
        <f>IF(E96&gt;0,AG96/Calculations!$AB$10,"")</f>
        <v>0</v>
      </c>
      <c r="AJ96" s="52"/>
      <c r="AK96" s="52"/>
      <c r="AL96" s="52"/>
      <c r="AM96" s="52"/>
      <c r="AN96" s="52"/>
      <c r="AO96" s="52"/>
      <c r="AP96" s="52"/>
      <c r="AQ96" s="52"/>
      <c r="AR96" s="52"/>
      <c r="AS96" s="52"/>
    </row>
    <row r="97" spans="1:45" s="51" customFormat="1" ht="13.8" x14ac:dyDescent="0.3">
      <c r="A97" s="32"/>
      <c r="B97" s="174" t="str">
        <f>B25</f>
        <v>US$</v>
      </c>
      <c r="C97" s="3">
        <v>0</v>
      </c>
      <c r="D97" s="24"/>
      <c r="E97" s="3">
        <f>C16</f>
        <v>25</v>
      </c>
      <c r="F97" s="178"/>
      <c r="G97" s="12"/>
      <c r="H97" s="12"/>
      <c r="I97" s="12"/>
      <c r="J97" s="12"/>
      <c r="K97" s="177" t="str">
        <f>IF($C$16&gt;COUNT($E97:J97)*$E97,COUNT($E97:J97)*$E97,"")</f>
        <v/>
      </c>
      <c r="L97" s="12" t="str">
        <f t="shared" si="20"/>
        <v/>
      </c>
      <c r="M97" s="12" t="str">
        <f t="shared" si="20"/>
        <v/>
      </c>
      <c r="N97" s="12" t="str">
        <f t="shared" si="20"/>
        <v/>
      </c>
      <c r="O97" s="12" t="str">
        <f t="shared" si="20"/>
        <v/>
      </c>
      <c r="P97" s="12" t="str">
        <f t="shared" si="20"/>
        <v/>
      </c>
      <c r="Q97" s="12" t="str">
        <f t="shared" si="20"/>
        <v/>
      </c>
      <c r="R97" s="12" t="str">
        <f t="shared" si="20"/>
        <v/>
      </c>
      <c r="S97" s="12" t="str">
        <f t="shared" si="20"/>
        <v/>
      </c>
      <c r="T97" s="12" t="str">
        <f t="shared" si="20"/>
        <v/>
      </c>
      <c r="U97" s="12" t="str">
        <f t="shared" si="20"/>
        <v/>
      </c>
      <c r="V97" s="12" t="str">
        <f t="shared" si="21"/>
        <v/>
      </c>
      <c r="W97" s="12" t="str">
        <f t="shared" si="21"/>
        <v/>
      </c>
      <c r="X97" s="12" t="str">
        <f t="shared" si="21"/>
        <v/>
      </c>
      <c r="Y97" s="12" t="str">
        <f t="shared" si="21"/>
        <v/>
      </c>
      <c r="Z97" s="12" t="str">
        <f t="shared" si="21"/>
        <v/>
      </c>
      <c r="AA97" s="12" t="str">
        <f t="shared" si="21"/>
        <v/>
      </c>
      <c r="AB97" s="12" t="str">
        <f t="shared" si="21"/>
        <v/>
      </c>
      <c r="AC97" s="12" t="str">
        <f t="shared" si="21"/>
        <v/>
      </c>
      <c r="AD97" s="12" t="str">
        <f t="shared" si="21"/>
        <v/>
      </c>
      <c r="AE97" s="12" t="str">
        <f t="shared" si="21"/>
        <v/>
      </c>
      <c r="AF97" s="12" t="str">
        <f t="shared" si="21"/>
        <v/>
      </c>
      <c r="AG97" s="14">
        <f t="shared" si="19"/>
        <v>0</v>
      </c>
      <c r="AH97" s="14">
        <f t="shared" si="17"/>
        <v>0</v>
      </c>
      <c r="AI97" s="14">
        <f>IF(E97&gt;0,AG97/Calculations!$AB$10,"")</f>
        <v>0</v>
      </c>
      <c r="AJ97" s="52"/>
      <c r="AK97" s="52"/>
      <c r="AL97" s="52"/>
      <c r="AM97" s="52"/>
      <c r="AN97" s="52"/>
      <c r="AO97" s="52"/>
      <c r="AP97" s="52"/>
      <c r="AQ97" s="52"/>
      <c r="AR97" s="52"/>
      <c r="AS97" s="52"/>
    </row>
    <row r="98" spans="1:45" s="24" customFormat="1" x14ac:dyDescent="0.3">
      <c r="A98" s="485" t="s">
        <v>403</v>
      </c>
      <c r="B98" s="486"/>
      <c r="C98" s="487"/>
      <c r="E98" s="492"/>
      <c r="F98" s="178"/>
      <c r="G98" s="12"/>
      <c r="H98" s="12"/>
      <c r="I98" s="12"/>
      <c r="J98" s="12"/>
      <c r="K98" s="177"/>
      <c r="L98" s="12" t="str">
        <f t="shared" si="20"/>
        <v/>
      </c>
      <c r="M98" s="12" t="str">
        <f t="shared" si="20"/>
        <v/>
      </c>
      <c r="N98" s="12" t="str">
        <f t="shared" si="20"/>
        <v/>
      </c>
      <c r="O98" s="12" t="str">
        <f t="shared" si="20"/>
        <v/>
      </c>
      <c r="P98" s="12" t="str">
        <f t="shared" si="20"/>
        <v/>
      </c>
      <c r="Q98" s="12" t="str">
        <f t="shared" si="20"/>
        <v/>
      </c>
      <c r="R98" s="12" t="str">
        <f t="shared" si="20"/>
        <v/>
      </c>
      <c r="S98" s="12" t="str">
        <f t="shared" si="20"/>
        <v/>
      </c>
      <c r="T98" s="12" t="str">
        <f t="shared" si="20"/>
        <v/>
      </c>
      <c r="U98" s="12" t="str">
        <f t="shared" si="20"/>
        <v/>
      </c>
      <c r="V98" s="12" t="str">
        <f t="shared" si="21"/>
        <v/>
      </c>
      <c r="W98" s="12" t="str">
        <f t="shared" si="21"/>
        <v/>
      </c>
      <c r="X98" s="12" t="str">
        <f t="shared" si="21"/>
        <v/>
      </c>
      <c r="Y98" s="12" t="str">
        <f t="shared" si="21"/>
        <v/>
      </c>
      <c r="Z98" s="12" t="str">
        <f t="shared" si="21"/>
        <v/>
      </c>
      <c r="AA98" s="12" t="str">
        <f t="shared" si="21"/>
        <v/>
      </c>
      <c r="AB98" s="12" t="str">
        <f t="shared" si="21"/>
        <v/>
      </c>
      <c r="AC98" s="12" t="str">
        <f t="shared" si="21"/>
        <v/>
      </c>
      <c r="AD98" s="12" t="str">
        <f t="shared" si="21"/>
        <v/>
      </c>
      <c r="AE98" s="12" t="str">
        <f t="shared" si="21"/>
        <v/>
      </c>
      <c r="AF98" s="12" t="str">
        <f t="shared" si="21"/>
        <v/>
      </c>
      <c r="AG98" s="14">
        <f t="shared" si="19"/>
        <v>0</v>
      </c>
      <c r="AH98" s="14" t="str">
        <f t="shared" si="17"/>
        <v/>
      </c>
      <c r="AI98" s="14" t="str">
        <f>IF(E98&gt;0,AG98/Calculations!$AB$10,"")</f>
        <v/>
      </c>
      <c r="AJ98" s="38"/>
      <c r="AK98" s="38"/>
      <c r="AL98" s="38"/>
      <c r="AM98" s="38"/>
      <c r="AN98" s="38"/>
      <c r="AO98" s="38"/>
      <c r="AP98" s="38"/>
      <c r="AQ98" s="38"/>
      <c r="AR98" s="38"/>
      <c r="AS98" s="38"/>
    </row>
    <row r="99" spans="1:45" s="51" customFormat="1" ht="13.8" x14ac:dyDescent="0.3">
      <c r="A99" s="32" t="s">
        <v>29</v>
      </c>
      <c r="B99" s="174" t="str">
        <f>B24</f>
        <v>US$</v>
      </c>
      <c r="C99" s="3">
        <v>0</v>
      </c>
      <c r="D99" s="24"/>
      <c r="E99" s="3">
        <f>C16</f>
        <v>25</v>
      </c>
      <c r="F99" s="178" t="str">
        <f>IF($C$16&gt;COUNT($E99:E99)*$E99,COUNT($E99:E99)*$E99,"")</f>
        <v/>
      </c>
      <c r="G99" s="12" t="str">
        <f>IF($C$16&gt;COUNT($E99:F99)*$E99,COUNT($E99:F99)*$E99,"")</f>
        <v/>
      </c>
      <c r="H99" s="12" t="str">
        <f>IF($C$16&gt;COUNT($E99:G99)*$E99,COUNT($E99:G99)*$E99,"")</f>
        <v/>
      </c>
      <c r="I99" s="12" t="str">
        <f>IF($C$16&gt;COUNT($E99:H99)*$E99,COUNT($E99:H99)*$E99,"")</f>
        <v/>
      </c>
      <c r="J99" s="12" t="str">
        <f>IF($C$16&gt;COUNT($E99:I99)*$E99,COUNT($E99:I99)*$E99,"")</f>
        <v/>
      </c>
      <c r="K99" s="177" t="str">
        <f>IF($C$16&gt;COUNT($E99:J99)*$E99,COUNT($E99:J99)*$E99,"")</f>
        <v/>
      </c>
      <c r="L99" s="12" t="str">
        <f t="shared" si="20"/>
        <v/>
      </c>
      <c r="M99" s="12" t="str">
        <f t="shared" si="20"/>
        <v/>
      </c>
      <c r="N99" s="12" t="str">
        <f t="shared" si="20"/>
        <v/>
      </c>
      <c r="O99" s="12" t="str">
        <f t="shared" si="20"/>
        <v/>
      </c>
      <c r="P99" s="12" t="str">
        <f t="shared" si="20"/>
        <v/>
      </c>
      <c r="Q99" s="12" t="str">
        <f t="shared" si="20"/>
        <v/>
      </c>
      <c r="R99" s="12" t="str">
        <f t="shared" si="20"/>
        <v/>
      </c>
      <c r="S99" s="12" t="str">
        <f t="shared" si="20"/>
        <v/>
      </c>
      <c r="T99" s="12" t="str">
        <f t="shared" si="20"/>
        <v/>
      </c>
      <c r="U99" s="12" t="str">
        <f t="shared" si="20"/>
        <v/>
      </c>
      <c r="V99" s="12" t="str">
        <f t="shared" si="21"/>
        <v/>
      </c>
      <c r="W99" s="12" t="str">
        <f t="shared" si="21"/>
        <v/>
      </c>
      <c r="X99" s="12" t="str">
        <f t="shared" si="21"/>
        <v/>
      </c>
      <c r="Y99" s="12" t="str">
        <f t="shared" si="21"/>
        <v/>
      </c>
      <c r="Z99" s="12" t="str">
        <f t="shared" si="21"/>
        <v/>
      </c>
      <c r="AA99" s="12" t="str">
        <f t="shared" si="21"/>
        <v/>
      </c>
      <c r="AB99" s="12" t="str">
        <f t="shared" si="21"/>
        <v/>
      </c>
      <c r="AC99" s="12" t="str">
        <f t="shared" si="21"/>
        <v/>
      </c>
      <c r="AD99" s="12" t="str">
        <f t="shared" si="21"/>
        <v/>
      </c>
      <c r="AE99" s="12" t="str">
        <f t="shared" si="21"/>
        <v/>
      </c>
      <c r="AF99" s="12" t="str">
        <f t="shared" si="21"/>
        <v/>
      </c>
      <c r="AG99" s="14">
        <f t="shared" si="19"/>
        <v>0</v>
      </c>
      <c r="AH99" s="14">
        <f t="shared" si="17"/>
        <v>0</v>
      </c>
      <c r="AI99" s="14">
        <f>IF(E99&gt;0,AG99/Calculations!$AB$10,"")</f>
        <v>0</v>
      </c>
      <c r="AJ99" s="52"/>
      <c r="AK99" s="52"/>
      <c r="AL99" s="52"/>
      <c r="AM99" s="52"/>
      <c r="AN99" s="52"/>
      <c r="AO99" s="52"/>
      <c r="AP99" s="52"/>
      <c r="AQ99" s="52"/>
      <c r="AR99" s="52"/>
      <c r="AS99" s="52"/>
    </row>
    <row r="100" spans="1:45" s="51" customFormat="1" ht="13.8" x14ac:dyDescent="0.3">
      <c r="A100" s="32" t="s">
        <v>46</v>
      </c>
      <c r="B100" s="174" t="str">
        <f>B24</f>
        <v>US$</v>
      </c>
      <c r="C100" s="3">
        <v>0</v>
      </c>
      <c r="D100" s="24"/>
      <c r="E100" s="3"/>
      <c r="F100" s="178"/>
      <c r="G100" s="12"/>
      <c r="H100" s="12"/>
      <c r="I100" s="12"/>
      <c r="J100" s="12"/>
      <c r="K100" s="177"/>
      <c r="L100" s="12" t="str">
        <f t="shared" si="20"/>
        <v/>
      </c>
      <c r="M100" s="12" t="str">
        <f t="shared" si="20"/>
        <v/>
      </c>
      <c r="N100" s="12" t="str">
        <f t="shared" si="20"/>
        <v/>
      </c>
      <c r="O100" s="12" t="str">
        <f t="shared" si="20"/>
        <v/>
      </c>
      <c r="P100" s="12" t="str">
        <f t="shared" si="20"/>
        <v/>
      </c>
      <c r="Q100" s="12" t="str">
        <f t="shared" si="20"/>
        <v/>
      </c>
      <c r="R100" s="12" t="str">
        <f t="shared" si="20"/>
        <v/>
      </c>
      <c r="S100" s="12" t="str">
        <f t="shared" si="20"/>
        <v/>
      </c>
      <c r="T100" s="12" t="str">
        <f t="shared" si="20"/>
        <v/>
      </c>
      <c r="U100" s="12" t="str">
        <f t="shared" si="20"/>
        <v/>
      </c>
      <c r="V100" s="12" t="str">
        <f t="shared" si="21"/>
        <v/>
      </c>
      <c r="W100" s="12" t="str">
        <f t="shared" si="21"/>
        <v/>
      </c>
      <c r="X100" s="12" t="str">
        <f t="shared" si="21"/>
        <v/>
      </c>
      <c r="Y100" s="12" t="str">
        <f t="shared" si="21"/>
        <v/>
      </c>
      <c r="Z100" s="12" t="str">
        <f t="shared" si="21"/>
        <v/>
      </c>
      <c r="AA100" s="12" t="str">
        <f t="shared" si="21"/>
        <v/>
      </c>
      <c r="AB100" s="12" t="str">
        <f t="shared" si="21"/>
        <v/>
      </c>
      <c r="AC100" s="12" t="str">
        <f t="shared" si="21"/>
        <v/>
      </c>
      <c r="AD100" s="12" t="str">
        <f t="shared" si="21"/>
        <v/>
      </c>
      <c r="AE100" s="12" t="str">
        <f t="shared" si="21"/>
        <v/>
      </c>
      <c r="AF100" s="12" t="str">
        <f t="shared" si="21"/>
        <v/>
      </c>
      <c r="AG100" s="14">
        <f t="shared" si="19"/>
        <v>0</v>
      </c>
      <c r="AH100" s="14" t="str">
        <f t="shared" si="17"/>
        <v/>
      </c>
      <c r="AI100" s="14" t="str">
        <f>IF(E100&gt;0,AG100/Calculations!$AB$10,"")</f>
        <v/>
      </c>
      <c r="AJ100" s="52"/>
      <c r="AK100" s="52"/>
      <c r="AL100" s="52"/>
      <c r="AM100" s="52"/>
      <c r="AN100" s="52"/>
      <c r="AO100" s="52"/>
      <c r="AP100" s="52"/>
      <c r="AQ100" s="52"/>
      <c r="AR100" s="52"/>
      <c r="AS100" s="52"/>
    </row>
    <row r="101" spans="1:45" s="51" customFormat="1" ht="13.8" x14ac:dyDescent="0.3">
      <c r="A101" s="32" t="s">
        <v>323</v>
      </c>
      <c r="B101" s="174" t="str">
        <f>B24</f>
        <v>US$</v>
      </c>
      <c r="C101" s="3">
        <v>0</v>
      </c>
      <c r="D101" s="24"/>
      <c r="E101" s="3">
        <f>C16</f>
        <v>25</v>
      </c>
      <c r="F101" s="178" t="str">
        <f>IF($C$16&gt;COUNT($E101:E101)*$E101,COUNT($E101:E101)*$E101,"")</f>
        <v/>
      </c>
      <c r="G101" s="12" t="str">
        <f>IF($C$16&gt;COUNT($E101:F101)*$E101,COUNT($E101:F101)*$E101,"")</f>
        <v/>
      </c>
      <c r="H101" s="12" t="str">
        <f>IF($C$16&gt;COUNT($E101:G101)*$E101,COUNT($E101:G101)*$E101,"")</f>
        <v/>
      </c>
      <c r="I101" s="12" t="str">
        <f>IF($C$16&gt;COUNT($E101:H101)*$E101,COUNT($E101:H101)*$E101,"")</f>
        <v/>
      </c>
      <c r="J101" s="12" t="str">
        <f>IF($C$16&gt;COUNT($E101:I101)*$E101,COUNT($E101:I101)*$E101,"")</f>
        <v/>
      </c>
      <c r="K101" s="177" t="str">
        <f>IF($C$16&gt;COUNT($E101:J101)*$E101,COUNT($E101:J101)*$E101,"")</f>
        <v/>
      </c>
      <c r="L101" s="12" t="str">
        <f t="shared" si="20"/>
        <v/>
      </c>
      <c r="M101" s="12" t="str">
        <f t="shared" si="20"/>
        <v/>
      </c>
      <c r="N101" s="12" t="str">
        <f t="shared" si="20"/>
        <v/>
      </c>
      <c r="O101" s="12" t="str">
        <f t="shared" si="20"/>
        <v/>
      </c>
      <c r="P101" s="12" t="str">
        <f t="shared" si="20"/>
        <v/>
      </c>
      <c r="Q101" s="12" t="str">
        <f t="shared" si="20"/>
        <v/>
      </c>
      <c r="R101" s="12" t="str">
        <f t="shared" si="20"/>
        <v/>
      </c>
      <c r="S101" s="12" t="str">
        <f t="shared" si="20"/>
        <v/>
      </c>
      <c r="T101" s="12" t="str">
        <f t="shared" si="20"/>
        <v/>
      </c>
      <c r="U101" s="12" t="str">
        <f t="shared" si="20"/>
        <v/>
      </c>
      <c r="V101" s="12" t="str">
        <f t="shared" si="21"/>
        <v/>
      </c>
      <c r="W101" s="12" t="str">
        <f t="shared" si="21"/>
        <v/>
      </c>
      <c r="X101" s="12" t="str">
        <f t="shared" si="21"/>
        <v/>
      </c>
      <c r="Y101" s="12" t="str">
        <f t="shared" si="21"/>
        <v/>
      </c>
      <c r="Z101" s="12" t="str">
        <f t="shared" si="21"/>
        <v/>
      </c>
      <c r="AA101" s="12" t="str">
        <f t="shared" si="21"/>
        <v/>
      </c>
      <c r="AB101" s="12" t="str">
        <f t="shared" si="21"/>
        <v/>
      </c>
      <c r="AC101" s="12" t="str">
        <f t="shared" si="21"/>
        <v/>
      </c>
      <c r="AD101" s="12" t="str">
        <f t="shared" si="21"/>
        <v/>
      </c>
      <c r="AE101" s="12" t="str">
        <f t="shared" si="21"/>
        <v/>
      </c>
      <c r="AF101" s="12" t="str">
        <f t="shared" si="21"/>
        <v/>
      </c>
      <c r="AG101" s="14">
        <f t="shared" si="19"/>
        <v>0</v>
      </c>
      <c r="AH101" s="14">
        <f t="shared" si="17"/>
        <v>0</v>
      </c>
      <c r="AI101" s="14">
        <f>IF(E101&gt;0,AG101/Calculations!$AB$10,"")</f>
        <v>0</v>
      </c>
      <c r="AJ101" s="52"/>
      <c r="AK101" s="52"/>
      <c r="AL101" s="52"/>
      <c r="AM101" s="52"/>
      <c r="AN101" s="52"/>
      <c r="AO101" s="52"/>
      <c r="AP101" s="52"/>
      <c r="AQ101" s="52"/>
      <c r="AR101" s="52"/>
      <c r="AS101" s="52"/>
    </row>
    <row r="102" spans="1:45" s="51" customFormat="1" ht="13.8" x14ac:dyDescent="0.3">
      <c r="A102" s="32" t="s">
        <v>324</v>
      </c>
      <c r="B102" s="174" t="str">
        <f>B24</f>
        <v>US$</v>
      </c>
      <c r="C102" s="3">
        <v>0</v>
      </c>
      <c r="D102" s="24"/>
      <c r="E102" s="3">
        <f>C16</f>
        <v>25</v>
      </c>
      <c r="F102" s="178" t="str">
        <f>IF($C$16&gt;COUNT($E102:E102)*$E102,COUNT($E102:E102)*$E102,"")</f>
        <v/>
      </c>
      <c r="G102" s="12" t="str">
        <f>IF($C$16&gt;COUNT($E102:F102)*$E102,COUNT($E102:F102)*$E102,"")</f>
        <v/>
      </c>
      <c r="H102" s="12" t="str">
        <f>IF($C$16&gt;COUNT($E102:G102)*$E102,COUNT($E102:G102)*$E102,"")</f>
        <v/>
      </c>
      <c r="I102" s="12" t="str">
        <f>IF($C$16&gt;COUNT($E102:H102)*$E102,COUNT($E102:H102)*$E102,"")</f>
        <v/>
      </c>
      <c r="J102" s="12" t="str">
        <f>IF($C$16&gt;COUNT($E102:I102)*$E102,COUNT($E102:I102)*$E102,"")</f>
        <v/>
      </c>
      <c r="K102" s="177" t="str">
        <f>IF($C$16&gt;COUNT($E102:J102)*$E102,COUNT($E102:J102)*$E102,"")</f>
        <v/>
      </c>
      <c r="L102" s="12" t="str">
        <f t="shared" si="20"/>
        <v/>
      </c>
      <c r="M102" s="12" t="str">
        <f t="shared" si="20"/>
        <v/>
      </c>
      <c r="N102" s="12" t="str">
        <f t="shared" si="20"/>
        <v/>
      </c>
      <c r="O102" s="12" t="str">
        <f t="shared" si="20"/>
        <v/>
      </c>
      <c r="P102" s="12" t="str">
        <f t="shared" si="20"/>
        <v/>
      </c>
      <c r="Q102" s="12" t="str">
        <f t="shared" si="20"/>
        <v/>
      </c>
      <c r="R102" s="12" t="str">
        <f t="shared" si="20"/>
        <v/>
      </c>
      <c r="S102" s="12" t="str">
        <f t="shared" si="20"/>
        <v/>
      </c>
      <c r="T102" s="12" t="str">
        <f t="shared" si="20"/>
        <v/>
      </c>
      <c r="U102" s="12" t="str">
        <f t="shared" si="20"/>
        <v/>
      </c>
      <c r="V102" s="12" t="str">
        <f t="shared" si="21"/>
        <v/>
      </c>
      <c r="W102" s="12" t="str">
        <f t="shared" si="21"/>
        <v/>
      </c>
      <c r="X102" s="12" t="str">
        <f t="shared" si="21"/>
        <v/>
      </c>
      <c r="Y102" s="12" t="str">
        <f t="shared" si="21"/>
        <v/>
      </c>
      <c r="Z102" s="12" t="str">
        <f t="shared" si="21"/>
        <v/>
      </c>
      <c r="AA102" s="12" t="str">
        <f t="shared" si="21"/>
        <v/>
      </c>
      <c r="AB102" s="12" t="str">
        <f t="shared" si="21"/>
        <v/>
      </c>
      <c r="AC102" s="12" t="str">
        <f t="shared" si="21"/>
        <v/>
      </c>
      <c r="AD102" s="12" t="str">
        <f t="shared" si="21"/>
        <v/>
      </c>
      <c r="AE102" s="12" t="str">
        <f t="shared" si="21"/>
        <v/>
      </c>
      <c r="AF102" s="12" t="str">
        <f t="shared" si="21"/>
        <v/>
      </c>
      <c r="AG102" s="14">
        <f>IF(E102&gt;0,C102/E102*$C$16,C102)</f>
        <v>0</v>
      </c>
      <c r="AH102" s="14">
        <f t="shared" si="17"/>
        <v>0</v>
      </c>
      <c r="AI102" s="14">
        <f>IF(E102&gt;0,AG102/Calculations!$AB$10,"")</f>
        <v>0</v>
      </c>
      <c r="AJ102" s="52"/>
      <c r="AK102" s="52"/>
      <c r="AL102" s="52"/>
      <c r="AM102" s="52"/>
      <c r="AN102" s="52"/>
      <c r="AO102" s="52"/>
      <c r="AP102" s="52"/>
      <c r="AQ102" s="52"/>
      <c r="AR102" s="52"/>
      <c r="AS102" s="52"/>
    </row>
    <row r="103" spans="1:45" s="51" customFormat="1" ht="13.8" x14ac:dyDescent="0.3">
      <c r="A103" s="32" t="s">
        <v>322</v>
      </c>
      <c r="B103" s="174" t="str">
        <f>B24</f>
        <v>US$</v>
      </c>
      <c r="C103" s="3">
        <v>0</v>
      </c>
      <c r="D103" s="24"/>
      <c r="E103" s="3">
        <f>C16</f>
        <v>25</v>
      </c>
      <c r="F103" s="178" t="str">
        <f>IF($C$16&gt;COUNT($E103:E103)*$E103,COUNT($E103:E103)*$E103,"")</f>
        <v/>
      </c>
      <c r="G103" s="12" t="str">
        <f>IF($C$16&gt;COUNT($E103:F103)*$E103,COUNT($E103:F103)*$E103,"")</f>
        <v/>
      </c>
      <c r="H103" s="12" t="str">
        <f>IF($C$16&gt;COUNT($E103:G103)*$E103,COUNT($E103:G103)*$E103,"")</f>
        <v/>
      </c>
      <c r="I103" s="12" t="str">
        <f>IF($C$16&gt;COUNT($E103:H103)*$E103,COUNT($E103:H103)*$E103,"")</f>
        <v/>
      </c>
      <c r="J103" s="12" t="str">
        <f>IF($C$16&gt;COUNT($E103:I103)*$E103,COUNT($E103:I103)*$E103,"")</f>
        <v/>
      </c>
      <c r="K103" s="177" t="str">
        <f>IF($C$16&gt;COUNT($E103:J103)*$E103,COUNT($E103:J103)*$E103,"")</f>
        <v/>
      </c>
      <c r="L103" s="12" t="str">
        <f t="shared" si="20"/>
        <v/>
      </c>
      <c r="M103" s="12" t="str">
        <f t="shared" si="20"/>
        <v/>
      </c>
      <c r="N103" s="12" t="str">
        <f t="shared" si="20"/>
        <v/>
      </c>
      <c r="O103" s="12" t="str">
        <f t="shared" si="20"/>
        <v/>
      </c>
      <c r="P103" s="12" t="str">
        <f t="shared" si="20"/>
        <v/>
      </c>
      <c r="Q103" s="12" t="str">
        <f t="shared" si="20"/>
        <v/>
      </c>
      <c r="R103" s="12" t="str">
        <f t="shared" si="20"/>
        <v/>
      </c>
      <c r="S103" s="12" t="str">
        <f t="shared" si="20"/>
        <v/>
      </c>
      <c r="T103" s="12" t="str">
        <f t="shared" si="20"/>
        <v/>
      </c>
      <c r="U103" s="12" t="str">
        <f t="shared" si="20"/>
        <v/>
      </c>
      <c r="V103" s="12" t="str">
        <f t="shared" si="21"/>
        <v/>
      </c>
      <c r="W103" s="12" t="str">
        <f t="shared" si="21"/>
        <v/>
      </c>
      <c r="X103" s="12" t="str">
        <f t="shared" si="21"/>
        <v/>
      </c>
      <c r="Y103" s="12" t="str">
        <f t="shared" si="21"/>
        <v/>
      </c>
      <c r="Z103" s="12" t="str">
        <f t="shared" si="21"/>
        <v/>
      </c>
      <c r="AA103" s="12" t="str">
        <f t="shared" si="21"/>
        <v/>
      </c>
      <c r="AB103" s="12" t="str">
        <f t="shared" si="21"/>
        <v/>
      </c>
      <c r="AC103" s="12" t="str">
        <f t="shared" si="21"/>
        <v/>
      </c>
      <c r="AD103" s="12" t="str">
        <f t="shared" si="21"/>
        <v/>
      </c>
      <c r="AE103" s="12" t="str">
        <f t="shared" si="21"/>
        <v/>
      </c>
      <c r="AF103" s="12" t="str">
        <f t="shared" si="21"/>
        <v/>
      </c>
      <c r="AG103" s="14">
        <f t="shared" si="19"/>
        <v>0</v>
      </c>
      <c r="AH103" s="14">
        <f t="shared" si="17"/>
        <v>0</v>
      </c>
      <c r="AI103" s="14">
        <f>IF(E103&gt;0,AG103/Calculations!$AB$10,"")</f>
        <v>0</v>
      </c>
      <c r="AJ103" s="52"/>
      <c r="AK103" s="52"/>
      <c r="AL103" s="52"/>
      <c r="AM103" s="52"/>
      <c r="AN103" s="52"/>
      <c r="AO103" s="52"/>
      <c r="AP103" s="52"/>
      <c r="AQ103" s="52"/>
      <c r="AR103" s="52"/>
      <c r="AS103" s="52"/>
    </row>
    <row r="104" spans="1:45" s="51" customFormat="1" ht="13.8" x14ac:dyDescent="0.3">
      <c r="A104" s="32" t="s">
        <v>13</v>
      </c>
      <c r="B104" s="174" t="str">
        <f>B24</f>
        <v>US$</v>
      </c>
      <c r="C104" s="3">
        <v>0</v>
      </c>
      <c r="D104" s="24"/>
      <c r="E104" s="3">
        <f>C16</f>
        <v>25</v>
      </c>
      <c r="F104" s="178" t="str">
        <f>IF($C$16&gt;COUNT($E104:E104)*$E104,COUNT($E104:E104)*$E104,"")</f>
        <v/>
      </c>
      <c r="G104" s="12" t="str">
        <f>IF($C$16&gt;COUNT($E104:F104)*$E104,COUNT($E104:F104)*$E104,"")</f>
        <v/>
      </c>
      <c r="H104" s="12" t="str">
        <f>IF($C$16&gt;COUNT($E104:G104)*$E104,COUNT($E104:G104)*$E104,"")</f>
        <v/>
      </c>
      <c r="I104" s="12" t="str">
        <f>IF($C$16&gt;COUNT($E104:H104)*$E104,COUNT($E104:H104)*$E104,"")</f>
        <v/>
      </c>
      <c r="J104" s="12" t="str">
        <f>IF($C$16&gt;COUNT($E104:I104)*$E104,COUNT($E104:I104)*$E104,"")</f>
        <v/>
      </c>
      <c r="K104" s="177" t="str">
        <f>IF($C$16&gt;COUNT($E104:J104)*$E104,COUNT($E104:J104)*$E104,"")</f>
        <v/>
      </c>
      <c r="L104" s="12" t="str">
        <f t="shared" ref="L104:U113" si="22">IF(L$23=0,"",IF($F104=L$23,$C104,IF($G104=L$23,$C104,IF($H104=L$23,$C104,IF($I104=L$23,$C104,IF($J104=L$23,$C104,IF($K104=L$23,$C104,"")))))))</f>
        <v/>
      </c>
      <c r="M104" s="12" t="str">
        <f t="shared" si="22"/>
        <v/>
      </c>
      <c r="N104" s="12" t="str">
        <f t="shared" si="22"/>
        <v/>
      </c>
      <c r="O104" s="12" t="str">
        <f t="shared" si="22"/>
        <v/>
      </c>
      <c r="P104" s="12" t="str">
        <f t="shared" si="22"/>
        <v/>
      </c>
      <c r="Q104" s="12" t="str">
        <f t="shared" si="22"/>
        <v/>
      </c>
      <c r="R104" s="12" t="str">
        <f t="shared" si="22"/>
        <v/>
      </c>
      <c r="S104" s="12" t="str">
        <f t="shared" si="22"/>
        <v/>
      </c>
      <c r="T104" s="12" t="str">
        <f t="shared" si="22"/>
        <v/>
      </c>
      <c r="U104" s="12" t="str">
        <f t="shared" si="22"/>
        <v/>
      </c>
      <c r="V104" s="12" t="str">
        <f t="shared" ref="V104:AF113" si="23">IF(V$23=0,"",IF($F104=V$23,$C104,IF($G104=V$23,$C104,IF($H104=V$23,$C104,IF($I104=V$23,$C104,IF($J104=V$23,$C104,IF($K104=V$23,$C104,"")))))))</f>
        <v/>
      </c>
      <c r="W104" s="12" t="str">
        <f t="shared" si="23"/>
        <v/>
      </c>
      <c r="X104" s="12" t="str">
        <f t="shared" si="23"/>
        <v/>
      </c>
      <c r="Y104" s="12" t="str">
        <f t="shared" si="23"/>
        <v/>
      </c>
      <c r="Z104" s="12" t="str">
        <f t="shared" si="23"/>
        <v/>
      </c>
      <c r="AA104" s="12" t="str">
        <f t="shared" si="23"/>
        <v/>
      </c>
      <c r="AB104" s="12" t="str">
        <f t="shared" si="23"/>
        <v/>
      </c>
      <c r="AC104" s="12" t="str">
        <f t="shared" si="23"/>
        <v/>
      </c>
      <c r="AD104" s="12" t="str">
        <f t="shared" si="23"/>
        <v/>
      </c>
      <c r="AE104" s="12" t="str">
        <f t="shared" si="23"/>
        <v/>
      </c>
      <c r="AF104" s="12" t="str">
        <f t="shared" si="23"/>
        <v/>
      </c>
      <c r="AG104" s="14">
        <f t="shared" si="19"/>
        <v>0</v>
      </c>
      <c r="AH104" s="14">
        <f t="shared" si="17"/>
        <v>0</v>
      </c>
      <c r="AI104" s="14">
        <f>IF(E104&gt;0,AG104/Calculations!$AB$10,"")</f>
        <v>0</v>
      </c>
      <c r="AJ104" s="52"/>
      <c r="AK104" s="52"/>
      <c r="AL104" s="52"/>
      <c r="AM104" s="52"/>
      <c r="AN104" s="52"/>
      <c r="AO104" s="52"/>
      <c r="AP104" s="52"/>
      <c r="AQ104" s="52"/>
      <c r="AR104" s="52"/>
      <c r="AS104" s="52"/>
    </row>
    <row r="105" spans="1:45" s="51" customFormat="1" ht="13.8" x14ac:dyDescent="0.3">
      <c r="A105" s="32" t="s">
        <v>43</v>
      </c>
      <c r="B105" s="174" t="str">
        <f>B24</f>
        <v>US$</v>
      </c>
      <c r="C105" s="3">
        <v>0</v>
      </c>
      <c r="D105" s="24"/>
      <c r="E105" s="3">
        <f>C16</f>
        <v>25</v>
      </c>
      <c r="F105" s="178" t="str">
        <f>IF($C$16&gt;COUNT($E105:E105)*$E105,COUNT($E105:E105)*$E105,"")</f>
        <v/>
      </c>
      <c r="G105" s="12" t="str">
        <f>IF($C$16&gt;COUNT($E105:F105)*$E105,COUNT($E105:F105)*$E105,"")</f>
        <v/>
      </c>
      <c r="H105" s="12" t="str">
        <f>IF($C$16&gt;COUNT($E105:G105)*$E105,COUNT($E105:G105)*$E105,"")</f>
        <v/>
      </c>
      <c r="I105" s="12" t="str">
        <f>IF($C$16&gt;COUNT($E105:H105)*$E105,COUNT($E105:H105)*$E105,"")</f>
        <v/>
      </c>
      <c r="J105" s="12" t="str">
        <f>IF($C$16&gt;COUNT($E105:I105)*$E105,COUNT($E105:I105)*$E105,"")</f>
        <v/>
      </c>
      <c r="K105" s="177" t="str">
        <f>IF($C$16&gt;COUNT($E105:J105)*$E105,COUNT($E105:J105)*$E105,"")</f>
        <v/>
      </c>
      <c r="L105" s="12" t="str">
        <f t="shared" si="22"/>
        <v/>
      </c>
      <c r="M105" s="12" t="str">
        <f t="shared" si="22"/>
        <v/>
      </c>
      <c r="N105" s="12" t="str">
        <f t="shared" si="22"/>
        <v/>
      </c>
      <c r="O105" s="12" t="str">
        <f t="shared" si="22"/>
        <v/>
      </c>
      <c r="P105" s="12" t="str">
        <f t="shared" si="22"/>
        <v/>
      </c>
      <c r="Q105" s="12" t="str">
        <f t="shared" si="22"/>
        <v/>
      </c>
      <c r="R105" s="12" t="str">
        <f t="shared" si="22"/>
        <v/>
      </c>
      <c r="S105" s="12" t="str">
        <f t="shared" si="22"/>
        <v/>
      </c>
      <c r="T105" s="12" t="str">
        <f t="shared" si="22"/>
        <v/>
      </c>
      <c r="U105" s="12" t="str">
        <f t="shared" si="22"/>
        <v/>
      </c>
      <c r="V105" s="12" t="str">
        <f t="shared" si="23"/>
        <v/>
      </c>
      <c r="W105" s="12" t="str">
        <f t="shared" si="23"/>
        <v/>
      </c>
      <c r="X105" s="12" t="str">
        <f t="shared" si="23"/>
        <v/>
      </c>
      <c r="Y105" s="12" t="str">
        <f t="shared" si="23"/>
        <v/>
      </c>
      <c r="Z105" s="12" t="str">
        <f t="shared" si="23"/>
        <v/>
      </c>
      <c r="AA105" s="12" t="str">
        <f t="shared" si="23"/>
        <v/>
      </c>
      <c r="AB105" s="12" t="str">
        <f t="shared" si="23"/>
        <v/>
      </c>
      <c r="AC105" s="12" t="str">
        <f t="shared" si="23"/>
        <v/>
      </c>
      <c r="AD105" s="12" t="str">
        <f t="shared" si="23"/>
        <v/>
      </c>
      <c r="AE105" s="12" t="str">
        <f t="shared" si="23"/>
        <v/>
      </c>
      <c r="AF105" s="12" t="str">
        <f t="shared" si="23"/>
        <v/>
      </c>
      <c r="AG105" s="14">
        <f t="shared" si="19"/>
        <v>0</v>
      </c>
      <c r="AH105" s="14">
        <f t="shared" si="17"/>
        <v>0</v>
      </c>
      <c r="AI105" s="14">
        <f>IF(E105&gt;0,AG105/Calculations!$AB$10,"")</f>
        <v>0</v>
      </c>
      <c r="AJ105" s="52"/>
      <c r="AK105" s="52"/>
      <c r="AL105" s="52"/>
      <c r="AM105" s="52"/>
      <c r="AN105" s="52"/>
      <c r="AO105" s="52"/>
      <c r="AP105" s="52"/>
      <c r="AQ105" s="52"/>
      <c r="AR105" s="52"/>
      <c r="AS105" s="52"/>
    </row>
    <row r="106" spans="1:45" s="51" customFormat="1" ht="13.8" x14ac:dyDescent="0.3">
      <c r="A106" s="32" t="s">
        <v>36</v>
      </c>
      <c r="B106" s="174" t="str">
        <f>B24</f>
        <v>US$</v>
      </c>
      <c r="C106" s="3">
        <v>0</v>
      </c>
      <c r="D106" s="24"/>
      <c r="E106" s="3">
        <f>C16</f>
        <v>25</v>
      </c>
      <c r="F106" s="178" t="str">
        <f>IF($C$16&gt;COUNT($E106:E106)*$E106,COUNT($E106:E106)*$E106,"")</f>
        <v/>
      </c>
      <c r="G106" s="12" t="str">
        <f>IF($C$16&gt;COUNT($E106:F106)*$E106,COUNT($E106:F106)*$E106,"")</f>
        <v/>
      </c>
      <c r="H106" s="12" t="str">
        <f>IF($C$16&gt;COUNT($E106:G106)*$E106,COUNT($E106:G106)*$E106,"")</f>
        <v/>
      </c>
      <c r="I106" s="12" t="str">
        <f>IF($C$16&gt;COUNT($E106:H106)*$E106,COUNT($E106:H106)*$E106,"")</f>
        <v/>
      </c>
      <c r="J106" s="12" t="str">
        <f>IF($C$16&gt;COUNT($E106:I106)*$E106,COUNT($E106:I106)*$E106,"")</f>
        <v/>
      </c>
      <c r="K106" s="177" t="str">
        <f>IF($C$16&gt;COUNT($E106:J106)*$E106,COUNT($E106:J106)*$E106,"")</f>
        <v/>
      </c>
      <c r="L106" s="12" t="str">
        <f t="shared" si="22"/>
        <v/>
      </c>
      <c r="M106" s="12" t="str">
        <f t="shared" si="22"/>
        <v/>
      </c>
      <c r="N106" s="12" t="str">
        <f t="shared" si="22"/>
        <v/>
      </c>
      <c r="O106" s="12" t="str">
        <f t="shared" si="22"/>
        <v/>
      </c>
      <c r="P106" s="12" t="str">
        <f t="shared" si="22"/>
        <v/>
      </c>
      <c r="Q106" s="12" t="str">
        <f t="shared" si="22"/>
        <v/>
      </c>
      <c r="R106" s="12" t="str">
        <f t="shared" si="22"/>
        <v/>
      </c>
      <c r="S106" s="12" t="str">
        <f t="shared" si="22"/>
        <v/>
      </c>
      <c r="T106" s="12" t="str">
        <f t="shared" si="22"/>
        <v/>
      </c>
      <c r="U106" s="12" t="str">
        <f t="shared" si="22"/>
        <v/>
      </c>
      <c r="V106" s="12" t="str">
        <f t="shared" si="23"/>
        <v/>
      </c>
      <c r="W106" s="12" t="str">
        <f t="shared" si="23"/>
        <v/>
      </c>
      <c r="X106" s="12" t="str">
        <f t="shared" si="23"/>
        <v/>
      </c>
      <c r="Y106" s="12" t="str">
        <f t="shared" si="23"/>
        <v/>
      </c>
      <c r="Z106" s="12" t="str">
        <f t="shared" si="23"/>
        <v/>
      </c>
      <c r="AA106" s="12" t="str">
        <f t="shared" si="23"/>
        <v/>
      </c>
      <c r="AB106" s="12" t="str">
        <f t="shared" si="23"/>
        <v/>
      </c>
      <c r="AC106" s="12" t="str">
        <f t="shared" si="23"/>
        <v/>
      </c>
      <c r="AD106" s="12" t="str">
        <f t="shared" si="23"/>
        <v/>
      </c>
      <c r="AE106" s="12" t="str">
        <f t="shared" si="23"/>
        <v/>
      </c>
      <c r="AF106" s="12" t="str">
        <f t="shared" si="23"/>
        <v/>
      </c>
      <c r="AG106" s="14">
        <f t="shared" si="19"/>
        <v>0</v>
      </c>
      <c r="AH106" s="14">
        <f t="shared" si="17"/>
        <v>0</v>
      </c>
      <c r="AI106" s="14">
        <f>IF(E106&gt;0,AG106/Calculations!$AB$10,"")</f>
        <v>0</v>
      </c>
      <c r="AJ106" s="52"/>
      <c r="AK106" s="52"/>
      <c r="AL106" s="52"/>
      <c r="AM106" s="52"/>
      <c r="AN106" s="52"/>
      <c r="AO106" s="52"/>
      <c r="AP106" s="52"/>
      <c r="AQ106" s="52"/>
      <c r="AR106" s="52"/>
      <c r="AS106" s="52"/>
    </row>
    <row r="107" spans="1:45" s="51" customFormat="1" ht="13.8" x14ac:dyDescent="0.3">
      <c r="A107" s="32" t="s">
        <v>11</v>
      </c>
      <c r="B107" s="174" t="str">
        <f>B24</f>
        <v>US$</v>
      </c>
      <c r="C107" s="3">
        <v>0</v>
      </c>
      <c r="D107" s="24"/>
      <c r="E107" s="3">
        <f>C16</f>
        <v>25</v>
      </c>
      <c r="F107" s="178" t="str">
        <f>IF($C$16&gt;COUNT($E107:E107)*$E107,COUNT($E107:E107)*$E107,"")</f>
        <v/>
      </c>
      <c r="G107" s="12" t="str">
        <f>IF($C$16&gt;COUNT($E107:F107)*$E107,COUNT($E107:F107)*$E107,"")</f>
        <v/>
      </c>
      <c r="H107" s="12" t="str">
        <f>IF($C$16&gt;COUNT($E107:G107)*$E107,COUNT($E107:G107)*$E107,"")</f>
        <v/>
      </c>
      <c r="I107" s="12" t="str">
        <f>IF($C$16&gt;COUNT($E107:H107)*$E107,COUNT($E107:H107)*$E107,"")</f>
        <v/>
      </c>
      <c r="J107" s="12" t="str">
        <f>IF($C$16&gt;COUNT($E107:I107)*$E107,COUNT($E107:I107)*$E107,"")</f>
        <v/>
      </c>
      <c r="K107" s="177" t="str">
        <f>IF($C$16&gt;COUNT($E107:J107)*$E107,COUNT($E107:J107)*$E107,"")</f>
        <v/>
      </c>
      <c r="L107" s="12" t="str">
        <f t="shared" si="22"/>
        <v/>
      </c>
      <c r="M107" s="12" t="str">
        <f t="shared" si="22"/>
        <v/>
      </c>
      <c r="N107" s="12" t="str">
        <f t="shared" si="22"/>
        <v/>
      </c>
      <c r="O107" s="12" t="str">
        <f t="shared" si="22"/>
        <v/>
      </c>
      <c r="P107" s="12" t="str">
        <f t="shared" si="22"/>
        <v/>
      </c>
      <c r="Q107" s="12" t="str">
        <f t="shared" si="22"/>
        <v/>
      </c>
      <c r="R107" s="12" t="str">
        <f t="shared" si="22"/>
        <v/>
      </c>
      <c r="S107" s="12" t="str">
        <f t="shared" si="22"/>
        <v/>
      </c>
      <c r="T107" s="12" t="str">
        <f t="shared" si="22"/>
        <v/>
      </c>
      <c r="U107" s="12" t="str">
        <f t="shared" si="22"/>
        <v/>
      </c>
      <c r="V107" s="12" t="str">
        <f t="shared" si="23"/>
        <v/>
      </c>
      <c r="W107" s="12" t="str">
        <f t="shared" si="23"/>
        <v/>
      </c>
      <c r="X107" s="12" t="str">
        <f t="shared" si="23"/>
        <v/>
      </c>
      <c r="Y107" s="12" t="str">
        <f t="shared" si="23"/>
        <v/>
      </c>
      <c r="Z107" s="12" t="str">
        <f t="shared" si="23"/>
        <v/>
      </c>
      <c r="AA107" s="12" t="str">
        <f t="shared" si="23"/>
        <v/>
      </c>
      <c r="AB107" s="12" t="str">
        <f t="shared" si="23"/>
        <v/>
      </c>
      <c r="AC107" s="12" t="str">
        <f t="shared" si="23"/>
        <v/>
      </c>
      <c r="AD107" s="12" t="str">
        <f t="shared" si="23"/>
        <v/>
      </c>
      <c r="AE107" s="12" t="str">
        <f t="shared" si="23"/>
        <v/>
      </c>
      <c r="AF107" s="12" t="str">
        <f t="shared" si="23"/>
        <v/>
      </c>
      <c r="AG107" s="14">
        <f t="shared" si="19"/>
        <v>0</v>
      </c>
      <c r="AH107" s="14">
        <f t="shared" si="17"/>
        <v>0</v>
      </c>
      <c r="AI107" s="14">
        <f>IF(E107&gt;0,AG107/Calculations!$AB$10,"")</f>
        <v>0</v>
      </c>
      <c r="AJ107" s="52"/>
      <c r="AK107" s="52"/>
      <c r="AL107" s="52"/>
      <c r="AM107" s="52"/>
      <c r="AN107" s="52"/>
      <c r="AO107" s="52"/>
      <c r="AP107" s="52"/>
      <c r="AQ107" s="52"/>
      <c r="AR107" s="52"/>
      <c r="AS107" s="52"/>
    </row>
    <row r="108" spans="1:45" s="51" customFormat="1" ht="13.8" x14ac:dyDescent="0.3">
      <c r="A108" s="32" t="s">
        <v>239</v>
      </c>
      <c r="B108" s="174" t="str">
        <f>B24</f>
        <v>US$</v>
      </c>
      <c r="C108" s="3">
        <v>0</v>
      </c>
      <c r="D108" s="24"/>
      <c r="E108" s="3">
        <f>C16</f>
        <v>25</v>
      </c>
      <c r="F108" s="178" t="str">
        <f>IF($C$16&gt;COUNT($E108:E108)*$E108,COUNT($E108:E108)*$E108,"")</f>
        <v/>
      </c>
      <c r="G108" s="12" t="str">
        <f>IF($C$16&gt;COUNT($E108:F108)*$E108,COUNT($E108:F108)*$E108,"")</f>
        <v/>
      </c>
      <c r="H108" s="12" t="str">
        <f>IF($C$16&gt;COUNT($E108:G108)*$E108,COUNT($E108:G108)*$E108,"")</f>
        <v/>
      </c>
      <c r="I108" s="12" t="str">
        <f>IF($C$16&gt;COUNT($E108:H108)*$E108,COUNT($E108:H108)*$E108,"")</f>
        <v/>
      </c>
      <c r="J108" s="12" t="str">
        <f>IF($C$16&gt;COUNT($E108:I108)*$E108,COUNT($E108:I108)*$E108,"")</f>
        <v/>
      </c>
      <c r="K108" s="177" t="str">
        <f>IF($C$16&gt;COUNT($E108:J108)*$E108,COUNT($E108:J108)*$E108,"")</f>
        <v/>
      </c>
      <c r="L108" s="12" t="str">
        <f t="shared" si="22"/>
        <v/>
      </c>
      <c r="M108" s="12" t="str">
        <f t="shared" si="22"/>
        <v/>
      </c>
      <c r="N108" s="12" t="str">
        <f t="shared" si="22"/>
        <v/>
      </c>
      <c r="O108" s="12" t="str">
        <f t="shared" si="22"/>
        <v/>
      </c>
      <c r="P108" s="12" t="str">
        <f t="shared" si="22"/>
        <v/>
      </c>
      <c r="Q108" s="12" t="str">
        <f t="shared" si="22"/>
        <v/>
      </c>
      <c r="R108" s="12" t="str">
        <f t="shared" si="22"/>
        <v/>
      </c>
      <c r="S108" s="12" t="str">
        <f t="shared" si="22"/>
        <v/>
      </c>
      <c r="T108" s="12" t="str">
        <f t="shared" si="22"/>
        <v/>
      </c>
      <c r="U108" s="12" t="str">
        <f t="shared" si="22"/>
        <v/>
      </c>
      <c r="V108" s="12" t="str">
        <f t="shared" si="23"/>
        <v/>
      </c>
      <c r="W108" s="12" t="str">
        <f t="shared" si="23"/>
        <v/>
      </c>
      <c r="X108" s="12" t="str">
        <f t="shared" si="23"/>
        <v/>
      </c>
      <c r="Y108" s="12" t="str">
        <f t="shared" si="23"/>
        <v/>
      </c>
      <c r="Z108" s="12" t="str">
        <f t="shared" si="23"/>
        <v/>
      </c>
      <c r="AA108" s="12" t="str">
        <f t="shared" si="23"/>
        <v/>
      </c>
      <c r="AB108" s="12" t="str">
        <f t="shared" si="23"/>
        <v/>
      </c>
      <c r="AC108" s="12" t="str">
        <f t="shared" si="23"/>
        <v/>
      </c>
      <c r="AD108" s="12" t="str">
        <f t="shared" si="23"/>
        <v/>
      </c>
      <c r="AE108" s="12" t="str">
        <f t="shared" si="23"/>
        <v/>
      </c>
      <c r="AF108" s="12" t="str">
        <f t="shared" si="23"/>
        <v/>
      </c>
      <c r="AG108" s="14">
        <f t="shared" si="19"/>
        <v>0</v>
      </c>
      <c r="AH108" s="14">
        <f t="shared" si="17"/>
        <v>0</v>
      </c>
      <c r="AI108" s="14">
        <f>IF(E108&gt;0,AG108/Calculations!$AB$10,"")</f>
        <v>0</v>
      </c>
      <c r="AJ108" s="52"/>
      <c r="AK108" s="52"/>
      <c r="AL108" s="52"/>
      <c r="AM108" s="52"/>
      <c r="AN108" s="52"/>
      <c r="AO108" s="52"/>
      <c r="AP108" s="52"/>
      <c r="AQ108" s="52"/>
      <c r="AR108" s="52"/>
      <c r="AS108" s="52"/>
    </row>
    <row r="109" spans="1:45" s="51" customFormat="1" ht="13.8" x14ac:dyDescent="0.3">
      <c r="A109" s="32" t="s">
        <v>238</v>
      </c>
      <c r="B109" s="174" t="str">
        <f>B24</f>
        <v>US$</v>
      </c>
      <c r="C109" s="3">
        <v>0</v>
      </c>
      <c r="D109" s="24"/>
      <c r="E109" s="3">
        <f>C16</f>
        <v>25</v>
      </c>
      <c r="F109" s="178" t="str">
        <f>IF($C$16&gt;COUNT($E109:E109)*$E109,COUNT($E109:E109)*$E109,"")</f>
        <v/>
      </c>
      <c r="G109" s="12" t="str">
        <f>IF($C$16&gt;COUNT($E109:F109)*$E109,COUNT($E109:F109)*$E109,"")</f>
        <v/>
      </c>
      <c r="H109" s="12" t="str">
        <f>IF($C$16&gt;COUNT($E109:G109)*$E109,COUNT($E109:G109)*$E109,"")</f>
        <v/>
      </c>
      <c r="I109" s="12" t="str">
        <f>IF($C$16&gt;COUNT($E109:H109)*$E109,COUNT($E109:H109)*$E109,"")</f>
        <v/>
      </c>
      <c r="J109" s="12" t="str">
        <f>IF($C$16&gt;COUNT($E109:I109)*$E109,COUNT($E109:I109)*$E109,"")</f>
        <v/>
      </c>
      <c r="K109" s="177" t="str">
        <f>IF($C$16&gt;COUNT($E109:J109)*$E109,COUNT($E109:J109)*$E109,"")</f>
        <v/>
      </c>
      <c r="L109" s="12" t="str">
        <f t="shared" si="22"/>
        <v/>
      </c>
      <c r="M109" s="12" t="str">
        <f t="shared" si="22"/>
        <v/>
      </c>
      <c r="N109" s="12" t="str">
        <f t="shared" si="22"/>
        <v/>
      </c>
      <c r="O109" s="12" t="str">
        <f t="shared" si="22"/>
        <v/>
      </c>
      <c r="P109" s="12" t="str">
        <f t="shared" si="22"/>
        <v/>
      </c>
      <c r="Q109" s="12" t="str">
        <f t="shared" si="22"/>
        <v/>
      </c>
      <c r="R109" s="12" t="str">
        <f t="shared" si="22"/>
        <v/>
      </c>
      <c r="S109" s="12" t="str">
        <f t="shared" si="22"/>
        <v/>
      </c>
      <c r="T109" s="12" t="str">
        <f t="shared" si="22"/>
        <v/>
      </c>
      <c r="U109" s="12" t="str">
        <f t="shared" si="22"/>
        <v/>
      </c>
      <c r="V109" s="12" t="str">
        <f t="shared" si="23"/>
        <v/>
      </c>
      <c r="W109" s="12" t="str">
        <f t="shared" si="23"/>
        <v/>
      </c>
      <c r="X109" s="12" t="str">
        <f t="shared" si="23"/>
        <v/>
      </c>
      <c r="Y109" s="12" t="str">
        <f t="shared" si="23"/>
        <v/>
      </c>
      <c r="Z109" s="12" t="str">
        <f t="shared" si="23"/>
        <v/>
      </c>
      <c r="AA109" s="12" t="str">
        <f t="shared" si="23"/>
        <v/>
      </c>
      <c r="AB109" s="12" t="str">
        <f t="shared" si="23"/>
        <v/>
      </c>
      <c r="AC109" s="12" t="str">
        <f t="shared" si="23"/>
        <v/>
      </c>
      <c r="AD109" s="12" t="str">
        <f t="shared" si="23"/>
        <v/>
      </c>
      <c r="AE109" s="12" t="str">
        <f t="shared" si="23"/>
        <v/>
      </c>
      <c r="AF109" s="12" t="str">
        <f t="shared" si="23"/>
        <v/>
      </c>
      <c r="AG109" s="14">
        <f t="shared" si="19"/>
        <v>0</v>
      </c>
      <c r="AH109" s="14">
        <f t="shared" si="17"/>
        <v>0</v>
      </c>
      <c r="AI109" s="14">
        <f>IF(E109&gt;0,AG109/Calculations!$AB$10,"")</f>
        <v>0</v>
      </c>
      <c r="AJ109" s="52"/>
      <c r="AK109" s="52"/>
      <c r="AL109" s="52"/>
      <c r="AM109" s="52"/>
      <c r="AN109" s="52"/>
      <c r="AO109" s="52"/>
      <c r="AP109" s="52"/>
      <c r="AQ109" s="52"/>
      <c r="AR109" s="52"/>
      <c r="AS109" s="52"/>
    </row>
    <row r="110" spans="1:45" s="51" customFormat="1" ht="13.8" x14ac:dyDescent="0.3">
      <c r="A110" s="32" t="s">
        <v>41</v>
      </c>
      <c r="B110" s="174" t="str">
        <f>B24</f>
        <v>US$</v>
      </c>
      <c r="C110" s="3">
        <v>0</v>
      </c>
      <c r="D110" s="24"/>
      <c r="E110" s="3">
        <f>C16</f>
        <v>25</v>
      </c>
      <c r="F110" s="178" t="str">
        <f>IF($C$16&gt;COUNT($E110:E110)*$E110,COUNT($E110:E110)*$E110,"")</f>
        <v/>
      </c>
      <c r="G110" s="12" t="str">
        <f>IF($C$16&gt;COUNT($E110:F110)*$E110,COUNT($E110:F110)*$E110,"")</f>
        <v/>
      </c>
      <c r="H110" s="12" t="str">
        <f>IF($C$16&gt;COUNT($E110:G110)*$E110,COUNT($E110:G110)*$E110,"")</f>
        <v/>
      </c>
      <c r="I110" s="12" t="str">
        <f>IF($C$16&gt;COUNT($E110:H110)*$E110,COUNT($E110:H110)*$E110,"")</f>
        <v/>
      </c>
      <c r="J110" s="12" t="str">
        <f>IF($C$16&gt;COUNT($E110:I110)*$E110,COUNT($E110:I110)*$E110,"")</f>
        <v/>
      </c>
      <c r="K110" s="177" t="str">
        <f>IF($C$16&gt;COUNT($E110:J110)*$E110,COUNT($E110:J110)*$E110,"")</f>
        <v/>
      </c>
      <c r="L110" s="12" t="str">
        <f t="shared" si="22"/>
        <v/>
      </c>
      <c r="M110" s="12" t="str">
        <f t="shared" si="22"/>
        <v/>
      </c>
      <c r="N110" s="12" t="str">
        <f t="shared" si="22"/>
        <v/>
      </c>
      <c r="O110" s="12" t="str">
        <f t="shared" si="22"/>
        <v/>
      </c>
      <c r="P110" s="12" t="str">
        <f t="shared" si="22"/>
        <v/>
      </c>
      <c r="Q110" s="12" t="str">
        <f t="shared" si="22"/>
        <v/>
      </c>
      <c r="R110" s="12" t="str">
        <f t="shared" si="22"/>
        <v/>
      </c>
      <c r="S110" s="12" t="str">
        <f t="shared" si="22"/>
        <v/>
      </c>
      <c r="T110" s="12" t="str">
        <f t="shared" si="22"/>
        <v/>
      </c>
      <c r="U110" s="12" t="str">
        <f t="shared" si="22"/>
        <v/>
      </c>
      <c r="V110" s="12" t="str">
        <f t="shared" si="23"/>
        <v/>
      </c>
      <c r="W110" s="12" t="str">
        <f t="shared" si="23"/>
        <v/>
      </c>
      <c r="X110" s="12" t="str">
        <f t="shared" si="23"/>
        <v/>
      </c>
      <c r="Y110" s="12" t="str">
        <f t="shared" si="23"/>
        <v/>
      </c>
      <c r="Z110" s="12" t="str">
        <f t="shared" si="23"/>
        <v/>
      </c>
      <c r="AA110" s="12" t="str">
        <f t="shared" si="23"/>
        <v/>
      </c>
      <c r="AB110" s="12" t="str">
        <f t="shared" si="23"/>
        <v/>
      </c>
      <c r="AC110" s="12" t="str">
        <f t="shared" si="23"/>
        <v/>
      </c>
      <c r="AD110" s="12" t="str">
        <f t="shared" si="23"/>
        <v/>
      </c>
      <c r="AE110" s="12" t="str">
        <f t="shared" si="23"/>
        <v/>
      </c>
      <c r="AF110" s="12" t="str">
        <f t="shared" si="23"/>
        <v/>
      </c>
      <c r="AG110" s="14">
        <f>IF(E110&gt;0,C110/E110*$C$16,C110)</f>
        <v>0</v>
      </c>
      <c r="AH110" s="14">
        <f t="shared" si="17"/>
        <v>0</v>
      </c>
      <c r="AI110" s="14">
        <f>IF(E110&gt;0,AG110/Calculations!$AB$10,"")</f>
        <v>0</v>
      </c>
      <c r="AJ110" s="52"/>
      <c r="AK110" s="52"/>
      <c r="AL110" s="52"/>
      <c r="AM110" s="52"/>
      <c r="AN110" s="52"/>
      <c r="AO110" s="52"/>
      <c r="AP110" s="52"/>
      <c r="AQ110" s="52"/>
      <c r="AR110" s="52"/>
      <c r="AS110" s="52"/>
    </row>
    <row r="111" spans="1:45" s="51" customFormat="1" ht="13.8" x14ac:dyDescent="0.3">
      <c r="A111" s="32" t="s">
        <v>96</v>
      </c>
      <c r="B111" s="174" t="str">
        <f>B24</f>
        <v>US$</v>
      </c>
      <c r="C111" s="3">
        <v>0</v>
      </c>
      <c r="D111" s="24"/>
      <c r="E111" s="3">
        <f>C16</f>
        <v>25</v>
      </c>
      <c r="F111" s="178" t="str">
        <f>IF($C$16&gt;COUNT($E111:E111)*$E111,COUNT($E111:E111)*$E111,"")</f>
        <v/>
      </c>
      <c r="G111" s="12" t="str">
        <f>IF($C$16&gt;COUNT($E111:F111)*$E111,COUNT($E111:F111)*$E111,"")</f>
        <v/>
      </c>
      <c r="H111" s="12" t="str">
        <f>IF($C$16&gt;COUNT($E111:G111)*$E111,COUNT($E111:G111)*$E111,"")</f>
        <v/>
      </c>
      <c r="I111" s="12" t="str">
        <f>IF($C$16&gt;COUNT($E111:H111)*$E111,COUNT($E111:H111)*$E111,"")</f>
        <v/>
      </c>
      <c r="J111" s="12" t="str">
        <f>IF($C$16&gt;COUNT($E111:I111)*$E111,COUNT($E111:I111)*$E111,"")</f>
        <v/>
      </c>
      <c r="K111" s="177" t="str">
        <f>IF($C$16&gt;COUNT($E111:J111)*$E111,COUNT($E111:J111)*$E111,"")</f>
        <v/>
      </c>
      <c r="L111" s="12" t="str">
        <f t="shared" si="22"/>
        <v/>
      </c>
      <c r="M111" s="12" t="str">
        <f t="shared" si="22"/>
        <v/>
      </c>
      <c r="N111" s="12" t="str">
        <f t="shared" si="22"/>
        <v/>
      </c>
      <c r="O111" s="12" t="str">
        <f t="shared" si="22"/>
        <v/>
      </c>
      <c r="P111" s="12" t="str">
        <f t="shared" si="22"/>
        <v/>
      </c>
      <c r="Q111" s="12" t="str">
        <f t="shared" si="22"/>
        <v/>
      </c>
      <c r="R111" s="12" t="str">
        <f t="shared" si="22"/>
        <v/>
      </c>
      <c r="S111" s="12" t="str">
        <f t="shared" si="22"/>
        <v/>
      </c>
      <c r="T111" s="12" t="str">
        <f t="shared" si="22"/>
        <v/>
      </c>
      <c r="U111" s="12" t="str">
        <f t="shared" si="22"/>
        <v/>
      </c>
      <c r="V111" s="12" t="str">
        <f t="shared" si="23"/>
        <v/>
      </c>
      <c r="W111" s="12" t="str">
        <f t="shared" si="23"/>
        <v/>
      </c>
      <c r="X111" s="12" t="str">
        <f t="shared" si="23"/>
        <v/>
      </c>
      <c r="Y111" s="12" t="str">
        <f t="shared" si="23"/>
        <v/>
      </c>
      <c r="Z111" s="12" t="str">
        <f t="shared" si="23"/>
        <v/>
      </c>
      <c r="AA111" s="12" t="str">
        <f t="shared" si="23"/>
        <v/>
      </c>
      <c r="AB111" s="12" t="str">
        <f t="shared" si="23"/>
        <v/>
      </c>
      <c r="AC111" s="12" t="str">
        <f t="shared" si="23"/>
        <v/>
      </c>
      <c r="AD111" s="12" t="str">
        <f t="shared" si="23"/>
        <v/>
      </c>
      <c r="AE111" s="12" t="str">
        <f t="shared" si="23"/>
        <v/>
      </c>
      <c r="AF111" s="12" t="str">
        <f t="shared" si="23"/>
        <v/>
      </c>
      <c r="AG111" s="14">
        <f t="shared" ref="AG111:AG122" si="24">IF(E111&gt;0,C111/E111*$C$16,C111)</f>
        <v>0</v>
      </c>
      <c r="AH111" s="14">
        <f t="shared" si="17"/>
        <v>0</v>
      </c>
      <c r="AI111" s="14">
        <f>IF(E111&gt;0,AG111/Calculations!$AB$10,"")</f>
        <v>0</v>
      </c>
      <c r="AJ111" s="52"/>
      <c r="AK111" s="52"/>
      <c r="AL111" s="52"/>
      <c r="AM111" s="52"/>
      <c r="AN111" s="52"/>
      <c r="AO111" s="52"/>
      <c r="AP111" s="52"/>
      <c r="AQ111" s="52"/>
      <c r="AR111" s="52"/>
      <c r="AS111" s="52"/>
    </row>
    <row r="112" spans="1:45" s="51" customFormat="1" ht="13.8" x14ac:dyDescent="0.3">
      <c r="A112" s="32" t="s">
        <v>38</v>
      </c>
      <c r="B112" s="174" t="str">
        <f>B24</f>
        <v>US$</v>
      </c>
      <c r="C112" s="3">
        <v>0</v>
      </c>
      <c r="D112" s="24"/>
      <c r="E112" s="3">
        <f>C16</f>
        <v>25</v>
      </c>
      <c r="F112" s="178" t="str">
        <f>IF($C$16&gt;COUNT($E112:E112)*$E112,COUNT($E112:E112)*$E112,"")</f>
        <v/>
      </c>
      <c r="G112" s="12" t="str">
        <f>IF($C$16&gt;COUNT($E112:F112)*$E112,COUNT($E112:F112)*$E112,"")</f>
        <v/>
      </c>
      <c r="H112" s="12" t="str">
        <f>IF($C$16&gt;COUNT($E112:G112)*$E112,COUNT($E112:G112)*$E112,"")</f>
        <v/>
      </c>
      <c r="I112" s="12" t="str">
        <f>IF($C$16&gt;COUNT($E112:H112)*$E112,COUNT($E112:H112)*$E112,"")</f>
        <v/>
      </c>
      <c r="J112" s="12" t="str">
        <f>IF($C$16&gt;COUNT($E112:I112)*$E112,COUNT($E112:I112)*$E112,"")</f>
        <v/>
      </c>
      <c r="K112" s="177" t="str">
        <f>IF($C$16&gt;COUNT($E112:J112)*$E112,COUNT($E112:J112)*$E112,"")</f>
        <v/>
      </c>
      <c r="L112" s="12" t="str">
        <f t="shared" si="22"/>
        <v/>
      </c>
      <c r="M112" s="12" t="str">
        <f t="shared" si="22"/>
        <v/>
      </c>
      <c r="N112" s="12" t="str">
        <f t="shared" si="22"/>
        <v/>
      </c>
      <c r="O112" s="12" t="str">
        <f t="shared" si="22"/>
        <v/>
      </c>
      <c r="P112" s="12" t="str">
        <f t="shared" si="22"/>
        <v/>
      </c>
      <c r="Q112" s="12" t="str">
        <f t="shared" si="22"/>
        <v/>
      </c>
      <c r="R112" s="12" t="str">
        <f t="shared" si="22"/>
        <v/>
      </c>
      <c r="S112" s="12" t="str">
        <f t="shared" si="22"/>
        <v/>
      </c>
      <c r="T112" s="12" t="str">
        <f t="shared" si="22"/>
        <v/>
      </c>
      <c r="U112" s="12" t="str">
        <f t="shared" si="22"/>
        <v/>
      </c>
      <c r="V112" s="12" t="str">
        <f t="shared" si="23"/>
        <v/>
      </c>
      <c r="W112" s="12" t="str">
        <f t="shared" si="23"/>
        <v/>
      </c>
      <c r="X112" s="12" t="str">
        <f t="shared" si="23"/>
        <v/>
      </c>
      <c r="Y112" s="12" t="str">
        <f t="shared" si="23"/>
        <v/>
      </c>
      <c r="Z112" s="12" t="str">
        <f t="shared" si="23"/>
        <v/>
      </c>
      <c r="AA112" s="12" t="str">
        <f t="shared" si="23"/>
        <v/>
      </c>
      <c r="AB112" s="12" t="str">
        <f t="shared" si="23"/>
        <v/>
      </c>
      <c r="AC112" s="12" t="str">
        <f t="shared" si="23"/>
        <v/>
      </c>
      <c r="AD112" s="12" t="str">
        <f t="shared" si="23"/>
        <v/>
      </c>
      <c r="AE112" s="12" t="str">
        <f t="shared" si="23"/>
        <v/>
      </c>
      <c r="AF112" s="12" t="str">
        <f t="shared" si="23"/>
        <v/>
      </c>
      <c r="AG112" s="14">
        <f t="shared" si="24"/>
        <v>0</v>
      </c>
      <c r="AH112" s="14">
        <f t="shared" si="17"/>
        <v>0</v>
      </c>
      <c r="AI112" s="14">
        <f>IF(E112&gt;0,AG112/Calculations!$AB$10,"")</f>
        <v>0</v>
      </c>
      <c r="AJ112" s="52"/>
      <c r="AK112" s="52"/>
      <c r="AL112" s="52"/>
      <c r="AM112" s="52"/>
      <c r="AN112" s="52"/>
      <c r="AO112" s="52"/>
      <c r="AP112" s="52"/>
      <c r="AQ112" s="52"/>
      <c r="AR112" s="52"/>
      <c r="AS112" s="52"/>
    </row>
    <row r="113" spans="1:45" s="51" customFormat="1" ht="13.8" x14ac:dyDescent="0.3">
      <c r="A113" s="32" t="s">
        <v>12</v>
      </c>
      <c r="B113" s="174" t="str">
        <f>B24</f>
        <v>US$</v>
      </c>
      <c r="C113" s="3">
        <v>0</v>
      </c>
      <c r="D113" s="24"/>
      <c r="E113" s="3">
        <f>C16</f>
        <v>25</v>
      </c>
      <c r="F113" s="178" t="str">
        <f>IF($C$16&gt;COUNT($E113:E113)*$E113,COUNT($E113:E113)*$E113,"")</f>
        <v/>
      </c>
      <c r="G113" s="12" t="str">
        <f>IF($C$16&gt;COUNT($E113:F113)*$E113,COUNT($E113:F113)*$E113,"")</f>
        <v/>
      </c>
      <c r="H113" s="12" t="str">
        <f>IF($C$16&gt;COUNT($E113:G113)*$E113,COUNT($E113:G113)*$E113,"")</f>
        <v/>
      </c>
      <c r="I113" s="12" t="str">
        <f>IF($C$16&gt;COUNT($E113:H113)*$E113,COUNT($E113:H113)*$E113,"")</f>
        <v/>
      </c>
      <c r="J113" s="12" t="str">
        <f>IF($C$16&gt;COUNT($E113:I113)*$E113,COUNT($E113:I113)*$E113,"")</f>
        <v/>
      </c>
      <c r="K113" s="177" t="str">
        <f>IF($C$16&gt;COUNT($E113:J113)*$E113,COUNT($E113:J113)*$E113,"")</f>
        <v/>
      </c>
      <c r="L113" s="12" t="str">
        <f t="shared" si="22"/>
        <v/>
      </c>
      <c r="M113" s="12" t="str">
        <f t="shared" si="22"/>
        <v/>
      </c>
      <c r="N113" s="12" t="str">
        <f t="shared" si="22"/>
        <v/>
      </c>
      <c r="O113" s="12" t="str">
        <f t="shared" si="22"/>
        <v/>
      </c>
      <c r="P113" s="12" t="str">
        <f t="shared" si="22"/>
        <v/>
      </c>
      <c r="Q113" s="12" t="str">
        <f t="shared" si="22"/>
        <v/>
      </c>
      <c r="R113" s="12" t="str">
        <f t="shared" si="22"/>
        <v/>
      </c>
      <c r="S113" s="12" t="str">
        <f t="shared" si="22"/>
        <v/>
      </c>
      <c r="T113" s="12" t="str">
        <f t="shared" si="22"/>
        <v/>
      </c>
      <c r="U113" s="12" t="str">
        <f t="shared" si="22"/>
        <v/>
      </c>
      <c r="V113" s="12" t="str">
        <f t="shared" si="23"/>
        <v/>
      </c>
      <c r="W113" s="12" t="str">
        <f t="shared" si="23"/>
        <v/>
      </c>
      <c r="X113" s="12" t="str">
        <f t="shared" si="23"/>
        <v/>
      </c>
      <c r="Y113" s="12" t="str">
        <f t="shared" si="23"/>
        <v/>
      </c>
      <c r="Z113" s="12" t="str">
        <f t="shared" si="23"/>
        <v/>
      </c>
      <c r="AA113" s="12" t="str">
        <f t="shared" si="23"/>
        <v/>
      </c>
      <c r="AB113" s="12" t="str">
        <f t="shared" si="23"/>
        <v/>
      </c>
      <c r="AC113" s="12" t="str">
        <f t="shared" si="23"/>
        <v/>
      </c>
      <c r="AD113" s="12" t="str">
        <f t="shared" si="23"/>
        <v/>
      </c>
      <c r="AE113" s="12" t="str">
        <f t="shared" si="23"/>
        <v/>
      </c>
      <c r="AF113" s="12" t="str">
        <f t="shared" si="23"/>
        <v/>
      </c>
      <c r="AG113" s="14">
        <f t="shared" si="24"/>
        <v>0</v>
      </c>
      <c r="AH113" s="14">
        <f t="shared" si="17"/>
        <v>0</v>
      </c>
      <c r="AI113" s="14">
        <f>IF(E113&gt;0,AG113/Calculations!$AB$10,"")</f>
        <v>0</v>
      </c>
      <c r="AJ113" s="52"/>
      <c r="AK113" s="52"/>
      <c r="AL113" s="52"/>
      <c r="AM113" s="52"/>
      <c r="AN113" s="52"/>
      <c r="AO113" s="52"/>
      <c r="AP113" s="52"/>
      <c r="AQ113" s="52"/>
      <c r="AR113" s="52"/>
      <c r="AS113" s="52"/>
    </row>
    <row r="114" spans="1:45" s="51" customFormat="1" ht="13.8" x14ac:dyDescent="0.3">
      <c r="A114" s="32"/>
      <c r="B114" s="174" t="str">
        <f>B24</f>
        <v>US$</v>
      </c>
      <c r="C114" s="3">
        <v>0</v>
      </c>
      <c r="D114" s="24"/>
      <c r="E114" s="3">
        <f>C16</f>
        <v>25</v>
      </c>
      <c r="F114" s="178"/>
      <c r="G114" s="12"/>
      <c r="H114" s="12"/>
      <c r="I114" s="12"/>
      <c r="J114" s="12"/>
      <c r="K114" s="177" t="str">
        <f>IF($C$16&gt;COUNT($E114:J114)*$E114,COUNT($E114:J114)*$E114,"")</f>
        <v/>
      </c>
      <c r="L114" s="12" t="str">
        <f t="shared" ref="L114:U124" si="25">IF(L$23=0,"",IF($F114=L$23,$C114,IF($G114=L$23,$C114,IF($H114=L$23,$C114,IF($I114=L$23,$C114,IF($J114=L$23,$C114,IF($K114=L$23,$C114,"")))))))</f>
        <v/>
      </c>
      <c r="M114" s="12" t="str">
        <f t="shared" si="25"/>
        <v/>
      </c>
      <c r="N114" s="12" t="str">
        <f t="shared" si="25"/>
        <v/>
      </c>
      <c r="O114" s="12" t="str">
        <f t="shared" si="25"/>
        <v/>
      </c>
      <c r="P114" s="12" t="str">
        <f t="shared" si="25"/>
        <v/>
      </c>
      <c r="Q114" s="12" t="str">
        <f t="shared" si="25"/>
        <v/>
      </c>
      <c r="R114" s="12" t="str">
        <f t="shared" si="25"/>
        <v/>
      </c>
      <c r="S114" s="12" t="str">
        <f t="shared" si="25"/>
        <v/>
      </c>
      <c r="T114" s="12" t="str">
        <f t="shared" si="25"/>
        <v/>
      </c>
      <c r="U114" s="12" t="str">
        <f t="shared" si="25"/>
        <v/>
      </c>
      <c r="V114" s="12" t="str">
        <f t="shared" ref="V114:AF124" si="26">IF(V$23=0,"",IF($F114=V$23,$C114,IF($G114=V$23,$C114,IF($H114=V$23,$C114,IF($I114=V$23,$C114,IF($J114=V$23,$C114,IF($K114=V$23,$C114,"")))))))</f>
        <v/>
      </c>
      <c r="W114" s="12" t="str">
        <f t="shared" si="26"/>
        <v/>
      </c>
      <c r="X114" s="12" t="str">
        <f t="shared" si="26"/>
        <v/>
      </c>
      <c r="Y114" s="12" t="str">
        <f t="shared" si="26"/>
        <v/>
      </c>
      <c r="Z114" s="12" t="str">
        <f t="shared" si="26"/>
        <v/>
      </c>
      <c r="AA114" s="12" t="str">
        <f t="shared" si="26"/>
        <v/>
      </c>
      <c r="AB114" s="12" t="str">
        <f t="shared" si="26"/>
        <v/>
      </c>
      <c r="AC114" s="12" t="str">
        <f t="shared" si="26"/>
        <v/>
      </c>
      <c r="AD114" s="12" t="str">
        <f t="shared" si="26"/>
        <v/>
      </c>
      <c r="AE114" s="12" t="str">
        <f t="shared" si="26"/>
        <v/>
      </c>
      <c r="AF114" s="12" t="str">
        <f t="shared" si="26"/>
        <v/>
      </c>
      <c r="AG114" s="14">
        <f t="shared" si="24"/>
        <v>0</v>
      </c>
      <c r="AH114" s="14">
        <f t="shared" si="17"/>
        <v>0</v>
      </c>
      <c r="AI114" s="14">
        <f>IF(E114&gt;0,AG114/Calculations!$AB$10,"")</f>
        <v>0</v>
      </c>
      <c r="AJ114" s="52"/>
      <c r="AK114" s="52"/>
      <c r="AL114" s="52"/>
      <c r="AM114" s="52"/>
      <c r="AN114" s="52"/>
      <c r="AO114" s="52"/>
      <c r="AP114" s="52"/>
      <c r="AQ114" s="52"/>
      <c r="AR114" s="52"/>
      <c r="AS114" s="52"/>
    </row>
    <row r="115" spans="1:45" s="51" customFormat="1" ht="13.8" x14ac:dyDescent="0.3">
      <c r="A115" s="32"/>
      <c r="B115" s="174" t="str">
        <f>B24</f>
        <v>US$</v>
      </c>
      <c r="C115" s="3">
        <v>0</v>
      </c>
      <c r="D115" s="24"/>
      <c r="E115" s="3">
        <f>C16</f>
        <v>25</v>
      </c>
      <c r="F115" s="178"/>
      <c r="G115" s="12"/>
      <c r="H115" s="12"/>
      <c r="I115" s="12"/>
      <c r="J115" s="12"/>
      <c r="K115" s="177" t="str">
        <f>IF($C$16&gt;COUNT($E115:J115)*$E115,COUNT($E115:J115)*$E115,"")</f>
        <v/>
      </c>
      <c r="L115" s="12" t="str">
        <f t="shared" si="25"/>
        <v/>
      </c>
      <c r="M115" s="12" t="str">
        <f t="shared" si="25"/>
        <v/>
      </c>
      <c r="N115" s="12" t="str">
        <f t="shared" si="25"/>
        <v/>
      </c>
      <c r="O115" s="12" t="str">
        <f t="shared" si="25"/>
        <v/>
      </c>
      <c r="P115" s="12" t="str">
        <f t="shared" si="25"/>
        <v/>
      </c>
      <c r="Q115" s="12" t="str">
        <f t="shared" si="25"/>
        <v/>
      </c>
      <c r="R115" s="12" t="str">
        <f t="shared" si="25"/>
        <v/>
      </c>
      <c r="S115" s="12" t="str">
        <f t="shared" si="25"/>
        <v/>
      </c>
      <c r="T115" s="12" t="str">
        <f t="shared" si="25"/>
        <v/>
      </c>
      <c r="U115" s="12" t="str">
        <f t="shared" si="25"/>
        <v/>
      </c>
      <c r="V115" s="12" t="str">
        <f t="shared" si="26"/>
        <v/>
      </c>
      <c r="W115" s="12" t="str">
        <f t="shared" si="26"/>
        <v/>
      </c>
      <c r="X115" s="12" t="str">
        <f t="shared" si="26"/>
        <v/>
      </c>
      <c r="Y115" s="12" t="str">
        <f t="shared" si="26"/>
        <v/>
      </c>
      <c r="Z115" s="12" t="str">
        <f t="shared" si="26"/>
        <v/>
      </c>
      <c r="AA115" s="12" t="str">
        <f t="shared" si="26"/>
        <v/>
      </c>
      <c r="AB115" s="12" t="str">
        <f t="shared" si="26"/>
        <v/>
      </c>
      <c r="AC115" s="12" t="str">
        <f t="shared" si="26"/>
        <v/>
      </c>
      <c r="AD115" s="12" t="str">
        <f t="shared" si="26"/>
        <v/>
      </c>
      <c r="AE115" s="12" t="str">
        <f t="shared" si="26"/>
        <v/>
      </c>
      <c r="AF115" s="12" t="str">
        <f t="shared" si="26"/>
        <v/>
      </c>
      <c r="AG115" s="14">
        <f t="shared" si="24"/>
        <v>0</v>
      </c>
      <c r="AH115" s="14">
        <f t="shared" si="17"/>
        <v>0</v>
      </c>
      <c r="AI115" s="14">
        <f>IF(E115&gt;0,AG115/Calculations!$AB$10,"")</f>
        <v>0</v>
      </c>
      <c r="AJ115" s="52"/>
      <c r="AK115" s="52"/>
      <c r="AL115" s="52"/>
      <c r="AM115" s="52"/>
      <c r="AN115" s="52"/>
      <c r="AO115" s="52"/>
      <c r="AP115" s="52"/>
      <c r="AQ115" s="52"/>
      <c r="AR115" s="52"/>
      <c r="AS115" s="52"/>
    </row>
    <row r="116" spans="1:45" s="24" customFormat="1" x14ac:dyDescent="0.3">
      <c r="A116" s="485" t="s">
        <v>480</v>
      </c>
      <c r="B116" s="486"/>
      <c r="C116" s="487"/>
      <c r="E116" s="492"/>
      <c r="F116" s="178"/>
      <c r="G116" s="12"/>
      <c r="H116" s="12"/>
      <c r="I116" s="12"/>
      <c r="J116" s="12"/>
      <c r="K116" s="177"/>
      <c r="L116" s="12" t="str">
        <f t="shared" si="25"/>
        <v/>
      </c>
      <c r="M116" s="12" t="str">
        <f t="shared" si="25"/>
        <v/>
      </c>
      <c r="N116" s="12" t="str">
        <f t="shared" si="25"/>
        <v/>
      </c>
      <c r="O116" s="12" t="str">
        <f t="shared" si="25"/>
        <v/>
      </c>
      <c r="P116" s="12" t="str">
        <f t="shared" si="25"/>
        <v/>
      </c>
      <c r="Q116" s="12" t="str">
        <f t="shared" si="25"/>
        <v/>
      </c>
      <c r="R116" s="12" t="str">
        <f t="shared" si="25"/>
        <v/>
      </c>
      <c r="S116" s="12" t="str">
        <f t="shared" si="25"/>
        <v/>
      </c>
      <c r="T116" s="12" t="str">
        <f t="shared" si="25"/>
        <v/>
      </c>
      <c r="U116" s="12" t="str">
        <f t="shared" si="25"/>
        <v/>
      </c>
      <c r="V116" s="12" t="str">
        <f t="shared" si="26"/>
        <v/>
      </c>
      <c r="W116" s="12" t="str">
        <f t="shared" si="26"/>
        <v/>
      </c>
      <c r="X116" s="12" t="str">
        <f t="shared" si="26"/>
        <v/>
      </c>
      <c r="Y116" s="12" t="str">
        <f t="shared" si="26"/>
        <v/>
      </c>
      <c r="Z116" s="12" t="str">
        <f t="shared" si="26"/>
        <v/>
      </c>
      <c r="AA116" s="12" t="str">
        <f t="shared" si="26"/>
        <v/>
      </c>
      <c r="AB116" s="12" t="str">
        <f t="shared" si="26"/>
        <v/>
      </c>
      <c r="AC116" s="12" t="str">
        <f t="shared" si="26"/>
        <v/>
      </c>
      <c r="AD116" s="12" t="str">
        <f t="shared" si="26"/>
        <v/>
      </c>
      <c r="AE116" s="12" t="str">
        <f t="shared" si="26"/>
        <v/>
      </c>
      <c r="AF116" s="12" t="str">
        <f t="shared" si="26"/>
        <v/>
      </c>
      <c r="AG116" s="14">
        <f t="shared" si="24"/>
        <v>0</v>
      </c>
      <c r="AH116" s="14" t="str">
        <f t="shared" si="17"/>
        <v/>
      </c>
      <c r="AI116" s="14" t="str">
        <f>IF(E116&gt;0,AG116/Calculations!$AB$10,"")</f>
        <v/>
      </c>
      <c r="AJ116" s="38"/>
      <c r="AK116" s="38"/>
      <c r="AL116" s="38"/>
      <c r="AM116" s="38"/>
      <c r="AN116" s="38"/>
      <c r="AO116" s="38"/>
      <c r="AP116" s="38"/>
      <c r="AQ116" s="38"/>
      <c r="AR116" s="38"/>
      <c r="AS116" s="38"/>
    </row>
    <row r="117" spans="1:45" s="51" customFormat="1" ht="13.8" x14ac:dyDescent="0.3">
      <c r="A117" s="32" t="s">
        <v>78</v>
      </c>
      <c r="B117" s="174" t="str">
        <f>B25</f>
        <v>US$</v>
      </c>
      <c r="C117" s="3">
        <v>15000</v>
      </c>
      <c r="D117" s="24"/>
      <c r="E117" s="3">
        <v>5</v>
      </c>
      <c r="F117" s="178">
        <f>IF($C$16&gt;COUNT($E117:E117)*$E117,COUNT($E117:E117)*$E117,"")</f>
        <v>5</v>
      </c>
      <c r="G117" s="12">
        <f>IF($C$16&gt;COUNT($E117:F117)*$E117,COUNT($E117:F117)*$E117,"")</f>
        <v>10</v>
      </c>
      <c r="H117" s="12">
        <f>IF($C$16&gt;COUNT($E117:G117)*$E117,COUNT($E117:G117)*$E117,"")</f>
        <v>15</v>
      </c>
      <c r="I117" s="12">
        <f>IF($C$16&gt;COUNT($E117:H117)*$E117,COUNT($E117:H117)*$E117,"")</f>
        <v>20</v>
      </c>
      <c r="J117" s="12" t="str">
        <f>IF($C$16&gt;COUNT($E117:I117)*$E117,COUNT($E117:I117)*$E117,"")</f>
        <v/>
      </c>
      <c r="K117" s="177" t="str">
        <f>IF($C$16&gt;COUNT($E117:J117)*$E117,COUNT($E117:J117)*$E117,"")</f>
        <v/>
      </c>
      <c r="L117" s="12">
        <f t="shared" si="25"/>
        <v>15000</v>
      </c>
      <c r="M117" s="12" t="str">
        <f t="shared" si="25"/>
        <v/>
      </c>
      <c r="N117" s="12" t="str">
        <f t="shared" si="25"/>
        <v/>
      </c>
      <c r="O117" s="12" t="str">
        <f t="shared" si="25"/>
        <v/>
      </c>
      <c r="P117" s="12" t="str">
        <f t="shared" si="25"/>
        <v/>
      </c>
      <c r="Q117" s="12">
        <f t="shared" si="25"/>
        <v>15000</v>
      </c>
      <c r="R117" s="12" t="str">
        <f t="shared" si="25"/>
        <v/>
      </c>
      <c r="S117" s="12" t="str">
        <f t="shared" si="25"/>
        <v/>
      </c>
      <c r="T117" s="12" t="str">
        <f t="shared" si="25"/>
        <v/>
      </c>
      <c r="U117" s="12" t="str">
        <f t="shared" si="25"/>
        <v/>
      </c>
      <c r="V117" s="12">
        <f t="shared" si="26"/>
        <v>15000</v>
      </c>
      <c r="W117" s="12" t="str">
        <f t="shared" si="26"/>
        <v/>
      </c>
      <c r="X117" s="12" t="str">
        <f t="shared" si="26"/>
        <v/>
      </c>
      <c r="Y117" s="12" t="str">
        <f t="shared" si="26"/>
        <v/>
      </c>
      <c r="Z117" s="12" t="str">
        <f t="shared" si="26"/>
        <v/>
      </c>
      <c r="AA117" s="12">
        <f t="shared" si="26"/>
        <v>15000</v>
      </c>
      <c r="AB117" s="12" t="str">
        <f t="shared" si="26"/>
        <v/>
      </c>
      <c r="AC117" s="12" t="str">
        <f t="shared" si="26"/>
        <v/>
      </c>
      <c r="AD117" s="12" t="str">
        <f t="shared" si="26"/>
        <v/>
      </c>
      <c r="AE117" s="12" t="str">
        <f t="shared" si="26"/>
        <v/>
      </c>
      <c r="AF117" s="12" t="str">
        <f t="shared" si="26"/>
        <v/>
      </c>
      <c r="AG117" s="14">
        <f t="shared" si="24"/>
        <v>75000</v>
      </c>
      <c r="AH117" s="14">
        <f t="shared" si="17"/>
        <v>3000</v>
      </c>
      <c r="AI117" s="14">
        <f>IF(E117&gt;0,AG117/Calculations!$AB$10,"")</f>
        <v>8.227624629260492E-3</v>
      </c>
      <c r="AJ117" s="52"/>
      <c r="AK117" s="52"/>
      <c r="AL117" s="52"/>
      <c r="AM117" s="52"/>
      <c r="AN117" s="52"/>
      <c r="AO117" s="52"/>
      <c r="AP117" s="52"/>
      <c r="AQ117" s="52"/>
      <c r="AR117" s="52"/>
      <c r="AS117" s="52"/>
    </row>
    <row r="118" spans="1:45" s="51" customFormat="1" ht="13.8" x14ac:dyDescent="0.3">
      <c r="A118" s="32" t="s">
        <v>79</v>
      </c>
      <c r="B118" s="174" t="str">
        <f>B25</f>
        <v>US$</v>
      </c>
      <c r="C118" s="3">
        <v>5000</v>
      </c>
      <c r="D118" s="24"/>
      <c r="E118" s="3">
        <v>10</v>
      </c>
      <c r="F118" s="178">
        <f>IF($C$16&gt;COUNT($E118:E118)*$E118,COUNT($E118:E118)*$E118,"")</f>
        <v>10</v>
      </c>
      <c r="G118" s="12">
        <f>IF($C$16&gt;COUNT($E118:F118)*$E118,COUNT($E118:F118)*$E118,"")</f>
        <v>20</v>
      </c>
      <c r="H118" s="12" t="str">
        <f>IF($C$16&gt;COUNT($E118:G118)*$E118,COUNT($E118:G118)*$E118,"")</f>
        <v/>
      </c>
      <c r="I118" s="12" t="str">
        <f>IF($C$16&gt;COUNT($E118:H118)*$E118,COUNT($E118:H118)*$E118,"")</f>
        <v/>
      </c>
      <c r="J118" s="12" t="str">
        <f>IF($C$16&gt;COUNT($E118:I118)*$E118,COUNT($E118:I118)*$E118,"")</f>
        <v/>
      </c>
      <c r="K118" s="177" t="str">
        <f>IF($C$16&gt;COUNT($E118:J118)*$E118,COUNT($E118:J118)*$E118,"")</f>
        <v/>
      </c>
      <c r="L118" s="12" t="str">
        <f t="shared" si="25"/>
        <v/>
      </c>
      <c r="M118" s="12" t="str">
        <f t="shared" si="25"/>
        <v/>
      </c>
      <c r="N118" s="12" t="str">
        <f t="shared" si="25"/>
        <v/>
      </c>
      <c r="O118" s="12" t="str">
        <f t="shared" si="25"/>
        <v/>
      </c>
      <c r="P118" s="12" t="str">
        <f t="shared" si="25"/>
        <v/>
      </c>
      <c r="Q118" s="12">
        <f t="shared" si="25"/>
        <v>5000</v>
      </c>
      <c r="R118" s="12" t="str">
        <f t="shared" si="25"/>
        <v/>
      </c>
      <c r="S118" s="12" t="str">
        <f t="shared" si="25"/>
        <v/>
      </c>
      <c r="T118" s="12" t="str">
        <f t="shared" si="25"/>
        <v/>
      </c>
      <c r="U118" s="12" t="str">
        <f t="shared" si="25"/>
        <v/>
      </c>
      <c r="V118" s="12" t="str">
        <f t="shared" si="26"/>
        <v/>
      </c>
      <c r="W118" s="12" t="str">
        <f t="shared" si="26"/>
        <v/>
      </c>
      <c r="X118" s="12" t="str">
        <f t="shared" si="26"/>
        <v/>
      </c>
      <c r="Y118" s="12" t="str">
        <f t="shared" si="26"/>
        <v/>
      </c>
      <c r="Z118" s="12" t="str">
        <f t="shared" si="26"/>
        <v/>
      </c>
      <c r="AA118" s="12">
        <f t="shared" si="26"/>
        <v>5000</v>
      </c>
      <c r="AB118" s="12" t="str">
        <f t="shared" si="26"/>
        <v/>
      </c>
      <c r="AC118" s="12" t="str">
        <f t="shared" si="26"/>
        <v/>
      </c>
      <c r="AD118" s="12" t="str">
        <f t="shared" si="26"/>
        <v/>
      </c>
      <c r="AE118" s="12" t="str">
        <f t="shared" si="26"/>
        <v/>
      </c>
      <c r="AF118" s="12" t="str">
        <f t="shared" si="26"/>
        <v/>
      </c>
      <c r="AG118" s="14">
        <f t="shared" si="24"/>
        <v>12500</v>
      </c>
      <c r="AH118" s="14">
        <f t="shared" si="17"/>
        <v>500</v>
      </c>
      <c r="AI118" s="14">
        <f>IF(E118&gt;0,AG118/Calculations!$AB$10,"")</f>
        <v>1.3712707715434155E-3</v>
      </c>
      <c r="AJ118" s="52"/>
      <c r="AK118" s="52"/>
      <c r="AL118" s="52"/>
      <c r="AM118" s="52"/>
      <c r="AN118" s="52"/>
      <c r="AO118" s="52"/>
      <c r="AP118" s="52"/>
      <c r="AQ118" s="52"/>
      <c r="AR118" s="52"/>
      <c r="AS118" s="52"/>
    </row>
    <row r="119" spans="1:45" s="51" customFormat="1" ht="13.8" x14ac:dyDescent="0.3">
      <c r="A119" s="32" t="s">
        <v>80</v>
      </c>
      <c r="B119" s="174" t="str">
        <f>B25</f>
        <v>US$</v>
      </c>
      <c r="C119" s="3">
        <v>4500</v>
      </c>
      <c r="D119" s="24"/>
      <c r="E119" s="3">
        <v>5</v>
      </c>
      <c r="F119" s="178">
        <f>IF($C$16&gt;COUNT($E119:E119)*$E119,COUNT($E119:E119)*$E119,"")</f>
        <v>5</v>
      </c>
      <c r="G119" s="12">
        <f>IF($C$16&gt;COUNT($E119:F119)*$E119,COUNT($E119:F119)*$E119,"")</f>
        <v>10</v>
      </c>
      <c r="H119" s="12">
        <f>IF($C$16&gt;COUNT($E119:G119)*$E119,COUNT($E119:G119)*$E119,"")</f>
        <v>15</v>
      </c>
      <c r="I119" s="12">
        <f>IF($C$16&gt;COUNT($E119:H119)*$E119,COUNT($E119:H119)*$E119,"")</f>
        <v>20</v>
      </c>
      <c r="J119" s="12" t="str">
        <f>IF($C$16&gt;COUNT($E119:I119)*$E119,COUNT($E119:I119)*$E119,"")</f>
        <v/>
      </c>
      <c r="K119" s="177" t="str">
        <f>IF($C$16&gt;COUNT($E119:J119)*$E119,COUNT($E119:J119)*$E119,"")</f>
        <v/>
      </c>
      <c r="L119" s="12">
        <f t="shared" si="25"/>
        <v>4500</v>
      </c>
      <c r="M119" s="12" t="str">
        <f t="shared" si="25"/>
        <v/>
      </c>
      <c r="N119" s="12" t="str">
        <f t="shared" si="25"/>
        <v/>
      </c>
      <c r="O119" s="12" t="str">
        <f t="shared" si="25"/>
        <v/>
      </c>
      <c r="P119" s="12" t="str">
        <f t="shared" si="25"/>
        <v/>
      </c>
      <c r="Q119" s="12">
        <f t="shared" si="25"/>
        <v>4500</v>
      </c>
      <c r="R119" s="12" t="str">
        <f t="shared" si="25"/>
        <v/>
      </c>
      <c r="S119" s="12" t="str">
        <f t="shared" si="25"/>
        <v/>
      </c>
      <c r="T119" s="12" t="str">
        <f t="shared" si="25"/>
        <v/>
      </c>
      <c r="U119" s="12" t="str">
        <f t="shared" si="25"/>
        <v/>
      </c>
      <c r="V119" s="12">
        <f t="shared" si="26"/>
        <v>4500</v>
      </c>
      <c r="W119" s="12" t="str">
        <f t="shared" si="26"/>
        <v/>
      </c>
      <c r="X119" s="12" t="str">
        <f t="shared" si="26"/>
        <v/>
      </c>
      <c r="Y119" s="12" t="str">
        <f t="shared" si="26"/>
        <v/>
      </c>
      <c r="Z119" s="12" t="str">
        <f t="shared" si="26"/>
        <v/>
      </c>
      <c r="AA119" s="12">
        <f t="shared" si="26"/>
        <v>4500</v>
      </c>
      <c r="AB119" s="12" t="str">
        <f t="shared" si="26"/>
        <v/>
      </c>
      <c r="AC119" s="12" t="str">
        <f t="shared" si="26"/>
        <v/>
      </c>
      <c r="AD119" s="12" t="str">
        <f t="shared" si="26"/>
        <v/>
      </c>
      <c r="AE119" s="12" t="str">
        <f t="shared" si="26"/>
        <v/>
      </c>
      <c r="AF119" s="12" t="str">
        <f t="shared" si="26"/>
        <v/>
      </c>
      <c r="AG119" s="14">
        <f t="shared" si="24"/>
        <v>22500</v>
      </c>
      <c r="AH119" s="14">
        <f t="shared" si="17"/>
        <v>900</v>
      </c>
      <c r="AI119" s="14">
        <f>IF(E119&gt;0,AG119/Calculations!$AB$10,"")</f>
        <v>2.4682873887781477E-3</v>
      </c>
      <c r="AJ119" s="52"/>
      <c r="AK119" s="52"/>
      <c r="AL119" s="52"/>
      <c r="AM119" s="52"/>
      <c r="AN119" s="52"/>
      <c r="AO119" s="52"/>
      <c r="AP119" s="52"/>
      <c r="AQ119" s="52"/>
      <c r="AR119" s="52"/>
      <c r="AS119" s="52"/>
    </row>
    <row r="120" spans="1:45" s="51" customFormat="1" ht="13.8" x14ac:dyDescent="0.3">
      <c r="A120" s="32" t="s">
        <v>240</v>
      </c>
      <c r="B120" s="174" t="str">
        <f>B25</f>
        <v>US$</v>
      </c>
      <c r="C120" s="3">
        <v>8000</v>
      </c>
      <c r="D120" s="24"/>
      <c r="E120" s="3">
        <f>C16</f>
        <v>25</v>
      </c>
      <c r="F120" s="178" t="str">
        <f>IF($C$16&gt;COUNT($E120:E120)*$E120,COUNT($E120:E120)*$E120,"")</f>
        <v/>
      </c>
      <c r="G120" s="12" t="str">
        <f>IF($C$16&gt;COUNT($E120:F120)*$E120,COUNT($E120:F120)*$E120,"")</f>
        <v/>
      </c>
      <c r="H120" s="12" t="str">
        <f>IF($C$16&gt;COUNT($E120:G120)*$E120,COUNT($E120:G120)*$E120,"")</f>
        <v/>
      </c>
      <c r="I120" s="12" t="str">
        <f>IF($C$16&gt;COUNT($E120:H120)*$E120,COUNT($E120:H120)*$E120,"")</f>
        <v/>
      </c>
      <c r="J120" s="12" t="str">
        <f>IF($C$16&gt;COUNT($E120:I120)*$E120,COUNT($E120:I120)*$E120,"")</f>
        <v/>
      </c>
      <c r="K120" s="177" t="str">
        <f>IF($C$16&gt;COUNT($E120:J120)*$E120,COUNT($E120:J120)*$E120,"")</f>
        <v/>
      </c>
      <c r="L120" s="12" t="str">
        <f t="shared" si="25"/>
        <v/>
      </c>
      <c r="M120" s="12" t="str">
        <f t="shared" si="25"/>
        <v/>
      </c>
      <c r="N120" s="12" t="str">
        <f t="shared" si="25"/>
        <v/>
      </c>
      <c r="O120" s="12" t="str">
        <f t="shared" si="25"/>
        <v/>
      </c>
      <c r="P120" s="12" t="str">
        <f t="shared" si="25"/>
        <v/>
      </c>
      <c r="Q120" s="12" t="str">
        <f t="shared" si="25"/>
        <v/>
      </c>
      <c r="R120" s="12" t="str">
        <f t="shared" si="25"/>
        <v/>
      </c>
      <c r="S120" s="12" t="str">
        <f t="shared" si="25"/>
        <v/>
      </c>
      <c r="T120" s="12" t="str">
        <f t="shared" si="25"/>
        <v/>
      </c>
      <c r="U120" s="12" t="str">
        <f t="shared" si="25"/>
        <v/>
      </c>
      <c r="V120" s="12" t="str">
        <f t="shared" si="26"/>
        <v/>
      </c>
      <c r="W120" s="12" t="str">
        <f t="shared" si="26"/>
        <v/>
      </c>
      <c r="X120" s="12" t="str">
        <f t="shared" si="26"/>
        <v/>
      </c>
      <c r="Y120" s="12" t="str">
        <f t="shared" si="26"/>
        <v/>
      </c>
      <c r="Z120" s="12" t="str">
        <f t="shared" si="26"/>
        <v/>
      </c>
      <c r="AA120" s="12" t="str">
        <f t="shared" si="26"/>
        <v/>
      </c>
      <c r="AB120" s="12" t="str">
        <f t="shared" si="26"/>
        <v/>
      </c>
      <c r="AC120" s="12" t="str">
        <f t="shared" si="26"/>
        <v/>
      </c>
      <c r="AD120" s="12" t="str">
        <f t="shared" si="26"/>
        <v/>
      </c>
      <c r="AE120" s="12" t="str">
        <f t="shared" si="26"/>
        <v/>
      </c>
      <c r="AF120" s="12" t="str">
        <f t="shared" si="26"/>
        <v/>
      </c>
      <c r="AG120" s="14">
        <f>IF(E120&gt;0,C120/E120*$C$16,C120)</f>
        <v>8000</v>
      </c>
      <c r="AH120" s="14">
        <f t="shared" ref="AH120:AH125" si="27">IF(E120&gt;0,AG120/$C$16,"")</f>
        <v>320</v>
      </c>
      <c r="AI120" s="14">
        <f>IF(E120&gt;0,AG120/Calculations!$AB$10,"")</f>
        <v>8.7761329378778583E-4</v>
      </c>
      <c r="AJ120" s="52"/>
      <c r="AK120" s="52"/>
      <c r="AL120" s="52"/>
      <c r="AM120" s="52"/>
      <c r="AN120" s="52"/>
      <c r="AO120" s="52"/>
      <c r="AP120" s="52"/>
      <c r="AQ120" s="52"/>
      <c r="AR120" s="52"/>
      <c r="AS120" s="52"/>
    </row>
    <row r="121" spans="1:45" s="51" customFormat="1" ht="13.8" x14ac:dyDescent="0.3">
      <c r="A121" s="32"/>
      <c r="B121" s="174" t="str">
        <f>B26</f>
        <v>US$</v>
      </c>
      <c r="C121" s="3"/>
      <c r="D121" s="24"/>
      <c r="E121" s="3">
        <f>C16</f>
        <v>25</v>
      </c>
      <c r="F121" s="178" t="str">
        <f>IF($C$16&gt;COUNT($E121:E121)*$E121,COUNT($E121:E121)*$E121,"")</f>
        <v/>
      </c>
      <c r="G121" s="12" t="str">
        <f>IF($C$16&gt;COUNT($E121:F121)*$E121,COUNT($E121:F121)*$E121,"")</f>
        <v/>
      </c>
      <c r="H121" s="12" t="str">
        <f>IF($C$16&gt;COUNT($E121:G121)*$E121,COUNT($E121:G121)*$E121,"")</f>
        <v/>
      </c>
      <c r="I121" s="12" t="str">
        <f>IF($C$16&gt;COUNT($E121:H121)*$E121,COUNT($E121:H121)*$E121,"")</f>
        <v/>
      </c>
      <c r="J121" s="12" t="str">
        <f>IF($C$16&gt;COUNT($E121:I121)*$E121,COUNT($E121:I121)*$E121,"")</f>
        <v/>
      </c>
      <c r="K121" s="177" t="str">
        <f>IF($C$16&gt;COUNT($E121:J121)*$E121,COUNT($E121:J121)*$E121,"")</f>
        <v/>
      </c>
      <c r="L121" s="12" t="str">
        <f t="shared" si="25"/>
        <v/>
      </c>
      <c r="M121" s="12" t="str">
        <f t="shared" si="25"/>
        <v/>
      </c>
      <c r="N121" s="12" t="str">
        <f t="shared" si="25"/>
        <v/>
      </c>
      <c r="O121" s="12" t="str">
        <f t="shared" si="25"/>
        <v/>
      </c>
      <c r="P121" s="12" t="str">
        <f t="shared" si="25"/>
        <v/>
      </c>
      <c r="Q121" s="12" t="str">
        <f t="shared" si="25"/>
        <v/>
      </c>
      <c r="R121" s="12" t="str">
        <f t="shared" si="25"/>
        <v/>
      </c>
      <c r="S121" s="12" t="str">
        <f t="shared" si="25"/>
        <v/>
      </c>
      <c r="T121" s="12" t="str">
        <f t="shared" si="25"/>
        <v/>
      </c>
      <c r="U121" s="12" t="str">
        <f t="shared" si="25"/>
        <v/>
      </c>
      <c r="V121" s="12" t="str">
        <f t="shared" si="26"/>
        <v/>
      </c>
      <c r="W121" s="12" t="str">
        <f t="shared" si="26"/>
        <v/>
      </c>
      <c r="X121" s="12" t="str">
        <f t="shared" si="26"/>
        <v/>
      </c>
      <c r="Y121" s="12" t="str">
        <f t="shared" si="26"/>
        <v/>
      </c>
      <c r="Z121" s="12" t="str">
        <f t="shared" si="26"/>
        <v/>
      </c>
      <c r="AA121" s="12" t="str">
        <f t="shared" si="26"/>
        <v/>
      </c>
      <c r="AB121" s="12" t="str">
        <f t="shared" si="26"/>
        <v/>
      </c>
      <c r="AC121" s="12" t="str">
        <f t="shared" si="26"/>
        <v/>
      </c>
      <c r="AD121" s="12" t="str">
        <f t="shared" si="26"/>
        <v/>
      </c>
      <c r="AE121" s="12" t="str">
        <f t="shared" si="26"/>
        <v/>
      </c>
      <c r="AF121" s="12" t="str">
        <f t="shared" si="26"/>
        <v/>
      </c>
      <c r="AG121" s="14">
        <f t="shared" si="24"/>
        <v>0</v>
      </c>
      <c r="AH121" s="14">
        <f t="shared" si="27"/>
        <v>0</v>
      </c>
      <c r="AI121" s="14">
        <f>IF(E121&gt;0,AG121/Calculations!$AB$10,"")</f>
        <v>0</v>
      </c>
      <c r="AJ121" s="52"/>
      <c r="AK121" s="52"/>
      <c r="AL121" s="52"/>
      <c r="AM121" s="52"/>
      <c r="AN121" s="52"/>
      <c r="AO121" s="52"/>
      <c r="AP121" s="52"/>
      <c r="AQ121" s="52"/>
      <c r="AR121" s="52"/>
      <c r="AS121" s="52"/>
    </row>
    <row r="122" spans="1:45" s="51" customFormat="1" ht="13.8" x14ac:dyDescent="0.3">
      <c r="A122" s="32"/>
      <c r="B122" s="174" t="str">
        <f>B27</f>
        <v>US$</v>
      </c>
      <c r="C122" s="3"/>
      <c r="D122" s="24"/>
      <c r="E122" s="3">
        <f>C16</f>
        <v>25</v>
      </c>
      <c r="F122" s="178" t="str">
        <f>IF($C$16&gt;COUNT($E122:E122)*$E122,COUNT($E122:E122)*$E122,"")</f>
        <v/>
      </c>
      <c r="G122" s="12" t="str">
        <f>IF($C$16&gt;COUNT($E122:F122)*$E122,COUNT($E122:F122)*$E122,"")</f>
        <v/>
      </c>
      <c r="H122" s="12" t="str">
        <f>IF($C$16&gt;COUNT($E122:G122)*$E122,COUNT($E122:G122)*$E122,"")</f>
        <v/>
      </c>
      <c r="I122" s="12" t="str">
        <f>IF($C$16&gt;COUNT($E122:H122)*$E122,COUNT($E122:H122)*$E122,"")</f>
        <v/>
      </c>
      <c r="J122" s="12" t="str">
        <f>IF($C$16&gt;COUNT($E122:I122)*$E122,COUNT($E122:I122)*$E122,"")</f>
        <v/>
      </c>
      <c r="K122" s="177" t="str">
        <f>IF($C$16&gt;COUNT($E122:J122)*$E122,COUNT($E122:J122)*$E122,"")</f>
        <v/>
      </c>
      <c r="L122" s="12" t="str">
        <f t="shared" si="25"/>
        <v/>
      </c>
      <c r="M122" s="12" t="str">
        <f t="shared" si="25"/>
        <v/>
      </c>
      <c r="N122" s="12" t="str">
        <f t="shared" si="25"/>
        <v/>
      </c>
      <c r="O122" s="12" t="str">
        <f t="shared" si="25"/>
        <v/>
      </c>
      <c r="P122" s="12" t="str">
        <f t="shared" si="25"/>
        <v/>
      </c>
      <c r="Q122" s="12" t="str">
        <f t="shared" si="25"/>
        <v/>
      </c>
      <c r="R122" s="12" t="str">
        <f t="shared" si="25"/>
        <v/>
      </c>
      <c r="S122" s="12" t="str">
        <f t="shared" si="25"/>
        <v/>
      </c>
      <c r="T122" s="12" t="str">
        <f t="shared" si="25"/>
        <v/>
      </c>
      <c r="U122" s="12" t="str">
        <f t="shared" si="25"/>
        <v/>
      </c>
      <c r="V122" s="12" t="str">
        <f t="shared" si="26"/>
        <v/>
      </c>
      <c r="W122" s="12" t="str">
        <f t="shared" si="26"/>
        <v/>
      </c>
      <c r="X122" s="12" t="str">
        <f t="shared" si="26"/>
        <v/>
      </c>
      <c r="Y122" s="12" t="str">
        <f t="shared" si="26"/>
        <v/>
      </c>
      <c r="Z122" s="12" t="str">
        <f t="shared" si="26"/>
        <v/>
      </c>
      <c r="AA122" s="12" t="str">
        <f t="shared" si="26"/>
        <v/>
      </c>
      <c r="AB122" s="12" t="str">
        <f t="shared" si="26"/>
        <v/>
      </c>
      <c r="AC122" s="12" t="str">
        <f t="shared" si="26"/>
        <v/>
      </c>
      <c r="AD122" s="12" t="str">
        <f t="shared" si="26"/>
        <v/>
      </c>
      <c r="AE122" s="12" t="str">
        <f t="shared" si="26"/>
        <v/>
      </c>
      <c r="AF122" s="12" t="str">
        <f t="shared" si="26"/>
        <v/>
      </c>
      <c r="AG122" s="14">
        <f t="shared" si="24"/>
        <v>0</v>
      </c>
      <c r="AH122" s="14">
        <f t="shared" si="27"/>
        <v>0</v>
      </c>
      <c r="AI122" s="14">
        <f>IF(E122&gt;0,AG122/Calculations!$AB$10,"")</f>
        <v>0</v>
      </c>
      <c r="AJ122" s="52"/>
      <c r="AK122" s="52"/>
      <c r="AL122" s="52"/>
      <c r="AM122" s="52"/>
      <c r="AN122" s="52"/>
      <c r="AO122" s="52"/>
      <c r="AP122" s="52"/>
      <c r="AQ122" s="52"/>
      <c r="AR122" s="52"/>
      <c r="AS122" s="52"/>
    </row>
    <row r="123" spans="1:45" x14ac:dyDescent="0.3">
      <c r="A123" s="485" t="s">
        <v>464</v>
      </c>
      <c r="B123" s="486"/>
      <c r="C123" s="487"/>
      <c r="E123" s="494"/>
      <c r="F123" s="180"/>
      <c r="G123" s="2"/>
      <c r="H123" s="2"/>
      <c r="I123" s="2"/>
      <c r="J123" s="2"/>
      <c r="K123" s="181"/>
      <c r="L123" s="12" t="str">
        <f t="shared" si="25"/>
        <v/>
      </c>
      <c r="M123" s="12" t="str">
        <f t="shared" si="25"/>
        <v/>
      </c>
      <c r="N123" s="12" t="str">
        <f t="shared" si="25"/>
        <v/>
      </c>
      <c r="O123" s="12" t="str">
        <f t="shared" si="25"/>
        <v/>
      </c>
      <c r="P123" s="12" t="str">
        <f t="shared" si="25"/>
        <v/>
      </c>
      <c r="Q123" s="12" t="str">
        <f t="shared" si="25"/>
        <v/>
      </c>
      <c r="R123" s="12" t="str">
        <f t="shared" si="25"/>
        <v/>
      </c>
      <c r="S123" s="12" t="str">
        <f t="shared" si="25"/>
        <v/>
      </c>
      <c r="T123" s="12" t="str">
        <f t="shared" si="25"/>
        <v/>
      </c>
      <c r="U123" s="12" t="str">
        <f t="shared" si="25"/>
        <v/>
      </c>
      <c r="V123" s="12" t="str">
        <f t="shared" si="26"/>
        <v/>
      </c>
      <c r="W123" s="12" t="str">
        <f t="shared" si="26"/>
        <v/>
      </c>
      <c r="X123" s="12" t="str">
        <f t="shared" si="26"/>
        <v/>
      </c>
      <c r="Y123" s="12" t="str">
        <f t="shared" si="26"/>
        <v/>
      </c>
      <c r="Z123" s="12" t="str">
        <f t="shared" si="26"/>
        <v/>
      </c>
      <c r="AA123" s="12" t="str">
        <f t="shared" si="26"/>
        <v/>
      </c>
      <c r="AB123" s="12" t="str">
        <f t="shared" si="26"/>
        <v/>
      </c>
      <c r="AC123" s="12" t="str">
        <f t="shared" si="26"/>
        <v/>
      </c>
      <c r="AD123" s="12" t="str">
        <f t="shared" si="26"/>
        <v/>
      </c>
      <c r="AE123" s="12" t="str">
        <f t="shared" si="26"/>
        <v/>
      </c>
      <c r="AF123" s="12" t="str">
        <f t="shared" si="26"/>
        <v/>
      </c>
      <c r="AG123" s="14">
        <f>IF(E123&gt;0,C123/E123*$C$16,C123)</f>
        <v>0</v>
      </c>
      <c r="AH123" s="14" t="str">
        <f t="shared" si="27"/>
        <v/>
      </c>
      <c r="AI123" s="14" t="str">
        <f>IF(E123&gt;0,AG123/Calculations!$AB$10,"")</f>
        <v/>
      </c>
      <c r="AJ123" s="34"/>
      <c r="AK123" s="34"/>
      <c r="AL123" s="34"/>
      <c r="AM123" s="34"/>
      <c r="AN123" s="34"/>
      <c r="AO123" s="34"/>
      <c r="AP123" s="34"/>
      <c r="AQ123" s="34"/>
      <c r="AR123" s="34"/>
      <c r="AS123" s="34"/>
    </row>
    <row r="124" spans="1:45" s="24" customFormat="1" thickBot="1" x14ac:dyDescent="0.35">
      <c r="A124" s="56" t="s">
        <v>39</v>
      </c>
      <c r="B124" s="182" t="str">
        <f>B25</f>
        <v>US$</v>
      </c>
      <c r="C124" s="169">
        <f>Inputs!C193</f>
        <v>0</v>
      </c>
      <c r="E124" s="7">
        <f>SUMPRODUCT(C24:C122,E24:E122)/SUM(C24:C122)</f>
        <v>17.173112338858196</v>
      </c>
      <c r="F124" s="16"/>
      <c r="G124" s="10"/>
      <c r="H124" s="10"/>
      <c r="I124" s="10"/>
      <c r="J124" s="10"/>
      <c r="K124" s="17"/>
      <c r="L124" s="10" t="str">
        <f t="shared" si="25"/>
        <v/>
      </c>
      <c r="M124" s="10" t="str">
        <f t="shared" si="25"/>
        <v/>
      </c>
      <c r="N124" s="10" t="str">
        <f t="shared" si="25"/>
        <v/>
      </c>
      <c r="O124" s="10" t="str">
        <f t="shared" si="25"/>
        <v/>
      </c>
      <c r="P124" s="10" t="str">
        <f t="shared" si="25"/>
        <v/>
      </c>
      <c r="Q124" s="10" t="str">
        <f t="shared" si="25"/>
        <v/>
      </c>
      <c r="R124" s="10" t="str">
        <f t="shared" si="25"/>
        <v/>
      </c>
      <c r="S124" s="10" t="str">
        <f t="shared" si="25"/>
        <v/>
      </c>
      <c r="T124" s="10" t="str">
        <f t="shared" si="25"/>
        <v/>
      </c>
      <c r="U124" s="10" t="str">
        <f t="shared" si="25"/>
        <v/>
      </c>
      <c r="V124" s="10" t="str">
        <f t="shared" si="26"/>
        <v/>
      </c>
      <c r="W124" s="10" t="str">
        <f t="shared" si="26"/>
        <v/>
      </c>
      <c r="X124" s="10" t="str">
        <f t="shared" si="26"/>
        <v/>
      </c>
      <c r="Y124" s="10" t="str">
        <f t="shared" si="26"/>
        <v/>
      </c>
      <c r="Z124" s="10" t="str">
        <f t="shared" si="26"/>
        <v/>
      </c>
      <c r="AA124" s="10" t="str">
        <f t="shared" si="26"/>
        <v/>
      </c>
      <c r="AB124" s="10" t="str">
        <f t="shared" si="26"/>
        <v/>
      </c>
      <c r="AC124" s="10" t="str">
        <f t="shared" si="26"/>
        <v/>
      </c>
      <c r="AD124" s="10" t="str">
        <f t="shared" si="26"/>
        <v/>
      </c>
      <c r="AE124" s="10" t="str">
        <f t="shared" si="26"/>
        <v/>
      </c>
      <c r="AF124" s="10" t="str">
        <f t="shared" si="26"/>
        <v/>
      </c>
      <c r="AG124" s="14">
        <f t="shared" ref="AG124:AG125" si="28">IF(E124&gt;0,C124/E124*$C$16,C124)</f>
        <v>0</v>
      </c>
      <c r="AH124" s="14">
        <f t="shared" si="27"/>
        <v>0</v>
      </c>
      <c r="AI124" s="14">
        <f>IF(E124&gt;0,AG124/Calculations!$AB$10,"")</f>
        <v>0</v>
      </c>
      <c r="AJ124" s="38"/>
      <c r="AK124" s="38"/>
      <c r="AL124" s="38"/>
      <c r="AM124" s="38"/>
      <c r="AN124" s="38"/>
      <c r="AO124" s="38"/>
      <c r="AP124" s="38"/>
      <c r="AQ124" s="38"/>
      <c r="AR124" s="38"/>
      <c r="AS124" s="38"/>
    </row>
    <row r="125" spans="1:45" s="24" customFormat="1" thickTop="1" x14ac:dyDescent="0.3">
      <c r="A125" s="54"/>
      <c r="B125" s="37"/>
      <c r="C125" s="58"/>
      <c r="E125" s="282"/>
      <c r="F125" s="16"/>
      <c r="G125" s="10"/>
      <c r="H125" s="10"/>
      <c r="I125" s="10"/>
      <c r="J125" s="10"/>
      <c r="K125" s="17"/>
      <c r="L125" s="10"/>
      <c r="M125" s="10"/>
      <c r="N125" s="10"/>
      <c r="O125" s="10"/>
      <c r="P125" s="10"/>
      <c r="Q125" s="10"/>
      <c r="R125" s="10"/>
      <c r="S125" s="10"/>
      <c r="T125" s="10"/>
      <c r="U125" s="10"/>
      <c r="V125" s="10"/>
      <c r="W125" s="10"/>
      <c r="X125" s="10"/>
      <c r="Y125" s="10"/>
      <c r="Z125" s="10"/>
      <c r="AA125" s="10"/>
      <c r="AB125" s="10"/>
      <c r="AC125" s="10"/>
      <c r="AD125" s="10"/>
      <c r="AE125" s="10"/>
      <c r="AF125" s="10"/>
      <c r="AG125" s="14">
        <f t="shared" si="28"/>
        <v>0</v>
      </c>
      <c r="AH125" s="14" t="str">
        <f t="shared" si="27"/>
        <v/>
      </c>
      <c r="AI125" s="14" t="str">
        <f>IF(E125&gt;0,AG125/Calculations!$AB$10,"")</f>
        <v/>
      </c>
      <c r="AJ125" s="38"/>
      <c r="AK125" s="38"/>
      <c r="AL125" s="38"/>
      <c r="AM125" s="38"/>
      <c r="AN125" s="38"/>
      <c r="AO125" s="38"/>
      <c r="AP125" s="38"/>
      <c r="AQ125" s="38"/>
      <c r="AR125" s="38"/>
      <c r="AS125" s="38"/>
    </row>
    <row r="126" spans="1:45" s="24" customFormat="1" ht="13.8" x14ac:dyDescent="0.3">
      <c r="A126" s="59" t="s">
        <v>103</v>
      </c>
      <c r="B126" s="121" t="str">
        <f>B24</f>
        <v>US$</v>
      </c>
      <c r="C126" s="107">
        <f>SUM(C24:C125)</f>
        <v>271500</v>
      </c>
      <c r="E126" s="495"/>
      <c r="F126" s="107"/>
      <c r="G126" s="107"/>
      <c r="H126" s="107"/>
      <c r="I126" s="107"/>
      <c r="J126" s="107"/>
      <c r="K126" s="107"/>
      <c r="L126" s="107">
        <f t="shared" ref="L126:AI126" si="29">SUM(L24:L125)</f>
        <v>19500</v>
      </c>
      <c r="M126" s="107">
        <f t="shared" si="29"/>
        <v>0</v>
      </c>
      <c r="N126" s="107">
        <f t="shared" si="29"/>
        <v>0</v>
      </c>
      <c r="O126" s="107">
        <f t="shared" si="29"/>
        <v>0</v>
      </c>
      <c r="P126" s="107">
        <f t="shared" si="29"/>
        <v>0</v>
      </c>
      <c r="Q126" s="107">
        <f t="shared" si="29"/>
        <v>24500</v>
      </c>
      <c r="R126" s="107">
        <f t="shared" si="29"/>
        <v>0</v>
      </c>
      <c r="S126" s="107">
        <f t="shared" si="29"/>
        <v>0</v>
      </c>
      <c r="T126" s="107">
        <f t="shared" si="29"/>
        <v>30000</v>
      </c>
      <c r="U126" s="107">
        <f t="shared" si="29"/>
        <v>0</v>
      </c>
      <c r="V126" s="107">
        <f t="shared" si="29"/>
        <v>24500</v>
      </c>
      <c r="W126" s="107">
        <f t="shared" si="29"/>
        <v>0</v>
      </c>
      <c r="X126" s="107">
        <f t="shared" si="29"/>
        <v>0</v>
      </c>
      <c r="Y126" s="107">
        <f t="shared" si="29"/>
        <v>0</v>
      </c>
      <c r="Z126" s="107">
        <f t="shared" si="29"/>
        <v>0</v>
      </c>
      <c r="AA126" s="107">
        <f t="shared" si="29"/>
        <v>24500</v>
      </c>
      <c r="AB126" s="107">
        <f t="shared" si="29"/>
        <v>0</v>
      </c>
      <c r="AC126" s="107">
        <f t="shared" si="29"/>
        <v>0</v>
      </c>
      <c r="AD126" s="107">
        <f t="shared" si="29"/>
        <v>0</v>
      </c>
      <c r="AE126" s="107">
        <f t="shared" si="29"/>
        <v>0</v>
      </c>
      <c r="AF126" s="107">
        <f t="shared" si="29"/>
        <v>0</v>
      </c>
      <c r="AG126" s="107">
        <f t="shared" si="29"/>
        <v>388025.641025641</v>
      </c>
      <c r="AH126" s="107">
        <f t="shared" si="29"/>
        <v>13521.025641025641</v>
      </c>
      <c r="AI126" s="107">
        <f t="shared" si="29"/>
        <v>3.7081974525655051E-2</v>
      </c>
      <c r="AJ126" s="38"/>
      <c r="AK126" s="38"/>
      <c r="AL126" s="38"/>
      <c r="AM126" s="38"/>
      <c r="AN126" s="38"/>
      <c r="AO126" s="38"/>
      <c r="AP126" s="38"/>
      <c r="AQ126" s="38"/>
      <c r="AR126" s="38"/>
      <c r="AS126" s="38"/>
    </row>
    <row r="127" spans="1:45" s="24" customFormat="1" ht="13.8" x14ac:dyDescent="0.3">
      <c r="A127" s="59" t="s">
        <v>491</v>
      </c>
      <c r="B127" s="121" t="str">
        <f>B24</f>
        <v>US$</v>
      </c>
      <c r="C127" s="107">
        <f>H156+H157</f>
        <v>4000</v>
      </c>
      <c r="E127" s="183">
        <f>SUMPRODUCT(C24:C122,E24:E122)/SUM(C24:C122)</f>
        <v>17.173112338858196</v>
      </c>
      <c r="F127" s="107"/>
      <c r="G127" s="107"/>
      <c r="H127" s="107"/>
      <c r="I127" s="107"/>
      <c r="J127" s="107"/>
      <c r="K127" s="107"/>
      <c r="L127" s="107"/>
      <c r="M127" s="107"/>
      <c r="N127" s="107"/>
      <c r="O127" s="107"/>
      <c r="P127" s="107"/>
      <c r="Q127" s="107"/>
      <c r="R127" s="107"/>
      <c r="S127" s="107"/>
      <c r="T127" s="107"/>
      <c r="U127" s="107"/>
      <c r="V127" s="107"/>
      <c r="W127" s="107"/>
      <c r="X127" s="107"/>
      <c r="Y127" s="107"/>
      <c r="Z127" s="107"/>
      <c r="AA127" s="107"/>
      <c r="AB127" s="107"/>
      <c r="AC127" s="107"/>
      <c r="AD127" s="107"/>
      <c r="AE127" s="107"/>
      <c r="AF127" s="107"/>
      <c r="AG127" s="107">
        <f>SUM(C127,L127:AF127)</f>
        <v>4000</v>
      </c>
      <c r="AH127" s="107">
        <f>IF(E127&gt;0,AG127/$C$16,"")</f>
        <v>160</v>
      </c>
      <c r="AI127" s="107">
        <f>IF(E127&gt;0,AG127/Calculations!$AB$10,"")</f>
        <v>4.3880664689389292E-4</v>
      </c>
      <c r="AJ127" s="38"/>
      <c r="AK127" s="38"/>
      <c r="AL127" s="38"/>
      <c r="AM127" s="38"/>
      <c r="AN127" s="38"/>
      <c r="AO127" s="38"/>
      <c r="AP127" s="38"/>
      <c r="AQ127" s="38"/>
      <c r="AR127" s="38"/>
      <c r="AS127" s="38"/>
    </row>
    <row r="128" spans="1:45" s="24" customFormat="1" ht="13.8" x14ac:dyDescent="0.3">
      <c r="A128" s="59" t="s">
        <v>111</v>
      </c>
      <c r="B128" s="121" t="str">
        <f>B24</f>
        <v>US$</v>
      </c>
      <c r="C128" s="107">
        <f>C126-C127</f>
        <v>267500</v>
      </c>
      <c r="E128" s="495"/>
      <c r="F128" s="107"/>
      <c r="G128" s="107"/>
      <c r="H128" s="107"/>
      <c r="I128" s="107"/>
      <c r="J128" s="107"/>
      <c r="K128" s="107"/>
      <c r="L128" s="107">
        <f t="shared" ref="L128:AI128" si="30">L126-L127</f>
        <v>19500</v>
      </c>
      <c r="M128" s="107">
        <f t="shared" si="30"/>
        <v>0</v>
      </c>
      <c r="N128" s="107">
        <f t="shared" si="30"/>
        <v>0</v>
      </c>
      <c r="O128" s="107">
        <f t="shared" si="30"/>
        <v>0</v>
      </c>
      <c r="P128" s="107">
        <f t="shared" si="30"/>
        <v>0</v>
      </c>
      <c r="Q128" s="107">
        <f t="shared" si="30"/>
        <v>24500</v>
      </c>
      <c r="R128" s="107">
        <f t="shared" si="30"/>
        <v>0</v>
      </c>
      <c r="S128" s="107">
        <f t="shared" si="30"/>
        <v>0</v>
      </c>
      <c r="T128" s="107">
        <f t="shared" si="30"/>
        <v>30000</v>
      </c>
      <c r="U128" s="107">
        <f t="shared" si="30"/>
        <v>0</v>
      </c>
      <c r="V128" s="107">
        <f t="shared" si="30"/>
        <v>24500</v>
      </c>
      <c r="W128" s="107">
        <f t="shared" si="30"/>
        <v>0</v>
      </c>
      <c r="X128" s="107">
        <f t="shared" si="30"/>
        <v>0</v>
      </c>
      <c r="Y128" s="107">
        <f t="shared" si="30"/>
        <v>0</v>
      </c>
      <c r="Z128" s="107">
        <f t="shared" si="30"/>
        <v>0</v>
      </c>
      <c r="AA128" s="107">
        <f t="shared" si="30"/>
        <v>24500</v>
      </c>
      <c r="AB128" s="107">
        <f t="shared" si="30"/>
        <v>0</v>
      </c>
      <c r="AC128" s="107">
        <f t="shared" si="30"/>
        <v>0</v>
      </c>
      <c r="AD128" s="107">
        <f t="shared" si="30"/>
        <v>0</v>
      </c>
      <c r="AE128" s="107">
        <f t="shared" si="30"/>
        <v>0</v>
      </c>
      <c r="AF128" s="107">
        <f t="shared" si="30"/>
        <v>0</v>
      </c>
      <c r="AG128" s="107">
        <f t="shared" si="30"/>
        <v>384025.641025641</v>
      </c>
      <c r="AH128" s="107">
        <f t="shared" si="30"/>
        <v>13361.025641025641</v>
      </c>
      <c r="AI128" s="107">
        <f t="shared" si="30"/>
        <v>3.6643167878761158E-2</v>
      </c>
      <c r="AJ128" s="38"/>
      <c r="AK128" s="38"/>
      <c r="AL128" s="38"/>
      <c r="AM128" s="38"/>
      <c r="AN128" s="38"/>
      <c r="AO128" s="38"/>
      <c r="AP128" s="38"/>
      <c r="AQ128" s="38"/>
      <c r="AR128" s="38"/>
      <c r="AS128" s="38"/>
    </row>
    <row r="129" spans="1:45" s="51" customFormat="1" ht="13.8" x14ac:dyDescent="0.3">
      <c r="B129" s="61"/>
      <c r="C129" s="52"/>
      <c r="D129" s="446"/>
      <c r="E129" s="53"/>
      <c r="F129" s="52"/>
      <c r="G129" s="52"/>
      <c r="H129" s="52"/>
      <c r="I129" s="52"/>
      <c r="J129" s="52"/>
      <c r="K129" s="52"/>
      <c r="L129" s="52"/>
      <c r="M129" s="52"/>
      <c r="N129" s="52"/>
      <c r="O129" s="52"/>
      <c r="P129" s="52"/>
      <c r="Q129" s="52"/>
      <c r="R129" s="52"/>
      <c r="S129" s="52"/>
      <c r="T129" s="52"/>
      <c r="U129" s="52"/>
      <c r="V129" s="52"/>
      <c r="W129" s="52"/>
      <c r="X129" s="52"/>
      <c r="Y129" s="52"/>
      <c r="Z129" s="52"/>
      <c r="AA129" s="52"/>
      <c r="AB129" s="52"/>
      <c r="AC129" s="52"/>
      <c r="AD129" s="52"/>
      <c r="AE129" s="52"/>
      <c r="AF129" s="52"/>
      <c r="AG129" s="53"/>
      <c r="AH129" s="53"/>
      <c r="AI129" s="53"/>
      <c r="AJ129" s="52"/>
      <c r="AK129" s="52"/>
      <c r="AL129" s="52"/>
      <c r="AM129" s="52"/>
      <c r="AN129" s="52"/>
      <c r="AO129" s="52"/>
      <c r="AP129" s="52"/>
      <c r="AQ129" s="52"/>
      <c r="AR129" s="52"/>
      <c r="AS129" s="52"/>
    </row>
    <row r="130" spans="1:45" s="24" customFormat="1" ht="13.8" x14ac:dyDescent="0.3">
      <c r="B130" s="38"/>
      <c r="E130" s="62"/>
      <c r="AG130" s="62"/>
      <c r="AH130" s="37"/>
      <c r="AI130" s="62"/>
    </row>
    <row r="131" spans="1:45" x14ac:dyDescent="0.3">
      <c r="A131" s="63" t="s">
        <v>97</v>
      </c>
      <c r="B131" s="64"/>
      <c r="C131" s="63"/>
      <c r="E131" s="33"/>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c r="AE131" s="34"/>
      <c r="AF131" s="34"/>
      <c r="AG131" s="33"/>
      <c r="AH131" s="33"/>
      <c r="AI131" s="33"/>
      <c r="AJ131" s="34"/>
      <c r="AK131" s="34"/>
      <c r="AL131" s="34"/>
      <c r="AM131" s="34"/>
      <c r="AN131" s="34"/>
      <c r="AO131" s="34"/>
      <c r="AP131" s="34"/>
      <c r="AQ131" s="34"/>
      <c r="AR131" s="34"/>
      <c r="AS131" s="34"/>
    </row>
    <row r="132" spans="1:45" s="42" customFormat="1" ht="13.8" x14ac:dyDescent="0.3">
      <c r="A132" s="41"/>
      <c r="B132" s="41" t="s">
        <v>49</v>
      </c>
      <c r="C132" s="41" t="s">
        <v>50</v>
      </c>
      <c r="E132" s="52"/>
      <c r="F132" s="47"/>
      <c r="G132" s="47"/>
      <c r="H132" s="47"/>
      <c r="I132" s="47"/>
      <c r="J132" s="47"/>
      <c r="K132" s="47"/>
      <c r="L132" s="47"/>
      <c r="M132" s="47"/>
      <c r="N132" s="47"/>
      <c r="O132" s="47"/>
      <c r="P132" s="47"/>
      <c r="Q132" s="47"/>
      <c r="R132" s="47"/>
      <c r="S132" s="47"/>
      <c r="T132" s="47"/>
      <c r="U132" s="47"/>
      <c r="V132" s="47"/>
      <c r="W132" s="47"/>
      <c r="X132" s="47"/>
      <c r="Y132" s="47"/>
      <c r="Z132" s="47"/>
      <c r="AA132" s="47"/>
      <c r="AB132" s="47"/>
      <c r="AC132" s="47"/>
      <c r="AD132" s="47"/>
      <c r="AE132" s="47"/>
      <c r="AF132" s="47"/>
      <c r="AG132" s="47"/>
      <c r="AH132" s="47"/>
      <c r="AI132" s="47"/>
      <c r="AJ132" s="47"/>
      <c r="AK132" s="47"/>
      <c r="AL132" s="47"/>
      <c r="AM132" s="47"/>
      <c r="AN132" s="47"/>
      <c r="AO132" s="47"/>
      <c r="AP132" s="47"/>
      <c r="AQ132" s="47"/>
      <c r="AR132" s="47"/>
      <c r="AS132" s="47"/>
    </row>
    <row r="133" spans="1:45" s="24" customFormat="1" ht="13.8" x14ac:dyDescent="0.3">
      <c r="A133" s="32" t="s">
        <v>115</v>
      </c>
      <c r="B133" s="4" t="s">
        <v>116</v>
      </c>
      <c r="C133" s="3">
        <v>30</v>
      </c>
      <c r="D133" s="65" t="s">
        <v>214</v>
      </c>
      <c r="E133" s="37"/>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7"/>
      <c r="AH133" s="37"/>
      <c r="AI133" s="37"/>
      <c r="AJ133" s="38"/>
      <c r="AK133" s="38"/>
      <c r="AL133" s="38"/>
      <c r="AM133" s="38"/>
      <c r="AN133" s="38"/>
      <c r="AO133" s="38"/>
      <c r="AP133" s="38"/>
      <c r="AQ133" s="38"/>
      <c r="AR133" s="38"/>
      <c r="AS133" s="38"/>
    </row>
    <row r="134" spans="1:45" s="24" customFormat="1" ht="13.8" x14ac:dyDescent="0.3">
      <c r="B134" s="38"/>
      <c r="C134" s="38"/>
      <c r="E134" s="66"/>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7"/>
      <c r="AH134" s="37"/>
      <c r="AI134" s="37"/>
      <c r="AJ134" s="38"/>
      <c r="AK134" s="38"/>
      <c r="AL134" s="38"/>
      <c r="AM134" s="38"/>
      <c r="AN134" s="38"/>
      <c r="AO134" s="38"/>
      <c r="AP134" s="38"/>
      <c r="AQ134" s="38"/>
      <c r="AR134" s="38"/>
      <c r="AS134" s="38"/>
    </row>
    <row r="135" spans="1:45" s="24" customFormat="1" ht="13.8" x14ac:dyDescent="0.3">
      <c r="B135" s="38"/>
      <c r="C135" s="38"/>
      <c r="E135" s="37"/>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7"/>
      <c r="AH135" s="37"/>
      <c r="AI135" s="37"/>
      <c r="AJ135" s="38"/>
      <c r="AK135" s="38"/>
      <c r="AL135" s="38"/>
      <c r="AM135" s="38"/>
      <c r="AN135" s="38"/>
      <c r="AO135" s="38"/>
      <c r="AP135" s="38"/>
      <c r="AQ135" s="38"/>
      <c r="AR135" s="38"/>
      <c r="AS135" s="38"/>
    </row>
    <row r="136" spans="1:45" s="26" customFormat="1" x14ac:dyDescent="0.3">
      <c r="A136" s="63" t="s">
        <v>397</v>
      </c>
      <c r="B136" s="64"/>
      <c r="C136" s="63"/>
      <c r="E136" s="28"/>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28"/>
      <c r="AH136" s="28"/>
      <c r="AI136" s="28"/>
      <c r="AJ136" s="27"/>
      <c r="AK136" s="27"/>
      <c r="AL136" s="27"/>
      <c r="AM136" s="27"/>
      <c r="AN136" s="27"/>
      <c r="AO136" s="27"/>
      <c r="AP136" s="27"/>
      <c r="AQ136" s="27"/>
      <c r="AR136" s="27"/>
      <c r="AS136" s="27"/>
    </row>
    <row r="137" spans="1:45" s="42" customFormat="1" ht="13.8" x14ac:dyDescent="0.3">
      <c r="A137" s="41"/>
      <c r="B137" s="41" t="s">
        <v>49</v>
      </c>
      <c r="C137" s="41" t="s">
        <v>50</v>
      </c>
      <c r="E137" s="52"/>
      <c r="F137" s="47"/>
      <c r="G137" s="47"/>
      <c r="H137" s="47"/>
      <c r="I137" s="47"/>
      <c r="J137" s="47"/>
      <c r="K137" s="47"/>
      <c r="L137" s="47"/>
      <c r="M137" s="47"/>
      <c r="N137" s="47"/>
      <c r="O137" s="47"/>
      <c r="P137" s="47"/>
      <c r="Q137" s="47"/>
      <c r="R137" s="47"/>
      <c r="S137" s="47"/>
      <c r="T137" s="47"/>
      <c r="U137" s="47"/>
      <c r="V137" s="47"/>
      <c r="W137" s="47"/>
      <c r="X137" s="47"/>
      <c r="Y137" s="47"/>
      <c r="Z137" s="47"/>
      <c r="AA137" s="47"/>
      <c r="AB137" s="47"/>
      <c r="AC137" s="47"/>
      <c r="AD137" s="47"/>
      <c r="AE137" s="47"/>
      <c r="AF137" s="47"/>
      <c r="AG137" s="47"/>
      <c r="AH137" s="47"/>
      <c r="AI137" s="47"/>
      <c r="AJ137" s="47"/>
      <c r="AK137" s="47"/>
      <c r="AL137" s="47"/>
      <c r="AM137" s="47"/>
      <c r="AN137" s="47"/>
      <c r="AO137" s="47"/>
      <c r="AP137" s="47"/>
      <c r="AQ137" s="47"/>
      <c r="AR137" s="47"/>
      <c r="AS137" s="47"/>
    </row>
    <row r="138" spans="1:45" s="24" customFormat="1" ht="13.8" x14ac:dyDescent="0.3">
      <c r="A138" s="32" t="s">
        <v>81</v>
      </c>
      <c r="B138" s="174" t="str">
        <f>B24</f>
        <v>US$</v>
      </c>
      <c r="C138" s="3"/>
      <c r="E138" s="37"/>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7"/>
      <c r="AH138" s="37"/>
      <c r="AI138" s="37"/>
      <c r="AJ138" s="38"/>
      <c r="AK138" s="38"/>
      <c r="AL138" s="38"/>
      <c r="AM138" s="38"/>
      <c r="AN138" s="38"/>
      <c r="AO138" s="38"/>
      <c r="AP138" s="38"/>
      <c r="AQ138" s="38"/>
      <c r="AR138" s="38"/>
      <c r="AS138" s="38"/>
    </row>
    <row r="139" spans="1:45" s="24" customFormat="1" ht="13.8" x14ac:dyDescent="0.3">
      <c r="A139" s="32" t="s">
        <v>82</v>
      </c>
      <c r="B139" s="174" t="str">
        <f>B24</f>
        <v>US$</v>
      </c>
      <c r="C139" s="3"/>
      <c r="E139" s="37"/>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7"/>
      <c r="AH139" s="37"/>
      <c r="AI139" s="37"/>
      <c r="AJ139" s="38"/>
      <c r="AK139" s="38"/>
      <c r="AL139" s="38"/>
      <c r="AM139" s="38"/>
      <c r="AN139" s="38"/>
      <c r="AO139" s="38"/>
      <c r="AP139" s="38"/>
      <c r="AQ139" s="38"/>
      <c r="AR139" s="38"/>
      <c r="AS139" s="38"/>
    </row>
    <row r="140" spans="1:45" s="24" customFormat="1" ht="13.8" x14ac:dyDescent="0.3">
      <c r="A140" s="32" t="s">
        <v>83</v>
      </c>
      <c r="B140" s="174" t="str">
        <f>B24</f>
        <v>US$</v>
      </c>
      <c r="C140" s="3"/>
      <c r="E140" s="37"/>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7"/>
      <c r="AH140" s="37"/>
      <c r="AI140" s="37"/>
      <c r="AJ140" s="38"/>
      <c r="AK140" s="38"/>
      <c r="AL140" s="38"/>
      <c r="AM140" s="38"/>
      <c r="AN140" s="38"/>
      <c r="AO140" s="38"/>
      <c r="AP140" s="38"/>
      <c r="AQ140" s="38"/>
      <c r="AR140" s="38"/>
      <c r="AS140" s="38"/>
    </row>
    <row r="141" spans="1:45" s="24" customFormat="1" ht="13.8" x14ac:dyDescent="0.3">
      <c r="A141" s="32" t="s">
        <v>246</v>
      </c>
      <c r="B141" s="174" t="str">
        <f>B24</f>
        <v>US$</v>
      </c>
      <c r="C141" s="3"/>
      <c r="E141" s="37"/>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7"/>
      <c r="AH141" s="37"/>
      <c r="AI141" s="37"/>
      <c r="AJ141" s="38"/>
      <c r="AK141" s="38"/>
      <c r="AL141" s="38"/>
      <c r="AM141" s="38"/>
      <c r="AN141" s="38"/>
      <c r="AO141" s="38"/>
      <c r="AP141" s="38"/>
      <c r="AQ141" s="38"/>
      <c r="AR141" s="38"/>
      <c r="AS141" s="38"/>
    </row>
    <row r="142" spans="1:45" s="24" customFormat="1" ht="13.8" x14ac:dyDescent="0.3">
      <c r="A142" s="32" t="s">
        <v>45</v>
      </c>
      <c r="B142" s="174" t="str">
        <f>B24</f>
        <v>US$</v>
      </c>
      <c r="C142" s="3"/>
      <c r="E142" s="37"/>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7"/>
      <c r="AH142" s="37"/>
      <c r="AI142" s="37"/>
      <c r="AJ142" s="38"/>
      <c r="AK142" s="38"/>
      <c r="AL142" s="38"/>
      <c r="AM142" s="38"/>
      <c r="AN142" s="38"/>
      <c r="AO142" s="38"/>
      <c r="AP142" s="38"/>
      <c r="AQ142" s="38"/>
      <c r="AR142" s="38"/>
      <c r="AS142" s="38"/>
    </row>
    <row r="143" spans="1:45" s="24" customFormat="1" ht="13.8" x14ac:dyDescent="0.3">
      <c r="A143" s="32" t="s">
        <v>44</v>
      </c>
      <c r="B143" s="174" t="str">
        <f>B24</f>
        <v>US$</v>
      </c>
      <c r="C143" s="3"/>
      <c r="E143" s="37"/>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7"/>
      <c r="AH143" s="37"/>
      <c r="AI143" s="37"/>
      <c r="AJ143" s="38"/>
      <c r="AK143" s="38"/>
      <c r="AL143" s="38"/>
      <c r="AM143" s="38"/>
      <c r="AN143" s="38"/>
      <c r="AO143" s="38"/>
      <c r="AP143" s="38"/>
      <c r="AQ143" s="38"/>
      <c r="AR143" s="38"/>
      <c r="AS143" s="38"/>
    </row>
    <row r="144" spans="1:45" s="24" customFormat="1" ht="13.8" x14ac:dyDescent="0.3">
      <c r="A144" s="32"/>
      <c r="B144" s="174" t="str">
        <f>B24</f>
        <v>US$</v>
      </c>
      <c r="C144" s="3"/>
      <c r="E144" s="37"/>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7"/>
      <c r="AH144" s="37"/>
      <c r="AI144" s="37"/>
      <c r="AJ144" s="38"/>
      <c r="AK144" s="38"/>
      <c r="AL144" s="38"/>
      <c r="AM144" s="38"/>
      <c r="AN144" s="38"/>
      <c r="AO144" s="38"/>
      <c r="AP144" s="38"/>
      <c r="AQ144" s="38"/>
      <c r="AR144" s="38"/>
      <c r="AS144" s="38"/>
    </row>
    <row r="145" spans="1:45" s="24" customFormat="1" ht="13.8" x14ac:dyDescent="0.3">
      <c r="A145" s="59" t="s">
        <v>242</v>
      </c>
      <c r="B145" s="121" t="str">
        <f>B24</f>
        <v>US$</v>
      </c>
      <c r="C145" s="107">
        <f>SUM(C138:C144)</f>
        <v>0</v>
      </c>
      <c r="E145" s="37"/>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7"/>
      <c r="AH145" s="37"/>
      <c r="AI145" s="37"/>
      <c r="AJ145" s="38"/>
      <c r="AK145" s="38"/>
      <c r="AL145" s="38"/>
      <c r="AM145" s="38"/>
      <c r="AN145" s="38"/>
      <c r="AO145" s="38"/>
      <c r="AP145" s="38"/>
      <c r="AQ145" s="38"/>
      <c r="AR145" s="38"/>
      <c r="AS145" s="38"/>
    </row>
    <row r="146" spans="1:45" s="24" customFormat="1" ht="13.8" x14ac:dyDescent="0.3">
      <c r="A146" s="51"/>
      <c r="B146" s="61"/>
      <c r="C146" s="38"/>
      <c r="E146" s="37"/>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7"/>
      <c r="AH146" s="37"/>
      <c r="AI146" s="37"/>
      <c r="AJ146" s="38"/>
      <c r="AK146" s="38"/>
      <c r="AL146" s="38"/>
      <c r="AM146" s="38"/>
      <c r="AN146" s="38"/>
      <c r="AO146" s="38"/>
      <c r="AP146" s="38"/>
      <c r="AQ146" s="38"/>
      <c r="AR146" s="38"/>
      <c r="AS146" s="38"/>
    </row>
    <row r="147" spans="1:45" s="24" customFormat="1" ht="13.8" x14ac:dyDescent="0.3">
      <c r="A147" s="32" t="s">
        <v>128</v>
      </c>
      <c r="B147" s="4" t="s">
        <v>85</v>
      </c>
      <c r="C147" s="5"/>
      <c r="E147" s="37"/>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7"/>
      <c r="AH147" s="37"/>
      <c r="AI147" s="37"/>
      <c r="AJ147" s="38"/>
      <c r="AK147" s="38"/>
      <c r="AL147" s="38"/>
      <c r="AM147" s="38"/>
      <c r="AN147" s="38"/>
      <c r="AO147" s="38"/>
      <c r="AP147" s="38"/>
      <c r="AQ147" s="38"/>
      <c r="AR147" s="38"/>
      <c r="AS147" s="38"/>
    </row>
    <row r="148" spans="1:45" s="24" customFormat="1" ht="13.8" x14ac:dyDescent="0.3">
      <c r="A148" s="51"/>
      <c r="B148" s="61"/>
      <c r="C148" s="38"/>
      <c r="E148" s="37"/>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7"/>
      <c r="AH148" s="37"/>
      <c r="AI148" s="37"/>
      <c r="AJ148" s="38"/>
      <c r="AK148" s="38"/>
      <c r="AL148" s="38"/>
      <c r="AM148" s="38"/>
      <c r="AN148" s="38"/>
      <c r="AO148" s="38"/>
      <c r="AP148" s="38"/>
      <c r="AQ148" s="38"/>
      <c r="AR148" s="38"/>
      <c r="AS148" s="38"/>
    </row>
    <row r="149" spans="1:45" s="26" customFormat="1" x14ac:dyDescent="0.3">
      <c r="A149" s="523" t="s">
        <v>244</v>
      </c>
      <c r="B149" s="524"/>
      <c r="C149" s="525"/>
      <c r="E149" s="21"/>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c r="AE149" s="27"/>
      <c r="AF149" s="27"/>
      <c r="AG149" s="28"/>
      <c r="AH149" s="28"/>
      <c r="AI149" s="28"/>
      <c r="AJ149" s="27"/>
      <c r="AK149" s="27"/>
      <c r="AL149" s="27"/>
      <c r="AM149" s="27"/>
      <c r="AN149" s="27"/>
      <c r="AO149" s="27"/>
      <c r="AP149" s="27"/>
      <c r="AQ149" s="27"/>
      <c r="AR149" s="27"/>
      <c r="AS149" s="27"/>
    </row>
    <row r="150" spans="1:45" x14ac:dyDescent="0.3">
      <c r="A150" s="67"/>
      <c r="B150" s="68" t="s">
        <v>152</v>
      </c>
      <c r="C150" s="68">
        <v>1</v>
      </c>
      <c r="D150" s="68">
        <f>C150+1</f>
        <v>2</v>
      </c>
      <c r="E150" s="68">
        <f t="shared" ref="E150:G150" si="31">D150+1</f>
        <v>3</v>
      </c>
      <c r="F150" s="68">
        <f>E150+1</f>
        <v>4</v>
      </c>
      <c r="G150" s="68">
        <f t="shared" si="31"/>
        <v>5</v>
      </c>
    </row>
    <row r="151" spans="1:45" x14ac:dyDescent="0.3">
      <c r="A151" s="32" t="s">
        <v>247</v>
      </c>
      <c r="B151" s="166" t="s">
        <v>88</v>
      </c>
      <c r="C151" s="3"/>
      <c r="D151" s="3"/>
      <c r="E151" s="3"/>
      <c r="F151" s="3"/>
      <c r="G151" s="3"/>
      <c r="H151" s="38"/>
    </row>
    <row r="152" spans="1:45" x14ac:dyDescent="0.3">
      <c r="A152" s="32" t="s">
        <v>245</v>
      </c>
      <c r="B152" s="166" t="str">
        <f>IF(C20="currency","currency/kWh",IF(C20="DZD","DZD/kWh",IF(C20="AOA","AOA/kWh",IF(C20="BWP","BWP/kWh",IF(C20="BIF","BIF/kWh",IF(C20="CVE","CVE/kWh",IF(C20="XAF","XAF/kWh",IF(C20="XOF","XOF/kWh",IF(C20="KMF","KMF/kWh",IF(C20="CDF","CDF/kWh",IF(C20="GMD","GMD/kWh",IF(C20="DJF","DJF/kWh",IF(C20="EGP","EGP/kWh",IF(C20="ERN","ERN/kWh",IF(C20="ETB","ETB/kWh",IF(C20="GHS","GHS/kWh",IF(C20="GNF","GNF/kWh",IF(C20="KES","KES/kWh",IF(C20="LSL","LSL/kWh",IF(C20="LRD","LRD/kWh",IF(C20="LYD","LYD/kWh",IF(C20="SZL","SZL/kWh",IF(C20="MGA","MGA/kWh",IF(C20="MWK","MWK/kWh",IF(C20="MUR","MUR/kWh",IF(C20="MAD","MAD/kWh",IF(C20="MZN","MZN/kWh",IF(C20="NAD","NAD/kWh",IF(C20="NGN","NGN/kWh",IF(C20="MRU","MRU/kWh",IF(C20="ZWD","ZWD/kWh",IF(C20="RWF","RWF/kWh",IF(C20="STN","STN/kWh",IF(C20="SCR","SCR/kWh",IF(C20="SLL","SLL/kWh",IF(C20="SOS","SOS/kWh",IF(C20="ZAR","ZAR/kWh",IF(C20="SSP","SSP/kWh",IF(C20="SDG","SDG/kWh",IF(C20="TZS","TZS/kWh",IF(C20="TND","TND/kWh",IF(C20="UGX","UGX/kWh",IF(C20="ZMW","ZMW/kWh",IF(C20="US$","US$/kWh",IF(C20="Euro","Euro/kWh",IF(C20="GBP","GBP/kWh",IF(C20="CFA","CFA/kWh","")))))))))))))))))))))))))))))))))))))))))))))))</f>
        <v>US$/kWh</v>
      </c>
      <c r="C152" s="18"/>
      <c r="D152" s="18"/>
      <c r="E152" s="18"/>
      <c r="F152" s="18"/>
      <c r="G152" s="18"/>
      <c r="H152" s="38"/>
    </row>
    <row r="153" spans="1:45" s="24" customFormat="1" ht="13.8" x14ac:dyDescent="0.3">
      <c r="A153" s="51"/>
      <c r="B153" s="61"/>
      <c r="C153" s="38"/>
      <c r="E153" s="37"/>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7"/>
      <c r="AH153" s="37"/>
      <c r="AI153" s="37"/>
      <c r="AJ153" s="38"/>
      <c r="AK153" s="38"/>
      <c r="AL153" s="38"/>
      <c r="AM153" s="38"/>
      <c r="AN153" s="38"/>
      <c r="AO153" s="38"/>
      <c r="AP153" s="38"/>
      <c r="AQ153" s="38"/>
      <c r="AR153" s="38"/>
      <c r="AS153" s="38"/>
    </row>
    <row r="154" spans="1:45" s="72" customFormat="1" ht="13.8" x14ac:dyDescent="0.3">
      <c r="A154" s="70" t="s">
        <v>439</v>
      </c>
      <c r="B154" s="71"/>
      <c r="C154" s="70"/>
      <c r="E154" s="73"/>
      <c r="F154" s="74"/>
      <c r="G154" s="74"/>
      <c r="H154" s="74"/>
      <c r="I154" s="74"/>
      <c r="J154" s="74"/>
      <c r="K154" s="74"/>
      <c r="L154" s="74"/>
      <c r="M154" s="74"/>
      <c r="N154" s="74"/>
      <c r="O154" s="74"/>
      <c r="P154" s="74"/>
      <c r="Q154" s="74"/>
      <c r="R154" s="74"/>
      <c r="S154" s="74"/>
      <c r="T154" s="74"/>
      <c r="U154" s="74"/>
      <c r="V154" s="74"/>
      <c r="W154" s="74"/>
      <c r="X154" s="74"/>
      <c r="Y154" s="74"/>
      <c r="Z154" s="74"/>
      <c r="AA154" s="74"/>
      <c r="AB154" s="74"/>
      <c r="AC154" s="74"/>
      <c r="AD154" s="74"/>
      <c r="AE154" s="74"/>
      <c r="AF154" s="74"/>
      <c r="AG154" s="73"/>
      <c r="AH154" s="73"/>
      <c r="AI154" s="73"/>
      <c r="AJ154" s="74"/>
      <c r="AK154" s="74"/>
      <c r="AL154" s="74"/>
      <c r="AM154" s="74"/>
      <c r="AN154" s="74"/>
      <c r="AO154" s="74"/>
      <c r="AP154" s="74"/>
      <c r="AQ154" s="74"/>
      <c r="AR154" s="74"/>
      <c r="AS154" s="74"/>
    </row>
    <row r="155" spans="1:45" s="42" customFormat="1" ht="13.8" x14ac:dyDescent="0.3">
      <c r="A155" s="41"/>
      <c r="B155" s="41" t="s">
        <v>49</v>
      </c>
      <c r="C155" s="41" t="s">
        <v>175</v>
      </c>
      <c r="D155" s="41" t="s">
        <v>176</v>
      </c>
      <c r="E155" s="41" t="s">
        <v>177</v>
      </c>
      <c r="F155" s="41" t="s">
        <v>178</v>
      </c>
      <c r="G155" s="41" t="s">
        <v>179</v>
      </c>
      <c r="H155" s="75" t="s">
        <v>77</v>
      </c>
      <c r="I155" s="47"/>
      <c r="J155" s="47"/>
      <c r="K155" s="47"/>
      <c r="L155" s="47"/>
      <c r="M155" s="47"/>
      <c r="N155" s="47"/>
      <c r="O155" s="47"/>
      <c r="P155" s="47"/>
      <c r="Q155" s="47"/>
      <c r="R155" s="47"/>
      <c r="S155" s="47"/>
      <c r="T155" s="47"/>
      <c r="U155" s="47"/>
      <c r="V155" s="47"/>
      <c r="W155" s="47"/>
      <c r="X155" s="47"/>
      <c r="Y155" s="47"/>
      <c r="Z155" s="47"/>
      <c r="AA155" s="47"/>
      <c r="AB155" s="47"/>
      <c r="AC155" s="47"/>
      <c r="AD155" s="47"/>
      <c r="AE155" s="47"/>
      <c r="AF155" s="47"/>
      <c r="AG155" s="47"/>
      <c r="AH155" s="47"/>
      <c r="AI155" s="47"/>
      <c r="AJ155" s="47"/>
      <c r="AK155" s="47"/>
      <c r="AL155" s="47"/>
      <c r="AM155" s="47"/>
      <c r="AN155" s="47"/>
      <c r="AO155" s="47"/>
      <c r="AP155" s="47"/>
      <c r="AQ155" s="47"/>
      <c r="AR155" s="47"/>
      <c r="AS155" s="47"/>
    </row>
    <row r="156" spans="1:45" s="24" customFormat="1" ht="13.8" x14ac:dyDescent="0.3">
      <c r="A156" s="32" t="s">
        <v>492</v>
      </c>
      <c r="B156" s="174" t="str">
        <f>B24</f>
        <v>US$</v>
      </c>
      <c r="C156" s="3">
        <f>50%*C120</f>
        <v>4000</v>
      </c>
      <c r="D156" s="3"/>
      <c r="E156" s="3"/>
      <c r="F156" s="3"/>
      <c r="G156" s="3"/>
      <c r="H156" s="107">
        <f>SUM(C156:G156)</f>
        <v>4000</v>
      </c>
      <c r="I156" s="16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7"/>
      <c r="AH156" s="37"/>
      <c r="AI156" s="37"/>
      <c r="AJ156" s="38"/>
      <c r="AK156" s="38"/>
      <c r="AL156" s="38"/>
      <c r="AM156" s="38"/>
      <c r="AN156" s="38"/>
      <c r="AO156" s="38"/>
      <c r="AP156" s="38"/>
      <c r="AQ156" s="38"/>
      <c r="AR156" s="38"/>
      <c r="AS156" s="38"/>
    </row>
    <row r="157" spans="1:45" s="24" customFormat="1" ht="13.8" x14ac:dyDescent="0.3">
      <c r="A157" s="32" t="s">
        <v>181</v>
      </c>
      <c r="B157" s="174" t="str">
        <f>B24</f>
        <v>US$</v>
      </c>
      <c r="C157" s="3"/>
      <c r="D157" s="3"/>
      <c r="E157" s="3"/>
      <c r="F157" s="3"/>
      <c r="G157" s="3"/>
      <c r="H157" s="107">
        <f>SUM(C157:G157)</f>
        <v>0</v>
      </c>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7"/>
      <c r="AH157" s="37"/>
      <c r="AI157" s="37"/>
      <c r="AJ157" s="38"/>
      <c r="AK157" s="38"/>
      <c r="AL157" s="38"/>
      <c r="AM157" s="38"/>
      <c r="AN157" s="38"/>
      <c r="AO157" s="38"/>
      <c r="AP157" s="38"/>
      <c r="AQ157" s="38"/>
      <c r="AR157" s="38"/>
      <c r="AS157" s="38"/>
    </row>
    <row r="158" spans="1:45" s="24" customFormat="1" ht="13.8" x14ac:dyDescent="0.3">
      <c r="A158" s="32" t="s">
        <v>180</v>
      </c>
      <c r="B158" s="174" t="str">
        <f>B24</f>
        <v>US$</v>
      </c>
      <c r="C158" s="3"/>
      <c r="D158" s="3"/>
      <c r="E158" s="3"/>
      <c r="F158" s="3"/>
      <c r="G158" s="3"/>
      <c r="H158" s="107">
        <f>SUM(C158:G158)</f>
        <v>0</v>
      </c>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7"/>
      <c r="AH158" s="37"/>
      <c r="AI158" s="37"/>
      <c r="AJ158" s="38"/>
      <c r="AK158" s="38"/>
      <c r="AL158" s="38"/>
      <c r="AM158" s="38"/>
      <c r="AN158" s="38"/>
      <c r="AO158" s="38"/>
      <c r="AP158" s="38"/>
      <c r="AQ158" s="38"/>
      <c r="AR158" s="38"/>
      <c r="AS158" s="38"/>
    </row>
    <row r="159" spans="1:45" s="24" customFormat="1" ht="13.8" x14ac:dyDescent="0.3">
      <c r="A159" s="51"/>
      <c r="B159" s="61"/>
      <c r="C159" s="38"/>
      <c r="E159" s="37"/>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7"/>
      <c r="AH159" s="37"/>
      <c r="AI159" s="37"/>
      <c r="AJ159" s="38"/>
      <c r="AK159" s="38"/>
      <c r="AL159" s="38"/>
      <c r="AM159" s="38"/>
      <c r="AN159" s="38"/>
      <c r="AO159" s="38"/>
      <c r="AP159" s="38"/>
      <c r="AQ159" s="38"/>
      <c r="AR159" s="38"/>
      <c r="AS159" s="38"/>
    </row>
    <row r="160" spans="1:45" s="72" customFormat="1" ht="13.8" x14ac:dyDescent="0.3">
      <c r="A160" s="70" t="s">
        <v>137</v>
      </c>
      <c r="B160" s="71"/>
      <c r="C160" s="70"/>
      <c r="D160" s="72" t="s">
        <v>489</v>
      </c>
      <c r="E160" s="73"/>
      <c r="F160" s="74"/>
      <c r="G160" s="74"/>
      <c r="H160" s="74"/>
      <c r="I160" s="74"/>
      <c r="J160" s="74"/>
      <c r="K160" s="74"/>
      <c r="L160" s="74"/>
      <c r="M160" s="74"/>
      <c r="N160" s="74"/>
      <c r="O160" s="74"/>
      <c r="P160" s="74"/>
      <c r="Q160" s="74"/>
      <c r="R160" s="74"/>
      <c r="S160" s="74"/>
      <c r="T160" s="74"/>
      <c r="U160" s="74"/>
      <c r="V160" s="74"/>
      <c r="W160" s="74"/>
      <c r="X160" s="74"/>
      <c r="Y160" s="74"/>
      <c r="Z160" s="74"/>
      <c r="AA160" s="74"/>
      <c r="AB160" s="74"/>
      <c r="AC160" s="74"/>
      <c r="AD160" s="74"/>
      <c r="AE160" s="74"/>
      <c r="AF160" s="74"/>
      <c r="AG160" s="73"/>
      <c r="AH160" s="73"/>
      <c r="AI160" s="73"/>
      <c r="AJ160" s="74"/>
      <c r="AK160" s="74"/>
      <c r="AL160" s="74"/>
      <c r="AM160" s="74"/>
      <c r="AN160" s="74"/>
      <c r="AO160" s="74"/>
      <c r="AP160" s="74"/>
      <c r="AQ160" s="74"/>
      <c r="AR160" s="74"/>
      <c r="AS160" s="74"/>
    </row>
    <row r="161" spans="1:45" s="24" customFormat="1" ht="13.8" x14ac:dyDescent="0.3">
      <c r="A161" s="41"/>
      <c r="B161" s="41" t="s">
        <v>49</v>
      </c>
      <c r="C161" s="41" t="s">
        <v>50</v>
      </c>
      <c r="E161" s="37"/>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7"/>
      <c r="AH161" s="37"/>
      <c r="AI161" s="37"/>
      <c r="AJ161" s="38"/>
      <c r="AK161" s="38"/>
      <c r="AL161" s="38"/>
      <c r="AM161" s="38"/>
      <c r="AN161" s="38"/>
      <c r="AO161" s="38"/>
      <c r="AP161" s="38"/>
      <c r="AQ161" s="38"/>
      <c r="AR161" s="38"/>
      <c r="AS161" s="38"/>
    </row>
    <row r="162" spans="1:45" s="24" customFormat="1" ht="13.8" x14ac:dyDescent="0.3">
      <c r="A162" s="32" t="s">
        <v>432</v>
      </c>
      <c r="B162" s="174" t="str">
        <f>B24</f>
        <v>US$</v>
      </c>
      <c r="C162" s="3"/>
      <c r="E162" s="37"/>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7"/>
      <c r="AH162" s="37"/>
      <c r="AI162" s="37"/>
      <c r="AJ162" s="38"/>
      <c r="AK162" s="38"/>
      <c r="AL162" s="38"/>
      <c r="AM162" s="38"/>
      <c r="AN162" s="38"/>
      <c r="AO162" s="38"/>
      <c r="AP162" s="38"/>
      <c r="AQ162" s="38"/>
      <c r="AR162" s="38"/>
      <c r="AS162" s="38"/>
    </row>
    <row r="163" spans="1:45" s="24" customFormat="1" ht="13.8" x14ac:dyDescent="0.3">
      <c r="A163" s="32" t="s">
        <v>123</v>
      </c>
      <c r="B163" s="174" t="str">
        <f>B24</f>
        <v>US$</v>
      </c>
      <c r="C163" s="3"/>
      <c r="E163" s="37"/>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7"/>
      <c r="AH163" s="37"/>
      <c r="AI163" s="37"/>
      <c r="AJ163" s="38"/>
      <c r="AK163" s="38"/>
      <c r="AL163" s="38"/>
      <c r="AM163" s="38"/>
      <c r="AN163" s="38"/>
      <c r="AO163" s="38"/>
      <c r="AP163" s="38"/>
      <c r="AQ163" s="38"/>
      <c r="AR163" s="38"/>
      <c r="AS163" s="38"/>
    </row>
    <row r="164" spans="1:45" s="24" customFormat="1" ht="13.8" x14ac:dyDescent="0.3">
      <c r="B164" s="76"/>
      <c r="C164" s="38"/>
      <c r="E164" s="37"/>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7"/>
      <c r="AH164" s="37"/>
      <c r="AI164" s="37"/>
      <c r="AJ164" s="38"/>
      <c r="AK164" s="38"/>
      <c r="AL164" s="38"/>
      <c r="AM164" s="38"/>
      <c r="AN164" s="38"/>
      <c r="AO164" s="38"/>
      <c r="AP164" s="38"/>
      <c r="AQ164" s="38"/>
      <c r="AR164" s="38"/>
      <c r="AS164" s="38"/>
    </row>
    <row r="165" spans="1:45" s="24" customFormat="1" ht="13.8" x14ac:dyDescent="0.3">
      <c r="B165" s="38"/>
      <c r="C165" s="38"/>
      <c r="E165" s="37"/>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7"/>
      <c r="AH165" s="37"/>
      <c r="AI165" s="37"/>
      <c r="AJ165" s="38"/>
      <c r="AK165" s="38"/>
      <c r="AL165" s="38"/>
      <c r="AM165" s="38"/>
      <c r="AN165" s="38"/>
      <c r="AO165" s="38"/>
      <c r="AP165" s="38"/>
      <c r="AQ165" s="38"/>
      <c r="AR165" s="38"/>
      <c r="AS165" s="38"/>
    </row>
    <row r="166" spans="1:45" s="72" customFormat="1" ht="13.8" x14ac:dyDescent="0.3">
      <c r="A166" s="70" t="s">
        <v>138</v>
      </c>
      <c r="B166" s="71"/>
      <c r="C166" s="70"/>
      <c r="E166" s="73"/>
      <c r="F166" s="74"/>
      <c r="G166" s="74"/>
      <c r="H166" s="74"/>
      <c r="I166" s="74"/>
      <c r="J166" s="74"/>
      <c r="K166" s="74"/>
      <c r="L166" s="74"/>
      <c r="M166" s="74"/>
      <c r="N166" s="74"/>
      <c r="O166" s="74"/>
      <c r="P166" s="74"/>
      <c r="Q166" s="74"/>
      <c r="R166" s="74"/>
      <c r="S166" s="74"/>
      <c r="T166" s="74"/>
      <c r="U166" s="74"/>
      <c r="V166" s="74"/>
      <c r="W166" s="74"/>
      <c r="X166" s="74"/>
      <c r="Y166" s="74"/>
      <c r="Z166" s="74"/>
      <c r="AA166" s="74"/>
      <c r="AB166" s="74"/>
      <c r="AC166" s="74"/>
      <c r="AD166" s="74"/>
      <c r="AE166" s="74"/>
      <c r="AF166" s="74"/>
      <c r="AG166" s="73"/>
      <c r="AH166" s="73"/>
      <c r="AI166" s="73"/>
      <c r="AJ166" s="74"/>
      <c r="AK166" s="74"/>
      <c r="AL166" s="74"/>
      <c r="AM166" s="74"/>
      <c r="AN166" s="74"/>
      <c r="AO166" s="74"/>
      <c r="AP166" s="74"/>
      <c r="AQ166" s="74"/>
      <c r="AR166" s="74"/>
      <c r="AS166" s="74"/>
    </row>
    <row r="167" spans="1:45" s="24" customFormat="1" ht="13.8" x14ac:dyDescent="0.3">
      <c r="A167" s="523" t="s">
        <v>399</v>
      </c>
      <c r="B167" s="524"/>
      <c r="C167" s="524"/>
      <c r="E167" s="66"/>
      <c r="F167" s="454" t="s">
        <v>212</v>
      </c>
      <c r="G167" s="372"/>
      <c r="H167" s="372"/>
      <c r="I167" s="372"/>
      <c r="J167" s="372"/>
      <c r="K167" s="455"/>
      <c r="L167" s="454"/>
      <c r="M167" s="38"/>
      <c r="N167" s="38"/>
      <c r="O167" s="38"/>
      <c r="P167" s="38"/>
      <c r="Q167" s="38"/>
      <c r="R167" s="38"/>
      <c r="S167" s="38"/>
      <c r="T167" s="38"/>
      <c r="U167" s="38"/>
      <c r="V167" s="38"/>
      <c r="W167" s="38"/>
      <c r="X167" s="38"/>
      <c r="Y167" s="38"/>
      <c r="Z167" s="38"/>
      <c r="AA167" s="38"/>
      <c r="AB167" s="38"/>
      <c r="AC167" s="38"/>
      <c r="AD167" s="38"/>
      <c r="AE167" s="38"/>
      <c r="AF167" s="38"/>
      <c r="AG167" s="37"/>
      <c r="AH167" s="37"/>
      <c r="AI167" s="37"/>
      <c r="AJ167" s="38"/>
      <c r="AK167" s="38"/>
      <c r="AL167" s="38"/>
      <c r="AM167" s="38"/>
      <c r="AN167" s="38"/>
      <c r="AO167" s="38"/>
      <c r="AP167" s="38"/>
      <c r="AQ167" s="38"/>
      <c r="AR167" s="38"/>
      <c r="AS167" s="38"/>
    </row>
    <row r="168" spans="1:45" s="42" customFormat="1" ht="13.8" x14ac:dyDescent="0.3">
      <c r="A168" s="41"/>
      <c r="B168" s="41" t="s">
        <v>49</v>
      </c>
      <c r="C168" s="41" t="s">
        <v>50</v>
      </c>
      <c r="D168" s="41" t="s">
        <v>85</v>
      </c>
      <c r="E168" s="52"/>
      <c r="F168" s="78"/>
      <c r="G168" s="78"/>
      <c r="H168" s="79" t="s">
        <v>210</v>
      </c>
      <c r="I168" s="79" t="s">
        <v>101</v>
      </c>
      <c r="J168" s="79" t="s">
        <v>102</v>
      </c>
      <c r="K168" s="79" t="s">
        <v>77</v>
      </c>
      <c r="L168" s="79" t="s">
        <v>211</v>
      </c>
      <c r="M168" s="47"/>
      <c r="N168" s="47"/>
      <c r="O168" s="47"/>
      <c r="P168" s="47"/>
      <c r="Q168" s="47"/>
      <c r="R168" s="47"/>
      <c r="S168" s="47"/>
      <c r="T168" s="47"/>
      <c r="U168" s="47"/>
      <c r="V168" s="47"/>
      <c r="W168" s="47"/>
      <c r="X168" s="47"/>
      <c r="Y168" s="47"/>
      <c r="Z168" s="47"/>
      <c r="AA168" s="47"/>
      <c r="AB168" s="47"/>
      <c r="AC168" s="47"/>
      <c r="AD168" s="47"/>
      <c r="AE168" s="47"/>
      <c r="AF168" s="47"/>
      <c r="AG168" s="47"/>
      <c r="AH168" s="47"/>
      <c r="AI168" s="47"/>
      <c r="AJ168" s="47"/>
      <c r="AK168" s="47"/>
      <c r="AL168" s="47"/>
      <c r="AM168" s="47"/>
      <c r="AN168" s="47"/>
      <c r="AO168" s="47"/>
      <c r="AP168" s="47"/>
      <c r="AQ168" s="47"/>
      <c r="AR168" s="47"/>
      <c r="AS168" s="47"/>
    </row>
    <row r="169" spans="1:45" s="24" customFormat="1" ht="13.8" x14ac:dyDescent="0.3">
      <c r="A169" s="32" t="s">
        <v>100</v>
      </c>
      <c r="B169" s="174" t="str">
        <f>B24</f>
        <v>US$</v>
      </c>
      <c r="C169" s="107">
        <f>IF($C$126&gt;0,$C$126*D169,0)</f>
        <v>0</v>
      </c>
      <c r="D169" s="5"/>
      <c r="E169" s="37"/>
      <c r="F169" s="77" t="s">
        <v>208</v>
      </c>
      <c r="G169" s="80" t="str">
        <f>B24</f>
        <v>US$</v>
      </c>
      <c r="H169" s="77"/>
      <c r="I169" s="77"/>
      <c r="J169" s="77"/>
      <c r="K169" s="77">
        <f>SUM(H169:J169)</f>
        <v>0</v>
      </c>
      <c r="L169" s="81" t="str">
        <f>IF(K172&gt;0,K169/K172,"")</f>
        <v/>
      </c>
      <c r="M169" s="38"/>
      <c r="N169" s="38"/>
      <c r="O169" s="38"/>
      <c r="P169" s="38"/>
      <c r="Q169" s="38"/>
      <c r="R169" s="38"/>
      <c r="S169" s="38"/>
      <c r="T169" s="38"/>
      <c r="U169" s="38"/>
      <c r="V169" s="38"/>
      <c r="W169" s="38"/>
      <c r="X169" s="38"/>
      <c r="Y169" s="38"/>
      <c r="Z169" s="38"/>
      <c r="AA169" s="38"/>
      <c r="AB169" s="38"/>
      <c r="AC169" s="38"/>
      <c r="AD169" s="38"/>
      <c r="AE169" s="38"/>
      <c r="AF169" s="38"/>
      <c r="AG169" s="37"/>
      <c r="AH169" s="37"/>
      <c r="AI169" s="37"/>
      <c r="AJ169" s="38"/>
      <c r="AK169" s="38"/>
      <c r="AL169" s="38"/>
      <c r="AM169" s="38"/>
      <c r="AN169" s="38"/>
      <c r="AO169" s="38"/>
      <c r="AP169" s="38"/>
      <c r="AQ169" s="38"/>
      <c r="AR169" s="38"/>
      <c r="AS169" s="38"/>
    </row>
    <row r="170" spans="1:45" s="24" customFormat="1" ht="13.8" x14ac:dyDescent="0.3">
      <c r="A170" s="32" t="s">
        <v>101</v>
      </c>
      <c r="B170" s="174" t="str">
        <f>B24</f>
        <v>US$</v>
      </c>
      <c r="C170" s="107">
        <f>IF($C$126&gt;0,$C$126*D170,0)</f>
        <v>267500</v>
      </c>
      <c r="D170" s="171">
        <f>100%-D171-D169</f>
        <v>0.98526703499079193</v>
      </c>
      <c r="E170" s="37"/>
      <c r="F170" s="77" t="s">
        <v>209</v>
      </c>
      <c r="G170" s="80" t="str">
        <f>B24</f>
        <v>US$</v>
      </c>
      <c r="H170" s="77"/>
      <c r="I170" s="77"/>
      <c r="J170" s="77"/>
      <c r="K170" s="77">
        <f t="shared" ref="K170:K171" si="32">SUM(H170:J170)</f>
        <v>0</v>
      </c>
      <c r="L170" s="81" t="str">
        <f>IF(K173&gt;0,K170/K173,"")</f>
        <v/>
      </c>
      <c r="M170" s="38"/>
      <c r="N170" s="38"/>
      <c r="O170" s="38"/>
      <c r="P170" s="38"/>
      <c r="Q170" s="38"/>
      <c r="R170" s="38"/>
      <c r="S170" s="38"/>
      <c r="T170" s="38"/>
      <c r="U170" s="38"/>
      <c r="V170" s="38"/>
      <c r="W170" s="38"/>
      <c r="X170" s="38"/>
      <c r="Y170" s="38"/>
      <c r="Z170" s="38"/>
      <c r="AA170" s="38"/>
      <c r="AB170" s="38"/>
      <c r="AC170" s="38"/>
      <c r="AD170" s="38"/>
      <c r="AE170" s="38"/>
      <c r="AF170" s="38"/>
      <c r="AG170" s="37"/>
      <c r="AH170" s="37"/>
      <c r="AI170" s="37"/>
      <c r="AJ170" s="38"/>
      <c r="AK170" s="38"/>
      <c r="AL170" s="38"/>
      <c r="AM170" s="38"/>
      <c r="AN170" s="38"/>
      <c r="AO170" s="38"/>
      <c r="AP170" s="38"/>
      <c r="AQ170" s="38"/>
      <c r="AR170" s="38"/>
      <c r="AS170" s="38"/>
    </row>
    <row r="171" spans="1:45" s="24" customFormat="1" ht="13.8" x14ac:dyDescent="0.3">
      <c r="A171" s="32" t="s">
        <v>493</v>
      </c>
      <c r="B171" s="174" t="str">
        <f>B24</f>
        <v>US$</v>
      </c>
      <c r="C171" s="107">
        <f>IF($C$126&gt;0,IF(C126*D171=(H156+H157),C126*D171,"Error"))</f>
        <v>4000</v>
      </c>
      <c r="D171" s="171">
        <f>C127/C126</f>
        <v>1.4732965009208104E-2</v>
      </c>
      <c r="E171" s="37"/>
      <c r="F171" s="77" t="s">
        <v>213</v>
      </c>
      <c r="G171" s="80" t="str">
        <f>B24</f>
        <v>US$</v>
      </c>
      <c r="H171" s="77"/>
      <c r="I171" s="77"/>
      <c r="J171" s="77"/>
      <c r="K171" s="77">
        <f t="shared" si="32"/>
        <v>0</v>
      </c>
      <c r="L171" s="81" t="str">
        <f>IF(K174&gt;0,K171/K174,"")</f>
        <v/>
      </c>
      <c r="M171" s="38"/>
      <c r="N171" s="38"/>
      <c r="O171" s="38"/>
      <c r="P171" s="38"/>
      <c r="Q171" s="38"/>
      <c r="R171" s="38"/>
      <c r="S171" s="38"/>
      <c r="T171" s="38"/>
      <c r="U171" s="38"/>
      <c r="V171" s="38"/>
      <c r="W171" s="38"/>
      <c r="X171" s="38"/>
      <c r="Y171" s="38"/>
      <c r="Z171" s="38"/>
      <c r="AA171" s="38"/>
      <c r="AB171" s="38"/>
      <c r="AC171" s="38"/>
      <c r="AD171" s="38"/>
      <c r="AE171" s="38"/>
      <c r="AF171" s="38"/>
      <c r="AG171" s="37"/>
      <c r="AH171" s="37"/>
      <c r="AI171" s="37"/>
      <c r="AJ171" s="38"/>
      <c r="AK171" s="38"/>
      <c r="AL171" s="38"/>
      <c r="AM171" s="38"/>
      <c r="AN171" s="38"/>
      <c r="AO171" s="38"/>
      <c r="AP171" s="38"/>
      <c r="AQ171" s="38"/>
      <c r="AR171" s="38"/>
      <c r="AS171" s="38"/>
    </row>
    <row r="172" spans="1:45" s="24" customFormat="1" thickBot="1" x14ac:dyDescent="0.35">
      <c r="A172" s="82" t="s">
        <v>203</v>
      </c>
      <c r="B172" s="184" t="str">
        <f>B31</f>
        <v>US$</v>
      </c>
      <c r="C172" s="111">
        <f>IF(SUM(C169:C171)=C126,SUM(C169:C171),"Error")</f>
        <v>271500</v>
      </c>
      <c r="D172" s="110">
        <f>IF(SUM(D169:D171)=100%,SUM(D169:D171),"Error")</f>
        <v>1</v>
      </c>
      <c r="E172" s="37"/>
      <c r="F172" s="456" t="s">
        <v>77</v>
      </c>
      <c r="G172" s="457" t="str">
        <f>B24</f>
        <v>US$</v>
      </c>
      <c r="H172" s="458">
        <f>SUM(H169:H171)</f>
        <v>0</v>
      </c>
      <c r="I172" s="458">
        <f t="shared" ref="I172:K172" si="33">SUM(I169:I171)</f>
        <v>0</v>
      </c>
      <c r="J172" s="458">
        <f t="shared" si="33"/>
        <v>0</v>
      </c>
      <c r="K172" s="458">
        <f t="shared" si="33"/>
        <v>0</v>
      </c>
      <c r="L172" s="459">
        <f>SUM(L169:L171)</f>
        <v>0</v>
      </c>
      <c r="M172" s="38"/>
      <c r="N172" s="38"/>
      <c r="O172" s="38"/>
      <c r="P172" s="38"/>
      <c r="Q172" s="38"/>
      <c r="R172" s="38"/>
      <c r="S172" s="38"/>
      <c r="T172" s="38"/>
      <c r="U172" s="38"/>
      <c r="V172" s="38"/>
      <c r="W172" s="38"/>
      <c r="X172" s="38"/>
      <c r="Y172" s="38"/>
      <c r="Z172" s="38"/>
      <c r="AA172" s="38"/>
      <c r="AB172" s="38"/>
      <c r="AC172" s="38"/>
      <c r="AD172" s="38"/>
      <c r="AE172" s="38"/>
      <c r="AF172" s="38"/>
      <c r="AG172" s="37"/>
      <c r="AH172" s="37"/>
      <c r="AI172" s="37"/>
      <c r="AJ172" s="38"/>
      <c r="AK172" s="38"/>
      <c r="AL172" s="38"/>
      <c r="AM172" s="38"/>
      <c r="AN172" s="38"/>
      <c r="AO172" s="38"/>
      <c r="AP172" s="38"/>
      <c r="AQ172" s="38"/>
      <c r="AR172" s="38"/>
      <c r="AS172" s="38"/>
    </row>
    <row r="173" spans="1:45" s="24" customFormat="1" ht="15" thickTop="1" thickBot="1" x14ac:dyDescent="0.35">
      <c r="A173" s="172" t="s">
        <v>496</v>
      </c>
      <c r="B173" s="185" t="str">
        <f>B28</f>
        <v>US$</v>
      </c>
      <c r="C173" s="189">
        <f>C169</f>
        <v>0</v>
      </c>
      <c r="D173" s="190">
        <f>IF(C172&gt;0,C173/C172,"")</f>
        <v>0</v>
      </c>
      <c r="E173" s="37"/>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7"/>
      <c r="AH173" s="37"/>
      <c r="AI173" s="37"/>
      <c r="AJ173" s="38"/>
      <c r="AK173" s="38"/>
      <c r="AL173" s="38"/>
      <c r="AM173" s="38"/>
      <c r="AN173" s="38"/>
      <c r="AO173" s="38"/>
      <c r="AP173" s="38"/>
      <c r="AQ173" s="38"/>
      <c r="AR173" s="38"/>
      <c r="AS173" s="38"/>
    </row>
    <row r="174" spans="1:45" s="24" customFormat="1" thickTop="1" x14ac:dyDescent="0.3">
      <c r="A174" s="83"/>
      <c r="B174" s="38"/>
      <c r="C174" s="38"/>
      <c r="E174" s="37"/>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7"/>
      <c r="AH174" s="37"/>
      <c r="AI174" s="37"/>
      <c r="AJ174" s="38"/>
      <c r="AK174" s="38"/>
      <c r="AL174" s="38"/>
      <c r="AM174" s="38"/>
      <c r="AN174" s="38"/>
      <c r="AO174" s="38"/>
      <c r="AP174" s="38"/>
      <c r="AQ174" s="38"/>
      <c r="AR174" s="38"/>
      <c r="AS174" s="38"/>
    </row>
    <row r="175" spans="1:45" s="24" customFormat="1" ht="13.8" x14ac:dyDescent="0.3">
      <c r="A175" s="523" t="s">
        <v>404</v>
      </c>
      <c r="B175" s="524"/>
      <c r="C175" s="524"/>
      <c r="E175" s="66"/>
      <c r="F175" s="52"/>
      <c r="G175" s="52"/>
      <c r="H175" s="52"/>
      <c r="I175" s="52"/>
      <c r="J175" s="52"/>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7"/>
      <c r="AH175" s="37"/>
      <c r="AI175" s="37"/>
      <c r="AJ175" s="38"/>
      <c r="AK175" s="38"/>
      <c r="AL175" s="38"/>
      <c r="AM175" s="38"/>
      <c r="AN175" s="38"/>
      <c r="AO175" s="38"/>
      <c r="AP175" s="38"/>
      <c r="AQ175" s="38"/>
      <c r="AR175" s="38"/>
      <c r="AS175" s="38"/>
    </row>
    <row r="176" spans="1:45" s="42" customFormat="1" ht="13.8" x14ac:dyDescent="0.3">
      <c r="A176" s="41"/>
      <c r="B176" s="41" t="s">
        <v>49</v>
      </c>
      <c r="C176" s="41" t="s">
        <v>50</v>
      </c>
      <c r="E176" s="52"/>
      <c r="F176" s="47"/>
      <c r="G176" s="47"/>
      <c r="H176" s="47"/>
      <c r="I176" s="47"/>
      <c r="J176" s="47"/>
      <c r="K176" s="47"/>
      <c r="L176" s="47"/>
      <c r="M176" s="47"/>
      <c r="N176" s="47"/>
      <c r="O176" s="47"/>
      <c r="P176" s="47"/>
      <c r="Q176" s="47"/>
      <c r="R176" s="47"/>
      <c r="S176" s="47"/>
      <c r="T176" s="47"/>
      <c r="U176" s="47"/>
      <c r="V176" s="47"/>
      <c r="W176" s="47"/>
      <c r="X176" s="47"/>
      <c r="Y176" s="47"/>
      <c r="Z176" s="47"/>
      <c r="AA176" s="47"/>
      <c r="AB176" s="47"/>
      <c r="AC176" s="47"/>
      <c r="AD176" s="47"/>
      <c r="AE176" s="47"/>
      <c r="AF176" s="47"/>
      <c r="AG176" s="47"/>
      <c r="AH176" s="47"/>
      <c r="AI176" s="47"/>
      <c r="AJ176" s="47"/>
      <c r="AK176" s="47"/>
      <c r="AL176" s="47"/>
      <c r="AM176" s="47"/>
      <c r="AN176" s="47"/>
      <c r="AO176" s="47"/>
      <c r="AP176" s="47"/>
      <c r="AQ176" s="47"/>
      <c r="AR176" s="47"/>
      <c r="AS176" s="47"/>
    </row>
    <row r="177" spans="1:45" s="24" customFormat="1" ht="13.8" x14ac:dyDescent="0.3">
      <c r="A177" s="32" t="s">
        <v>119</v>
      </c>
      <c r="B177" s="4" t="s">
        <v>89</v>
      </c>
      <c r="C177" s="3"/>
      <c r="E177" s="37"/>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7"/>
      <c r="AH177" s="37"/>
      <c r="AI177" s="37"/>
      <c r="AJ177" s="38"/>
      <c r="AK177" s="38"/>
      <c r="AL177" s="38"/>
      <c r="AM177" s="38"/>
      <c r="AN177" s="38"/>
      <c r="AO177" s="38"/>
      <c r="AP177" s="38"/>
      <c r="AQ177" s="38"/>
      <c r="AR177" s="38"/>
      <c r="AS177" s="38"/>
    </row>
    <row r="178" spans="1:45" s="24" customFormat="1" ht="13.8" x14ac:dyDescent="0.3">
      <c r="A178" s="32" t="s">
        <v>118</v>
      </c>
      <c r="B178" s="4" t="s">
        <v>85</v>
      </c>
      <c r="C178" s="19"/>
      <c r="E178" s="37"/>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7"/>
      <c r="AH178" s="37"/>
      <c r="AI178" s="37"/>
      <c r="AJ178" s="38"/>
      <c r="AK178" s="38"/>
      <c r="AL178" s="38"/>
      <c r="AM178" s="38"/>
      <c r="AN178" s="38"/>
      <c r="AO178" s="38"/>
      <c r="AP178" s="38"/>
      <c r="AQ178" s="38"/>
      <c r="AR178" s="38"/>
      <c r="AS178" s="38"/>
    </row>
    <row r="179" spans="1:45" s="24" customFormat="1" ht="13.8" x14ac:dyDescent="0.3">
      <c r="A179" s="32" t="s">
        <v>127</v>
      </c>
      <c r="B179" s="4" t="s">
        <v>85</v>
      </c>
      <c r="C179" s="19"/>
      <c r="E179" s="37"/>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7"/>
      <c r="AH179" s="37"/>
      <c r="AI179" s="37"/>
      <c r="AJ179" s="38"/>
      <c r="AK179" s="38"/>
      <c r="AL179" s="38"/>
      <c r="AM179" s="38"/>
      <c r="AN179" s="38"/>
      <c r="AO179" s="38"/>
      <c r="AP179" s="38"/>
      <c r="AQ179" s="38"/>
      <c r="AR179" s="38"/>
      <c r="AS179" s="38"/>
    </row>
    <row r="180" spans="1:45" s="24" customFormat="1" ht="13.8" x14ac:dyDescent="0.3">
      <c r="A180" s="83"/>
      <c r="B180" s="38"/>
      <c r="C180" s="38"/>
      <c r="E180" s="37"/>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7"/>
      <c r="AH180" s="37"/>
      <c r="AI180" s="37"/>
      <c r="AJ180" s="38"/>
      <c r="AK180" s="38"/>
      <c r="AL180" s="38"/>
      <c r="AM180" s="38"/>
      <c r="AN180" s="38"/>
      <c r="AO180" s="38"/>
      <c r="AP180" s="38"/>
      <c r="AQ180" s="38"/>
      <c r="AR180" s="38"/>
      <c r="AS180" s="38"/>
    </row>
    <row r="181" spans="1:45" s="24" customFormat="1" ht="13.8" x14ac:dyDescent="0.3">
      <c r="A181" s="523" t="s">
        <v>400</v>
      </c>
      <c r="B181" s="524"/>
      <c r="C181" s="524"/>
      <c r="E181" s="66"/>
      <c r="M181" s="38"/>
      <c r="N181" s="38"/>
      <c r="O181" s="38"/>
      <c r="P181" s="38"/>
      <c r="Q181" s="38"/>
      <c r="R181" s="38"/>
      <c r="S181" s="38"/>
      <c r="T181" s="38"/>
      <c r="U181" s="38"/>
      <c r="V181" s="38"/>
      <c r="W181" s="38"/>
      <c r="X181" s="38"/>
      <c r="Y181" s="38"/>
      <c r="Z181" s="38"/>
      <c r="AA181" s="38"/>
      <c r="AB181" s="38"/>
      <c r="AC181" s="38"/>
      <c r="AD181" s="38"/>
      <c r="AE181" s="38"/>
      <c r="AF181" s="38"/>
      <c r="AG181" s="37"/>
      <c r="AH181" s="37"/>
      <c r="AI181" s="37"/>
      <c r="AJ181" s="38"/>
      <c r="AK181" s="38"/>
      <c r="AL181" s="38"/>
      <c r="AM181" s="38"/>
      <c r="AN181" s="38"/>
      <c r="AO181" s="38"/>
      <c r="AP181" s="38"/>
      <c r="AQ181" s="38"/>
      <c r="AR181" s="38"/>
      <c r="AS181" s="38"/>
    </row>
    <row r="182" spans="1:45" s="42" customFormat="1" ht="13.8" x14ac:dyDescent="0.3">
      <c r="A182" s="41"/>
      <c r="B182" s="41" t="s">
        <v>49</v>
      </c>
      <c r="C182" s="41" t="s">
        <v>106</v>
      </c>
      <c r="D182" s="41" t="s">
        <v>107</v>
      </c>
      <c r="F182" s="454" t="s">
        <v>212</v>
      </c>
      <c r="G182" s="372"/>
      <c r="H182" s="372"/>
      <c r="I182" s="372"/>
      <c r="J182" s="372"/>
      <c r="K182" s="455"/>
      <c r="L182" s="24"/>
      <c r="M182" s="47"/>
      <c r="N182" s="47"/>
      <c r="O182" s="47"/>
      <c r="P182" s="47"/>
      <c r="Q182" s="47"/>
      <c r="R182" s="47"/>
      <c r="S182" s="47"/>
      <c r="T182" s="47"/>
      <c r="U182" s="47"/>
      <c r="V182" s="47"/>
      <c r="W182" s="47"/>
      <c r="X182" s="47"/>
      <c r="Y182" s="47"/>
      <c r="Z182" s="47"/>
      <c r="AA182" s="47"/>
      <c r="AB182" s="47"/>
      <c r="AC182" s="47"/>
      <c r="AD182" s="47"/>
      <c r="AE182" s="47"/>
      <c r="AF182" s="47"/>
      <c r="AG182" s="47"/>
      <c r="AH182" s="47"/>
      <c r="AI182" s="47"/>
      <c r="AJ182" s="47"/>
      <c r="AK182" s="47"/>
      <c r="AL182" s="47"/>
      <c r="AM182" s="47"/>
      <c r="AN182" s="47"/>
      <c r="AO182" s="47"/>
      <c r="AP182" s="47"/>
      <c r="AQ182" s="47"/>
      <c r="AR182" s="47"/>
      <c r="AS182" s="47"/>
    </row>
    <row r="183" spans="1:45" s="24" customFormat="1" thickBot="1" x14ac:dyDescent="0.35">
      <c r="A183" s="56" t="s">
        <v>104</v>
      </c>
      <c r="B183" s="57" t="s">
        <v>85</v>
      </c>
      <c r="C183" s="112">
        <f>C179</f>
        <v>0</v>
      </c>
      <c r="D183" s="113">
        <f>C183*(1-C213)</f>
        <v>0</v>
      </c>
      <c r="E183" s="62"/>
      <c r="F183" s="463"/>
      <c r="G183" s="464" t="s">
        <v>124</v>
      </c>
      <c r="H183" s="465"/>
      <c r="I183" s="466"/>
      <c r="J183" s="467"/>
      <c r="K183" s="468" t="s">
        <v>222</v>
      </c>
      <c r="M183" s="38"/>
      <c r="N183" s="38"/>
      <c r="O183" s="38"/>
      <c r="P183" s="38"/>
      <c r="Q183" s="38"/>
      <c r="R183" s="38"/>
      <c r="S183" s="38"/>
      <c r="T183" s="38"/>
      <c r="U183" s="38"/>
      <c r="V183" s="38"/>
      <c r="W183" s="38"/>
      <c r="X183" s="38"/>
      <c r="Y183" s="38"/>
      <c r="Z183" s="38"/>
      <c r="AA183" s="38"/>
      <c r="AB183" s="38"/>
      <c r="AC183" s="38"/>
      <c r="AD183" s="38"/>
      <c r="AE183" s="38"/>
      <c r="AF183" s="38"/>
      <c r="AG183" s="37"/>
      <c r="AH183" s="37"/>
      <c r="AI183" s="37"/>
      <c r="AJ183" s="38"/>
      <c r="AK183" s="38"/>
      <c r="AL183" s="38"/>
      <c r="AM183" s="38"/>
      <c r="AN183" s="38"/>
      <c r="AO183" s="38"/>
      <c r="AP183" s="38"/>
      <c r="AQ183" s="38"/>
      <c r="AR183" s="38"/>
      <c r="AS183" s="38"/>
    </row>
    <row r="184" spans="1:45" s="24" customFormat="1" thickTop="1" x14ac:dyDescent="0.3">
      <c r="A184" s="32" t="s">
        <v>105</v>
      </c>
      <c r="B184" s="4" t="s">
        <v>85</v>
      </c>
      <c r="C184" s="19"/>
      <c r="D184" s="113">
        <f>C184*(1-C213)</f>
        <v>0</v>
      </c>
      <c r="E184" s="62"/>
      <c r="F184" s="469"/>
      <c r="G184" s="470" t="s">
        <v>223</v>
      </c>
      <c r="H184" s="471" t="s">
        <v>224</v>
      </c>
      <c r="I184" s="472" t="s">
        <v>106</v>
      </c>
      <c r="J184" s="473" t="s">
        <v>225</v>
      </c>
      <c r="K184" s="474" t="s">
        <v>226</v>
      </c>
      <c r="M184" s="38"/>
      <c r="N184" s="38"/>
      <c r="O184" s="38"/>
      <c r="P184" s="38"/>
      <c r="Q184" s="38"/>
      <c r="R184" s="38"/>
      <c r="S184" s="38"/>
      <c r="T184" s="38"/>
      <c r="U184" s="38"/>
      <c r="V184" s="38"/>
      <c r="W184" s="38"/>
      <c r="X184" s="38"/>
      <c r="Y184" s="38"/>
      <c r="Z184" s="38"/>
      <c r="AA184" s="38"/>
      <c r="AB184" s="38"/>
      <c r="AC184" s="38"/>
      <c r="AD184" s="38"/>
      <c r="AE184" s="38"/>
      <c r="AF184" s="38"/>
      <c r="AG184" s="37"/>
      <c r="AH184" s="37"/>
      <c r="AI184" s="37"/>
      <c r="AJ184" s="38"/>
      <c r="AK184" s="38"/>
      <c r="AL184" s="38"/>
      <c r="AM184" s="38"/>
      <c r="AN184" s="38"/>
      <c r="AO184" s="38"/>
      <c r="AP184" s="38"/>
      <c r="AQ184" s="38"/>
      <c r="AR184" s="38"/>
      <c r="AS184" s="38"/>
    </row>
    <row r="185" spans="1:45" s="24" customFormat="1" thickBot="1" x14ac:dyDescent="0.35">
      <c r="A185" s="32" t="s">
        <v>110</v>
      </c>
      <c r="B185" s="69" t="s">
        <v>85</v>
      </c>
      <c r="C185" s="113">
        <f>IF(D169=0,0%,C169/(C172-C171))</f>
        <v>0</v>
      </c>
      <c r="D185" s="113">
        <f>C185</f>
        <v>0</v>
      </c>
      <c r="E185" s="62"/>
      <c r="F185" s="475" t="s">
        <v>100</v>
      </c>
      <c r="G185" s="476">
        <f>H185*C128</f>
        <v>0</v>
      </c>
      <c r="H185" s="112">
        <f>C185</f>
        <v>0</v>
      </c>
      <c r="I185" s="113">
        <f>C179</f>
        <v>0</v>
      </c>
      <c r="J185" s="112">
        <f>C213</f>
        <v>0</v>
      </c>
      <c r="K185" s="113">
        <f>I185*(1-J185)*H185</f>
        <v>0</v>
      </c>
      <c r="M185" s="38"/>
      <c r="N185" s="38"/>
      <c r="O185" s="38"/>
      <c r="P185" s="38"/>
      <c r="Q185" s="38"/>
      <c r="R185" s="38"/>
      <c r="S185" s="38"/>
      <c r="T185" s="38"/>
      <c r="U185" s="38"/>
      <c r="V185" s="38"/>
      <c r="W185" s="38"/>
      <c r="X185" s="38"/>
      <c r="Y185" s="38"/>
      <c r="Z185" s="38"/>
      <c r="AA185" s="38"/>
      <c r="AB185" s="38"/>
      <c r="AC185" s="38"/>
      <c r="AD185" s="38"/>
      <c r="AE185" s="38"/>
      <c r="AF185" s="38"/>
      <c r="AG185" s="37"/>
      <c r="AH185" s="37"/>
      <c r="AI185" s="37"/>
      <c r="AJ185" s="38"/>
      <c r="AK185" s="38"/>
      <c r="AL185" s="38"/>
      <c r="AM185" s="38"/>
      <c r="AN185" s="38"/>
      <c r="AO185" s="38"/>
      <c r="AP185" s="38"/>
      <c r="AQ185" s="38"/>
      <c r="AR185" s="38"/>
      <c r="AS185" s="38"/>
    </row>
    <row r="186" spans="1:45" s="24" customFormat="1" thickTop="1" x14ac:dyDescent="0.3">
      <c r="A186" s="32" t="s">
        <v>109</v>
      </c>
      <c r="B186" s="69" t="s">
        <v>85</v>
      </c>
      <c r="C186" s="113">
        <f>IF(D170=0,0%,1-C185)</f>
        <v>1</v>
      </c>
      <c r="D186" s="113">
        <f>C186</f>
        <v>1</v>
      </c>
      <c r="E186" s="62"/>
      <c r="F186" s="463" t="s">
        <v>101</v>
      </c>
      <c r="G186" s="477">
        <f>H186*C128</f>
        <v>267500</v>
      </c>
      <c r="H186" s="478">
        <f>C186</f>
        <v>1</v>
      </c>
      <c r="I186" s="479">
        <f>C184</f>
        <v>0</v>
      </c>
      <c r="J186" s="478">
        <f>C213</f>
        <v>0</v>
      </c>
      <c r="K186" s="479">
        <f>I186*(1-J186)*H186</f>
        <v>0</v>
      </c>
      <c r="M186" s="38"/>
      <c r="N186" s="38"/>
      <c r="O186" s="38"/>
      <c r="P186" s="38"/>
      <c r="Q186" s="38"/>
      <c r="R186" s="38"/>
      <c r="S186" s="38"/>
      <c r="T186" s="38"/>
      <c r="U186" s="38"/>
      <c r="V186" s="38"/>
      <c r="W186" s="38"/>
      <c r="X186" s="38"/>
      <c r="Y186" s="38"/>
      <c r="Z186" s="38"/>
      <c r="AA186" s="38"/>
      <c r="AB186" s="38"/>
      <c r="AC186" s="38"/>
      <c r="AD186" s="38"/>
      <c r="AE186" s="38"/>
      <c r="AF186" s="38"/>
      <c r="AG186" s="37"/>
      <c r="AH186" s="37"/>
      <c r="AI186" s="37"/>
      <c r="AJ186" s="38"/>
      <c r="AK186" s="38"/>
      <c r="AL186" s="38"/>
      <c r="AM186" s="38"/>
      <c r="AN186" s="38"/>
      <c r="AO186" s="38"/>
      <c r="AP186" s="38"/>
      <c r="AQ186" s="38"/>
      <c r="AR186" s="38"/>
      <c r="AS186" s="38"/>
    </row>
    <row r="187" spans="1:45" s="24" customFormat="1" ht="15" thickBot="1" x14ac:dyDescent="0.35">
      <c r="A187" s="84" t="s">
        <v>325</v>
      </c>
      <c r="B187" s="85" t="s">
        <v>85</v>
      </c>
      <c r="C187" s="115">
        <f>C183*C185+C184*C186</f>
        <v>0</v>
      </c>
      <c r="D187" s="114">
        <f>D183*D185+D184*D186</f>
        <v>0</v>
      </c>
      <c r="F187" s="480" t="s">
        <v>326</v>
      </c>
      <c r="G187" s="481">
        <f>SUM(G186:G186)</f>
        <v>267500</v>
      </c>
      <c r="H187" s="461">
        <f>SUM(H185:H186)</f>
        <v>1</v>
      </c>
      <c r="I187" s="461"/>
      <c r="J187" s="461"/>
      <c r="K187" s="461">
        <f>K185+K186</f>
        <v>0</v>
      </c>
      <c r="M187" s="38"/>
      <c r="N187" s="38"/>
      <c r="O187" s="38"/>
      <c r="P187" s="38"/>
      <c r="Q187" s="38"/>
      <c r="R187" s="38"/>
      <c r="S187" s="38"/>
      <c r="T187" s="38"/>
      <c r="U187" s="38"/>
      <c r="V187" s="38"/>
      <c r="W187" s="38"/>
      <c r="X187" s="38"/>
      <c r="Y187" s="38"/>
      <c r="Z187" s="38"/>
      <c r="AA187" s="38"/>
      <c r="AB187" s="38"/>
      <c r="AC187" s="38"/>
      <c r="AD187" s="38"/>
      <c r="AE187" s="38"/>
      <c r="AF187" s="38"/>
      <c r="AG187" s="37"/>
      <c r="AH187" s="37"/>
      <c r="AI187" s="37"/>
      <c r="AJ187" s="38"/>
      <c r="AK187" s="38"/>
      <c r="AL187" s="38"/>
      <c r="AM187" s="38"/>
      <c r="AN187" s="38"/>
      <c r="AO187" s="38"/>
      <c r="AP187" s="38"/>
      <c r="AQ187" s="38"/>
      <c r="AR187" s="38"/>
      <c r="AS187" s="38"/>
    </row>
    <row r="188" spans="1:45" s="24" customFormat="1" thickTop="1" x14ac:dyDescent="0.3">
      <c r="B188" s="38"/>
      <c r="C188" s="38"/>
      <c r="E188" s="37"/>
      <c r="F188" s="38"/>
      <c r="G188" s="38"/>
      <c r="H188" s="38"/>
      <c r="I188" s="38"/>
      <c r="J188" s="38"/>
      <c r="K188" s="38"/>
      <c r="M188" s="38"/>
      <c r="N188" s="38"/>
      <c r="O188" s="38"/>
      <c r="P188" s="38"/>
      <c r="Q188" s="38"/>
      <c r="R188" s="38"/>
      <c r="S188" s="38"/>
      <c r="T188" s="38"/>
      <c r="U188" s="38"/>
      <c r="V188" s="38"/>
      <c r="W188" s="38"/>
      <c r="X188" s="38"/>
      <c r="Y188" s="38"/>
      <c r="Z188" s="38"/>
      <c r="AA188" s="38"/>
      <c r="AB188" s="38"/>
      <c r="AC188" s="38"/>
      <c r="AD188" s="38"/>
      <c r="AE188" s="38"/>
      <c r="AF188" s="38"/>
      <c r="AG188" s="37"/>
      <c r="AH188" s="37"/>
      <c r="AI188" s="37"/>
      <c r="AJ188" s="38"/>
      <c r="AK188" s="38"/>
      <c r="AL188" s="38"/>
      <c r="AM188" s="38"/>
      <c r="AN188" s="38"/>
      <c r="AO188" s="38"/>
      <c r="AP188" s="38"/>
      <c r="AQ188" s="38"/>
      <c r="AR188" s="38"/>
      <c r="AS188" s="38"/>
    </row>
    <row r="189" spans="1:45" s="24" customFormat="1" ht="13.8" x14ac:dyDescent="0.3">
      <c r="A189" s="523" t="s">
        <v>401</v>
      </c>
      <c r="B189" s="524"/>
      <c r="C189" s="524"/>
      <c r="E189" s="66"/>
      <c r="F189" s="52"/>
      <c r="G189" s="52"/>
      <c r="H189" s="52"/>
      <c r="I189" s="52"/>
      <c r="J189" s="52"/>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7"/>
      <c r="AH189" s="37"/>
      <c r="AI189" s="37"/>
      <c r="AJ189" s="38"/>
      <c r="AK189" s="38"/>
      <c r="AL189" s="38"/>
      <c r="AM189" s="38"/>
      <c r="AN189" s="38"/>
      <c r="AO189" s="38"/>
      <c r="AP189" s="38"/>
      <c r="AQ189" s="38"/>
      <c r="AR189" s="38"/>
      <c r="AS189" s="38"/>
    </row>
    <row r="190" spans="1:45" s="42" customFormat="1" ht="13.8" x14ac:dyDescent="0.3">
      <c r="A190" s="41"/>
      <c r="B190" s="41" t="s">
        <v>49</v>
      </c>
      <c r="C190" s="41" t="s">
        <v>50</v>
      </c>
      <c r="E190" s="52"/>
      <c r="F190" s="47"/>
      <c r="G190" s="47"/>
      <c r="H190" s="47"/>
      <c r="I190" s="47"/>
      <c r="J190" s="47"/>
      <c r="K190" s="47"/>
      <c r="L190" s="47"/>
      <c r="M190" s="47"/>
      <c r="N190" s="47"/>
      <c r="O190" s="47"/>
      <c r="P190" s="47"/>
      <c r="Q190" s="47"/>
      <c r="R190" s="47"/>
      <c r="S190" s="47"/>
      <c r="T190" s="47"/>
      <c r="U190" s="47"/>
      <c r="V190" s="47"/>
      <c r="W190" s="47"/>
      <c r="X190" s="47"/>
      <c r="Y190" s="47"/>
      <c r="Z190" s="47"/>
      <c r="AA190" s="47"/>
      <c r="AB190" s="47"/>
      <c r="AC190" s="47"/>
      <c r="AD190" s="47"/>
      <c r="AE190" s="47"/>
      <c r="AF190" s="47"/>
      <c r="AG190" s="47"/>
      <c r="AH190" s="47"/>
      <c r="AI190" s="47"/>
      <c r="AJ190" s="47"/>
      <c r="AK190" s="47"/>
      <c r="AL190" s="47"/>
      <c r="AM190" s="47"/>
      <c r="AN190" s="47"/>
      <c r="AO190" s="47"/>
      <c r="AP190" s="47"/>
      <c r="AQ190" s="47"/>
      <c r="AR190" s="47"/>
      <c r="AS190" s="47"/>
    </row>
    <row r="191" spans="1:45" s="24" customFormat="1" ht="13.8" x14ac:dyDescent="0.3">
      <c r="A191" s="109" t="s">
        <v>475</v>
      </c>
      <c r="B191" s="4" t="s">
        <v>120</v>
      </c>
      <c r="C191" s="209">
        <f>IF(A191="Construction Period-Solar",6,IF(A191="Construction Period-Wind",12,IF(A191="Construction Period-Hybrid System",18,IF(A191="Construction Period-Biomass",15,18))))</f>
        <v>6</v>
      </c>
      <c r="D191" s="86" t="s">
        <v>254</v>
      </c>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7"/>
      <c r="AH191" s="37"/>
      <c r="AI191" s="37"/>
      <c r="AJ191" s="38"/>
      <c r="AK191" s="38"/>
      <c r="AL191" s="38"/>
      <c r="AM191" s="38"/>
      <c r="AN191" s="38"/>
      <c r="AO191" s="38"/>
      <c r="AP191" s="38"/>
      <c r="AQ191" s="38"/>
      <c r="AR191" s="38"/>
      <c r="AS191" s="38"/>
    </row>
    <row r="192" spans="1:45" s="24" customFormat="1" thickBot="1" x14ac:dyDescent="0.35">
      <c r="A192" s="56" t="s">
        <v>122</v>
      </c>
      <c r="B192" s="57" t="s">
        <v>85</v>
      </c>
      <c r="C192" s="112">
        <f>C183</f>
        <v>0</v>
      </c>
      <c r="E192" s="37"/>
      <c r="F192" s="37"/>
      <c r="G192" s="37"/>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7"/>
      <c r="AH192" s="37"/>
      <c r="AI192" s="37"/>
      <c r="AJ192" s="38"/>
      <c r="AK192" s="38"/>
      <c r="AL192" s="38"/>
      <c r="AM192" s="38"/>
      <c r="AN192" s="38"/>
      <c r="AO192" s="38"/>
      <c r="AP192" s="38"/>
      <c r="AQ192" s="38"/>
      <c r="AR192" s="38"/>
      <c r="AS192" s="38"/>
    </row>
    <row r="193" spans="1:45" s="24" customFormat="1" ht="15" thickTop="1" thickBot="1" x14ac:dyDescent="0.35">
      <c r="A193" s="87" t="s">
        <v>121</v>
      </c>
      <c r="B193" s="186" t="str">
        <f>Inputs!B24</f>
        <v>US$</v>
      </c>
      <c r="C193" s="201">
        <f>IF(D169&gt;0,(SUM(C24:C97)/2)*((C192/12)*C191),0)</f>
        <v>0</v>
      </c>
      <c r="E193" s="37"/>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7"/>
      <c r="AH193" s="37"/>
      <c r="AI193" s="37"/>
      <c r="AJ193" s="38"/>
      <c r="AK193" s="38"/>
      <c r="AL193" s="38"/>
      <c r="AM193" s="38"/>
      <c r="AN193" s="38"/>
      <c r="AO193" s="38"/>
      <c r="AP193" s="38"/>
      <c r="AQ193" s="38"/>
      <c r="AR193" s="38"/>
      <c r="AS193" s="38"/>
    </row>
    <row r="194" spans="1:45" s="24" customFormat="1" ht="13.8" x14ac:dyDescent="0.3">
      <c r="A194" s="83"/>
      <c r="B194" s="38"/>
      <c r="C194" s="38"/>
      <c r="E194" s="37"/>
      <c r="F194" s="38"/>
      <c r="G194" s="38"/>
      <c r="H194" s="530" t="s">
        <v>508</v>
      </c>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7"/>
      <c r="AH194" s="37"/>
      <c r="AI194" s="37"/>
      <c r="AJ194" s="38"/>
      <c r="AK194" s="38"/>
      <c r="AL194" s="38"/>
      <c r="AM194" s="38"/>
      <c r="AN194" s="38"/>
      <c r="AO194" s="38"/>
      <c r="AP194" s="38"/>
      <c r="AQ194" s="38"/>
      <c r="AR194" s="38"/>
      <c r="AS194" s="38"/>
    </row>
    <row r="195" spans="1:45" s="72" customFormat="1" ht="13.05" customHeight="1" x14ac:dyDescent="0.3">
      <c r="A195" s="70" t="s">
        <v>139</v>
      </c>
      <c r="B195" s="71"/>
      <c r="C195" s="70"/>
      <c r="E195" s="73"/>
      <c r="F195" s="74"/>
      <c r="G195" s="74"/>
      <c r="H195" s="531"/>
      <c r="I195" s="74"/>
      <c r="J195" s="74"/>
      <c r="K195" s="74"/>
      <c r="L195" s="74"/>
      <c r="M195" s="74"/>
      <c r="N195" s="74"/>
      <c r="O195" s="74"/>
      <c r="P195" s="74"/>
      <c r="Q195" s="74"/>
      <c r="R195" s="74"/>
      <c r="S195" s="74"/>
      <c r="T195" s="74"/>
      <c r="U195" s="74"/>
      <c r="V195" s="74"/>
      <c r="W195" s="74"/>
      <c r="X195" s="74"/>
      <c r="Y195" s="74"/>
      <c r="Z195" s="74"/>
      <c r="AA195" s="74"/>
      <c r="AB195" s="74"/>
      <c r="AC195" s="74"/>
      <c r="AD195" s="74"/>
      <c r="AE195" s="74"/>
      <c r="AF195" s="74"/>
      <c r="AG195" s="73"/>
      <c r="AH195" s="73"/>
      <c r="AI195" s="73"/>
      <c r="AJ195" s="74"/>
      <c r="AK195" s="74"/>
      <c r="AL195" s="74"/>
      <c r="AM195" s="74"/>
      <c r="AN195" s="74"/>
      <c r="AO195" s="74"/>
      <c r="AP195" s="74"/>
      <c r="AQ195" s="74"/>
      <c r="AR195" s="74"/>
      <c r="AS195" s="74"/>
    </row>
    <row r="196" spans="1:45" s="24" customFormat="1" ht="13.05" customHeight="1" thickBot="1" x14ac:dyDescent="0.35">
      <c r="A196" s="83" t="s">
        <v>94</v>
      </c>
      <c r="B196" s="533" t="s">
        <v>510</v>
      </c>
      <c r="C196" s="44" t="s">
        <v>499</v>
      </c>
      <c r="D196" s="88"/>
      <c r="E196" s="528" t="s">
        <v>136</v>
      </c>
      <c r="F196" s="528" t="s">
        <v>130</v>
      </c>
      <c r="G196" s="526" t="s">
        <v>144</v>
      </c>
      <c r="H196" s="532"/>
      <c r="I196" s="86"/>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7"/>
      <c r="AH196" s="37"/>
      <c r="AI196" s="37"/>
      <c r="AJ196" s="38"/>
      <c r="AK196" s="38"/>
      <c r="AL196" s="38"/>
      <c r="AM196" s="38"/>
      <c r="AN196" s="38"/>
      <c r="AO196" s="38"/>
      <c r="AP196" s="38"/>
      <c r="AQ196" s="38"/>
      <c r="AR196" s="38"/>
      <c r="AS196" s="38"/>
    </row>
    <row r="197" spans="1:45" s="24" customFormat="1" ht="13.05" customHeight="1" x14ac:dyDescent="0.3">
      <c r="A197" s="89"/>
      <c r="B197" s="534"/>
      <c r="C197" s="90" t="s">
        <v>265</v>
      </c>
      <c r="D197" s="41" t="s">
        <v>350</v>
      </c>
      <c r="E197" s="529"/>
      <c r="F197" s="529"/>
      <c r="G197" s="527"/>
      <c r="H197" s="462" t="str">
        <f>C20</f>
        <v>US$</v>
      </c>
      <c r="I197" s="86"/>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7"/>
      <c r="AH197" s="37"/>
      <c r="AI197" s="37"/>
      <c r="AJ197" s="38"/>
      <c r="AK197" s="38"/>
      <c r="AL197" s="38"/>
      <c r="AM197" s="38"/>
      <c r="AN197" s="38"/>
      <c r="AO197" s="38"/>
      <c r="AP197" s="38"/>
      <c r="AQ197" s="38"/>
      <c r="AR197" s="38"/>
      <c r="AS197" s="38"/>
    </row>
    <row r="198" spans="1:45" s="24" customFormat="1" ht="13.8" x14ac:dyDescent="0.3">
      <c r="A198" s="32" t="s">
        <v>141</v>
      </c>
      <c r="B198" s="3"/>
      <c r="C198" s="3"/>
      <c r="D198" s="116">
        <f t="shared" ref="D198:D204" si="34">B198*C198*12</f>
        <v>0</v>
      </c>
      <c r="E198" s="117" t="e">
        <f t="shared" ref="E198:E204" si="35">D198/$D$205</f>
        <v>#VALUE!</v>
      </c>
      <c r="F198" s="108"/>
      <c r="G198" s="119" t="e">
        <f t="shared" ref="G198:G204" si="36">F198/E198</f>
        <v>#VALUE!</v>
      </c>
      <c r="H198" s="18"/>
      <c r="I198" s="146"/>
      <c r="J198" s="379"/>
      <c r="K198" s="460"/>
      <c r="L198" s="38"/>
      <c r="M198" s="38"/>
      <c r="N198" s="38"/>
      <c r="O198" s="38"/>
      <c r="P198" s="38"/>
      <c r="Q198" s="38"/>
      <c r="R198" s="38"/>
      <c r="S198" s="38"/>
      <c r="T198" s="38"/>
      <c r="U198" s="38"/>
      <c r="V198" s="38"/>
      <c r="W198" s="38"/>
      <c r="X198" s="38"/>
      <c r="Y198" s="38"/>
      <c r="Z198" s="38"/>
      <c r="AA198" s="38"/>
      <c r="AB198" s="38"/>
      <c r="AC198" s="38"/>
      <c r="AD198" s="38"/>
      <c r="AE198" s="38"/>
      <c r="AF198" s="38"/>
      <c r="AG198" s="37"/>
      <c r="AH198" s="37"/>
      <c r="AI198" s="37"/>
      <c r="AJ198" s="38"/>
      <c r="AK198" s="38"/>
      <c r="AL198" s="38"/>
      <c r="AM198" s="38"/>
      <c r="AN198" s="38"/>
      <c r="AO198" s="38"/>
      <c r="AP198" s="38"/>
      <c r="AQ198" s="38"/>
      <c r="AR198" s="38"/>
      <c r="AS198" s="38"/>
    </row>
    <row r="199" spans="1:45" s="24" customFormat="1" ht="13.8" x14ac:dyDescent="0.3">
      <c r="A199" s="32" t="s">
        <v>145</v>
      </c>
      <c r="B199" s="3"/>
      <c r="C199" s="3"/>
      <c r="D199" s="116">
        <f t="shared" si="34"/>
        <v>0</v>
      </c>
      <c r="E199" s="117" t="e">
        <f t="shared" si="35"/>
        <v>#VALUE!</v>
      </c>
      <c r="F199" s="108"/>
      <c r="G199" s="119" t="e">
        <f t="shared" si="36"/>
        <v>#VALUE!</v>
      </c>
      <c r="H199" s="18"/>
      <c r="I199" s="146"/>
      <c r="J199" s="379"/>
      <c r="K199" s="460"/>
      <c r="L199" s="38"/>
      <c r="M199" s="38"/>
      <c r="N199" s="38"/>
      <c r="O199" s="38"/>
      <c r="P199" s="38"/>
      <c r="Q199" s="38"/>
      <c r="R199" s="38"/>
      <c r="S199" s="38"/>
      <c r="T199" s="38"/>
      <c r="U199" s="38"/>
      <c r="V199" s="38"/>
      <c r="W199" s="38"/>
      <c r="X199" s="38"/>
      <c r="Y199" s="38"/>
      <c r="Z199" s="38"/>
      <c r="AA199" s="38"/>
      <c r="AB199" s="38"/>
      <c r="AC199" s="38"/>
      <c r="AD199" s="38"/>
      <c r="AE199" s="38"/>
      <c r="AF199" s="38"/>
      <c r="AG199" s="37"/>
      <c r="AH199" s="37"/>
      <c r="AI199" s="37"/>
      <c r="AJ199" s="38"/>
      <c r="AK199" s="38"/>
      <c r="AL199" s="38"/>
      <c r="AM199" s="38"/>
      <c r="AN199" s="38"/>
      <c r="AO199" s="38"/>
      <c r="AP199" s="38"/>
      <c r="AQ199" s="38"/>
      <c r="AR199" s="38"/>
      <c r="AS199" s="38"/>
    </row>
    <row r="200" spans="1:45" s="24" customFormat="1" ht="13.8" x14ac:dyDescent="0.3">
      <c r="A200" s="32" t="s">
        <v>142</v>
      </c>
      <c r="B200" s="3"/>
      <c r="C200" s="3"/>
      <c r="D200" s="116">
        <f t="shared" si="34"/>
        <v>0</v>
      </c>
      <c r="E200" s="117" t="e">
        <f t="shared" si="35"/>
        <v>#VALUE!</v>
      </c>
      <c r="F200" s="108"/>
      <c r="G200" s="119" t="e">
        <f t="shared" si="36"/>
        <v>#VALUE!</v>
      </c>
      <c r="H200" s="18"/>
      <c r="I200" s="146"/>
      <c r="J200" s="379"/>
      <c r="K200" s="460"/>
      <c r="L200" s="38"/>
      <c r="M200" s="38"/>
      <c r="N200" s="38"/>
      <c r="O200" s="38"/>
      <c r="P200" s="38"/>
      <c r="Q200" s="38"/>
      <c r="R200" s="38"/>
      <c r="S200" s="38"/>
      <c r="T200" s="38"/>
      <c r="U200" s="38"/>
      <c r="V200" s="38"/>
      <c r="W200" s="38"/>
      <c r="X200" s="38"/>
      <c r="Y200" s="38"/>
      <c r="Z200" s="38"/>
      <c r="AA200" s="38"/>
      <c r="AB200" s="38"/>
      <c r="AC200" s="38"/>
      <c r="AD200" s="38"/>
      <c r="AE200" s="38"/>
      <c r="AF200" s="38"/>
      <c r="AG200" s="37"/>
      <c r="AH200" s="37"/>
      <c r="AI200" s="37"/>
      <c r="AJ200" s="38"/>
      <c r="AK200" s="38"/>
      <c r="AL200" s="38"/>
      <c r="AM200" s="38"/>
      <c r="AN200" s="38"/>
      <c r="AO200" s="38"/>
      <c r="AP200" s="38"/>
      <c r="AQ200" s="38"/>
      <c r="AR200" s="38"/>
      <c r="AS200" s="38"/>
    </row>
    <row r="201" spans="1:45" s="24" customFormat="1" ht="13.8" x14ac:dyDescent="0.3">
      <c r="A201" s="32" t="s">
        <v>146</v>
      </c>
      <c r="B201" s="3"/>
      <c r="C201" s="3"/>
      <c r="D201" s="116">
        <f t="shared" si="34"/>
        <v>0</v>
      </c>
      <c r="E201" s="117" t="e">
        <f t="shared" si="35"/>
        <v>#VALUE!</v>
      </c>
      <c r="F201" s="108"/>
      <c r="G201" s="119" t="e">
        <f t="shared" si="36"/>
        <v>#VALUE!</v>
      </c>
      <c r="H201" s="18"/>
      <c r="I201" s="146"/>
      <c r="J201" s="379"/>
      <c r="K201" s="460"/>
      <c r="L201" s="38"/>
      <c r="M201" s="38"/>
      <c r="N201" s="38"/>
      <c r="O201" s="38"/>
      <c r="P201" s="38"/>
      <c r="Q201" s="38"/>
      <c r="R201" s="38"/>
      <c r="S201" s="38"/>
      <c r="T201" s="38"/>
      <c r="U201" s="38"/>
      <c r="V201" s="38"/>
      <c r="W201" s="38"/>
      <c r="X201" s="38"/>
      <c r="Y201" s="38"/>
      <c r="Z201" s="38"/>
      <c r="AA201" s="38"/>
      <c r="AB201" s="38"/>
      <c r="AC201" s="38"/>
      <c r="AD201" s="38"/>
      <c r="AE201" s="38"/>
      <c r="AF201" s="38"/>
      <c r="AG201" s="37"/>
      <c r="AH201" s="37"/>
      <c r="AI201" s="37"/>
      <c r="AJ201" s="38"/>
      <c r="AK201" s="38"/>
      <c r="AL201" s="38"/>
      <c r="AM201" s="38"/>
      <c r="AN201" s="38"/>
      <c r="AO201" s="38"/>
      <c r="AP201" s="38"/>
      <c r="AQ201" s="38"/>
      <c r="AR201" s="38"/>
      <c r="AS201" s="38"/>
    </row>
    <row r="202" spans="1:45" s="24" customFormat="1" ht="13.8" x14ac:dyDescent="0.3">
      <c r="A202" s="32" t="s">
        <v>147</v>
      </c>
      <c r="B202" s="3"/>
      <c r="C202" s="3"/>
      <c r="D202" s="116">
        <f t="shared" si="34"/>
        <v>0</v>
      </c>
      <c r="E202" s="117" t="e">
        <f t="shared" si="35"/>
        <v>#VALUE!</v>
      </c>
      <c r="F202" s="108"/>
      <c r="G202" s="119" t="e">
        <f t="shared" si="36"/>
        <v>#VALUE!</v>
      </c>
      <c r="H202" s="18"/>
      <c r="I202" s="146"/>
      <c r="J202" s="379"/>
      <c r="K202" s="460"/>
      <c r="L202" s="38"/>
      <c r="M202" s="38"/>
      <c r="N202" s="38"/>
      <c r="O202" s="38"/>
      <c r="P202" s="38"/>
      <c r="Q202" s="38"/>
      <c r="R202" s="38"/>
      <c r="S202" s="38"/>
      <c r="T202" s="38"/>
      <c r="U202" s="38"/>
      <c r="V202" s="38"/>
      <c r="W202" s="38"/>
      <c r="X202" s="38"/>
      <c r="Y202" s="38"/>
      <c r="Z202" s="38"/>
      <c r="AA202" s="38"/>
      <c r="AB202" s="38"/>
      <c r="AC202" s="38"/>
      <c r="AD202" s="38"/>
      <c r="AE202" s="38"/>
      <c r="AF202" s="38"/>
      <c r="AG202" s="37"/>
      <c r="AH202" s="37"/>
      <c r="AI202" s="37"/>
      <c r="AJ202" s="38"/>
      <c r="AK202" s="38"/>
      <c r="AL202" s="38"/>
      <c r="AM202" s="38"/>
      <c r="AN202" s="38"/>
      <c r="AO202" s="38"/>
      <c r="AP202" s="38"/>
      <c r="AQ202" s="38"/>
      <c r="AR202" s="38"/>
      <c r="AS202" s="38"/>
    </row>
    <row r="203" spans="1:45" s="24" customFormat="1" ht="13.8" x14ac:dyDescent="0.3">
      <c r="A203" s="32" t="s">
        <v>148</v>
      </c>
      <c r="B203" s="3"/>
      <c r="C203" s="3"/>
      <c r="D203" s="116">
        <f t="shared" si="34"/>
        <v>0</v>
      </c>
      <c r="E203" s="117" t="e">
        <f t="shared" si="35"/>
        <v>#VALUE!</v>
      </c>
      <c r="F203" s="108"/>
      <c r="G203" s="119" t="e">
        <f t="shared" si="36"/>
        <v>#VALUE!</v>
      </c>
      <c r="H203" s="18"/>
      <c r="I203" s="146"/>
      <c r="J203" s="379"/>
      <c r="K203" s="460"/>
      <c r="L203" s="38"/>
      <c r="M203" s="38"/>
      <c r="N203" s="38"/>
      <c r="O203" s="38"/>
      <c r="P203" s="38"/>
      <c r="Q203" s="38"/>
      <c r="R203" s="38"/>
      <c r="S203" s="38"/>
      <c r="T203" s="38"/>
      <c r="U203" s="38"/>
      <c r="V203" s="38"/>
      <c r="W203" s="38"/>
      <c r="X203" s="38"/>
      <c r="Y203" s="38"/>
      <c r="Z203" s="38"/>
      <c r="AA203" s="38"/>
      <c r="AB203" s="38"/>
      <c r="AC203" s="38"/>
      <c r="AD203" s="38"/>
      <c r="AE203" s="38"/>
      <c r="AF203" s="38"/>
      <c r="AG203" s="37"/>
      <c r="AH203" s="37"/>
      <c r="AI203" s="37"/>
      <c r="AJ203" s="38"/>
      <c r="AK203" s="38"/>
      <c r="AL203" s="38"/>
      <c r="AM203" s="38"/>
      <c r="AN203" s="38"/>
      <c r="AO203" s="38"/>
      <c r="AP203" s="38"/>
      <c r="AQ203" s="38"/>
      <c r="AR203" s="38"/>
      <c r="AS203" s="38"/>
    </row>
    <row r="204" spans="1:45" s="24" customFormat="1" ht="13.8" x14ac:dyDescent="0.3">
      <c r="A204" s="32" t="s">
        <v>143</v>
      </c>
      <c r="B204" s="3"/>
      <c r="C204" s="3"/>
      <c r="D204" s="116">
        <f t="shared" si="34"/>
        <v>0</v>
      </c>
      <c r="E204" s="117" t="e">
        <f t="shared" si="35"/>
        <v>#VALUE!</v>
      </c>
      <c r="F204" s="108"/>
      <c r="G204" s="119" t="e">
        <f t="shared" si="36"/>
        <v>#VALUE!</v>
      </c>
      <c r="H204" s="18"/>
      <c r="I204" s="38"/>
      <c r="J204" s="38"/>
      <c r="L204" s="38"/>
      <c r="M204" s="38"/>
      <c r="N204" s="38"/>
      <c r="O204" s="38"/>
      <c r="P204" s="38"/>
      <c r="Q204" s="38"/>
      <c r="R204" s="38"/>
      <c r="S204" s="38"/>
      <c r="T204" s="38"/>
      <c r="U204" s="38"/>
      <c r="V204" s="38"/>
      <c r="W204" s="38"/>
      <c r="X204" s="38"/>
      <c r="Y204" s="38"/>
      <c r="Z204" s="38"/>
      <c r="AA204" s="38"/>
      <c r="AB204" s="38"/>
      <c r="AC204" s="38"/>
      <c r="AD204" s="38"/>
      <c r="AE204" s="38"/>
      <c r="AF204" s="38"/>
      <c r="AG204" s="37"/>
      <c r="AH204" s="37"/>
      <c r="AI204" s="37"/>
      <c r="AJ204" s="38"/>
      <c r="AK204" s="38"/>
      <c r="AL204" s="38"/>
      <c r="AM204" s="38"/>
      <c r="AN204" s="38"/>
      <c r="AO204" s="38"/>
      <c r="AP204" s="38"/>
      <c r="AQ204" s="38"/>
      <c r="AR204" s="38"/>
      <c r="AS204" s="38"/>
    </row>
    <row r="205" spans="1:45" s="24" customFormat="1" ht="13.8" x14ac:dyDescent="0.3">
      <c r="A205" s="59" t="s">
        <v>77</v>
      </c>
      <c r="B205" s="170">
        <f>SUM(B198:B204)</f>
        <v>0</v>
      </c>
      <c r="C205" s="107">
        <f>SUM(C198:C204)</f>
        <v>0</v>
      </c>
      <c r="D205" s="208" t="str">
        <f>IF(SUM(D198:D204)&gt;=C14,SUM(D198:D204),"Excess Capacity")</f>
        <v>Excess Capacity</v>
      </c>
      <c r="E205" s="118" t="e">
        <f>SUM(E198:E204)</f>
        <v>#VALUE!</v>
      </c>
      <c r="F205" s="120" t="str">
        <f>IF(SUM(F198:F204)=100%,SUM(F198:F204),"Error")</f>
        <v>Error</v>
      </c>
      <c r="G205" s="119" t="e">
        <f>SUM(G198:G204)</f>
        <v>#VALUE!</v>
      </c>
      <c r="H205" s="107" t="e">
        <f>AVERAGE(H198:H204)</f>
        <v>#DIV/0!</v>
      </c>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7"/>
      <c r="AH205" s="37"/>
      <c r="AI205" s="37"/>
      <c r="AJ205" s="38"/>
      <c r="AK205" s="38"/>
      <c r="AL205" s="38"/>
      <c r="AM205" s="38"/>
      <c r="AN205" s="38"/>
      <c r="AO205" s="38"/>
      <c r="AP205" s="38"/>
      <c r="AQ205" s="38"/>
      <c r="AR205" s="38"/>
      <c r="AS205" s="38"/>
    </row>
    <row r="206" spans="1:45" s="24" customFormat="1" ht="13.8" x14ac:dyDescent="0.3">
      <c r="A206" s="70" t="s">
        <v>504</v>
      </c>
      <c r="B206" s="68" t="s">
        <v>152</v>
      </c>
      <c r="C206" s="68">
        <v>1</v>
      </c>
      <c r="D206" s="68">
        <f>C206+1</f>
        <v>2</v>
      </c>
      <c r="E206" s="68">
        <f t="shared" ref="E206" si="37">D206+1</f>
        <v>3</v>
      </c>
      <c r="F206" s="68">
        <f>E206+1</f>
        <v>4</v>
      </c>
      <c r="G206" s="68">
        <f t="shared" ref="G206" si="38">F206+1</f>
        <v>5</v>
      </c>
      <c r="H206" s="16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7"/>
      <c r="AH206" s="37"/>
      <c r="AI206" s="37"/>
      <c r="AJ206" s="38"/>
      <c r="AK206" s="38"/>
      <c r="AL206" s="38"/>
      <c r="AM206" s="38"/>
      <c r="AN206" s="38"/>
      <c r="AO206" s="38"/>
      <c r="AP206" s="38"/>
      <c r="AQ206" s="38"/>
      <c r="AR206" s="38"/>
      <c r="AS206" s="38"/>
    </row>
    <row r="207" spans="1:45" s="24" customFormat="1" ht="13.8" x14ac:dyDescent="0.3">
      <c r="A207" s="32" t="s">
        <v>503</v>
      </c>
      <c r="B207" s="4" t="s">
        <v>129</v>
      </c>
      <c r="C207" s="3"/>
      <c r="D207" s="3"/>
      <c r="E207" s="3"/>
      <c r="F207" s="3"/>
      <c r="G207" s="3"/>
      <c r="H207" s="16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7"/>
      <c r="AH207" s="37"/>
      <c r="AI207" s="37"/>
      <c r="AJ207" s="38"/>
      <c r="AK207" s="38"/>
      <c r="AL207" s="38"/>
      <c r="AM207" s="38"/>
      <c r="AN207" s="38"/>
      <c r="AO207" s="38"/>
      <c r="AP207" s="38"/>
      <c r="AQ207" s="38"/>
      <c r="AR207" s="38"/>
      <c r="AS207" s="38"/>
    </row>
    <row r="208" spans="1:45" s="24" customFormat="1" ht="13.8" x14ac:dyDescent="0.3">
      <c r="A208" s="32" t="s">
        <v>511</v>
      </c>
      <c r="B208" s="4" t="s">
        <v>88</v>
      </c>
      <c r="C208" s="3"/>
      <c r="D208" s="3"/>
      <c r="E208" s="3"/>
      <c r="F208" s="3"/>
      <c r="G208" s="3"/>
      <c r="H208" s="168"/>
      <c r="AG208" s="62"/>
      <c r="AH208" s="62"/>
      <c r="AI208" s="62"/>
    </row>
    <row r="209" spans="1:306" s="24" customFormat="1" ht="13.8" x14ac:dyDescent="0.3">
      <c r="A209" s="207" t="s">
        <v>507</v>
      </c>
      <c r="B209" s="4" t="s">
        <v>88</v>
      </c>
      <c r="C209" s="208" t="str">
        <f>IF(C208&gt;=C14,"","Excess Capacity")</f>
        <v>Excess Capacity</v>
      </c>
      <c r="D209" s="208" t="str">
        <f>IF(D208&gt;=Calculations!E9,"","Excess Capacity")</f>
        <v>Excess Capacity</v>
      </c>
      <c r="E209" s="208" t="str">
        <f>IF(E208&gt;=Calculations!F9,"","Excess Capacity")</f>
        <v>Excess Capacity</v>
      </c>
      <c r="F209" s="208" t="str">
        <f>IF(F208&gt;=Calculations!G9,"","Excess Capacity")</f>
        <v>Excess Capacity</v>
      </c>
      <c r="G209" s="208" t="str">
        <f>IF(G208&gt;=Calculations!H9,"","Excess Capacity")</f>
        <v>Excess Capacity</v>
      </c>
      <c r="H209" s="168"/>
      <c r="AG209" s="62"/>
      <c r="AH209" s="62"/>
      <c r="AI209" s="62"/>
    </row>
    <row r="210" spans="1:306" s="24" customFormat="1" ht="13.8" x14ac:dyDescent="0.3">
      <c r="B210" s="38"/>
      <c r="E210" s="62"/>
      <c r="AG210" s="62"/>
      <c r="AH210" s="62"/>
      <c r="AI210" s="62"/>
    </row>
    <row r="211" spans="1:306" s="72" customFormat="1" ht="13.8" x14ac:dyDescent="0.3">
      <c r="A211" s="70" t="s">
        <v>140</v>
      </c>
      <c r="B211" s="71"/>
      <c r="C211" s="70"/>
      <c r="E211" s="73"/>
      <c r="F211" s="74"/>
      <c r="G211" s="74"/>
      <c r="H211" s="74"/>
      <c r="I211" s="74"/>
      <c r="J211" s="74"/>
      <c r="K211" s="74"/>
      <c r="L211" s="74"/>
      <c r="M211" s="74"/>
      <c r="N211" s="74"/>
      <c r="O211" s="74"/>
      <c r="P211" s="74"/>
      <c r="Q211" s="74"/>
      <c r="R211" s="74"/>
      <c r="S211" s="74"/>
      <c r="T211" s="74"/>
      <c r="U211" s="74"/>
      <c r="V211" s="74"/>
      <c r="W211" s="74"/>
      <c r="X211" s="74"/>
      <c r="Y211" s="74"/>
      <c r="Z211" s="74"/>
      <c r="AA211" s="74"/>
      <c r="AB211" s="74"/>
      <c r="AC211" s="74"/>
      <c r="AD211" s="74"/>
      <c r="AE211" s="74"/>
      <c r="AF211" s="74"/>
      <c r="AG211" s="73"/>
      <c r="AH211" s="73"/>
      <c r="AI211" s="73"/>
      <c r="AJ211" s="74"/>
      <c r="AK211" s="74"/>
      <c r="AL211" s="74"/>
      <c r="AM211" s="74"/>
      <c r="AN211" s="74"/>
      <c r="AO211" s="74"/>
      <c r="AP211" s="74"/>
      <c r="AQ211" s="74"/>
      <c r="AR211" s="74"/>
      <c r="AS211" s="74"/>
    </row>
    <row r="212" spans="1:306" s="24" customFormat="1" ht="13.8" x14ac:dyDescent="0.3">
      <c r="A212" s="41"/>
      <c r="B212" s="41" t="s">
        <v>49</v>
      </c>
      <c r="C212" s="41" t="s">
        <v>50</v>
      </c>
      <c r="AG212" s="62"/>
      <c r="AH212" s="62"/>
      <c r="AI212" s="62"/>
    </row>
    <row r="213" spans="1:306" s="24" customFormat="1" ht="13.8" x14ac:dyDescent="0.3">
      <c r="A213" s="32" t="s">
        <v>131</v>
      </c>
      <c r="B213" s="4" t="s">
        <v>85</v>
      </c>
      <c r="C213" s="108"/>
      <c r="AG213" s="62"/>
      <c r="AH213" s="62"/>
      <c r="AI213" s="62"/>
    </row>
    <row r="214" spans="1:306" s="24" customFormat="1" ht="13.8" x14ac:dyDescent="0.3">
      <c r="A214" s="32" t="s">
        <v>198</v>
      </c>
      <c r="B214" s="4" t="s">
        <v>85</v>
      </c>
      <c r="C214" s="108"/>
      <c r="E214" s="62"/>
      <c r="AG214" s="62"/>
      <c r="AH214" s="62"/>
      <c r="AI214" s="62"/>
    </row>
    <row r="215" spans="1:306" s="24" customFormat="1" ht="13.8" x14ac:dyDescent="0.3">
      <c r="A215" s="32" t="s">
        <v>220</v>
      </c>
      <c r="B215" s="4" t="s">
        <v>85</v>
      </c>
      <c r="C215" s="108"/>
      <c r="D215" s="24" t="s">
        <v>197</v>
      </c>
      <c r="E215" s="62"/>
      <c r="AG215" s="62"/>
      <c r="AH215" s="62"/>
      <c r="AI215" s="62"/>
    </row>
    <row r="216" spans="1:306" s="24" customFormat="1" ht="13.8" x14ac:dyDescent="0.3">
      <c r="A216" s="32" t="s">
        <v>199</v>
      </c>
      <c r="B216" s="173" t="str">
        <f>C20</f>
        <v>US$</v>
      </c>
      <c r="C216" s="204"/>
      <c r="D216" s="24" t="s">
        <v>196</v>
      </c>
      <c r="R216" s="91"/>
      <c r="S216" s="91"/>
      <c r="T216" s="91"/>
      <c r="U216" s="91"/>
      <c r="V216" s="91"/>
      <c r="W216" s="91"/>
      <c r="X216" s="91"/>
      <c r="Y216" s="91"/>
      <c r="Z216" s="91"/>
      <c r="AA216" s="91"/>
      <c r="AB216" s="91"/>
      <c r="AC216" s="91"/>
      <c r="AD216" s="91"/>
      <c r="AE216" s="91"/>
      <c r="AF216" s="91"/>
      <c r="AG216" s="91"/>
      <c r="AH216" s="91"/>
      <c r="AI216" s="91"/>
      <c r="AJ216" s="91"/>
      <c r="AK216" s="91"/>
      <c r="AL216" s="91"/>
      <c r="AM216" s="91"/>
      <c r="AN216" s="91"/>
      <c r="AO216" s="91"/>
      <c r="AP216" s="91"/>
      <c r="AQ216" s="91"/>
      <c r="AR216" s="91"/>
      <c r="AS216" s="91"/>
      <c r="AT216" s="91"/>
      <c r="AU216" s="91"/>
      <c r="AV216" s="91"/>
      <c r="AW216" s="91"/>
      <c r="AX216" s="91"/>
      <c r="AY216" s="91"/>
      <c r="AZ216" s="91"/>
      <c r="BA216" s="91"/>
      <c r="BB216" s="91"/>
      <c r="BC216" s="91"/>
      <c r="BD216" s="91"/>
      <c r="BE216" s="91"/>
      <c r="BF216" s="91"/>
      <c r="BG216" s="91"/>
      <c r="BH216" s="91"/>
      <c r="BI216" s="91"/>
      <c r="BJ216" s="91"/>
      <c r="BK216" s="91"/>
      <c r="BL216" s="91"/>
      <c r="BM216" s="91"/>
      <c r="BN216" s="91"/>
      <c r="BO216" s="91"/>
      <c r="BP216" s="91"/>
      <c r="BQ216" s="91"/>
      <c r="BR216" s="91"/>
      <c r="BS216" s="91"/>
      <c r="BT216" s="91"/>
      <c r="BU216" s="91"/>
      <c r="BV216" s="91"/>
      <c r="BW216" s="91"/>
      <c r="BX216" s="91"/>
      <c r="BY216" s="91"/>
      <c r="BZ216" s="91"/>
      <c r="CA216" s="91"/>
      <c r="CB216" s="91"/>
      <c r="CC216" s="91"/>
      <c r="CD216" s="91"/>
      <c r="CE216" s="91"/>
      <c r="CF216" s="91"/>
      <c r="CG216" s="91"/>
      <c r="CH216" s="91"/>
      <c r="CI216" s="91"/>
      <c r="CJ216" s="91"/>
      <c r="CK216" s="91"/>
      <c r="CL216" s="91"/>
      <c r="CM216" s="91"/>
      <c r="CN216" s="91"/>
      <c r="CO216" s="91"/>
      <c r="CP216" s="91"/>
      <c r="CQ216" s="91"/>
      <c r="CR216" s="91"/>
      <c r="CS216" s="91"/>
      <c r="CT216" s="91"/>
      <c r="CU216" s="91"/>
      <c r="CV216" s="91"/>
      <c r="CW216" s="91"/>
      <c r="CX216" s="91"/>
      <c r="CY216" s="91"/>
      <c r="CZ216" s="91"/>
      <c r="DA216" s="91"/>
      <c r="DB216" s="91"/>
      <c r="DC216" s="91"/>
      <c r="DD216" s="91"/>
      <c r="DE216" s="91"/>
      <c r="DF216" s="91"/>
      <c r="DG216" s="91"/>
      <c r="DH216" s="91"/>
      <c r="DI216" s="91"/>
      <c r="DJ216" s="91"/>
      <c r="DK216" s="91"/>
      <c r="DL216" s="91"/>
      <c r="DM216" s="91"/>
      <c r="DN216" s="91"/>
      <c r="DO216" s="91"/>
      <c r="DP216" s="91"/>
      <c r="DQ216" s="91"/>
      <c r="DR216" s="91"/>
      <c r="DS216" s="91"/>
      <c r="DT216" s="91"/>
      <c r="DU216" s="91"/>
      <c r="DV216" s="91"/>
      <c r="DW216" s="91"/>
      <c r="DX216" s="91"/>
      <c r="DY216" s="91"/>
      <c r="DZ216" s="91"/>
      <c r="EA216" s="91"/>
      <c r="EB216" s="91"/>
      <c r="EC216" s="91"/>
      <c r="ED216" s="91"/>
      <c r="EE216" s="91"/>
      <c r="EF216" s="91"/>
      <c r="EG216" s="91"/>
      <c r="EH216" s="91"/>
      <c r="EI216" s="91"/>
      <c r="EJ216" s="91"/>
      <c r="EK216" s="91"/>
      <c r="EL216" s="91"/>
      <c r="EM216" s="91"/>
      <c r="EN216" s="91"/>
      <c r="EO216" s="91"/>
      <c r="EP216" s="91"/>
      <c r="EQ216" s="91"/>
      <c r="ER216" s="91"/>
      <c r="ES216" s="91"/>
      <c r="ET216" s="91"/>
      <c r="EU216" s="91"/>
      <c r="EV216" s="91"/>
      <c r="EW216" s="91"/>
      <c r="EX216" s="91"/>
      <c r="EY216" s="91"/>
      <c r="EZ216" s="91"/>
      <c r="FA216" s="91"/>
      <c r="FB216" s="91"/>
      <c r="FC216" s="91"/>
      <c r="FD216" s="91"/>
      <c r="FE216" s="91"/>
      <c r="FF216" s="91"/>
      <c r="FG216" s="91"/>
      <c r="FH216" s="91"/>
      <c r="FI216" s="91"/>
      <c r="FJ216" s="91"/>
      <c r="FK216" s="91"/>
      <c r="FL216" s="91"/>
      <c r="FM216" s="91"/>
      <c r="FN216" s="91"/>
      <c r="FO216" s="91"/>
      <c r="FP216" s="91"/>
      <c r="FQ216" s="91"/>
      <c r="FR216" s="91"/>
      <c r="FS216" s="91"/>
      <c r="FT216" s="91"/>
      <c r="FU216" s="91"/>
      <c r="FV216" s="91"/>
      <c r="FW216" s="91"/>
      <c r="FX216" s="91"/>
      <c r="FY216" s="91"/>
      <c r="FZ216" s="91"/>
      <c r="GA216" s="91"/>
      <c r="GB216" s="91"/>
      <c r="GC216" s="91"/>
      <c r="GD216" s="91"/>
      <c r="GE216" s="91"/>
      <c r="GF216" s="91"/>
      <c r="GG216" s="91"/>
      <c r="GH216" s="91"/>
      <c r="GI216" s="91"/>
      <c r="GJ216" s="91"/>
      <c r="GK216" s="91"/>
      <c r="GL216" s="91"/>
      <c r="GM216" s="91"/>
      <c r="GN216" s="91"/>
      <c r="GO216" s="91"/>
      <c r="GP216" s="91"/>
      <c r="GQ216" s="91"/>
      <c r="GR216" s="91"/>
      <c r="GS216" s="91"/>
      <c r="GT216" s="91"/>
      <c r="GU216" s="91"/>
      <c r="GV216" s="91"/>
      <c r="GW216" s="91"/>
      <c r="GX216" s="91"/>
      <c r="GY216" s="91"/>
      <c r="GZ216" s="91"/>
      <c r="HA216" s="91"/>
      <c r="HB216" s="91"/>
      <c r="HC216" s="91"/>
      <c r="HD216" s="91"/>
      <c r="HE216" s="91"/>
      <c r="HF216" s="91"/>
      <c r="HG216" s="91"/>
      <c r="HH216" s="91"/>
      <c r="HI216" s="91"/>
      <c r="HJ216" s="91"/>
      <c r="HK216" s="91"/>
      <c r="HL216" s="91"/>
      <c r="HM216" s="91"/>
      <c r="HN216" s="91"/>
      <c r="HO216" s="91"/>
      <c r="HP216" s="91"/>
      <c r="HQ216" s="91"/>
      <c r="HR216" s="91"/>
      <c r="HS216" s="91"/>
      <c r="HT216" s="91"/>
      <c r="HU216" s="91"/>
      <c r="HV216" s="91"/>
      <c r="HW216" s="91"/>
      <c r="HX216" s="91"/>
      <c r="HY216" s="91"/>
      <c r="HZ216" s="91"/>
      <c r="IA216" s="91"/>
      <c r="IB216" s="91"/>
      <c r="IC216" s="91"/>
      <c r="ID216" s="91"/>
      <c r="IE216" s="91"/>
      <c r="IF216" s="91"/>
      <c r="IG216" s="91"/>
      <c r="IH216" s="91"/>
      <c r="II216" s="91"/>
      <c r="IJ216" s="91"/>
      <c r="IK216" s="91"/>
      <c r="IL216" s="91"/>
      <c r="IM216" s="91"/>
      <c r="IN216" s="91"/>
      <c r="IO216" s="91"/>
      <c r="IP216" s="91"/>
      <c r="IQ216" s="91"/>
      <c r="IR216" s="91"/>
      <c r="IS216" s="91"/>
      <c r="IT216" s="91"/>
      <c r="IU216" s="91"/>
      <c r="IV216" s="91"/>
      <c r="IW216" s="91"/>
      <c r="IX216" s="91"/>
      <c r="IY216" s="91"/>
      <c r="IZ216" s="91"/>
      <c r="JA216" s="91"/>
      <c r="JB216" s="91"/>
      <c r="JC216" s="91"/>
      <c r="JD216" s="91"/>
      <c r="JE216" s="91"/>
      <c r="JF216" s="91"/>
      <c r="JG216" s="91"/>
      <c r="JH216" s="91"/>
      <c r="JI216" s="91"/>
      <c r="JJ216" s="91"/>
      <c r="JK216" s="91"/>
      <c r="JL216" s="91"/>
      <c r="JM216" s="91"/>
      <c r="JN216" s="91"/>
      <c r="JO216" s="91"/>
      <c r="JP216" s="91"/>
      <c r="JQ216" s="91"/>
      <c r="JR216" s="91"/>
      <c r="JS216" s="91"/>
      <c r="JT216" s="91"/>
      <c r="JU216" s="91"/>
      <c r="JV216" s="91"/>
      <c r="JW216" s="91"/>
      <c r="JX216" s="91"/>
      <c r="JY216" s="91"/>
      <c r="JZ216" s="91"/>
      <c r="KA216" s="91"/>
      <c r="KB216" s="91"/>
      <c r="KC216" s="91"/>
      <c r="KD216" s="91"/>
      <c r="KE216" s="91"/>
      <c r="KF216" s="91"/>
      <c r="KG216" s="91"/>
      <c r="KH216" s="91"/>
      <c r="KI216" s="91"/>
      <c r="KJ216" s="91"/>
      <c r="KK216" s="91"/>
      <c r="KL216" s="91"/>
      <c r="KM216" s="91"/>
      <c r="KN216" s="91"/>
      <c r="KO216" s="91"/>
      <c r="KP216" s="91"/>
      <c r="KQ216" s="91"/>
      <c r="KR216" s="91"/>
      <c r="KS216" s="91"/>
      <c r="KT216" s="91"/>
    </row>
    <row r="217" spans="1:306" s="24" customFormat="1" ht="13.8" x14ac:dyDescent="0.3">
      <c r="A217" s="59" t="s">
        <v>200</v>
      </c>
      <c r="B217" s="170" t="str">
        <f>C20</f>
        <v>US$</v>
      </c>
      <c r="C217" s="206">
        <f>C216*(1+C215)^COUNT(Calculations!E9:I9)</f>
        <v>0</v>
      </c>
      <c r="D217" s="24" t="s">
        <v>196</v>
      </c>
      <c r="R217" s="91"/>
      <c r="S217" s="91"/>
      <c r="T217" s="91"/>
      <c r="U217" s="91"/>
      <c r="V217" s="91"/>
      <c r="W217" s="91"/>
      <c r="X217" s="91"/>
      <c r="Y217" s="91"/>
      <c r="Z217" s="91"/>
      <c r="AA217" s="91"/>
      <c r="AB217" s="91"/>
      <c r="AC217" s="91"/>
      <c r="AD217" s="91"/>
      <c r="AE217" s="91"/>
      <c r="AF217" s="91"/>
      <c r="AG217" s="91"/>
      <c r="AH217" s="91"/>
      <c r="AI217" s="91"/>
      <c r="AJ217" s="91"/>
      <c r="AK217" s="91"/>
      <c r="AL217" s="91"/>
      <c r="AM217" s="91"/>
      <c r="AN217" s="91"/>
      <c r="AO217" s="91"/>
      <c r="AP217" s="91"/>
      <c r="AQ217" s="91"/>
      <c r="AR217" s="91"/>
      <c r="AS217" s="91"/>
      <c r="AT217" s="91"/>
      <c r="AU217" s="91"/>
      <c r="AV217" s="91"/>
      <c r="AW217" s="91"/>
      <c r="AX217" s="91"/>
      <c r="AY217" s="91"/>
      <c r="AZ217" s="91"/>
      <c r="BA217" s="91"/>
      <c r="BB217" s="91"/>
      <c r="BC217" s="91"/>
      <c r="BD217" s="91"/>
      <c r="BE217" s="91"/>
      <c r="BF217" s="91"/>
      <c r="BG217" s="91"/>
      <c r="BH217" s="91"/>
      <c r="BI217" s="91"/>
      <c r="BJ217" s="91"/>
      <c r="BK217" s="91"/>
      <c r="BL217" s="91"/>
      <c r="BM217" s="91"/>
      <c r="BN217" s="91"/>
      <c r="BO217" s="91"/>
      <c r="BP217" s="91"/>
      <c r="BQ217" s="91"/>
      <c r="BR217" s="91"/>
      <c r="BS217" s="91"/>
      <c r="BT217" s="91"/>
      <c r="BU217" s="91"/>
      <c r="BV217" s="91"/>
      <c r="BW217" s="91"/>
      <c r="BX217" s="91"/>
      <c r="BY217" s="91"/>
      <c r="BZ217" s="91"/>
      <c r="CA217" s="91"/>
      <c r="CB217" s="91"/>
      <c r="CC217" s="91"/>
      <c r="CD217" s="91"/>
      <c r="CE217" s="91"/>
      <c r="CF217" s="91"/>
      <c r="CG217" s="91"/>
      <c r="CH217" s="91"/>
      <c r="CI217" s="91"/>
      <c r="CJ217" s="91"/>
      <c r="CK217" s="91"/>
      <c r="CL217" s="91"/>
      <c r="CM217" s="91"/>
      <c r="CN217" s="91"/>
      <c r="CO217" s="91"/>
      <c r="CP217" s="91"/>
      <c r="CQ217" s="91"/>
      <c r="CR217" s="91"/>
      <c r="CS217" s="91"/>
      <c r="CT217" s="91"/>
      <c r="CU217" s="91"/>
      <c r="CV217" s="91"/>
      <c r="CW217" s="91"/>
      <c r="CX217" s="91"/>
      <c r="CY217" s="91"/>
      <c r="CZ217" s="91"/>
      <c r="DA217" s="91"/>
      <c r="DB217" s="91"/>
      <c r="DC217" s="91"/>
      <c r="DD217" s="91"/>
      <c r="DE217" s="91"/>
      <c r="DF217" s="91"/>
      <c r="DG217" s="91"/>
      <c r="DH217" s="91"/>
      <c r="DI217" s="91"/>
      <c r="DJ217" s="91"/>
      <c r="DK217" s="91"/>
      <c r="DL217" s="91"/>
      <c r="DM217" s="91"/>
      <c r="DN217" s="91"/>
      <c r="DO217" s="91"/>
      <c r="DP217" s="91"/>
      <c r="DQ217" s="91"/>
      <c r="DR217" s="91"/>
      <c r="DS217" s="91"/>
      <c r="DT217" s="91"/>
      <c r="DU217" s="91"/>
      <c r="DV217" s="91"/>
      <c r="DW217" s="91"/>
      <c r="DX217" s="91"/>
      <c r="DY217" s="91"/>
      <c r="DZ217" s="91"/>
      <c r="EA217" s="91"/>
      <c r="EB217" s="91"/>
      <c r="EC217" s="91"/>
      <c r="ED217" s="91"/>
      <c r="EE217" s="91"/>
      <c r="EF217" s="91"/>
      <c r="EG217" s="91"/>
      <c r="EH217" s="91"/>
      <c r="EI217" s="91"/>
      <c r="EJ217" s="91"/>
      <c r="EK217" s="91"/>
      <c r="EL217" s="91"/>
      <c r="EM217" s="91"/>
      <c r="EN217" s="91"/>
      <c r="EO217" s="91"/>
      <c r="EP217" s="91"/>
      <c r="EQ217" s="91"/>
      <c r="ER217" s="91"/>
      <c r="ES217" s="91"/>
      <c r="ET217" s="91"/>
      <c r="EU217" s="91"/>
      <c r="EV217" s="91"/>
      <c r="EW217" s="91"/>
      <c r="EX217" s="91"/>
      <c r="EY217" s="91"/>
      <c r="EZ217" s="91"/>
      <c r="FA217" s="91"/>
      <c r="FB217" s="91"/>
      <c r="FC217" s="91"/>
      <c r="FD217" s="91"/>
      <c r="FE217" s="91"/>
      <c r="FF217" s="91"/>
      <c r="FG217" s="91"/>
      <c r="FH217" s="91"/>
      <c r="FI217" s="91"/>
      <c r="FJ217" s="91"/>
      <c r="FK217" s="91"/>
      <c r="FL217" s="91"/>
      <c r="FM217" s="91"/>
      <c r="FN217" s="91"/>
      <c r="FO217" s="91"/>
      <c r="FP217" s="91"/>
      <c r="FQ217" s="91"/>
      <c r="FR217" s="91"/>
      <c r="FS217" s="91"/>
      <c r="FT217" s="91"/>
      <c r="FU217" s="91"/>
      <c r="FV217" s="91"/>
      <c r="FW217" s="91"/>
      <c r="FX217" s="91"/>
      <c r="FY217" s="91"/>
      <c r="FZ217" s="91"/>
      <c r="GA217" s="91"/>
      <c r="GB217" s="91"/>
      <c r="GC217" s="91"/>
      <c r="GD217" s="91"/>
      <c r="GE217" s="91"/>
      <c r="GF217" s="91"/>
      <c r="GG217" s="91"/>
      <c r="GH217" s="91"/>
      <c r="GI217" s="91"/>
      <c r="GJ217" s="91"/>
      <c r="GK217" s="91"/>
      <c r="GL217" s="91"/>
      <c r="GM217" s="91"/>
      <c r="GN217" s="91"/>
      <c r="GO217" s="91"/>
      <c r="GP217" s="91"/>
      <c r="GQ217" s="91"/>
      <c r="GR217" s="91"/>
      <c r="GS217" s="91"/>
      <c r="GT217" s="91"/>
      <c r="GU217" s="91"/>
      <c r="GV217" s="91"/>
      <c r="GW217" s="91"/>
      <c r="GX217" s="91"/>
      <c r="GY217" s="91"/>
      <c r="GZ217" s="91"/>
      <c r="HA217" s="91"/>
      <c r="HB217" s="91"/>
      <c r="HC217" s="91"/>
      <c r="HD217" s="91"/>
      <c r="HE217" s="91"/>
      <c r="HF217" s="91"/>
      <c r="HG217" s="91"/>
      <c r="HH217" s="91"/>
      <c r="HI217" s="91"/>
      <c r="HJ217" s="91"/>
      <c r="HK217" s="91"/>
      <c r="HL217" s="91"/>
      <c r="HM217" s="91"/>
      <c r="HN217" s="91"/>
      <c r="HO217" s="91"/>
      <c r="HP217" s="91"/>
      <c r="HQ217" s="91"/>
      <c r="HR217" s="91"/>
      <c r="HS217" s="91"/>
      <c r="HT217" s="91"/>
      <c r="HU217" s="91"/>
      <c r="HV217" s="91"/>
      <c r="HW217" s="91"/>
      <c r="HX217" s="91"/>
      <c r="HY217" s="91"/>
      <c r="HZ217" s="91"/>
      <c r="IA217" s="91"/>
      <c r="IB217" s="91"/>
      <c r="IC217" s="91"/>
      <c r="ID217" s="91"/>
      <c r="IE217" s="91"/>
      <c r="IF217" s="91"/>
      <c r="IG217" s="91"/>
      <c r="IH217" s="91"/>
      <c r="II217" s="91"/>
      <c r="IJ217" s="91"/>
      <c r="IK217" s="91"/>
      <c r="IL217" s="91"/>
      <c r="IM217" s="91"/>
      <c r="IN217" s="91"/>
      <c r="IO217" s="91"/>
      <c r="IP217" s="91"/>
      <c r="IQ217" s="91"/>
      <c r="IR217" s="91"/>
      <c r="IS217" s="91"/>
      <c r="IT217" s="91"/>
      <c r="IU217" s="91"/>
      <c r="IV217" s="91"/>
      <c r="IW217" s="91"/>
      <c r="IX217" s="91"/>
      <c r="IY217" s="91"/>
      <c r="IZ217" s="91"/>
      <c r="JA217" s="91"/>
      <c r="JB217" s="91"/>
      <c r="JC217" s="91"/>
      <c r="JD217" s="91"/>
      <c r="JE217" s="91"/>
      <c r="JF217" s="91"/>
      <c r="JG217" s="91"/>
      <c r="JH217" s="91"/>
      <c r="JI217" s="91"/>
      <c r="JJ217" s="91"/>
      <c r="JK217" s="91"/>
      <c r="JL217" s="91"/>
      <c r="JM217" s="91"/>
      <c r="JN217" s="91"/>
      <c r="JO217" s="91"/>
      <c r="JP217" s="91"/>
      <c r="JQ217" s="91"/>
      <c r="JR217" s="91"/>
      <c r="JS217" s="91"/>
      <c r="JT217" s="91"/>
      <c r="JU217" s="91"/>
      <c r="JV217" s="91"/>
      <c r="JW217" s="91"/>
      <c r="JX217" s="91"/>
      <c r="JY217" s="91"/>
      <c r="JZ217" s="91"/>
      <c r="KA217" s="91"/>
      <c r="KB217" s="91"/>
      <c r="KC217" s="91"/>
      <c r="KD217" s="91"/>
      <c r="KE217" s="91"/>
      <c r="KF217" s="91"/>
      <c r="KG217" s="91"/>
      <c r="KH217" s="91"/>
      <c r="KI217" s="91"/>
      <c r="KJ217" s="91"/>
      <c r="KK217" s="91"/>
      <c r="KL217" s="91"/>
      <c r="KM217" s="91"/>
      <c r="KN217" s="91"/>
      <c r="KO217" s="91"/>
      <c r="KP217" s="91"/>
      <c r="KQ217" s="91"/>
      <c r="KR217" s="91"/>
      <c r="KS217" s="91"/>
      <c r="KT217" s="91"/>
    </row>
    <row r="218" spans="1:306" s="24" customFormat="1" ht="13.8" x14ac:dyDescent="0.3">
      <c r="A218" s="32" t="s">
        <v>113</v>
      </c>
      <c r="B218" s="4" t="s">
        <v>85</v>
      </c>
      <c r="C218" s="205"/>
      <c r="E218" s="62"/>
      <c r="AG218" s="62"/>
      <c r="AH218" s="62"/>
      <c r="AI218" s="62"/>
    </row>
    <row r="219" spans="1:306" s="24" customFormat="1" ht="13.8" x14ac:dyDescent="0.3">
      <c r="B219" s="38"/>
      <c r="E219" s="62"/>
      <c r="AG219" s="62"/>
      <c r="AH219" s="62"/>
      <c r="AI219" s="62"/>
    </row>
    <row r="220" spans="1:306" s="24" customFormat="1" ht="13.8" x14ac:dyDescent="0.3">
      <c r="A220" s="70" t="s">
        <v>482</v>
      </c>
      <c r="B220" s="71"/>
      <c r="C220" s="70"/>
      <c r="E220" s="454" t="s">
        <v>212</v>
      </c>
      <c r="F220" s="372"/>
      <c r="G220" s="372"/>
      <c r="H220" s="372"/>
      <c r="I220" s="372"/>
      <c r="R220" s="91"/>
      <c r="S220" s="91"/>
      <c r="T220" s="91"/>
      <c r="U220" s="91"/>
      <c r="V220" s="91"/>
      <c r="W220" s="91"/>
      <c r="X220" s="91"/>
      <c r="Y220" s="91"/>
      <c r="Z220" s="91"/>
      <c r="AA220" s="91"/>
      <c r="AB220" s="91"/>
      <c r="AC220" s="91"/>
      <c r="AD220" s="91"/>
      <c r="AE220" s="91"/>
      <c r="AF220" s="91"/>
      <c r="AG220" s="91"/>
      <c r="AH220" s="91"/>
      <c r="AI220" s="91"/>
      <c r="AJ220" s="91"/>
      <c r="AK220" s="91"/>
      <c r="AL220" s="91"/>
      <c r="AM220" s="91"/>
      <c r="AN220" s="91"/>
      <c r="AO220" s="91"/>
      <c r="AP220" s="91"/>
      <c r="AQ220" s="91"/>
      <c r="AR220" s="91"/>
      <c r="AS220" s="91"/>
      <c r="AT220" s="91"/>
      <c r="AU220" s="91"/>
      <c r="AV220" s="91"/>
      <c r="AW220" s="91"/>
      <c r="AX220" s="91"/>
      <c r="AY220" s="91"/>
      <c r="AZ220" s="91"/>
      <c r="BA220" s="91"/>
      <c r="BB220" s="91"/>
      <c r="BC220" s="91"/>
      <c r="BD220" s="91"/>
      <c r="BE220" s="91"/>
      <c r="BF220" s="91"/>
      <c r="BG220" s="91"/>
      <c r="BH220" s="91"/>
      <c r="BI220" s="91"/>
      <c r="BJ220" s="91"/>
      <c r="BK220" s="91"/>
      <c r="BL220" s="91"/>
      <c r="BM220" s="91"/>
      <c r="BN220" s="91"/>
      <c r="BO220" s="91"/>
      <c r="BP220" s="91"/>
      <c r="BQ220" s="91"/>
      <c r="BR220" s="91"/>
      <c r="BS220" s="91"/>
      <c r="BT220" s="91"/>
      <c r="BU220" s="91"/>
      <c r="BV220" s="91"/>
      <c r="BW220" s="91"/>
      <c r="BX220" s="91"/>
      <c r="BY220" s="91"/>
      <c r="BZ220" s="91"/>
      <c r="CA220" s="91"/>
      <c r="CB220" s="91"/>
      <c r="CC220" s="91"/>
      <c r="CD220" s="91"/>
      <c r="CE220" s="91"/>
      <c r="CF220" s="91"/>
      <c r="CG220" s="91"/>
      <c r="CH220" s="91"/>
      <c r="CI220" s="91"/>
      <c r="CJ220" s="91"/>
      <c r="CK220" s="91"/>
      <c r="CL220" s="91"/>
      <c r="CM220" s="91"/>
      <c r="CN220" s="91"/>
      <c r="CO220" s="91"/>
      <c r="CP220" s="91"/>
      <c r="CQ220" s="91"/>
      <c r="CR220" s="91"/>
      <c r="CS220" s="91"/>
      <c r="CT220" s="91"/>
      <c r="CU220" s="91"/>
      <c r="CV220" s="91"/>
      <c r="CW220" s="91"/>
      <c r="CX220" s="91"/>
      <c r="CY220" s="91"/>
      <c r="CZ220" s="91"/>
      <c r="DA220" s="91"/>
      <c r="DB220" s="91"/>
      <c r="DC220" s="91"/>
      <c r="DD220" s="91"/>
      <c r="DE220" s="91"/>
      <c r="DF220" s="91"/>
      <c r="DG220" s="91"/>
      <c r="DH220" s="91"/>
      <c r="DI220" s="91"/>
      <c r="DJ220" s="91"/>
      <c r="DK220" s="91"/>
      <c r="DL220" s="91"/>
      <c r="DM220" s="91"/>
      <c r="DN220" s="91"/>
      <c r="DO220" s="91"/>
      <c r="DP220" s="91"/>
      <c r="DQ220" s="91"/>
      <c r="DR220" s="91"/>
      <c r="DS220" s="91"/>
      <c r="DT220" s="91"/>
      <c r="DU220" s="91"/>
      <c r="DV220" s="91"/>
      <c r="DW220" s="91"/>
      <c r="DX220" s="91"/>
      <c r="DY220" s="91"/>
      <c r="DZ220" s="91"/>
      <c r="EA220" s="91"/>
      <c r="EB220" s="91"/>
      <c r="EC220" s="91"/>
      <c r="ED220" s="91"/>
      <c r="EE220" s="91"/>
      <c r="EF220" s="91"/>
      <c r="EG220" s="91"/>
      <c r="EH220" s="91"/>
      <c r="EI220" s="91"/>
      <c r="EJ220" s="91"/>
      <c r="EK220" s="91"/>
      <c r="EL220" s="91"/>
      <c r="EM220" s="91"/>
      <c r="EN220" s="91"/>
      <c r="EO220" s="91"/>
      <c r="EP220" s="91"/>
      <c r="EQ220" s="91"/>
      <c r="ER220" s="91"/>
      <c r="ES220" s="91"/>
      <c r="ET220" s="91"/>
      <c r="EU220" s="91"/>
      <c r="EV220" s="91"/>
      <c r="EW220" s="91"/>
      <c r="EX220" s="91"/>
      <c r="EY220" s="91"/>
      <c r="EZ220" s="91"/>
      <c r="FA220" s="91"/>
      <c r="FB220" s="91"/>
      <c r="FC220" s="91"/>
      <c r="FD220" s="91"/>
      <c r="FE220" s="91"/>
      <c r="FF220" s="91"/>
      <c r="FG220" s="91"/>
      <c r="FH220" s="91"/>
      <c r="FI220" s="91"/>
      <c r="FJ220" s="91"/>
      <c r="FK220" s="91"/>
      <c r="FL220" s="91"/>
      <c r="FM220" s="91"/>
      <c r="FN220" s="91"/>
      <c r="FO220" s="91"/>
      <c r="FP220" s="91"/>
      <c r="FQ220" s="91"/>
      <c r="FR220" s="91"/>
      <c r="FS220" s="91"/>
      <c r="FT220" s="91"/>
      <c r="FU220" s="91"/>
      <c r="FV220" s="91"/>
      <c r="FW220" s="91"/>
      <c r="FX220" s="91"/>
      <c r="FY220" s="91"/>
      <c r="FZ220" s="91"/>
      <c r="GA220" s="91"/>
      <c r="GB220" s="91"/>
      <c r="GC220" s="91"/>
      <c r="GD220" s="91"/>
      <c r="GE220" s="91"/>
      <c r="GF220" s="91"/>
      <c r="GG220" s="91"/>
      <c r="GH220" s="91"/>
      <c r="GI220" s="91"/>
      <c r="GJ220" s="91"/>
      <c r="GK220" s="91"/>
      <c r="GL220" s="91"/>
      <c r="GM220" s="91"/>
      <c r="GN220" s="91"/>
      <c r="GO220" s="91"/>
      <c r="GP220" s="91"/>
      <c r="GQ220" s="91"/>
      <c r="GR220" s="91"/>
      <c r="GS220" s="91"/>
      <c r="GT220" s="91"/>
      <c r="GU220" s="91"/>
      <c r="GV220" s="91"/>
      <c r="GW220" s="91"/>
      <c r="GX220" s="91"/>
      <c r="GY220" s="91"/>
      <c r="GZ220" s="91"/>
      <c r="HA220" s="91"/>
      <c r="HB220" s="91"/>
      <c r="HC220" s="91"/>
      <c r="HD220" s="91"/>
      <c r="HE220" s="91"/>
      <c r="HF220" s="91"/>
      <c r="HG220" s="91"/>
      <c r="HH220" s="91"/>
      <c r="HI220" s="91"/>
      <c r="HJ220" s="91"/>
      <c r="HK220" s="91"/>
      <c r="HL220" s="91"/>
      <c r="HM220" s="91"/>
      <c r="HN220" s="91"/>
      <c r="HO220" s="91"/>
      <c r="HP220" s="91"/>
      <c r="HQ220" s="91"/>
      <c r="HR220" s="91"/>
      <c r="HS220" s="91"/>
      <c r="HT220" s="91"/>
      <c r="HU220" s="91"/>
      <c r="HV220" s="91"/>
      <c r="HW220" s="91"/>
      <c r="HX220" s="91"/>
      <c r="HY220" s="91"/>
      <c r="HZ220" s="91"/>
      <c r="IA220" s="91"/>
      <c r="IB220" s="91"/>
      <c r="IC220" s="91"/>
      <c r="ID220" s="91"/>
      <c r="IE220" s="91"/>
      <c r="IF220" s="91"/>
      <c r="IG220" s="91"/>
      <c r="IH220" s="91"/>
      <c r="II220" s="91"/>
      <c r="IJ220" s="91"/>
      <c r="IK220" s="91"/>
      <c r="IL220" s="91"/>
      <c r="IM220" s="91"/>
      <c r="IN220" s="91"/>
      <c r="IO220" s="91"/>
      <c r="IP220" s="91"/>
      <c r="IQ220" s="91"/>
      <c r="IR220" s="91"/>
      <c r="IS220" s="91"/>
      <c r="IT220" s="91"/>
      <c r="IU220" s="91"/>
      <c r="IV220" s="91"/>
      <c r="IW220" s="91"/>
      <c r="IX220" s="91"/>
      <c r="IY220" s="91"/>
      <c r="IZ220" s="91"/>
      <c r="JA220" s="91"/>
      <c r="JB220" s="91"/>
      <c r="JC220" s="91"/>
      <c r="JD220" s="91"/>
      <c r="JE220" s="91"/>
      <c r="JF220" s="91"/>
      <c r="JG220" s="91"/>
      <c r="JH220" s="91"/>
      <c r="JI220" s="91"/>
      <c r="JJ220" s="91"/>
      <c r="JK220" s="91"/>
      <c r="JL220" s="91"/>
      <c r="JM220" s="91"/>
      <c r="JN220" s="91"/>
      <c r="JO220" s="91"/>
      <c r="JP220" s="91"/>
      <c r="JQ220" s="91"/>
      <c r="JR220" s="91"/>
      <c r="JS220" s="91"/>
      <c r="JT220" s="91"/>
      <c r="JU220" s="91"/>
      <c r="JV220" s="91"/>
      <c r="JW220" s="91"/>
      <c r="JX220" s="91"/>
      <c r="JY220" s="91"/>
      <c r="JZ220" s="91"/>
      <c r="KA220" s="91"/>
      <c r="KB220" s="91"/>
      <c r="KC220" s="91"/>
      <c r="KD220" s="91"/>
      <c r="KE220" s="91"/>
      <c r="KF220" s="91"/>
      <c r="KG220" s="91"/>
      <c r="KH220" s="91"/>
      <c r="KI220" s="91"/>
      <c r="KJ220" s="91"/>
      <c r="KK220" s="91"/>
      <c r="KL220" s="91"/>
      <c r="KM220" s="91"/>
      <c r="KN220" s="91"/>
      <c r="KO220" s="91"/>
      <c r="KP220" s="91"/>
      <c r="KQ220" s="91"/>
      <c r="KR220" s="91"/>
      <c r="KS220" s="91"/>
      <c r="KT220" s="91"/>
    </row>
    <row r="221" spans="1:306" s="24" customFormat="1" ht="13.8" x14ac:dyDescent="0.3">
      <c r="A221" s="41"/>
      <c r="B221" s="92" t="s">
        <v>195</v>
      </c>
      <c r="C221" s="89" t="s">
        <v>124</v>
      </c>
      <c r="E221" s="452" t="s">
        <v>215</v>
      </c>
      <c r="F221" s="452" t="s">
        <v>216</v>
      </c>
      <c r="G221" s="453" t="s">
        <v>217</v>
      </c>
      <c r="H221" s="453" t="s">
        <v>218</v>
      </c>
      <c r="I221" s="453" t="s">
        <v>219</v>
      </c>
      <c r="R221" s="91"/>
      <c r="S221" s="91"/>
      <c r="T221" s="91"/>
      <c r="U221" s="91"/>
      <c r="V221" s="91"/>
      <c r="W221" s="91"/>
      <c r="X221" s="91"/>
      <c r="Y221" s="91"/>
      <c r="Z221" s="91"/>
      <c r="AA221" s="91"/>
      <c r="AB221" s="91"/>
      <c r="AC221" s="91"/>
      <c r="AD221" s="91"/>
      <c r="AE221" s="91"/>
      <c r="AF221" s="91"/>
      <c r="AG221" s="91"/>
      <c r="AH221" s="91"/>
      <c r="AI221" s="91"/>
      <c r="AJ221" s="91"/>
      <c r="AK221" s="91"/>
      <c r="AL221" s="91"/>
      <c r="AM221" s="91"/>
      <c r="AN221" s="91"/>
      <c r="AO221" s="91"/>
      <c r="AP221" s="91"/>
      <c r="AQ221" s="91"/>
      <c r="AR221" s="91"/>
      <c r="AS221" s="91"/>
      <c r="AT221" s="91"/>
      <c r="AU221" s="91"/>
      <c r="AV221" s="91"/>
      <c r="AW221" s="91"/>
      <c r="AX221" s="91"/>
      <c r="AY221" s="91"/>
      <c r="AZ221" s="91"/>
      <c r="BA221" s="91"/>
      <c r="BB221" s="91"/>
      <c r="BC221" s="91"/>
      <c r="BD221" s="91"/>
      <c r="BE221" s="91"/>
      <c r="BF221" s="91"/>
      <c r="BG221" s="91"/>
      <c r="BH221" s="91"/>
      <c r="BI221" s="91"/>
      <c r="BJ221" s="91"/>
      <c r="BK221" s="91"/>
      <c r="BL221" s="91"/>
      <c r="BM221" s="91"/>
      <c r="BN221" s="91"/>
      <c r="BO221" s="91"/>
      <c r="BP221" s="91"/>
      <c r="BQ221" s="91"/>
      <c r="BR221" s="91"/>
      <c r="BS221" s="91"/>
      <c r="BT221" s="91"/>
      <c r="BU221" s="91"/>
      <c r="BV221" s="91"/>
      <c r="BW221" s="91"/>
      <c r="BX221" s="91"/>
      <c r="BY221" s="91"/>
      <c r="BZ221" s="91"/>
      <c r="CA221" s="91"/>
      <c r="CB221" s="91"/>
      <c r="CC221" s="91"/>
      <c r="CD221" s="91"/>
      <c r="CE221" s="91"/>
      <c r="CF221" s="91"/>
      <c r="CG221" s="91"/>
      <c r="CH221" s="91"/>
      <c r="CI221" s="91"/>
      <c r="CJ221" s="91"/>
      <c r="CK221" s="91"/>
      <c r="CL221" s="91"/>
      <c r="CM221" s="91"/>
      <c r="CN221" s="91"/>
      <c r="CO221" s="91"/>
      <c r="CP221" s="91"/>
      <c r="CQ221" s="91"/>
      <c r="CR221" s="91"/>
      <c r="CS221" s="91"/>
      <c r="CT221" s="91"/>
      <c r="CU221" s="91"/>
      <c r="CV221" s="91"/>
      <c r="CW221" s="91"/>
      <c r="CX221" s="91"/>
      <c r="CY221" s="91"/>
      <c r="CZ221" s="91"/>
      <c r="DA221" s="91"/>
      <c r="DB221" s="91"/>
      <c r="DC221" s="91"/>
      <c r="DD221" s="91"/>
      <c r="DE221" s="91"/>
      <c r="DF221" s="91"/>
      <c r="DG221" s="91"/>
      <c r="DH221" s="91"/>
      <c r="DI221" s="91"/>
      <c r="DJ221" s="91"/>
      <c r="DK221" s="91"/>
      <c r="DL221" s="91"/>
      <c r="DM221" s="91"/>
      <c r="DN221" s="91"/>
      <c r="DO221" s="91"/>
      <c r="DP221" s="91"/>
      <c r="DQ221" s="91"/>
      <c r="DR221" s="91"/>
      <c r="DS221" s="91"/>
      <c r="DT221" s="91"/>
      <c r="DU221" s="91"/>
      <c r="DV221" s="91"/>
      <c r="DW221" s="91"/>
      <c r="DX221" s="91"/>
      <c r="DY221" s="91"/>
      <c r="DZ221" s="91"/>
      <c r="EA221" s="91"/>
      <c r="EB221" s="91"/>
      <c r="EC221" s="91"/>
      <c r="ED221" s="91"/>
      <c r="EE221" s="91"/>
      <c r="EF221" s="91"/>
      <c r="EG221" s="91"/>
      <c r="EH221" s="91"/>
      <c r="EI221" s="91"/>
      <c r="EJ221" s="91"/>
      <c r="EK221" s="91"/>
      <c r="EL221" s="91"/>
      <c r="EM221" s="91"/>
      <c r="EN221" s="91"/>
      <c r="EO221" s="91"/>
      <c r="EP221" s="91"/>
      <c r="EQ221" s="91"/>
      <c r="ER221" s="91"/>
      <c r="ES221" s="91"/>
      <c r="ET221" s="91"/>
      <c r="EU221" s="91"/>
      <c r="EV221" s="91"/>
      <c r="EW221" s="91"/>
      <c r="EX221" s="91"/>
      <c r="EY221" s="91"/>
      <c r="EZ221" s="91"/>
      <c r="FA221" s="91"/>
      <c r="FB221" s="91"/>
      <c r="FC221" s="91"/>
      <c r="FD221" s="91"/>
      <c r="FE221" s="91"/>
      <c r="FF221" s="91"/>
      <c r="FG221" s="91"/>
      <c r="FH221" s="91"/>
      <c r="FI221" s="91"/>
      <c r="FJ221" s="91"/>
      <c r="FK221" s="91"/>
      <c r="FL221" s="91"/>
      <c r="FM221" s="91"/>
      <c r="FN221" s="91"/>
      <c r="FO221" s="91"/>
      <c r="FP221" s="91"/>
      <c r="FQ221" s="91"/>
      <c r="FR221" s="91"/>
      <c r="FS221" s="91"/>
      <c r="FT221" s="91"/>
      <c r="FU221" s="91"/>
      <c r="FV221" s="91"/>
      <c r="FW221" s="91"/>
      <c r="FX221" s="91"/>
      <c r="FY221" s="91"/>
      <c r="FZ221" s="91"/>
      <c r="GA221" s="91"/>
      <c r="GB221" s="91"/>
      <c r="GC221" s="91"/>
      <c r="GD221" s="91"/>
      <c r="GE221" s="91"/>
      <c r="GF221" s="91"/>
      <c r="GG221" s="91"/>
      <c r="GH221" s="91"/>
      <c r="GI221" s="91"/>
      <c r="GJ221" s="91"/>
      <c r="GK221" s="91"/>
      <c r="GL221" s="91"/>
      <c r="GM221" s="91"/>
      <c r="GN221" s="91"/>
      <c r="GO221" s="91"/>
      <c r="GP221" s="91"/>
      <c r="GQ221" s="91"/>
      <c r="GR221" s="91"/>
      <c r="GS221" s="91"/>
      <c r="GT221" s="91"/>
      <c r="GU221" s="91"/>
      <c r="GV221" s="91"/>
      <c r="GW221" s="91"/>
      <c r="GX221" s="91"/>
      <c r="GY221" s="91"/>
      <c r="GZ221" s="91"/>
      <c r="HA221" s="91"/>
      <c r="HB221" s="91"/>
      <c r="HC221" s="91"/>
      <c r="HD221" s="91"/>
      <c r="HE221" s="91"/>
      <c r="HF221" s="91"/>
      <c r="HG221" s="91"/>
      <c r="HH221" s="91"/>
      <c r="HI221" s="91"/>
      <c r="HJ221" s="91"/>
      <c r="HK221" s="91"/>
      <c r="HL221" s="91"/>
      <c r="HM221" s="91"/>
      <c r="HN221" s="91"/>
      <c r="HO221" s="91"/>
      <c r="HP221" s="91"/>
      <c r="HQ221" s="91"/>
      <c r="HR221" s="91"/>
      <c r="HS221" s="91"/>
      <c r="HT221" s="91"/>
      <c r="HU221" s="91"/>
      <c r="HV221" s="91"/>
      <c r="HW221" s="91"/>
      <c r="HX221" s="91"/>
      <c r="HY221" s="91"/>
      <c r="HZ221" s="91"/>
      <c r="IA221" s="91"/>
      <c r="IB221" s="91"/>
      <c r="IC221" s="91"/>
      <c r="ID221" s="91"/>
      <c r="IE221" s="91"/>
      <c r="IF221" s="91"/>
      <c r="IG221" s="91"/>
      <c r="IH221" s="91"/>
      <c r="II221" s="91"/>
      <c r="IJ221" s="91"/>
      <c r="IK221" s="91"/>
      <c r="IL221" s="91"/>
      <c r="IM221" s="91"/>
      <c r="IN221" s="91"/>
      <c r="IO221" s="91"/>
      <c r="IP221" s="91"/>
      <c r="IQ221" s="91"/>
      <c r="IR221" s="91"/>
      <c r="IS221" s="91"/>
      <c r="IT221" s="91"/>
      <c r="IU221" s="91"/>
      <c r="IV221" s="91"/>
      <c r="IW221" s="91"/>
      <c r="IX221" s="91"/>
      <c r="IY221" s="91"/>
      <c r="IZ221" s="91"/>
      <c r="JA221" s="91"/>
      <c r="JB221" s="91"/>
      <c r="JC221" s="91"/>
      <c r="JD221" s="91"/>
      <c r="JE221" s="91"/>
      <c r="JF221" s="91"/>
      <c r="JG221" s="91"/>
      <c r="JH221" s="91"/>
      <c r="JI221" s="91"/>
      <c r="JJ221" s="91"/>
      <c r="JK221" s="91"/>
      <c r="JL221" s="91"/>
      <c r="JM221" s="91"/>
      <c r="JN221" s="91"/>
      <c r="JO221" s="91"/>
      <c r="JP221" s="91"/>
      <c r="JQ221" s="91"/>
      <c r="JR221" s="91"/>
      <c r="JS221" s="91"/>
      <c r="JT221" s="91"/>
      <c r="JU221" s="91"/>
      <c r="JV221" s="91"/>
      <c r="JW221" s="91"/>
      <c r="JX221" s="91"/>
      <c r="JY221" s="91"/>
      <c r="JZ221" s="91"/>
      <c r="KA221" s="91"/>
      <c r="KB221" s="91"/>
      <c r="KC221" s="91"/>
      <c r="KD221" s="91"/>
      <c r="KE221" s="91"/>
      <c r="KF221" s="91"/>
      <c r="KG221" s="91"/>
      <c r="KH221" s="91"/>
      <c r="KI221" s="91"/>
      <c r="KJ221" s="91"/>
      <c r="KK221" s="91"/>
      <c r="KL221" s="91"/>
      <c r="KM221" s="91"/>
      <c r="KN221" s="91"/>
      <c r="KO221" s="91"/>
      <c r="KP221" s="91"/>
      <c r="KQ221" s="91"/>
      <c r="KR221" s="91"/>
      <c r="KS221" s="91"/>
      <c r="KT221" s="91"/>
    </row>
    <row r="222" spans="1:306" s="24" customFormat="1" thickBot="1" x14ac:dyDescent="0.35">
      <c r="A222" s="56" t="s">
        <v>497</v>
      </c>
      <c r="B222" s="200" t="s">
        <v>498</v>
      </c>
      <c r="C222" s="202" t="e">
        <f>Inputs!C173/C216</f>
        <v>#DIV/0!</v>
      </c>
      <c r="E222" s="449" t="e">
        <f>Inputs!C173/C224</f>
        <v>#DIV/0!</v>
      </c>
      <c r="F222" s="449" t="e">
        <f>Inputs!C173/C224</f>
        <v>#DIV/0!</v>
      </c>
      <c r="G222" s="449" t="e">
        <f>Inputs!C173/C224</f>
        <v>#DIV/0!</v>
      </c>
      <c r="H222" s="449" t="e">
        <f>Inputs!C173/C224</f>
        <v>#DIV/0!</v>
      </c>
      <c r="I222" s="449" t="e">
        <f>Inputs!C173/C224</f>
        <v>#DIV/0!</v>
      </c>
      <c r="L222" s="93"/>
      <c r="M222" s="93"/>
      <c r="R222" s="91"/>
      <c r="S222" s="91"/>
      <c r="T222" s="91"/>
      <c r="U222" s="91"/>
      <c r="V222" s="91"/>
      <c r="W222" s="91"/>
      <c r="X222" s="91"/>
      <c r="Y222" s="91"/>
      <c r="Z222" s="91"/>
      <c r="AA222" s="91"/>
      <c r="AB222" s="91"/>
      <c r="AC222" s="91"/>
      <c r="AD222" s="91"/>
      <c r="AE222" s="91"/>
      <c r="AF222" s="91"/>
      <c r="AG222" s="91"/>
      <c r="AH222" s="91"/>
      <c r="AI222" s="91"/>
      <c r="AJ222" s="91"/>
      <c r="AK222" s="91"/>
      <c r="AL222" s="91"/>
      <c r="AM222" s="91"/>
      <c r="AN222" s="91"/>
      <c r="AO222" s="91"/>
      <c r="AP222" s="91"/>
      <c r="AQ222" s="91"/>
      <c r="AR222" s="91"/>
      <c r="AS222" s="91"/>
      <c r="AT222" s="91"/>
      <c r="AU222" s="91"/>
      <c r="AV222" s="91"/>
      <c r="AW222" s="91"/>
      <c r="AX222" s="91"/>
      <c r="AY222" s="91"/>
      <c r="AZ222" s="91"/>
      <c r="BA222" s="91"/>
      <c r="BB222" s="91"/>
      <c r="BC222" s="91"/>
      <c r="BD222" s="91"/>
      <c r="BE222" s="91"/>
      <c r="BF222" s="91"/>
      <c r="BG222" s="91"/>
      <c r="BH222" s="91"/>
      <c r="BI222" s="91"/>
      <c r="BJ222" s="91"/>
      <c r="BK222" s="91"/>
      <c r="BL222" s="91"/>
      <c r="BM222" s="91"/>
      <c r="BN222" s="91"/>
      <c r="BO222" s="91"/>
      <c r="BP222" s="91"/>
      <c r="BQ222" s="91"/>
      <c r="BR222" s="91"/>
      <c r="BS222" s="91"/>
      <c r="BT222" s="91"/>
      <c r="BU222" s="91"/>
      <c r="BV222" s="91"/>
      <c r="BW222" s="91"/>
      <c r="BX222" s="91"/>
      <c r="BY222" s="91"/>
      <c r="BZ222" s="91"/>
      <c r="CA222" s="91"/>
      <c r="CB222" s="91"/>
      <c r="CC222" s="91"/>
      <c r="CD222" s="91"/>
      <c r="CE222" s="91"/>
      <c r="CF222" s="91"/>
      <c r="CG222" s="91"/>
      <c r="CH222" s="91"/>
      <c r="CI222" s="91"/>
      <c r="CJ222" s="91"/>
      <c r="CK222" s="91"/>
      <c r="CL222" s="91"/>
      <c r="CM222" s="91"/>
      <c r="CN222" s="91"/>
      <c r="CO222" s="91"/>
      <c r="CP222" s="91"/>
      <c r="CQ222" s="91"/>
      <c r="CR222" s="91"/>
      <c r="CS222" s="91"/>
      <c r="CT222" s="91"/>
      <c r="CU222" s="91"/>
      <c r="CV222" s="91"/>
      <c r="CW222" s="91"/>
      <c r="CX222" s="91"/>
      <c r="CY222" s="91"/>
      <c r="CZ222" s="91"/>
      <c r="DA222" s="91"/>
      <c r="DB222" s="91"/>
      <c r="DC222" s="91"/>
      <c r="DD222" s="91"/>
      <c r="DE222" s="91"/>
      <c r="DF222" s="91"/>
      <c r="DG222" s="91"/>
      <c r="DH222" s="91"/>
      <c r="DI222" s="91"/>
      <c r="DJ222" s="91"/>
      <c r="DK222" s="91"/>
      <c r="DL222" s="91"/>
      <c r="DM222" s="91"/>
      <c r="DN222" s="91"/>
      <c r="DO222" s="91"/>
      <c r="DP222" s="91"/>
      <c r="DQ222" s="91"/>
      <c r="DR222" s="91"/>
      <c r="DS222" s="91"/>
      <c r="DT222" s="91"/>
      <c r="DU222" s="91"/>
      <c r="DV222" s="91"/>
      <c r="DW222" s="91"/>
      <c r="DX222" s="91"/>
      <c r="DY222" s="91"/>
      <c r="DZ222" s="91"/>
      <c r="EA222" s="91"/>
      <c r="EB222" s="91"/>
      <c r="EC222" s="91"/>
      <c r="ED222" s="91"/>
      <c r="EE222" s="91"/>
      <c r="EF222" s="91"/>
      <c r="EG222" s="91"/>
      <c r="EH222" s="91"/>
      <c r="EI222" s="91"/>
      <c r="EJ222" s="91"/>
      <c r="EK222" s="91"/>
      <c r="EL222" s="91"/>
      <c r="EM222" s="91"/>
      <c r="EN222" s="91"/>
      <c r="EO222" s="91"/>
      <c r="EP222" s="91"/>
      <c r="EQ222" s="91"/>
      <c r="ER222" s="91"/>
      <c r="ES222" s="91"/>
      <c r="ET222" s="91"/>
      <c r="EU222" s="91"/>
      <c r="EV222" s="91"/>
      <c r="EW222" s="91"/>
      <c r="EX222" s="91"/>
      <c r="EY222" s="91"/>
      <c r="EZ222" s="91"/>
      <c r="FA222" s="91"/>
      <c r="FB222" s="91"/>
      <c r="FC222" s="91"/>
      <c r="FD222" s="91"/>
      <c r="FE222" s="91"/>
      <c r="FF222" s="91"/>
      <c r="FG222" s="91"/>
      <c r="FH222" s="91"/>
      <c r="FI222" s="91"/>
      <c r="FJ222" s="91"/>
      <c r="FK222" s="91"/>
      <c r="FL222" s="91"/>
      <c r="FM222" s="91"/>
      <c r="FN222" s="91"/>
      <c r="FO222" s="91"/>
      <c r="FP222" s="91"/>
      <c r="FQ222" s="91"/>
      <c r="FR222" s="91"/>
      <c r="FS222" s="91"/>
      <c r="FT222" s="91"/>
      <c r="FU222" s="91"/>
      <c r="FV222" s="91"/>
      <c r="FW222" s="91"/>
      <c r="FX222" s="91"/>
      <c r="FY222" s="91"/>
      <c r="FZ222" s="91"/>
      <c r="GA222" s="91"/>
      <c r="GB222" s="91"/>
      <c r="GC222" s="91"/>
      <c r="GD222" s="91"/>
      <c r="GE222" s="91"/>
      <c r="GF222" s="91"/>
      <c r="GG222" s="91"/>
      <c r="GH222" s="91"/>
      <c r="GI222" s="91"/>
      <c r="GJ222" s="91"/>
      <c r="GK222" s="91"/>
      <c r="GL222" s="91"/>
      <c r="GM222" s="91"/>
      <c r="GN222" s="91"/>
      <c r="GO222" s="91"/>
      <c r="GP222" s="91"/>
      <c r="GQ222" s="91"/>
      <c r="GR222" s="91"/>
      <c r="GS222" s="91"/>
      <c r="GT222" s="91"/>
      <c r="GU222" s="91"/>
      <c r="GV222" s="91"/>
      <c r="GW222" s="91"/>
      <c r="GX222" s="91"/>
      <c r="GY222" s="91"/>
      <c r="GZ222" s="91"/>
      <c r="HA222" s="91"/>
      <c r="HB222" s="91"/>
      <c r="HC222" s="91"/>
      <c r="HD222" s="91"/>
      <c r="HE222" s="91"/>
      <c r="HF222" s="91"/>
      <c r="HG222" s="91"/>
      <c r="HH222" s="91"/>
      <c r="HI222" s="91"/>
      <c r="HJ222" s="91"/>
      <c r="HK222" s="91"/>
      <c r="HL222" s="91"/>
      <c r="HM222" s="91"/>
      <c r="HN222" s="91"/>
      <c r="HO222" s="91"/>
      <c r="HP222" s="91"/>
      <c r="HQ222" s="91"/>
      <c r="HR222" s="91"/>
      <c r="HS222" s="91"/>
      <c r="HT222" s="91"/>
      <c r="HU222" s="91"/>
      <c r="HV222" s="91"/>
      <c r="HW222" s="91"/>
      <c r="HX222" s="91"/>
      <c r="HY222" s="91"/>
      <c r="HZ222" s="91"/>
      <c r="IA222" s="91"/>
      <c r="IB222" s="91"/>
      <c r="IC222" s="91"/>
      <c r="ID222" s="91"/>
      <c r="IE222" s="91"/>
      <c r="IF222" s="91"/>
      <c r="IG222" s="91"/>
      <c r="IH222" s="91"/>
      <c r="II222" s="91"/>
      <c r="IJ222" s="91"/>
      <c r="IK222" s="91"/>
      <c r="IL222" s="91"/>
      <c r="IM222" s="91"/>
      <c r="IN222" s="91"/>
      <c r="IO222" s="91"/>
      <c r="IP222" s="91"/>
      <c r="IQ222" s="91"/>
      <c r="IR222" s="91"/>
      <c r="IS222" s="91"/>
      <c r="IT222" s="91"/>
      <c r="IU222" s="91"/>
      <c r="IV222" s="91"/>
      <c r="IW222" s="91"/>
      <c r="IX222" s="91"/>
      <c r="IY222" s="91"/>
      <c r="IZ222" s="91"/>
      <c r="JA222" s="91"/>
      <c r="JB222" s="91"/>
      <c r="JC222" s="91"/>
      <c r="JD222" s="91"/>
      <c r="JE222" s="91"/>
      <c r="JF222" s="91"/>
      <c r="JG222" s="91"/>
      <c r="JH222" s="91"/>
      <c r="JI222" s="91"/>
      <c r="JJ222" s="91"/>
      <c r="JK222" s="91"/>
      <c r="JL222" s="91"/>
      <c r="JM222" s="91"/>
      <c r="JN222" s="91"/>
      <c r="JO222" s="91"/>
      <c r="JP222" s="91"/>
      <c r="JQ222" s="91"/>
      <c r="JR222" s="91"/>
      <c r="JS222" s="91"/>
      <c r="JT222" s="91"/>
      <c r="JU222" s="91"/>
      <c r="JV222" s="91"/>
      <c r="JW222" s="91"/>
      <c r="JX222" s="91"/>
      <c r="JY222" s="91"/>
      <c r="JZ222" s="91"/>
      <c r="KA222" s="91"/>
      <c r="KB222" s="91"/>
      <c r="KC222" s="91"/>
      <c r="KD222" s="91"/>
      <c r="KE222" s="91"/>
      <c r="KF222" s="91"/>
      <c r="KG222" s="91"/>
      <c r="KH222" s="91"/>
      <c r="KI222" s="91"/>
      <c r="KJ222" s="91"/>
      <c r="KK222" s="91"/>
      <c r="KL222" s="91"/>
      <c r="KM222" s="91"/>
      <c r="KN222" s="91"/>
      <c r="KO222" s="91"/>
      <c r="KP222" s="91"/>
      <c r="KQ222" s="91"/>
      <c r="KR222" s="91"/>
      <c r="KS222" s="91"/>
      <c r="KT222" s="91"/>
    </row>
    <row r="223" spans="1:306" s="24" customFormat="1" ht="15" thickTop="1" thickBot="1" x14ac:dyDescent="0.35">
      <c r="A223" s="56" t="str">
        <f>Inputs!A217</f>
        <v>FX Rate expected at end of tariff control period</v>
      </c>
      <c r="B223" s="187" t="str">
        <f>C20</f>
        <v>US$</v>
      </c>
      <c r="C223" s="122">
        <f>Inputs!C217</f>
        <v>0</v>
      </c>
      <c r="E223" s="450">
        <f>E224*(1+$C$215)</f>
        <v>0</v>
      </c>
      <c r="F223" s="450">
        <f>F224*(1+$C$215)</f>
        <v>0</v>
      </c>
      <c r="G223" s="450">
        <f>G224*(1+$C$215)</f>
        <v>0</v>
      </c>
      <c r="H223" s="450">
        <f>H224*(1+$C$215)</f>
        <v>0</v>
      </c>
      <c r="I223" s="450">
        <f>I224*(1+$C$215)</f>
        <v>0</v>
      </c>
      <c r="R223" s="91"/>
      <c r="S223" s="91"/>
      <c r="T223" s="91"/>
      <c r="U223" s="91"/>
      <c r="V223" s="91"/>
      <c r="W223" s="91"/>
      <c r="X223" s="91"/>
      <c r="Y223" s="91"/>
      <c r="Z223" s="91"/>
      <c r="AA223" s="91"/>
      <c r="AB223" s="91"/>
      <c r="AC223" s="91"/>
      <c r="AD223" s="91"/>
      <c r="AE223" s="91"/>
      <c r="AF223" s="91"/>
      <c r="AG223" s="91"/>
      <c r="AH223" s="91"/>
      <c r="AI223" s="91"/>
      <c r="AJ223" s="91"/>
      <c r="AK223" s="91"/>
      <c r="AL223" s="91"/>
      <c r="AM223" s="91"/>
      <c r="AN223" s="91"/>
      <c r="AO223" s="91"/>
      <c r="AP223" s="91"/>
      <c r="AQ223" s="91"/>
      <c r="AR223" s="91"/>
      <c r="AS223" s="91"/>
      <c r="AT223" s="91"/>
      <c r="AU223" s="91"/>
      <c r="AV223" s="91"/>
      <c r="AW223" s="91"/>
      <c r="AX223" s="91"/>
      <c r="AY223" s="91"/>
      <c r="AZ223" s="91"/>
      <c r="BA223" s="91"/>
      <c r="BB223" s="91"/>
      <c r="BC223" s="91"/>
      <c r="BD223" s="91"/>
      <c r="BE223" s="91"/>
      <c r="BF223" s="91"/>
      <c r="BG223" s="91"/>
      <c r="BH223" s="91"/>
      <c r="BI223" s="91"/>
      <c r="BJ223" s="91"/>
      <c r="BK223" s="91"/>
      <c r="BL223" s="91"/>
      <c r="BM223" s="91"/>
      <c r="BN223" s="91"/>
      <c r="BO223" s="91"/>
      <c r="BP223" s="91"/>
      <c r="BQ223" s="91"/>
      <c r="BR223" s="91"/>
      <c r="BS223" s="91"/>
      <c r="BT223" s="91"/>
      <c r="BU223" s="91"/>
      <c r="BV223" s="91"/>
      <c r="BW223" s="91"/>
      <c r="BX223" s="91"/>
      <c r="BY223" s="91"/>
      <c r="BZ223" s="91"/>
      <c r="CA223" s="91"/>
      <c r="CB223" s="91"/>
      <c r="CC223" s="91"/>
      <c r="CD223" s="91"/>
      <c r="CE223" s="91"/>
      <c r="CF223" s="91"/>
      <c r="CG223" s="91"/>
      <c r="CH223" s="91"/>
      <c r="CI223" s="91"/>
      <c r="CJ223" s="91"/>
      <c r="CK223" s="91"/>
      <c r="CL223" s="91"/>
      <c r="CM223" s="91"/>
      <c r="CN223" s="91"/>
      <c r="CO223" s="91"/>
      <c r="CP223" s="91"/>
      <c r="CQ223" s="91"/>
      <c r="CR223" s="91"/>
      <c r="CS223" s="91"/>
      <c r="CT223" s="91"/>
      <c r="CU223" s="91"/>
      <c r="CV223" s="91"/>
      <c r="CW223" s="91"/>
      <c r="CX223" s="91"/>
      <c r="CY223" s="91"/>
      <c r="CZ223" s="91"/>
      <c r="DA223" s="91"/>
      <c r="DB223" s="91"/>
      <c r="DC223" s="91"/>
      <c r="DD223" s="91"/>
      <c r="DE223" s="91"/>
      <c r="DF223" s="91"/>
      <c r="DG223" s="91"/>
      <c r="DH223" s="91"/>
      <c r="DI223" s="91"/>
      <c r="DJ223" s="91"/>
      <c r="DK223" s="91"/>
      <c r="DL223" s="91"/>
      <c r="DM223" s="91"/>
      <c r="DN223" s="91"/>
      <c r="DO223" s="91"/>
      <c r="DP223" s="91"/>
      <c r="DQ223" s="91"/>
      <c r="DR223" s="91"/>
      <c r="DS223" s="91"/>
      <c r="DT223" s="91"/>
      <c r="DU223" s="91"/>
      <c r="DV223" s="91"/>
      <c r="DW223" s="91"/>
      <c r="DX223" s="91"/>
      <c r="DY223" s="91"/>
      <c r="DZ223" s="91"/>
      <c r="EA223" s="91"/>
      <c r="EB223" s="91"/>
      <c r="EC223" s="91"/>
      <c r="ED223" s="91"/>
      <c r="EE223" s="91"/>
      <c r="EF223" s="91"/>
      <c r="EG223" s="91"/>
      <c r="EH223" s="91"/>
      <c r="EI223" s="91"/>
      <c r="EJ223" s="91"/>
      <c r="EK223" s="91"/>
      <c r="EL223" s="91"/>
      <c r="EM223" s="91"/>
      <c r="EN223" s="91"/>
      <c r="EO223" s="91"/>
      <c r="EP223" s="91"/>
      <c r="EQ223" s="91"/>
      <c r="ER223" s="91"/>
      <c r="ES223" s="91"/>
      <c r="ET223" s="91"/>
      <c r="EU223" s="91"/>
      <c r="EV223" s="91"/>
      <c r="EW223" s="91"/>
      <c r="EX223" s="91"/>
      <c r="EY223" s="91"/>
      <c r="EZ223" s="91"/>
      <c r="FA223" s="91"/>
      <c r="FB223" s="91"/>
      <c r="FC223" s="91"/>
      <c r="FD223" s="91"/>
      <c r="FE223" s="91"/>
      <c r="FF223" s="91"/>
      <c r="FG223" s="91"/>
      <c r="FH223" s="91"/>
      <c r="FI223" s="91"/>
      <c r="FJ223" s="91"/>
      <c r="FK223" s="91"/>
      <c r="FL223" s="91"/>
      <c r="FM223" s="91"/>
      <c r="FN223" s="91"/>
      <c r="FO223" s="91"/>
      <c r="FP223" s="91"/>
      <c r="FQ223" s="91"/>
      <c r="FR223" s="91"/>
      <c r="FS223" s="91"/>
      <c r="FT223" s="91"/>
      <c r="FU223" s="91"/>
      <c r="FV223" s="91"/>
      <c r="FW223" s="91"/>
      <c r="FX223" s="91"/>
      <c r="FY223" s="91"/>
      <c r="FZ223" s="91"/>
      <c r="GA223" s="91"/>
      <c r="GB223" s="91"/>
      <c r="GC223" s="91"/>
      <c r="GD223" s="91"/>
      <c r="GE223" s="91"/>
      <c r="GF223" s="91"/>
      <c r="GG223" s="91"/>
      <c r="GH223" s="91"/>
      <c r="GI223" s="91"/>
      <c r="GJ223" s="91"/>
      <c r="GK223" s="91"/>
      <c r="GL223" s="91"/>
      <c r="GM223" s="91"/>
      <c r="GN223" s="91"/>
      <c r="GO223" s="91"/>
      <c r="GP223" s="91"/>
      <c r="GQ223" s="91"/>
      <c r="GR223" s="91"/>
      <c r="GS223" s="91"/>
      <c r="GT223" s="91"/>
      <c r="GU223" s="91"/>
      <c r="GV223" s="91"/>
      <c r="GW223" s="91"/>
      <c r="GX223" s="91"/>
      <c r="GY223" s="91"/>
      <c r="GZ223" s="91"/>
      <c r="HA223" s="91"/>
      <c r="HB223" s="91"/>
      <c r="HC223" s="91"/>
      <c r="HD223" s="91"/>
      <c r="HE223" s="91"/>
      <c r="HF223" s="91"/>
      <c r="HG223" s="91"/>
      <c r="HH223" s="91"/>
      <c r="HI223" s="91"/>
      <c r="HJ223" s="91"/>
      <c r="HK223" s="91"/>
      <c r="HL223" s="91"/>
      <c r="HM223" s="91"/>
      <c r="HN223" s="91"/>
      <c r="HO223" s="91"/>
      <c r="HP223" s="91"/>
      <c r="HQ223" s="91"/>
      <c r="HR223" s="91"/>
      <c r="HS223" s="91"/>
      <c r="HT223" s="91"/>
      <c r="HU223" s="91"/>
      <c r="HV223" s="91"/>
      <c r="HW223" s="91"/>
      <c r="HX223" s="91"/>
      <c r="HY223" s="91"/>
      <c r="HZ223" s="91"/>
      <c r="IA223" s="91"/>
      <c r="IB223" s="91"/>
      <c r="IC223" s="91"/>
      <c r="ID223" s="91"/>
      <c r="IE223" s="91"/>
      <c r="IF223" s="91"/>
      <c r="IG223" s="91"/>
      <c r="IH223" s="91"/>
      <c r="II223" s="91"/>
      <c r="IJ223" s="91"/>
      <c r="IK223" s="91"/>
      <c r="IL223" s="91"/>
      <c r="IM223" s="91"/>
      <c r="IN223" s="91"/>
      <c r="IO223" s="91"/>
      <c r="IP223" s="91"/>
      <c r="IQ223" s="91"/>
      <c r="IR223" s="91"/>
      <c r="IS223" s="91"/>
      <c r="IT223" s="91"/>
      <c r="IU223" s="91"/>
      <c r="IV223" s="91"/>
      <c r="IW223" s="91"/>
      <c r="IX223" s="91"/>
      <c r="IY223" s="91"/>
      <c r="IZ223" s="91"/>
      <c r="JA223" s="91"/>
      <c r="JB223" s="91"/>
      <c r="JC223" s="91"/>
      <c r="JD223" s="91"/>
      <c r="JE223" s="91"/>
      <c r="JF223" s="91"/>
      <c r="JG223" s="91"/>
      <c r="JH223" s="91"/>
      <c r="JI223" s="91"/>
      <c r="JJ223" s="91"/>
      <c r="JK223" s="91"/>
      <c r="JL223" s="91"/>
      <c r="JM223" s="91"/>
      <c r="JN223" s="91"/>
      <c r="JO223" s="91"/>
      <c r="JP223" s="91"/>
      <c r="JQ223" s="91"/>
      <c r="JR223" s="91"/>
      <c r="JS223" s="91"/>
      <c r="JT223" s="91"/>
      <c r="JU223" s="91"/>
      <c r="JV223" s="91"/>
      <c r="JW223" s="91"/>
      <c r="JX223" s="91"/>
      <c r="JY223" s="91"/>
      <c r="JZ223" s="91"/>
      <c r="KA223" s="91"/>
      <c r="KB223" s="91"/>
      <c r="KC223" s="91"/>
      <c r="KD223" s="91"/>
      <c r="KE223" s="91"/>
      <c r="KF223" s="91"/>
      <c r="KG223" s="91"/>
      <c r="KH223" s="91"/>
      <c r="KI223" s="91"/>
      <c r="KJ223" s="91"/>
      <c r="KK223" s="91"/>
      <c r="KL223" s="91"/>
      <c r="KM223" s="91"/>
      <c r="KN223" s="91"/>
      <c r="KO223" s="91"/>
      <c r="KP223" s="91"/>
      <c r="KQ223" s="91"/>
      <c r="KR223" s="91"/>
      <c r="KS223" s="91"/>
      <c r="KT223" s="91"/>
    </row>
    <row r="224" spans="1:306" s="24" customFormat="1" ht="15" thickTop="1" thickBot="1" x14ac:dyDescent="0.35">
      <c r="A224" s="56" t="str">
        <f>Inputs!A216</f>
        <v>FX Rate actual/current FX Rate at time of tariff application</v>
      </c>
      <c r="B224" s="187" t="str">
        <f>C20</f>
        <v>US$</v>
      </c>
      <c r="C224" s="122">
        <f>Inputs!C216</f>
        <v>0</v>
      </c>
      <c r="E224" s="451">
        <f>C216</f>
        <v>0</v>
      </c>
      <c r="F224" s="451">
        <f>E223</f>
        <v>0</v>
      </c>
      <c r="G224" s="451">
        <f t="shared" ref="G224:I224" si="39">F223</f>
        <v>0</v>
      </c>
      <c r="H224" s="451">
        <f>G223</f>
        <v>0</v>
      </c>
      <c r="I224" s="451">
        <f t="shared" si="39"/>
        <v>0</v>
      </c>
      <c r="R224" s="91"/>
      <c r="S224" s="91"/>
      <c r="T224" s="91"/>
      <c r="U224" s="91"/>
      <c r="V224" s="91"/>
      <c r="W224" s="91"/>
      <c r="X224" s="91"/>
      <c r="Y224" s="91"/>
      <c r="Z224" s="91"/>
      <c r="AA224" s="91"/>
      <c r="AB224" s="91"/>
      <c r="AC224" s="91"/>
      <c r="AD224" s="91"/>
      <c r="AE224" s="91"/>
      <c r="AF224" s="91"/>
      <c r="AG224" s="91"/>
      <c r="AH224" s="91"/>
      <c r="AI224" s="91"/>
      <c r="AJ224" s="91"/>
      <c r="AK224" s="91"/>
      <c r="AL224" s="91"/>
      <c r="AM224" s="91"/>
      <c r="AN224" s="91"/>
      <c r="AO224" s="91"/>
      <c r="AP224" s="91"/>
      <c r="AQ224" s="91"/>
      <c r="AR224" s="91"/>
      <c r="AS224" s="91"/>
      <c r="AT224" s="91"/>
      <c r="AU224" s="91"/>
      <c r="AV224" s="91"/>
      <c r="AW224" s="91"/>
      <c r="AX224" s="91"/>
      <c r="AY224" s="91"/>
      <c r="AZ224" s="91"/>
      <c r="BA224" s="91"/>
      <c r="BB224" s="91"/>
      <c r="BC224" s="91"/>
      <c r="BD224" s="91"/>
      <c r="BE224" s="91"/>
      <c r="BF224" s="91"/>
      <c r="BG224" s="91"/>
      <c r="BH224" s="91"/>
      <c r="BI224" s="91"/>
      <c r="BJ224" s="91"/>
      <c r="BK224" s="91"/>
      <c r="BL224" s="91"/>
      <c r="BM224" s="91"/>
      <c r="BN224" s="91"/>
      <c r="BO224" s="91"/>
      <c r="BP224" s="91"/>
      <c r="BQ224" s="91"/>
      <c r="BR224" s="91"/>
      <c r="BS224" s="91"/>
      <c r="BT224" s="91"/>
      <c r="BU224" s="91"/>
      <c r="BV224" s="91"/>
      <c r="BW224" s="91"/>
      <c r="BX224" s="91"/>
      <c r="BY224" s="91"/>
      <c r="BZ224" s="91"/>
      <c r="CA224" s="91"/>
      <c r="CB224" s="91"/>
      <c r="CC224" s="91"/>
      <c r="CD224" s="91"/>
      <c r="CE224" s="91"/>
      <c r="CF224" s="91"/>
      <c r="CG224" s="91"/>
      <c r="CH224" s="91"/>
      <c r="CI224" s="91"/>
      <c r="CJ224" s="91"/>
      <c r="CK224" s="91"/>
      <c r="CL224" s="91"/>
      <c r="CM224" s="91"/>
      <c r="CN224" s="91"/>
      <c r="CO224" s="91"/>
      <c r="CP224" s="91"/>
      <c r="CQ224" s="91"/>
      <c r="CR224" s="91"/>
      <c r="CS224" s="91"/>
      <c r="CT224" s="91"/>
      <c r="CU224" s="91"/>
      <c r="CV224" s="91"/>
      <c r="CW224" s="91"/>
      <c r="CX224" s="91"/>
      <c r="CY224" s="91"/>
      <c r="CZ224" s="91"/>
      <c r="DA224" s="91"/>
      <c r="DB224" s="91"/>
      <c r="DC224" s="91"/>
      <c r="DD224" s="91"/>
      <c r="DE224" s="91"/>
      <c r="DF224" s="91"/>
      <c r="DG224" s="91"/>
      <c r="DH224" s="91"/>
      <c r="DI224" s="91"/>
      <c r="DJ224" s="91"/>
      <c r="DK224" s="91"/>
      <c r="DL224" s="91"/>
      <c r="DM224" s="91"/>
      <c r="DN224" s="91"/>
      <c r="DO224" s="91"/>
      <c r="DP224" s="91"/>
      <c r="DQ224" s="91"/>
      <c r="DR224" s="91"/>
      <c r="DS224" s="91"/>
      <c r="DT224" s="91"/>
      <c r="DU224" s="91"/>
      <c r="DV224" s="91"/>
      <c r="DW224" s="91"/>
      <c r="DX224" s="91"/>
      <c r="DY224" s="91"/>
      <c r="DZ224" s="91"/>
      <c r="EA224" s="91"/>
      <c r="EB224" s="91"/>
      <c r="EC224" s="91"/>
      <c r="ED224" s="91"/>
      <c r="EE224" s="91"/>
      <c r="EF224" s="91"/>
      <c r="EG224" s="91"/>
      <c r="EH224" s="91"/>
      <c r="EI224" s="91"/>
      <c r="EJ224" s="91"/>
      <c r="EK224" s="91"/>
      <c r="EL224" s="91"/>
      <c r="EM224" s="91"/>
      <c r="EN224" s="91"/>
      <c r="EO224" s="91"/>
      <c r="EP224" s="91"/>
      <c r="EQ224" s="91"/>
      <c r="ER224" s="91"/>
      <c r="ES224" s="91"/>
      <c r="ET224" s="91"/>
      <c r="EU224" s="91"/>
      <c r="EV224" s="91"/>
      <c r="EW224" s="91"/>
      <c r="EX224" s="91"/>
      <c r="EY224" s="91"/>
      <c r="EZ224" s="91"/>
      <c r="FA224" s="91"/>
      <c r="FB224" s="91"/>
      <c r="FC224" s="91"/>
      <c r="FD224" s="91"/>
      <c r="FE224" s="91"/>
      <c r="FF224" s="91"/>
      <c r="FG224" s="91"/>
      <c r="FH224" s="91"/>
      <c r="FI224" s="91"/>
      <c r="FJ224" s="91"/>
      <c r="FK224" s="91"/>
      <c r="FL224" s="91"/>
      <c r="FM224" s="91"/>
      <c r="FN224" s="91"/>
      <c r="FO224" s="91"/>
      <c r="FP224" s="91"/>
      <c r="FQ224" s="91"/>
      <c r="FR224" s="91"/>
      <c r="FS224" s="91"/>
      <c r="FT224" s="91"/>
      <c r="FU224" s="91"/>
      <c r="FV224" s="91"/>
      <c r="FW224" s="91"/>
      <c r="FX224" s="91"/>
      <c r="FY224" s="91"/>
      <c r="FZ224" s="91"/>
      <c r="GA224" s="91"/>
      <c r="GB224" s="91"/>
      <c r="GC224" s="91"/>
      <c r="GD224" s="91"/>
      <c r="GE224" s="91"/>
      <c r="GF224" s="91"/>
      <c r="GG224" s="91"/>
      <c r="GH224" s="91"/>
      <c r="GI224" s="91"/>
      <c r="GJ224" s="91"/>
      <c r="GK224" s="91"/>
      <c r="GL224" s="91"/>
      <c r="GM224" s="91"/>
      <c r="GN224" s="91"/>
      <c r="GO224" s="91"/>
      <c r="GP224" s="91"/>
      <c r="GQ224" s="91"/>
      <c r="GR224" s="91"/>
      <c r="GS224" s="91"/>
      <c r="GT224" s="91"/>
      <c r="GU224" s="91"/>
      <c r="GV224" s="91"/>
      <c r="GW224" s="91"/>
      <c r="GX224" s="91"/>
      <c r="GY224" s="91"/>
      <c r="GZ224" s="91"/>
      <c r="HA224" s="91"/>
      <c r="HB224" s="91"/>
      <c r="HC224" s="91"/>
      <c r="HD224" s="91"/>
      <c r="HE224" s="91"/>
      <c r="HF224" s="91"/>
      <c r="HG224" s="91"/>
      <c r="HH224" s="91"/>
      <c r="HI224" s="91"/>
      <c r="HJ224" s="91"/>
      <c r="HK224" s="91"/>
      <c r="HL224" s="91"/>
      <c r="HM224" s="91"/>
      <c r="HN224" s="91"/>
      <c r="HO224" s="91"/>
      <c r="HP224" s="91"/>
      <c r="HQ224" s="91"/>
      <c r="HR224" s="91"/>
      <c r="HS224" s="91"/>
      <c r="HT224" s="91"/>
      <c r="HU224" s="91"/>
      <c r="HV224" s="91"/>
      <c r="HW224" s="91"/>
      <c r="HX224" s="91"/>
      <c r="HY224" s="91"/>
      <c r="HZ224" s="91"/>
      <c r="IA224" s="91"/>
      <c r="IB224" s="91"/>
      <c r="IC224" s="91"/>
      <c r="ID224" s="91"/>
      <c r="IE224" s="91"/>
      <c r="IF224" s="91"/>
      <c r="IG224" s="91"/>
      <c r="IH224" s="91"/>
      <c r="II224" s="91"/>
      <c r="IJ224" s="91"/>
      <c r="IK224" s="91"/>
      <c r="IL224" s="91"/>
      <c r="IM224" s="91"/>
      <c r="IN224" s="91"/>
      <c r="IO224" s="91"/>
      <c r="IP224" s="91"/>
      <c r="IQ224" s="91"/>
      <c r="IR224" s="91"/>
      <c r="IS224" s="91"/>
      <c r="IT224" s="91"/>
      <c r="IU224" s="91"/>
      <c r="IV224" s="91"/>
      <c r="IW224" s="91"/>
      <c r="IX224" s="91"/>
      <c r="IY224" s="91"/>
      <c r="IZ224" s="91"/>
      <c r="JA224" s="91"/>
      <c r="JB224" s="91"/>
      <c r="JC224" s="91"/>
      <c r="JD224" s="91"/>
      <c r="JE224" s="91"/>
      <c r="JF224" s="91"/>
      <c r="JG224" s="91"/>
      <c r="JH224" s="91"/>
      <c r="JI224" s="91"/>
      <c r="JJ224" s="91"/>
      <c r="JK224" s="91"/>
      <c r="JL224" s="91"/>
      <c r="JM224" s="91"/>
      <c r="JN224" s="91"/>
      <c r="JO224" s="91"/>
      <c r="JP224" s="91"/>
      <c r="JQ224" s="91"/>
      <c r="JR224" s="91"/>
      <c r="JS224" s="91"/>
      <c r="JT224" s="91"/>
      <c r="JU224" s="91"/>
      <c r="JV224" s="91"/>
      <c r="JW224" s="91"/>
      <c r="JX224" s="91"/>
      <c r="JY224" s="91"/>
      <c r="JZ224" s="91"/>
      <c r="KA224" s="91"/>
      <c r="KB224" s="91"/>
      <c r="KC224" s="91"/>
      <c r="KD224" s="91"/>
      <c r="KE224" s="91"/>
      <c r="KF224" s="91"/>
      <c r="KG224" s="91"/>
      <c r="KH224" s="91"/>
      <c r="KI224" s="91"/>
      <c r="KJ224" s="91"/>
      <c r="KK224" s="91"/>
      <c r="KL224" s="91"/>
      <c r="KM224" s="91"/>
      <c r="KN224" s="91"/>
      <c r="KO224" s="91"/>
      <c r="KP224" s="91"/>
      <c r="KQ224" s="91"/>
      <c r="KR224" s="91"/>
      <c r="KS224" s="91"/>
      <c r="KT224" s="91"/>
    </row>
    <row r="225" spans="1:306" s="24" customFormat="1" thickTop="1" x14ac:dyDescent="0.3">
      <c r="A225" s="59" t="s">
        <v>191</v>
      </c>
      <c r="B225" s="170" t="str">
        <f>C20</f>
        <v>US$</v>
      </c>
      <c r="C225" s="123">
        <f>C223-C224</f>
        <v>0</v>
      </c>
      <c r="E225" s="450">
        <f>E223-E224</f>
        <v>0</v>
      </c>
      <c r="F225" s="450">
        <f t="shared" ref="F225:I225" si="40">F223-F224</f>
        <v>0</v>
      </c>
      <c r="G225" s="450">
        <f t="shared" si="40"/>
        <v>0</v>
      </c>
      <c r="H225" s="450">
        <f t="shared" si="40"/>
        <v>0</v>
      </c>
      <c r="I225" s="450">
        <f t="shared" si="40"/>
        <v>0</v>
      </c>
      <c r="R225" s="91"/>
      <c r="S225" s="91"/>
      <c r="T225" s="91"/>
      <c r="U225" s="91"/>
      <c r="V225" s="91"/>
      <c r="W225" s="91"/>
      <c r="X225" s="91"/>
      <c r="Y225" s="91"/>
      <c r="Z225" s="91"/>
      <c r="AA225" s="91"/>
      <c r="AB225" s="91"/>
      <c r="AC225" s="91"/>
      <c r="AD225" s="91"/>
      <c r="AE225" s="91"/>
      <c r="AF225" s="91"/>
      <c r="AG225" s="91"/>
      <c r="AH225" s="91"/>
      <c r="AI225" s="91"/>
      <c r="AJ225" s="91"/>
      <c r="AK225" s="91"/>
      <c r="AL225" s="91"/>
      <c r="AM225" s="91"/>
      <c r="AN225" s="91"/>
      <c r="AO225" s="91"/>
      <c r="AP225" s="91"/>
      <c r="AQ225" s="91"/>
      <c r="AR225" s="91"/>
      <c r="AS225" s="91"/>
      <c r="AT225" s="91"/>
      <c r="AU225" s="91"/>
      <c r="AV225" s="91"/>
      <c r="AW225" s="91"/>
      <c r="AX225" s="91"/>
      <c r="AY225" s="91"/>
      <c r="AZ225" s="91"/>
      <c r="BA225" s="91"/>
      <c r="BB225" s="91"/>
      <c r="BC225" s="91"/>
      <c r="BD225" s="91"/>
      <c r="BE225" s="91"/>
      <c r="BF225" s="91"/>
      <c r="BG225" s="91"/>
      <c r="BH225" s="91"/>
      <c r="BI225" s="91"/>
      <c r="BJ225" s="91"/>
      <c r="BK225" s="91"/>
      <c r="BL225" s="91"/>
      <c r="BM225" s="91"/>
      <c r="BN225" s="91"/>
      <c r="BO225" s="91"/>
      <c r="BP225" s="91"/>
      <c r="BQ225" s="91"/>
      <c r="BR225" s="91"/>
      <c r="BS225" s="91"/>
      <c r="BT225" s="91"/>
      <c r="BU225" s="91"/>
      <c r="BV225" s="91"/>
      <c r="BW225" s="91"/>
      <c r="BX225" s="91"/>
      <c r="BY225" s="91"/>
      <c r="BZ225" s="91"/>
      <c r="CA225" s="91"/>
      <c r="CB225" s="91"/>
      <c r="CC225" s="91"/>
      <c r="CD225" s="91"/>
      <c r="CE225" s="91"/>
      <c r="CF225" s="91"/>
      <c r="CG225" s="91"/>
      <c r="CH225" s="91"/>
      <c r="CI225" s="91"/>
      <c r="CJ225" s="91"/>
      <c r="CK225" s="91"/>
      <c r="CL225" s="91"/>
      <c r="CM225" s="91"/>
      <c r="CN225" s="91"/>
      <c r="CO225" s="91"/>
      <c r="CP225" s="91"/>
      <c r="CQ225" s="91"/>
      <c r="CR225" s="91"/>
      <c r="CS225" s="91"/>
      <c r="CT225" s="91"/>
      <c r="CU225" s="91"/>
      <c r="CV225" s="91"/>
      <c r="CW225" s="91"/>
      <c r="CX225" s="91"/>
      <c r="CY225" s="91"/>
      <c r="CZ225" s="91"/>
      <c r="DA225" s="91"/>
      <c r="DB225" s="91"/>
      <c r="DC225" s="91"/>
      <c r="DD225" s="91"/>
      <c r="DE225" s="91"/>
      <c r="DF225" s="91"/>
      <c r="DG225" s="91"/>
      <c r="DH225" s="91"/>
      <c r="DI225" s="91"/>
      <c r="DJ225" s="91"/>
      <c r="DK225" s="91"/>
      <c r="DL225" s="91"/>
      <c r="DM225" s="91"/>
      <c r="DN225" s="91"/>
      <c r="DO225" s="91"/>
      <c r="DP225" s="91"/>
      <c r="DQ225" s="91"/>
      <c r="DR225" s="91"/>
      <c r="DS225" s="91"/>
      <c r="DT225" s="91"/>
      <c r="DU225" s="91"/>
      <c r="DV225" s="91"/>
      <c r="DW225" s="91"/>
      <c r="DX225" s="91"/>
      <c r="DY225" s="91"/>
      <c r="DZ225" s="91"/>
      <c r="EA225" s="91"/>
      <c r="EB225" s="91"/>
      <c r="EC225" s="91"/>
      <c r="ED225" s="91"/>
      <c r="EE225" s="91"/>
      <c r="EF225" s="91"/>
      <c r="EG225" s="91"/>
      <c r="EH225" s="91"/>
      <c r="EI225" s="91"/>
      <c r="EJ225" s="91"/>
      <c r="EK225" s="91"/>
      <c r="EL225" s="91"/>
      <c r="EM225" s="91"/>
      <c r="EN225" s="91"/>
      <c r="EO225" s="91"/>
      <c r="EP225" s="91"/>
      <c r="EQ225" s="91"/>
      <c r="ER225" s="91"/>
      <c r="ES225" s="91"/>
      <c r="ET225" s="91"/>
      <c r="EU225" s="91"/>
      <c r="EV225" s="91"/>
      <c r="EW225" s="91"/>
      <c r="EX225" s="91"/>
      <c r="EY225" s="91"/>
      <c r="EZ225" s="91"/>
      <c r="FA225" s="91"/>
      <c r="FB225" s="91"/>
      <c r="FC225" s="91"/>
      <c r="FD225" s="91"/>
      <c r="FE225" s="91"/>
      <c r="FF225" s="91"/>
      <c r="FG225" s="91"/>
      <c r="FH225" s="91"/>
      <c r="FI225" s="91"/>
      <c r="FJ225" s="91"/>
      <c r="FK225" s="91"/>
      <c r="FL225" s="91"/>
      <c r="FM225" s="91"/>
      <c r="FN225" s="91"/>
      <c r="FO225" s="91"/>
      <c r="FP225" s="91"/>
      <c r="FQ225" s="91"/>
      <c r="FR225" s="91"/>
      <c r="FS225" s="91"/>
      <c r="FT225" s="91"/>
      <c r="FU225" s="91"/>
      <c r="FV225" s="91"/>
      <c r="FW225" s="91"/>
      <c r="FX225" s="91"/>
      <c r="FY225" s="91"/>
      <c r="FZ225" s="91"/>
      <c r="GA225" s="91"/>
      <c r="GB225" s="91"/>
      <c r="GC225" s="91"/>
      <c r="GD225" s="91"/>
      <c r="GE225" s="91"/>
      <c r="GF225" s="91"/>
      <c r="GG225" s="91"/>
      <c r="GH225" s="91"/>
      <c r="GI225" s="91"/>
      <c r="GJ225" s="91"/>
      <c r="GK225" s="91"/>
      <c r="GL225" s="91"/>
      <c r="GM225" s="91"/>
      <c r="GN225" s="91"/>
      <c r="GO225" s="91"/>
      <c r="GP225" s="91"/>
      <c r="GQ225" s="91"/>
      <c r="GR225" s="91"/>
      <c r="GS225" s="91"/>
      <c r="GT225" s="91"/>
      <c r="GU225" s="91"/>
      <c r="GV225" s="91"/>
      <c r="GW225" s="91"/>
      <c r="GX225" s="91"/>
      <c r="GY225" s="91"/>
      <c r="GZ225" s="91"/>
      <c r="HA225" s="91"/>
      <c r="HB225" s="91"/>
      <c r="HC225" s="91"/>
      <c r="HD225" s="91"/>
      <c r="HE225" s="91"/>
      <c r="HF225" s="91"/>
      <c r="HG225" s="91"/>
      <c r="HH225" s="91"/>
      <c r="HI225" s="91"/>
      <c r="HJ225" s="91"/>
      <c r="HK225" s="91"/>
      <c r="HL225" s="91"/>
      <c r="HM225" s="91"/>
      <c r="HN225" s="91"/>
      <c r="HO225" s="91"/>
      <c r="HP225" s="91"/>
      <c r="HQ225" s="91"/>
      <c r="HR225" s="91"/>
      <c r="HS225" s="91"/>
      <c r="HT225" s="91"/>
      <c r="HU225" s="91"/>
      <c r="HV225" s="91"/>
      <c r="HW225" s="91"/>
      <c r="HX225" s="91"/>
      <c r="HY225" s="91"/>
      <c r="HZ225" s="91"/>
      <c r="IA225" s="91"/>
      <c r="IB225" s="91"/>
      <c r="IC225" s="91"/>
      <c r="ID225" s="91"/>
      <c r="IE225" s="91"/>
      <c r="IF225" s="91"/>
      <c r="IG225" s="91"/>
      <c r="IH225" s="91"/>
      <c r="II225" s="91"/>
      <c r="IJ225" s="91"/>
      <c r="IK225" s="91"/>
      <c r="IL225" s="91"/>
      <c r="IM225" s="91"/>
      <c r="IN225" s="91"/>
      <c r="IO225" s="91"/>
      <c r="IP225" s="91"/>
      <c r="IQ225" s="91"/>
      <c r="IR225" s="91"/>
      <c r="IS225" s="91"/>
      <c r="IT225" s="91"/>
      <c r="IU225" s="91"/>
      <c r="IV225" s="91"/>
      <c r="IW225" s="91"/>
      <c r="IX225" s="91"/>
      <c r="IY225" s="91"/>
      <c r="IZ225" s="91"/>
      <c r="JA225" s="91"/>
      <c r="JB225" s="91"/>
      <c r="JC225" s="91"/>
      <c r="JD225" s="91"/>
      <c r="JE225" s="91"/>
      <c r="JF225" s="91"/>
      <c r="JG225" s="91"/>
      <c r="JH225" s="91"/>
      <c r="JI225" s="91"/>
      <c r="JJ225" s="91"/>
      <c r="JK225" s="91"/>
      <c r="JL225" s="91"/>
      <c r="JM225" s="91"/>
      <c r="JN225" s="91"/>
      <c r="JO225" s="91"/>
      <c r="JP225" s="91"/>
      <c r="JQ225" s="91"/>
      <c r="JR225" s="91"/>
      <c r="JS225" s="91"/>
      <c r="JT225" s="91"/>
      <c r="JU225" s="91"/>
      <c r="JV225" s="91"/>
      <c r="JW225" s="91"/>
      <c r="JX225" s="91"/>
      <c r="JY225" s="91"/>
      <c r="JZ225" s="91"/>
      <c r="KA225" s="91"/>
      <c r="KB225" s="91"/>
      <c r="KC225" s="91"/>
      <c r="KD225" s="91"/>
      <c r="KE225" s="91"/>
      <c r="KF225" s="91"/>
      <c r="KG225" s="91"/>
      <c r="KH225" s="91"/>
      <c r="KI225" s="91"/>
      <c r="KJ225" s="91"/>
      <c r="KK225" s="91"/>
      <c r="KL225" s="91"/>
      <c r="KM225" s="91"/>
      <c r="KN225" s="91"/>
      <c r="KO225" s="91"/>
      <c r="KP225" s="91"/>
      <c r="KQ225" s="91"/>
      <c r="KR225" s="91"/>
      <c r="KS225" s="91"/>
      <c r="KT225" s="91"/>
    </row>
    <row r="226" spans="1:306" s="24" customFormat="1" ht="13.8" x14ac:dyDescent="0.3">
      <c r="A226" s="59" t="s">
        <v>192</v>
      </c>
      <c r="B226" s="170" t="str">
        <f>C20</f>
        <v>US$</v>
      </c>
      <c r="C226" s="170" t="e">
        <f>C225*C222</f>
        <v>#DIV/0!</v>
      </c>
      <c r="D226" s="65"/>
      <c r="E226" s="488" t="e">
        <f>E225*E222</f>
        <v>#DIV/0!</v>
      </c>
      <c r="F226" s="488" t="e">
        <f t="shared" ref="F226:I226" si="41">F225*F222</f>
        <v>#DIV/0!</v>
      </c>
      <c r="G226" s="488" t="e">
        <f t="shared" si="41"/>
        <v>#DIV/0!</v>
      </c>
      <c r="H226" s="488" t="e">
        <f t="shared" si="41"/>
        <v>#DIV/0!</v>
      </c>
      <c r="I226" s="488" t="e">
        <f t="shared" si="41"/>
        <v>#DIV/0!</v>
      </c>
      <c r="L226" s="62"/>
      <c r="M226" s="62"/>
      <c r="N226" s="62"/>
      <c r="O226" s="62"/>
      <c r="R226" s="91"/>
      <c r="S226" s="91"/>
      <c r="T226" s="91"/>
      <c r="U226" s="91"/>
      <c r="V226" s="91"/>
      <c r="W226" s="91"/>
      <c r="X226" s="91"/>
      <c r="Y226" s="91"/>
      <c r="Z226" s="91"/>
      <c r="AA226" s="91"/>
      <c r="AB226" s="91"/>
      <c r="AC226" s="91"/>
      <c r="AD226" s="91"/>
      <c r="AE226" s="91"/>
      <c r="AF226" s="91"/>
      <c r="AG226" s="91"/>
      <c r="AH226" s="91"/>
      <c r="AI226" s="91"/>
      <c r="AJ226" s="91"/>
      <c r="AK226" s="91"/>
      <c r="AL226" s="91"/>
      <c r="AM226" s="91"/>
      <c r="AN226" s="91"/>
      <c r="AO226" s="91"/>
      <c r="AP226" s="91"/>
      <c r="AQ226" s="91"/>
      <c r="AR226" s="91"/>
      <c r="AS226" s="91"/>
      <c r="AT226" s="91"/>
      <c r="AU226" s="91"/>
      <c r="AV226" s="91"/>
      <c r="AW226" s="91"/>
      <c r="AX226" s="91"/>
      <c r="AY226" s="91"/>
      <c r="AZ226" s="91"/>
      <c r="BA226" s="91"/>
      <c r="BB226" s="91"/>
      <c r="BC226" s="91"/>
      <c r="BD226" s="91"/>
      <c r="BE226" s="91"/>
      <c r="BF226" s="91"/>
      <c r="BG226" s="91"/>
      <c r="BH226" s="91"/>
      <c r="BI226" s="91"/>
      <c r="BJ226" s="91"/>
      <c r="BK226" s="91"/>
      <c r="BL226" s="91"/>
      <c r="BM226" s="91"/>
      <c r="BN226" s="91"/>
      <c r="BO226" s="91"/>
      <c r="BP226" s="91"/>
      <c r="BQ226" s="91"/>
      <c r="BR226" s="91"/>
      <c r="BS226" s="91"/>
      <c r="BT226" s="91"/>
      <c r="BU226" s="91"/>
      <c r="BV226" s="91"/>
      <c r="BW226" s="91"/>
      <c r="BX226" s="91"/>
      <c r="BY226" s="91"/>
      <c r="BZ226" s="91"/>
      <c r="CA226" s="91"/>
      <c r="CB226" s="91"/>
      <c r="CC226" s="91"/>
      <c r="CD226" s="91"/>
      <c r="CE226" s="91"/>
      <c r="CF226" s="91"/>
      <c r="CG226" s="91"/>
      <c r="CH226" s="91"/>
      <c r="CI226" s="91"/>
      <c r="CJ226" s="91"/>
      <c r="CK226" s="91"/>
      <c r="CL226" s="91"/>
      <c r="CM226" s="91"/>
      <c r="CN226" s="91"/>
      <c r="CO226" s="91"/>
      <c r="CP226" s="91"/>
      <c r="CQ226" s="91"/>
      <c r="CR226" s="91"/>
      <c r="CS226" s="91"/>
      <c r="CT226" s="91"/>
      <c r="CU226" s="91"/>
      <c r="CV226" s="91"/>
      <c r="CW226" s="91"/>
      <c r="CX226" s="91"/>
      <c r="CY226" s="91"/>
      <c r="CZ226" s="91"/>
      <c r="DA226" s="91"/>
      <c r="DB226" s="91"/>
      <c r="DC226" s="91"/>
      <c r="DD226" s="91"/>
      <c r="DE226" s="91"/>
      <c r="DF226" s="91"/>
      <c r="DG226" s="91"/>
      <c r="DH226" s="91"/>
      <c r="DI226" s="91"/>
      <c r="DJ226" s="91"/>
      <c r="DK226" s="91"/>
      <c r="DL226" s="91"/>
      <c r="DM226" s="91"/>
      <c r="DN226" s="91"/>
      <c r="DO226" s="91"/>
      <c r="DP226" s="91"/>
      <c r="DQ226" s="91"/>
      <c r="DR226" s="91"/>
      <c r="DS226" s="91"/>
      <c r="DT226" s="91"/>
      <c r="DU226" s="91"/>
      <c r="DV226" s="91"/>
      <c r="DW226" s="91"/>
      <c r="DX226" s="91"/>
      <c r="DY226" s="91"/>
      <c r="DZ226" s="91"/>
      <c r="EA226" s="91"/>
      <c r="EB226" s="91"/>
      <c r="EC226" s="91"/>
      <c r="ED226" s="91"/>
      <c r="EE226" s="91"/>
      <c r="EF226" s="91"/>
      <c r="EG226" s="91"/>
      <c r="EH226" s="91"/>
      <c r="EI226" s="91"/>
      <c r="EJ226" s="91"/>
      <c r="EK226" s="91"/>
      <c r="EL226" s="91"/>
      <c r="EM226" s="91"/>
      <c r="EN226" s="91"/>
      <c r="EO226" s="91"/>
      <c r="EP226" s="91"/>
      <c r="EQ226" s="91"/>
      <c r="ER226" s="91"/>
      <c r="ES226" s="91"/>
      <c r="ET226" s="91"/>
      <c r="EU226" s="91"/>
      <c r="EV226" s="91"/>
      <c r="EW226" s="91"/>
      <c r="EX226" s="91"/>
      <c r="EY226" s="91"/>
      <c r="EZ226" s="91"/>
      <c r="FA226" s="91"/>
      <c r="FB226" s="91"/>
      <c r="FC226" s="91"/>
      <c r="FD226" s="91"/>
      <c r="FE226" s="91"/>
      <c r="FF226" s="91"/>
      <c r="FG226" s="91"/>
      <c r="FH226" s="91"/>
      <c r="FI226" s="91"/>
      <c r="FJ226" s="91"/>
      <c r="FK226" s="91"/>
      <c r="FL226" s="91"/>
      <c r="FM226" s="91"/>
      <c r="FN226" s="91"/>
      <c r="FO226" s="91"/>
      <c r="FP226" s="91"/>
      <c r="FQ226" s="91"/>
      <c r="FR226" s="91"/>
      <c r="FS226" s="91"/>
      <c r="FT226" s="91"/>
      <c r="FU226" s="91"/>
      <c r="FV226" s="91"/>
      <c r="FW226" s="91"/>
      <c r="FX226" s="91"/>
      <c r="FY226" s="91"/>
      <c r="FZ226" s="91"/>
      <c r="GA226" s="91"/>
      <c r="GB226" s="91"/>
      <c r="GC226" s="91"/>
      <c r="GD226" s="91"/>
      <c r="GE226" s="91"/>
      <c r="GF226" s="91"/>
      <c r="GG226" s="91"/>
      <c r="GH226" s="91"/>
      <c r="GI226" s="91"/>
      <c r="GJ226" s="91"/>
      <c r="GK226" s="91"/>
      <c r="GL226" s="91"/>
      <c r="GM226" s="91"/>
      <c r="GN226" s="91"/>
      <c r="GO226" s="91"/>
      <c r="GP226" s="91"/>
      <c r="GQ226" s="91"/>
      <c r="GR226" s="91"/>
      <c r="GS226" s="91"/>
      <c r="GT226" s="91"/>
      <c r="GU226" s="91"/>
      <c r="GV226" s="91"/>
      <c r="GW226" s="91"/>
      <c r="GX226" s="91"/>
      <c r="GY226" s="91"/>
      <c r="GZ226" s="91"/>
      <c r="HA226" s="91"/>
      <c r="HB226" s="91"/>
      <c r="HC226" s="91"/>
      <c r="HD226" s="91"/>
      <c r="HE226" s="91"/>
      <c r="HF226" s="91"/>
      <c r="HG226" s="91"/>
      <c r="HH226" s="91"/>
      <c r="HI226" s="91"/>
      <c r="HJ226" s="91"/>
      <c r="HK226" s="91"/>
      <c r="HL226" s="91"/>
      <c r="HM226" s="91"/>
      <c r="HN226" s="91"/>
      <c r="HO226" s="91"/>
      <c r="HP226" s="91"/>
      <c r="HQ226" s="91"/>
      <c r="HR226" s="91"/>
      <c r="HS226" s="91"/>
      <c r="HT226" s="91"/>
      <c r="HU226" s="91"/>
      <c r="HV226" s="91"/>
      <c r="HW226" s="91"/>
      <c r="HX226" s="91"/>
      <c r="HY226" s="91"/>
      <c r="HZ226" s="91"/>
      <c r="IA226" s="91"/>
      <c r="IB226" s="91"/>
      <c r="IC226" s="91"/>
      <c r="ID226" s="91"/>
      <c r="IE226" s="91"/>
      <c r="IF226" s="91"/>
      <c r="IG226" s="91"/>
      <c r="IH226" s="91"/>
      <c r="II226" s="91"/>
      <c r="IJ226" s="91"/>
      <c r="IK226" s="91"/>
      <c r="IL226" s="91"/>
      <c r="IM226" s="91"/>
      <c r="IN226" s="91"/>
      <c r="IO226" s="91"/>
      <c r="IP226" s="91"/>
      <c r="IQ226" s="91"/>
      <c r="IR226" s="91"/>
      <c r="IS226" s="91"/>
      <c r="IT226" s="91"/>
      <c r="IU226" s="91"/>
      <c r="IV226" s="91"/>
      <c r="IW226" s="91"/>
      <c r="IX226" s="91"/>
      <c r="IY226" s="91"/>
      <c r="IZ226" s="91"/>
      <c r="JA226" s="91"/>
      <c r="JB226" s="91"/>
      <c r="JC226" s="91"/>
      <c r="JD226" s="91"/>
      <c r="JE226" s="91"/>
      <c r="JF226" s="91"/>
      <c r="JG226" s="91"/>
      <c r="JH226" s="91"/>
      <c r="JI226" s="91"/>
      <c r="JJ226" s="91"/>
      <c r="JK226" s="91"/>
      <c r="JL226" s="91"/>
      <c r="JM226" s="91"/>
      <c r="JN226" s="91"/>
      <c r="JO226" s="91"/>
      <c r="JP226" s="91"/>
      <c r="JQ226" s="91"/>
      <c r="JR226" s="91"/>
      <c r="JS226" s="91"/>
      <c r="JT226" s="91"/>
      <c r="JU226" s="91"/>
      <c r="JV226" s="91"/>
      <c r="JW226" s="91"/>
      <c r="JX226" s="91"/>
      <c r="JY226" s="91"/>
      <c r="JZ226" s="91"/>
      <c r="KA226" s="91"/>
      <c r="KB226" s="91"/>
      <c r="KC226" s="91"/>
      <c r="KD226" s="91"/>
      <c r="KE226" s="91"/>
      <c r="KF226" s="91"/>
      <c r="KG226" s="91"/>
      <c r="KH226" s="91"/>
      <c r="KI226" s="91"/>
      <c r="KJ226" s="91"/>
      <c r="KK226" s="91"/>
      <c r="KL226" s="91"/>
      <c r="KM226" s="91"/>
      <c r="KN226" s="91"/>
      <c r="KO226" s="91"/>
      <c r="KP226" s="91"/>
      <c r="KQ226" s="91"/>
      <c r="KR226" s="91"/>
      <c r="KS226" s="91"/>
      <c r="KT226" s="91"/>
    </row>
    <row r="227" spans="1:306" s="24" customFormat="1" thickBot="1" x14ac:dyDescent="0.35">
      <c r="A227" s="59" t="s">
        <v>221</v>
      </c>
      <c r="B227" s="121" t="s">
        <v>88</v>
      </c>
      <c r="C227" s="170">
        <f>SUM(Calculations!E9:I9)</f>
        <v>1864392.84</v>
      </c>
      <c r="D227" s="65"/>
      <c r="E227" s="202">
        <f>Calculations!D9</f>
        <v>375688.36800000002</v>
      </c>
      <c r="F227" s="202">
        <f>Calculations!F9</f>
        <v>373811.36800000002</v>
      </c>
      <c r="G227" s="202">
        <f>Calculations!G9</f>
        <v>372876.36800000002</v>
      </c>
      <c r="H227" s="202">
        <f>Calculations!H9</f>
        <v>371943.36800000002</v>
      </c>
      <c r="I227" s="202">
        <f>Calculations!I9</f>
        <v>371013.36800000002</v>
      </c>
      <c r="L227" s="62"/>
      <c r="M227" s="62"/>
      <c r="N227" s="62"/>
      <c r="O227" s="62"/>
      <c r="R227" s="91"/>
      <c r="S227" s="91"/>
      <c r="T227" s="91"/>
      <c r="U227" s="91"/>
      <c r="V227" s="91"/>
      <c r="W227" s="91"/>
      <c r="X227" s="91"/>
      <c r="Y227" s="91"/>
      <c r="Z227" s="91"/>
      <c r="AA227" s="91"/>
      <c r="AB227" s="91"/>
      <c r="AC227" s="91"/>
      <c r="AD227" s="91"/>
      <c r="AE227" s="91"/>
      <c r="AF227" s="91"/>
      <c r="AG227" s="91"/>
      <c r="AH227" s="91"/>
      <c r="AI227" s="91"/>
      <c r="AJ227" s="91"/>
      <c r="AK227" s="91"/>
      <c r="AL227" s="91"/>
      <c r="AM227" s="91"/>
      <c r="AN227" s="91"/>
      <c r="AO227" s="91"/>
      <c r="AP227" s="91"/>
      <c r="AQ227" s="91"/>
      <c r="AR227" s="91"/>
      <c r="AS227" s="91"/>
      <c r="AT227" s="91"/>
      <c r="AU227" s="91"/>
      <c r="AV227" s="91"/>
      <c r="AW227" s="91"/>
      <c r="AX227" s="91"/>
      <c r="AY227" s="91"/>
      <c r="AZ227" s="91"/>
      <c r="BA227" s="91"/>
      <c r="BB227" s="91"/>
      <c r="BC227" s="91"/>
      <c r="BD227" s="91"/>
      <c r="BE227" s="91"/>
      <c r="BF227" s="91"/>
      <c r="BG227" s="91"/>
      <c r="BH227" s="91"/>
      <c r="BI227" s="91"/>
      <c r="BJ227" s="91"/>
      <c r="BK227" s="91"/>
      <c r="BL227" s="91"/>
      <c r="BM227" s="91"/>
      <c r="BN227" s="91"/>
      <c r="BO227" s="91"/>
      <c r="BP227" s="91"/>
      <c r="BQ227" s="91"/>
      <c r="BR227" s="91"/>
      <c r="BS227" s="91"/>
      <c r="BT227" s="91"/>
      <c r="BU227" s="91"/>
      <c r="BV227" s="91"/>
      <c r="BW227" s="91"/>
      <c r="BX227" s="91"/>
      <c r="BY227" s="91"/>
      <c r="BZ227" s="91"/>
      <c r="CA227" s="91"/>
      <c r="CB227" s="91"/>
      <c r="CC227" s="91"/>
      <c r="CD227" s="91"/>
      <c r="CE227" s="91"/>
      <c r="CF227" s="91"/>
      <c r="CG227" s="91"/>
      <c r="CH227" s="91"/>
      <c r="CI227" s="91"/>
      <c r="CJ227" s="91"/>
      <c r="CK227" s="91"/>
      <c r="CL227" s="91"/>
      <c r="CM227" s="91"/>
      <c r="CN227" s="91"/>
      <c r="CO227" s="91"/>
      <c r="CP227" s="91"/>
      <c r="CQ227" s="91"/>
      <c r="CR227" s="91"/>
      <c r="CS227" s="91"/>
      <c r="CT227" s="91"/>
      <c r="CU227" s="91"/>
      <c r="CV227" s="91"/>
      <c r="CW227" s="91"/>
      <c r="CX227" s="91"/>
      <c r="CY227" s="91"/>
      <c r="CZ227" s="91"/>
      <c r="DA227" s="91"/>
      <c r="DB227" s="91"/>
      <c r="DC227" s="91"/>
      <c r="DD227" s="91"/>
      <c r="DE227" s="91"/>
      <c r="DF227" s="91"/>
      <c r="DG227" s="91"/>
      <c r="DH227" s="91"/>
      <c r="DI227" s="91"/>
      <c r="DJ227" s="91"/>
      <c r="DK227" s="91"/>
      <c r="DL227" s="91"/>
      <c r="DM227" s="91"/>
      <c r="DN227" s="91"/>
      <c r="DO227" s="91"/>
      <c r="DP227" s="91"/>
      <c r="DQ227" s="91"/>
      <c r="DR227" s="91"/>
      <c r="DS227" s="91"/>
      <c r="DT227" s="91"/>
      <c r="DU227" s="91"/>
      <c r="DV227" s="91"/>
      <c r="DW227" s="91"/>
      <c r="DX227" s="91"/>
      <c r="DY227" s="91"/>
      <c r="DZ227" s="91"/>
      <c r="EA227" s="91"/>
      <c r="EB227" s="91"/>
      <c r="EC227" s="91"/>
      <c r="ED227" s="91"/>
      <c r="EE227" s="91"/>
      <c r="EF227" s="91"/>
      <c r="EG227" s="91"/>
      <c r="EH227" s="91"/>
      <c r="EI227" s="91"/>
      <c r="EJ227" s="91"/>
      <c r="EK227" s="91"/>
      <c r="EL227" s="91"/>
      <c r="EM227" s="91"/>
      <c r="EN227" s="91"/>
      <c r="EO227" s="91"/>
      <c r="EP227" s="91"/>
      <c r="EQ227" s="91"/>
      <c r="ER227" s="91"/>
      <c r="ES227" s="91"/>
      <c r="ET227" s="91"/>
      <c r="EU227" s="91"/>
      <c r="EV227" s="91"/>
      <c r="EW227" s="91"/>
      <c r="EX227" s="91"/>
      <c r="EY227" s="91"/>
      <c r="EZ227" s="91"/>
      <c r="FA227" s="91"/>
      <c r="FB227" s="91"/>
      <c r="FC227" s="91"/>
      <c r="FD227" s="91"/>
      <c r="FE227" s="91"/>
      <c r="FF227" s="91"/>
      <c r="FG227" s="91"/>
      <c r="FH227" s="91"/>
      <c r="FI227" s="91"/>
      <c r="FJ227" s="91"/>
      <c r="FK227" s="91"/>
      <c r="FL227" s="91"/>
      <c r="FM227" s="91"/>
      <c r="FN227" s="91"/>
      <c r="FO227" s="91"/>
      <c r="FP227" s="91"/>
      <c r="FQ227" s="91"/>
      <c r="FR227" s="91"/>
      <c r="FS227" s="91"/>
      <c r="FT227" s="91"/>
      <c r="FU227" s="91"/>
      <c r="FV227" s="91"/>
      <c r="FW227" s="91"/>
      <c r="FX227" s="91"/>
      <c r="FY227" s="91"/>
      <c r="FZ227" s="91"/>
      <c r="GA227" s="91"/>
      <c r="GB227" s="91"/>
      <c r="GC227" s="91"/>
      <c r="GD227" s="91"/>
      <c r="GE227" s="91"/>
      <c r="GF227" s="91"/>
      <c r="GG227" s="91"/>
      <c r="GH227" s="91"/>
      <c r="GI227" s="91"/>
      <c r="GJ227" s="91"/>
      <c r="GK227" s="91"/>
      <c r="GL227" s="91"/>
      <c r="GM227" s="91"/>
      <c r="GN227" s="91"/>
      <c r="GO227" s="91"/>
      <c r="GP227" s="91"/>
      <c r="GQ227" s="91"/>
      <c r="GR227" s="91"/>
      <c r="GS227" s="91"/>
      <c r="GT227" s="91"/>
      <c r="GU227" s="91"/>
      <c r="GV227" s="91"/>
      <c r="GW227" s="91"/>
      <c r="GX227" s="91"/>
      <c r="GY227" s="91"/>
      <c r="GZ227" s="91"/>
      <c r="HA227" s="91"/>
      <c r="HB227" s="91"/>
      <c r="HC227" s="91"/>
      <c r="HD227" s="91"/>
      <c r="HE227" s="91"/>
      <c r="HF227" s="91"/>
      <c r="HG227" s="91"/>
      <c r="HH227" s="91"/>
      <c r="HI227" s="91"/>
      <c r="HJ227" s="91"/>
      <c r="HK227" s="91"/>
      <c r="HL227" s="91"/>
      <c r="HM227" s="91"/>
      <c r="HN227" s="91"/>
      <c r="HO227" s="91"/>
      <c r="HP227" s="91"/>
      <c r="HQ227" s="91"/>
      <c r="HR227" s="91"/>
      <c r="HS227" s="91"/>
      <c r="HT227" s="91"/>
      <c r="HU227" s="91"/>
      <c r="HV227" s="91"/>
      <c r="HW227" s="91"/>
      <c r="HX227" s="91"/>
      <c r="HY227" s="91"/>
      <c r="HZ227" s="91"/>
      <c r="IA227" s="91"/>
      <c r="IB227" s="91"/>
      <c r="IC227" s="91"/>
      <c r="ID227" s="91"/>
      <c r="IE227" s="91"/>
      <c r="IF227" s="91"/>
      <c r="IG227" s="91"/>
      <c r="IH227" s="91"/>
      <c r="II227" s="91"/>
      <c r="IJ227" s="91"/>
      <c r="IK227" s="91"/>
      <c r="IL227" s="91"/>
      <c r="IM227" s="91"/>
      <c r="IN227" s="91"/>
      <c r="IO227" s="91"/>
      <c r="IP227" s="91"/>
      <c r="IQ227" s="91"/>
      <c r="IR227" s="91"/>
      <c r="IS227" s="91"/>
      <c r="IT227" s="91"/>
      <c r="IU227" s="91"/>
      <c r="IV227" s="91"/>
      <c r="IW227" s="91"/>
      <c r="IX227" s="91"/>
      <c r="IY227" s="91"/>
      <c r="IZ227" s="91"/>
      <c r="JA227" s="91"/>
      <c r="JB227" s="91"/>
      <c r="JC227" s="91"/>
      <c r="JD227" s="91"/>
      <c r="JE227" s="91"/>
      <c r="JF227" s="91"/>
      <c r="JG227" s="91"/>
      <c r="JH227" s="91"/>
      <c r="JI227" s="91"/>
      <c r="JJ227" s="91"/>
      <c r="JK227" s="91"/>
      <c r="JL227" s="91"/>
      <c r="JM227" s="91"/>
      <c r="JN227" s="91"/>
      <c r="JO227" s="91"/>
      <c r="JP227" s="91"/>
      <c r="JQ227" s="91"/>
      <c r="JR227" s="91"/>
      <c r="JS227" s="91"/>
      <c r="JT227" s="91"/>
      <c r="JU227" s="91"/>
      <c r="JV227" s="91"/>
      <c r="JW227" s="91"/>
      <c r="JX227" s="91"/>
      <c r="JY227" s="91"/>
      <c r="JZ227" s="91"/>
      <c r="KA227" s="91"/>
      <c r="KB227" s="91"/>
      <c r="KC227" s="91"/>
      <c r="KD227" s="91"/>
      <c r="KE227" s="91"/>
      <c r="KF227" s="91"/>
      <c r="KG227" s="91"/>
      <c r="KH227" s="91"/>
      <c r="KI227" s="91"/>
      <c r="KJ227" s="91"/>
      <c r="KK227" s="91"/>
      <c r="KL227" s="91"/>
      <c r="KM227" s="91"/>
      <c r="KN227" s="91"/>
      <c r="KO227" s="91"/>
      <c r="KP227" s="91"/>
      <c r="KQ227" s="91"/>
      <c r="KR227" s="91"/>
      <c r="KS227" s="91"/>
      <c r="KT227" s="91"/>
    </row>
    <row r="228" spans="1:306" s="24" customFormat="1" thickTop="1" x14ac:dyDescent="0.3">
      <c r="A228" s="95" t="s">
        <v>193</v>
      </c>
      <c r="B228" s="188" t="str">
        <f>IF(C20="currency","currency/kWh",IF(C20="DZD","DZD/kWh",IF(C20="AOA","AOA/kWh",IF(C20="BWP","BWP/kWh",IF(C20="BIF","BIF/kWh",IF(C20="CVE","CVE/kWh",IF(C20="XAF","XAF/kWh",IF(C20="XOF","XOF/kWh",IF(C20="KMF","KMF/kWh",IF(C20="CDF","CDF/kWh",IF(C20="GMD","GMD/kWh",IF(C20="DJF","DJF/kWh",IF(C20="EGP","EGP/kWh",IF(C20="ERN","ERN/kWh",IF(C20="ETB","ETB/kWh",IF(C20="GHS","GHS/kWh",IF(C20="GNF","GNF/kWh",IF(C20="KES","KES/kWh",IF(C20="LSL","LSL/kWh",IF(C20="LRD","LRD/kWh",IF(C20="LYD","LYD/kWh",IF(C20="SZL","SZL/kWh",IF(C20="MGA","MGA/kWh",IF(C20="MWK","MWK/kWh",IF(C20="MUR","MUR/kWh",IF(C20="MAD","MAD/kWh",IF(C20="MZN","MZN/kWh",IF(C20="NAD","NAD/kWh",IF(C20="NGN","NGN/kWh",IF(C20="MRU","MRU/kWh",IF(C20="ZWD","ZWD/kWh",IF(C20="RWF","RWF/kWh",IF(C20="STN","STN/kWh",IF(C20="SCR","SCR/kWh",IF(C20="SLL","SLL/kWh",IF(C20="SOS","SOS/kWh",IF(C20="ZAR","ZAR/kWh",IF(C20="SSP","SSP/kWh",IF(C20="SDG","SDG/kWh",IF(C20="TZS","TZS/kWh",IF(C20="TND","TND/kWh",IF(C20="UGX","UGX/kWh",IF(C20="ZMW","ZMW/kWh",IF(C20="US$","US$/kWh",IF(C20="Euro","Euro/kWh",IF(C20="GBP","GBP/kWh",IF(C20="CFA","CFA/kWh","")))))))))))))))))))))))))))))))))))))))))))))))</f>
        <v>US$/kWh</v>
      </c>
      <c r="C228" s="124" t="e">
        <f>IF(C227&gt;0,C226/C227,0)</f>
        <v>#DIV/0!</v>
      </c>
      <c r="D228" s="96" t="s">
        <v>194</v>
      </c>
      <c r="E228" s="65"/>
      <c r="F228" s="94" t="e">
        <f>IF(E227&gt;0,E226/E227,0)</f>
        <v>#DIV/0!</v>
      </c>
      <c r="G228" s="94" t="e">
        <f t="shared" ref="G228:I228" si="42">IF(F227&gt;0,F226/F227,0)</f>
        <v>#DIV/0!</v>
      </c>
      <c r="H228" s="94" t="e">
        <f>IF(G227&gt;0,G226/G227,0)</f>
        <v>#DIV/0!</v>
      </c>
      <c r="I228" s="94" t="e">
        <f t="shared" si="42"/>
        <v>#DIV/0!</v>
      </c>
      <c r="J228" s="97"/>
      <c r="K228" s="62"/>
      <c r="L228" s="62"/>
      <c r="M228" s="62"/>
      <c r="N228" s="62"/>
      <c r="O228" s="62"/>
      <c r="R228" s="91"/>
      <c r="S228" s="91"/>
      <c r="T228" s="91"/>
      <c r="U228" s="91"/>
      <c r="V228" s="91"/>
      <c r="W228" s="91"/>
      <c r="X228" s="91"/>
      <c r="Y228" s="91"/>
      <c r="Z228" s="91"/>
      <c r="AA228" s="91"/>
      <c r="AB228" s="91"/>
      <c r="AC228" s="91"/>
      <c r="AD228" s="91"/>
      <c r="AE228" s="91"/>
      <c r="AF228" s="91"/>
      <c r="AG228" s="91"/>
      <c r="AH228" s="91"/>
      <c r="AI228" s="91"/>
      <c r="AJ228" s="91"/>
      <c r="AK228" s="91"/>
      <c r="AL228" s="91"/>
      <c r="AM228" s="91"/>
      <c r="AN228" s="91"/>
      <c r="AO228" s="91"/>
      <c r="AP228" s="91"/>
      <c r="AQ228" s="91"/>
      <c r="AR228" s="91"/>
      <c r="AS228" s="91"/>
      <c r="AT228" s="91"/>
      <c r="AU228" s="91"/>
      <c r="AV228" s="91"/>
      <c r="AW228" s="91"/>
      <c r="AX228" s="91"/>
      <c r="AY228" s="91"/>
      <c r="AZ228" s="91"/>
      <c r="BA228" s="91"/>
      <c r="BB228" s="91"/>
      <c r="BC228" s="91"/>
      <c r="BD228" s="91"/>
      <c r="BE228" s="91"/>
      <c r="BF228" s="91"/>
      <c r="BG228" s="91"/>
      <c r="BH228" s="91"/>
      <c r="BI228" s="91"/>
      <c r="BJ228" s="91"/>
      <c r="BK228" s="91"/>
      <c r="BL228" s="91"/>
      <c r="BM228" s="91"/>
      <c r="BN228" s="91"/>
      <c r="BO228" s="91"/>
      <c r="BP228" s="91"/>
      <c r="BQ228" s="91"/>
      <c r="BR228" s="91"/>
      <c r="BS228" s="91"/>
      <c r="BT228" s="91"/>
      <c r="BU228" s="91"/>
      <c r="BV228" s="91"/>
      <c r="BW228" s="91"/>
      <c r="BX228" s="91"/>
      <c r="BY228" s="91"/>
      <c r="BZ228" s="91"/>
      <c r="CA228" s="91"/>
      <c r="CB228" s="91"/>
      <c r="CC228" s="91"/>
      <c r="CD228" s="91"/>
      <c r="CE228" s="91"/>
      <c r="CF228" s="91"/>
      <c r="CG228" s="91"/>
      <c r="CH228" s="91"/>
      <c r="CI228" s="91"/>
      <c r="CJ228" s="91"/>
      <c r="CK228" s="91"/>
      <c r="CL228" s="91"/>
      <c r="CM228" s="91"/>
      <c r="CN228" s="91"/>
      <c r="CO228" s="91"/>
      <c r="CP228" s="91"/>
      <c r="CQ228" s="91"/>
      <c r="CR228" s="91"/>
      <c r="CS228" s="91"/>
      <c r="CT228" s="91"/>
      <c r="CU228" s="91"/>
      <c r="CV228" s="91"/>
      <c r="CW228" s="91"/>
      <c r="CX228" s="91"/>
      <c r="CY228" s="91"/>
      <c r="CZ228" s="91"/>
      <c r="DA228" s="91"/>
      <c r="DB228" s="91"/>
      <c r="DC228" s="91"/>
      <c r="DD228" s="91"/>
      <c r="DE228" s="91"/>
      <c r="DF228" s="91"/>
      <c r="DG228" s="91"/>
      <c r="DH228" s="91"/>
      <c r="DI228" s="91"/>
      <c r="DJ228" s="91"/>
      <c r="DK228" s="91"/>
      <c r="DL228" s="91"/>
      <c r="DM228" s="91"/>
      <c r="DN228" s="91"/>
      <c r="DO228" s="91"/>
      <c r="DP228" s="91"/>
      <c r="DQ228" s="91"/>
      <c r="DR228" s="91"/>
      <c r="DS228" s="91"/>
      <c r="DT228" s="91"/>
      <c r="DU228" s="91"/>
      <c r="DV228" s="91"/>
      <c r="DW228" s="91"/>
      <c r="DX228" s="91"/>
      <c r="DY228" s="91"/>
      <c r="DZ228" s="91"/>
      <c r="EA228" s="91"/>
      <c r="EB228" s="91"/>
      <c r="EC228" s="91"/>
      <c r="ED228" s="91"/>
      <c r="EE228" s="91"/>
      <c r="EF228" s="91"/>
      <c r="EG228" s="91"/>
      <c r="EH228" s="91"/>
      <c r="EI228" s="91"/>
      <c r="EJ228" s="91"/>
      <c r="EK228" s="91"/>
      <c r="EL228" s="91"/>
      <c r="EM228" s="91"/>
      <c r="EN228" s="91"/>
      <c r="EO228" s="91"/>
      <c r="EP228" s="91"/>
      <c r="EQ228" s="91"/>
      <c r="ER228" s="91"/>
      <c r="ES228" s="91"/>
      <c r="ET228" s="91"/>
      <c r="EU228" s="91"/>
      <c r="EV228" s="91"/>
      <c r="EW228" s="91"/>
      <c r="EX228" s="91"/>
      <c r="EY228" s="91"/>
      <c r="EZ228" s="91"/>
      <c r="FA228" s="91"/>
      <c r="FB228" s="91"/>
      <c r="FC228" s="91"/>
      <c r="FD228" s="91"/>
      <c r="FE228" s="91"/>
      <c r="FF228" s="91"/>
      <c r="FG228" s="91"/>
      <c r="FH228" s="91"/>
      <c r="FI228" s="91"/>
      <c r="FJ228" s="91"/>
      <c r="FK228" s="91"/>
      <c r="FL228" s="91"/>
      <c r="FM228" s="91"/>
      <c r="FN228" s="91"/>
      <c r="FO228" s="91"/>
      <c r="FP228" s="91"/>
      <c r="FQ228" s="91"/>
      <c r="FR228" s="91"/>
      <c r="FS228" s="91"/>
      <c r="FT228" s="91"/>
      <c r="FU228" s="91"/>
      <c r="FV228" s="91"/>
      <c r="FW228" s="91"/>
      <c r="FX228" s="91"/>
      <c r="FY228" s="91"/>
      <c r="FZ228" s="91"/>
      <c r="GA228" s="91"/>
      <c r="GB228" s="91"/>
      <c r="GC228" s="91"/>
      <c r="GD228" s="91"/>
      <c r="GE228" s="91"/>
      <c r="GF228" s="91"/>
      <c r="GG228" s="91"/>
      <c r="GH228" s="91"/>
      <c r="GI228" s="91"/>
      <c r="GJ228" s="91"/>
      <c r="GK228" s="91"/>
      <c r="GL228" s="91"/>
      <c r="GM228" s="91"/>
      <c r="GN228" s="91"/>
      <c r="GO228" s="91"/>
      <c r="GP228" s="91"/>
      <c r="GQ228" s="91"/>
      <c r="GR228" s="91"/>
      <c r="GS228" s="91"/>
      <c r="GT228" s="91"/>
      <c r="GU228" s="91"/>
      <c r="GV228" s="91"/>
      <c r="GW228" s="91"/>
      <c r="GX228" s="91"/>
      <c r="GY228" s="91"/>
      <c r="GZ228" s="91"/>
      <c r="HA228" s="91"/>
      <c r="HB228" s="91"/>
      <c r="HC228" s="91"/>
      <c r="HD228" s="91"/>
      <c r="HE228" s="91"/>
      <c r="HF228" s="91"/>
      <c r="HG228" s="91"/>
      <c r="HH228" s="91"/>
      <c r="HI228" s="91"/>
      <c r="HJ228" s="91"/>
      <c r="HK228" s="91"/>
      <c r="HL228" s="91"/>
      <c r="HM228" s="91"/>
      <c r="HN228" s="91"/>
      <c r="HO228" s="91"/>
      <c r="HP228" s="91"/>
      <c r="HQ228" s="91"/>
      <c r="HR228" s="91"/>
      <c r="HS228" s="91"/>
      <c r="HT228" s="91"/>
      <c r="HU228" s="91"/>
      <c r="HV228" s="91"/>
      <c r="HW228" s="91"/>
      <c r="HX228" s="91"/>
      <c r="HY228" s="91"/>
      <c r="HZ228" s="91"/>
      <c r="IA228" s="91"/>
      <c r="IB228" s="91"/>
      <c r="IC228" s="91"/>
      <c r="ID228" s="91"/>
      <c r="IE228" s="91"/>
      <c r="IF228" s="91"/>
      <c r="IG228" s="91"/>
      <c r="IH228" s="91"/>
      <c r="II228" s="91"/>
      <c r="IJ228" s="91"/>
      <c r="IK228" s="91"/>
      <c r="IL228" s="91"/>
      <c r="IM228" s="91"/>
      <c r="IN228" s="91"/>
      <c r="IO228" s="91"/>
      <c r="IP228" s="91"/>
      <c r="IQ228" s="91"/>
      <c r="IR228" s="91"/>
      <c r="IS228" s="91"/>
      <c r="IT228" s="91"/>
      <c r="IU228" s="91"/>
      <c r="IV228" s="91"/>
      <c r="IW228" s="91"/>
      <c r="IX228" s="91"/>
      <c r="IY228" s="91"/>
      <c r="IZ228" s="91"/>
      <c r="JA228" s="91"/>
      <c r="JB228" s="91"/>
      <c r="JC228" s="91"/>
      <c r="JD228" s="91"/>
      <c r="JE228" s="91"/>
      <c r="JF228" s="91"/>
      <c r="JG228" s="91"/>
      <c r="JH228" s="91"/>
      <c r="JI228" s="91"/>
      <c r="JJ228" s="91"/>
      <c r="JK228" s="91"/>
      <c r="JL228" s="91"/>
      <c r="JM228" s="91"/>
      <c r="JN228" s="91"/>
      <c r="JO228" s="91"/>
      <c r="JP228" s="91"/>
      <c r="JQ228" s="91"/>
      <c r="JR228" s="91"/>
      <c r="JS228" s="91"/>
      <c r="JT228" s="91"/>
      <c r="JU228" s="91"/>
      <c r="JV228" s="91"/>
      <c r="JW228" s="91"/>
      <c r="JX228" s="91"/>
      <c r="JY228" s="91"/>
      <c r="JZ228" s="91"/>
      <c r="KA228" s="91"/>
      <c r="KB228" s="91"/>
      <c r="KC228" s="91"/>
      <c r="KD228" s="91"/>
      <c r="KE228" s="91"/>
      <c r="KF228" s="91"/>
      <c r="KG228" s="91"/>
      <c r="KH228" s="91"/>
      <c r="KI228" s="91"/>
      <c r="KJ228" s="91"/>
      <c r="KK228" s="91"/>
      <c r="KL228" s="91"/>
      <c r="KM228" s="91"/>
      <c r="KN228" s="91"/>
      <c r="KO228" s="91"/>
      <c r="KP228" s="91"/>
      <c r="KQ228" s="91"/>
      <c r="KR228" s="91"/>
      <c r="KS228" s="91"/>
      <c r="KT228" s="91"/>
    </row>
    <row r="229" spans="1:306" s="24" customFormat="1" ht="13.8" x14ac:dyDescent="0.3">
      <c r="A229" s="83"/>
      <c r="B229" s="38"/>
      <c r="D229" s="24" t="s">
        <v>227</v>
      </c>
      <c r="E229" s="62"/>
      <c r="AG229" s="62"/>
      <c r="AH229" s="62"/>
      <c r="AI229" s="62"/>
    </row>
    <row r="230" spans="1:306" s="24" customFormat="1" ht="13.8" x14ac:dyDescent="0.3">
      <c r="E230" s="62"/>
      <c r="AG230" s="62"/>
      <c r="AH230" s="62"/>
      <c r="AI230" s="62"/>
    </row>
    <row r="231" spans="1:306" s="72" customFormat="1" ht="13.8" x14ac:dyDescent="0.3">
      <c r="A231" s="70" t="s">
        <v>398</v>
      </c>
      <c r="B231" s="71"/>
      <c r="C231" s="70"/>
      <c r="E231" s="73"/>
      <c r="F231" s="74"/>
      <c r="G231" s="74"/>
      <c r="H231" s="74"/>
      <c r="I231" s="74"/>
      <c r="J231" s="74"/>
      <c r="K231" s="74"/>
      <c r="L231" s="74"/>
      <c r="M231" s="74"/>
      <c r="N231" s="74"/>
      <c r="O231" s="74"/>
      <c r="P231" s="74"/>
      <c r="Q231" s="74"/>
      <c r="R231" s="74"/>
      <c r="S231" s="74"/>
      <c r="T231" s="74"/>
      <c r="U231" s="74"/>
      <c r="V231" s="74"/>
      <c r="W231" s="74"/>
      <c r="X231" s="74"/>
      <c r="Y231" s="74"/>
      <c r="Z231" s="74"/>
      <c r="AA231" s="74"/>
      <c r="AB231" s="74"/>
      <c r="AC231" s="74"/>
      <c r="AD231" s="74"/>
      <c r="AE231" s="74"/>
      <c r="AF231" s="74"/>
      <c r="AG231" s="73"/>
      <c r="AH231" s="73"/>
      <c r="AI231" s="73"/>
      <c r="AJ231" s="74"/>
      <c r="AK231" s="74"/>
      <c r="AL231" s="74"/>
      <c r="AM231" s="74"/>
      <c r="AN231" s="74"/>
      <c r="AO231" s="74"/>
      <c r="AP231" s="74"/>
      <c r="AQ231" s="74"/>
      <c r="AR231" s="74"/>
      <c r="AS231" s="74"/>
    </row>
    <row r="232" spans="1:306" s="62" customFormat="1" x14ac:dyDescent="0.3">
      <c r="B232" s="37"/>
      <c r="C232" s="98" t="s">
        <v>16</v>
      </c>
      <c r="D232" s="98" t="s">
        <v>17</v>
      </c>
      <c r="E232" s="99" t="s">
        <v>18</v>
      </c>
      <c r="F232" s="99" t="s">
        <v>19</v>
      </c>
      <c r="G232" s="33" t="s">
        <v>6</v>
      </c>
      <c r="H232" s="33" t="s">
        <v>8</v>
      </c>
      <c r="I232" s="37"/>
      <c r="J232" s="37"/>
      <c r="K232" s="37"/>
      <c r="L232" s="37"/>
      <c r="M232" s="37"/>
      <c r="N232" s="37"/>
      <c r="O232" s="37"/>
      <c r="P232" s="37"/>
      <c r="Q232" s="37"/>
      <c r="R232" s="37"/>
      <c r="S232" s="37"/>
      <c r="T232" s="37"/>
      <c r="U232" s="37"/>
      <c r="V232" s="37"/>
      <c r="W232" s="37"/>
      <c r="X232" s="37"/>
      <c r="Y232" s="37"/>
      <c r="Z232" s="37"/>
      <c r="AA232" s="37"/>
      <c r="AB232" s="37"/>
      <c r="AC232" s="37"/>
      <c r="AD232" s="37"/>
      <c r="AE232" s="37"/>
      <c r="AF232" s="37"/>
      <c r="AG232" s="37"/>
      <c r="AH232" s="37"/>
      <c r="AI232" s="37"/>
      <c r="AJ232" s="37"/>
      <c r="AK232" s="37"/>
      <c r="AL232" s="37"/>
      <c r="AM232" s="37"/>
      <c r="AN232" s="37"/>
      <c r="AO232" s="37"/>
      <c r="AP232" s="37"/>
      <c r="AQ232" s="37"/>
      <c r="AR232" s="37"/>
      <c r="AS232" s="37"/>
    </row>
    <row r="233" spans="1:306" s="24" customFormat="1" ht="13.8" x14ac:dyDescent="0.3">
      <c r="A233" s="41"/>
      <c r="B233" s="41" t="s">
        <v>49</v>
      </c>
      <c r="C233" s="100" t="s">
        <v>50</v>
      </c>
      <c r="D233" s="100" t="s">
        <v>50</v>
      </c>
      <c r="E233" s="100" t="s">
        <v>50</v>
      </c>
      <c r="F233" s="100" t="s">
        <v>50</v>
      </c>
      <c r="AG233" s="62"/>
      <c r="AH233" s="62"/>
      <c r="AI233" s="62"/>
    </row>
    <row r="234" spans="1:306" x14ac:dyDescent="0.3">
      <c r="A234" s="101" t="s">
        <v>2</v>
      </c>
      <c r="B234" s="191" t="str">
        <f>B24</f>
        <v>US$</v>
      </c>
      <c r="C234" s="34"/>
      <c r="E234" s="102"/>
      <c r="F234" s="34"/>
      <c r="G234" s="34"/>
      <c r="H234" s="34"/>
      <c r="I234" s="34"/>
      <c r="J234" s="34"/>
      <c r="K234" s="34"/>
      <c r="L234" s="34"/>
      <c r="M234" s="34"/>
      <c r="N234" s="34"/>
      <c r="O234" s="34"/>
      <c r="P234" s="34"/>
      <c r="Q234" s="34"/>
      <c r="R234" s="34"/>
      <c r="S234" s="34"/>
      <c r="T234" s="34"/>
      <c r="U234" s="34"/>
      <c r="V234" s="34"/>
      <c r="W234" s="34"/>
      <c r="X234" s="34"/>
      <c r="Y234" s="34"/>
      <c r="Z234" s="34"/>
      <c r="AA234" s="34"/>
      <c r="AB234" s="34"/>
      <c r="AC234" s="34"/>
      <c r="AD234" s="34"/>
      <c r="AE234" s="34"/>
      <c r="AF234" s="34"/>
      <c r="AG234" s="33"/>
      <c r="AH234" s="33"/>
      <c r="AI234" s="33"/>
      <c r="AJ234" s="34"/>
      <c r="AK234" s="34"/>
      <c r="AL234" s="34"/>
      <c r="AM234" s="34"/>
      <c r="AN234" s="34"/>
      <c r="AO234" s="34"/>
      <c r="AP234" s="34"/>
      <c r="AQ234" s="34"/>
      <c r="AR234" s="34"/>
      <c r="AS234" s="34"/>
    </row>
    <row r="235" spans="1:306" x14ac:dyDescent="0.3">
      <c r="A235" s="22" t="s">
        <v>479</v>
      </c>
      <c r="B235" s="24"/>
      <c r="C235" s="192">
        <v>350</v>
      </c>
      <c r="D235" s="192">
        <v>500</v>
      </c>
      <c r="E235" s="192">
        <v>733</v>
      </c>
      <c r="G235" s="34" t="s">
        <v>7</v>
      </c>
      <c r="H235" s="22">
        <v>2018</v>
      </c>
      <c r="AG235" s="22"/>
      <c r="AH235" s="22"/>
      <c r="AI235" s="22"/>
    </row>
    <row r="236" spans="1:306" x14ac:dyDescent="0.3">
      <c r="A236" s="22" t="s">
        <v>20</v>
      </c>
      <c r="B236" s="193"/>
      <c r="C236" s="192">
        <v>800</v>
      </c>
      <c r="D236" s="192"/>
      <c r="E236" s="192">
        <v>4000</v>
      </c>
      <c r="F236" s="192">
        <v>26000</v>
      </c>
      <c r="G236" s="34" t="s">
        <v>7</v>
      </c>
      <c r="H236" s="22">
        <v>2019</v>
      </c>
      <c r="AG236" s="22"/>
      <c r="AH236" s="22"/>
      <c r="AI236" s="22"/>
    </row>
    <row r="237" spans="1:306" x14ac:dyDescent="0.3">
      <c r="A237" s="22" t="s">
        <v>257</v>
      </c>
      <c r="B237" s="191" t="str">
        <f>B24</f>
        <v>US$</v>
      </c>
      <c r="C237" s="34" t="s">
        <v>22</v>
      </c>
      <c r="E237" s="194"/>
      <c r="F237" s="34"/>
      <c r="G237" s="34"/>
      <c r="H237" s="34"/>
      <c r="I237" s="34"/>
      <c r="J237" s="34"/>
      <c r="K237" s="34"/>
      <c r="L237" s="34"/>
      <c r="M237" s="34"/>
      <c r="N237" s="34"/>
      <c r="O237" s="34"/>
      <c r="P237" s="34"/>
      <c r="Q237" s="34"/>
      <c r="R237" s="34"/>
      <c r="S237" s="34"/>
      <c r="T237" s="34"/>
      <c r="U237" s="34"/>
      <c r="V237" s="34"/>
      <c r="W237" s="34"/>
      <c r="X237" s="34"/>
      <c r="Y237" s="34"/>
      <c r="Z237" s="34"/>
      <c r="AA237" s="34"/>
      <c r="AB237" s="34"/>
      <c r="AC237" s="34"/>
      <c r="AD237" s="34"/>
      <c r="AE237" s="34"/>
      <c r="AF237" s="34"/>
      <c r="AG237" s="33"/>
      <c r="AH237" s="33"/>
      <c r="AI237" s="33"/>
      <c r="AJ237" s="34"/>
      <c r="AK237" s="34"/>
      <c r="AL237" s="34"/>
      <c r="AM237" s="34"/>
      <c r="AN237" s="34"/>
      <c r="AO237" s="34"/>
      <c r="AP237" s="34"/>
      <c r="AQ237" s="34"/>
      <c r="AR237" s="34"/>
      <c r="AS237" s="34"/>
    </row>
    <row r="238" spans="1:306" s="104" customFormat="1" x14ac:dyDescent="0.3">
      <c r="A238" s="103" t="s">
        <v>3</v>
      </c>
      <c r="B238" s="193"/>
      <c r="C238" s="195">
        <v>4000</v>
      </c>
      <c r="D238" s="195"/>
      <c r="E238" s="195">
        <v>6200</v>
      </c>
      <c r="F238" s="195">
        <v>11000</v>
      </c>
      <c r="G238" s="104" t="s">
        <v>7</v>
      </c>
      <c r="H238" s="104">
        <v>2019</v>
      </c>
    </row>
    <row r="239" spans="1:306" s="104" customFormat="1" x14ac:dyDescent="0.3">
      <c r="A239" s="103" t="s">
        <v>3</v>
      </c>
      <c r="B239" s="193"/>
      <c r="C239" s="195">
        <v>1420</v>
      </c>
      <c r="D239" s="195">
        <v>4849</v>
      </c>
      <c r="E239" s="195">
        <v>6193</v>
      </c>
      <c r="F239" s="195">
        <v>22689</v>
      </c>
      <c r="G239" s="104" t="s">
        <v>27</v>
      </c>
      <c r="H239" s="104">
        <v>2019</v>
      </c>
    </row>
    <row r="240" spans="1:306" x14ac:dyDescent="0.3">
      <c r="A240" s="101" t="s">
        <v>248</v>
      </c>
      <c r="B240" s="61"/>
      <c r="C240" s="34"/>
      <c r="E240" s="194"/>
      <c r="F240" s="34"/>
      <c r="G240" s="34"/>
      <c r="H240" s="34"/>
      <c r="I240" s="34"/>
      <c r="J240" s="34"/>
      <c r="K240" s="34"/>
      <c r="L240" s="34"/>
      <c r="M240" s="34"/>
      <c r="N240" s="34"/>
      <c r="O240" s="34"/>
      <c r="P240" s="34"/>
      <c r="Q240" s="34"/>
      <c r="R240" s="34"/>
      <c r="S240" s="34"/>
      <c r="T240" s="34"/>
      <c r="U240" s="34"/>
      <c r="V240" s="34"/>
      <c r="W240" s="34"/>
      <c r="X240" s="34"/>
      <c r="Y240" s="34"/>
      <c r="Z240" s="34"/>
      <c r="AA240" s="34"/>
      <c r="AB240" s="34"/>
      <c r="AC240" s="34"/>
      <c r="AD240" s="34"/>
      <c r="AE240" s="34"/>
      <c r="AF240" s="34"/>
      <c r="AG240" s="33"/>
      <c r="AH240" s="33"/>
      <c r="AI240" s="33"/>
      <c r="AJ240" s="34"/>
      <c r="AK240" s="34"/>
      <c r="AL240" s="34"/>
      <c r="AM240" s="34"/>
      <c r="AN240" s="34"/>
      <c r="AO240" s="34"/>
      <c r="AP240" s="34"/>
      <c r="AQ240" s="34"/>
      <c r="AR240" s="34"/>
      <c r="AS240" s="34"/>
    </row>
    <row r="241" spans="1:45" x14ac:dyDescent="0.3">
      <c r="A241" s="101" t="s">
        <v>249</v>
      </c>
      <c r="B241" s="61"/>
      <c r="C241" s="34"/>
      <c r="E241" s="194"/>
      <c r="F241" s="34"/>
      <c r="G241" s="34"/>
      <c r="H241" s="34"/>
      <c r="I241" s="34"/>
      <c r="J241" s="34"/>
      <c r="K241" s="34"/>
      <c r="L241" s="34"/>
      <c r="M241" s="34"/>
      <c r="N241" s="34"/>
      <c r="O241" s="34"/>
      <c r="P241" s="34"/>
      <c r="Q241" s="34"/>
      <c r="R241" s="34"/>
      <c r="S241" s="34"/>
      <c r="T241" s="34"/>
      <c r="U241" s="34"/>
      <c r="V241" s="34"/>
      <c r="W241" s="34"/>
      <c r="X241" s="34"/>
      <c r="Y241" s="34"/>
      <c r="Z241" s="34"/>
      <c r="AA241" s="34"/>
      <c r="AB241" s="34"/>
      <c r="AC241" s="34"/>
      <c r="AD241" s="34"/>
      <c r="AE241" s="34"/>
      <c r="AF241" s="34"/>
      <c r="AG241" s="33"/>
      <c r="AH241" s="33"/>
      <c r="AI241" s="33"/>
      <c r="AJ241" s="34"/>
      <c r="AK241" s="34"/>
      <c r="AL241" s="34"/>
      <c r="AM241" s="34"/>
      <c r="AN241" s="34"/>
      <c r="AO241" s="34"/>
      <c r="AP241" s="34"/>
      <c r="AQ241" s="34"/>
      <c r="AR241" s="34"/>
      <c r="AS241" s="34"/>
    </row>
    <row r="242" spans="1:45" x14ac:dyDescent="0.3">
      <c r="A242" s="101" t="s">
        <v>250</v>
      </c>
      <c r="B242" s="61"/>
      <c r="C242" s="34"/>
      <c r="E242" s="194"/>
      <c r="F242" s="34"/>
      <c r="G242" s="34"/>
      <c r="H242" s="34"/>
      <c r="I242" s="34"/>
      <c r="J242" s="34"/>
      <c r="K242" s="34"/>
      <c r="L242" s="34"/>
      <c r="M242" s="34"/>
      <c r="N242" s="34"/>
      <c r="O242" s="34"/>
      <c r="P242" s="34"/>
      <c r="Q242" s="34"/>
      <c r="R242" s="34"/>
      <c r="S242" s="34"/>
      <c r="T242" s="34"/>
      <c r="U242" s="34"/>
      <c r="V242" s="34"/>
      <c r="W242" s="34"/>
      <c r="X242" s="34"/>
      <c r="Y242" s="34"/>
      <c r="Z242" s="34"/>
      <c r="AA242" s="34"/>
      <c r="AB242" s="34"/>
      <c r="AC242" s="34"/>
      <c r="AD242" s="34"/>
      <c r="AE242" s="34"/>
      <c r="AF242" s="34"/>
      <c r="AG242" s="33"/>
      <c r="AH242" s="33"/>
      <c r="AI242" s="33"/>
      <c r="AJ242" s="34"/>
      <c r="AK242" s="34"/>
      <c r="AL242" s="34"/>
      <c r="AM242" s="34"/>
      <c r="AN242" s="34"/>
      <c r="AO242" s="34"/>
      <c r="AP242" s="34"/>
      <c r="AQ242" s="34"/>
      <c r="AR242" s="34"/>
      <c r="AS242" s="34"/>
    </row>
    <row r="243" spans="1:45" x14ac:dyDescent="0.3">
      <c r="A243" s="22" t="s">
        <v>33</v>
      </c>
      <c r="B243" s="193"/>
      <c r="C243" s="196">
        <v>0.2</v>
      </c>
      <c r="E243" s="22"/>
      <c r="F243" s="196">
        <v>0.65</v>
      </c>
      <c r="G243" s="34" t="s">
        <v>7</v>
      </c>
      <c r="H243" s="22">
        <v>2019</v>
      </c>
      <c r="AG243" s="22"/>
      <c r="AH243" s="22"/>
      <c r="AI243" s="22"/>
    </row>
    <row r="244" spans="1:45" x14ac:dyDescent="0.3">
      <c r="A244" s="22" t="s">
        <v>28</v>
      </c>
      <c r="B244" s="193"/>
      <c r="C244" s="196">
        <v>0.6</v>
      </c>
      <c r="E244" s="22"/>
      <c r="F244" s="196">
        <v>0.65</v>
      </c>
      <c r="G244" s="22" t="s">
        <v>27</v>
      </c>
      <c r="H244" s="22">
        <v>2019</v>
      </c>
      <c r="AG244" s="22"/>
      <c r="AH244" s="22"/>
      <c r="AI244" s="22"/>
    </row>
    <row r="245" spans="1:45" x14ac:dyDescent="0.3">
      <c r="A245" s="101" t="s">
        <v>4</v>
      </c>
      <c r="B245" s="61"/>
      <c r="C245" s="34"/>
      <c r="E245" s="194"/>
      <c r="F245" s="34"/>
      <c r="G245" s="34"/>
      <c r="H245" s="34"/>
      <c r="I245" s="34"/>
      <c r="J245" s="34"/>
      <c r="K245" s="34"/>
      <c r="L245" s="34"/>
      <c r="M245" s="34"/>
      <c r="N245" s="34"/>
      <c r="O245" s="34"/>
      <c r="P245" s="34"/>
      <c r="Q245" s="34"/>
      <c r="R245" s="34"/>
      <c r="S245" s="34"/>
      <c r="T245" s="34"/>
      <c r="U245" s="34"/>
      <c r="V245" s="34"/>
      <c r="W245" s="34"/>
      <c r="X245" s="34"/>
      <c r="Y245" s="34"/>
      <c r="Z245" s="34"/>
      <c r="AA245" s="34"/>
      <c r="AB245" s="34"/>
      <c r="AC245" s="34"/>
      <c r="AD245" s="34"/>
      <c r="AE245" s="34"/>
      <c r="AF245" s="34"/>
      <c r="AG245" s="33"/>
      <c r="AH245" s="33"/>
      <c r="AI245" s="33"/>
      <c r="AJ245" s="34"/>
      <c r="AK245" s="34"/>
      <c r="AL245" s="34"/>
      <c r="AM245" s="34"/>
      <c r="AN245" s="34"/>
      <c r="AO245" s="34"/>
      <c r="AP245" s="34"/>
      <c r="AQ245" s="34"/>
      <c r="AR245" s="34"/>
      <c r="AS245" s="34"/>
    </row>
    <row r="246" spans="1:45" x14ac:dyDescent="0.3">
      <c r="A246" s="101" t="s">
        <v>5</v>
      </c>
      <c r="B246" s="61"/>
      <c r="C246" s="34"/>
      <c r="E246" s="102"/>
      <c r="F246" s="34"/>
      <c r="G246" s="34"/>
      <c r="H246" s="34"/>
      <c r="I246" s="34"/>
      <c r="J246" s="34"/>
      <c r="K246" s="34"/>
      <c r="L246" s="34"/>
      <c r="M246" s="34"/>
      <c r="N246" s="34"/>
      <c r="O246" s="34"/>
      <c r="P246" s="34"/>
      <c r="Q246" s="34"/>
      <c r="R246" s="34"/>
      <c r="S246" s="34"/>
      <c r="T246" s="34"/>
      <c r="U246" s="34"/>
      <c r="V246" s="34"/>
      <c r="W246" s="34"/>
      <c r="X246" s="34"/>
      <c r="Y246" s="34"/>
      <c r="Z246" s="34"/>
      <c r="AA246" s="34"/>
      <c r="AB246" s="34"/>
      <c r="AC246" s="34"/>
      <c r="AD246" s="34"/>
      <c r="AE246" s="34"/>
      <c r="AF246" s="34"/>
      <c r="AG246" s="33"/>
      <c r="AH246" s="33"/>
      <c r="AI246" s="33"/>
      <c r="AJ246" s="34"/>
      <c r="AK246" s="34"/>
      <c r="AL246" s="34"/>
      <c r="AM246" s="34"/>
      <c r="AN246" s="34"/>
      <c r="AO246" s="34"/>
      <c r="AP246" s="34"/>
      <c r="AQ246" s="34"/>
      <c r="AR246" s="34"/>
      <c r="AS246" s="34"/>
    </row>
    <row r="247" spans="1:45" x14ac:dyDescent="0.3">
      <c r="A247" s="22" t="s">
        <v>381</v>
      </c>
      <c r="B247" s="193"/>
      <c r="C247" s="197">
        <v>2.96</v>
      </c>
      <c r="D247" s="197"/>
      <c r="E247" s="197"/>
      <c r="F247" s="197">
        <v>4.83</v>
      </c>
      <c r="G247" s="34"/>
      <c r="AG247" s="22"/>
      <c r="AH247" s="22"/>
      <c r="AI247" s="22"/>
    </row>
    <row r="248" spans="1:45" x14ac:dyDescent="0.3">
      <c r="A248" s="22" t="s">
        <v>469</v>
      </c>
      <c r="B248" s="193" t="s">
        <v>88</v>
      </c>
      <c r="C248" s="198">
        <v>2.5</v>
      </c>
      <c r="D248" s="198">
        <v>3.5</v>
      </c>
      <c r="E248" s="198">
        <v>6.1</v>
      </c>
      <c r="F248" s="34">
        <v>30</v>
      </c>
      <c r="G248" s="34" t="s">
        <v>7</v>
      </c>
      <c r="H248" s="22">
        <v>2019</v>
      </c>
      <c r="AG248" s="22"/>
      <c r="AH248" s="22"/>
      <c r="AI248" s="22"/>
    </row>
    <row r="249" spans="1:45" s="104" customFormat="1" x14ac:dyDescent="0.3">
      <c r="A249" s="103" t="s">
        <v>21</v>
      </c>
      <c r="B249" s="61"/>
      <c r="C249" s="199">
        <v>2.4</v>
      </c>
      <c r="D249" s="199"/>
      <c r="E249" s="199"/>
      <c r="F249" s="199">
        <v>6</v>
      </c>
      <c r="G249" s="21" t="s">
        <v>7</v>
      </c>
      <c r="H249" s="104">
        <v>2019</v>
      </c>
    </row>
    <row r="250" spans="1:45" s="104" customFormat="1" x14ac:dyDescent="0.3">
      <c r="A250" s="103" t="s">
        <v>21</v>
      </c>
      <c r="B250" s="61"/>
      <c r="C250" s="199">
        <f>8/12</f>
        <v>0.66666666666666663</v>
      </c>
      <c r="D250" s="199"/>
      <c r="E250" s="199">
        <f>80/12</f>
        <v>6.666666666666667</v>
      </c>
      <c r="F250" s="199">
        <f>263/12</f>
        <v>21.916666666666668</v>
      </c>
      <c r="G250" s="21" t="s">
        <v>27</v>
      </c>
      <c r="H250" s="104">
        <v>2018</v>
      </c>
    </row>
    <row r="251" spans="1:45" x14ac:dyDescent="0.3">
      <c r="A251" s="22" t="s">
        <v>149</v>
      </c>
      <c r="B251" s="61" t="str">
        <f>B24</f>
        <v>US$</v>
      </c>
      <c r="C251" s="34"/>
      <c r="E251" s="194"/>
      <c r="F251" s="34"/>
      <c r="G251" s="34"/>
      <c r="H251" s="34"/>
      <c r="I251" s="34"/>
      <c r="J251" s="34"/>
      <c r="K251" s="34"/>
      <c r="L251" s="34"/>
      <c r="M251" s="34"/>
      <c r="N251" s="34"/>
      <c r="O251" s="34"/>
      <c r="P251" s="34"/>
      <c r="Q251" s="34"/>
      <c r="R251" s="34"/>
      <c r="S251" s="34"/>
      <c r="T251" s="34"/>
      <c r="U251" s="34"/>
      <c r="V251" s="34"/>
      <c r="W251" s="34"/>
      <c r="X251" s="34"/>
      <c r="Y251" s="34"/>
      <c r="Z251" s="34"/>
      <c r="AA251" s="34"/>
      <c r="AB251" s="34"/>
      <c r="AC251" s="34"/>
      <c r="AD251" s="34"/>
      <c r="AE251" s="34"/>
      <c r="AF251" s="34"/>
      <c r="AG251" s="33"/>
      <c r="AH251" s="33"/>
      <c r="AI251" s="33"/>
      <c r="AJ251" s="34"/>
      <c r="AK251" s="34"/>
      <c r="AL251" s="34"/>
      <c r="AM251" s="34"/>
      <c r="AN251" s="34"/>
      <c r="AO251" s="34"/>
      <c r="AP251" s="34"/>
      <c r="AQ251" s="34"/>
      <c r="AR251" s="34"/>
      <c r="AS251" s="34"/>
    </row>
    <row r="252" spans="1:45" x14ac:dyDescent="0.3">
      <c r="A252" s="22" t="s">
        <v>24</v>
      </c>
      <c r="B252" s="22"/>
      <c r="C252" s="197">
        <v>0.49</v>
      </c>
      <c r="D252" s="197"/>
      <c r="E252" s="197"/>
      <c r="F252" s="197">
        <v>0.68</v>
      </c>
      <c r="G252" s="34" t="s">
        <v>25</v>
      </c>
      <c r="H252" s="22">
        <v>2020</v>
      </c>
      <c r="AG252" s="22"/>
      <c r="AH252" s="22"/>
      <c r="AI252" s="22"/>
    </row>
    <row r="253" spans="1:45" x14ac:dyDescent="0.3">
      <c r="A253" s="22" t="s">
        <v>26</v>
      </c>
      <c r="B253" s="22"/>
      <c r="C253" s="197">
        <v>0.89</v>
      </c>
      <c r="D253" s="197"/>
      <c r="E253" s="197"/>
      <c r="F253" s="197">
        <v>1.28</v>
      </c>
      <c r="G253" s="34" t="s">
        <v>25</v>
      </c>
      <c r="H253" s="22">
        <v>2020</v>
      </c>
      <c r="AG253" s="22"/>
      <c r="AH253" s="22"/>
      <c r="AI253" s="22"/>
    </row>
    <row r="254" spans="1:45" x14ac:dyDescent="0.3">
      <c r="A254" s="22" t="s">
        <v>34</v>
      </c>
      <c r="B254" s="22"/>
      <c r="C254" s="197">
        <v>0.55000000000000004</v>
      </c>
      <c r="D254" s="197">
        <v>0.66</v>
      </c>
      <c r="E254" s="197"/>
      <c r="F254" s="197">
        <v>0.85</v>
      </c>
      <c r="G254" s="34" t="s">
        <v>27</v>
      </c>
      <c r="H254" s="22">
        <v>2019</v>
      </c>
      <c r="AG254" s="22"/>
      <c r="AH254" s="22"/>
      <c r="AI254" s="22"/>
    </row>
    <row r="255" spans="1:45" x14ac:dyDescent="0.3">
      <c r="A255" s="22" t="s">
        <v>460</v>
      </c>
      <c r="B255" s="24"/>
      <c r="C255" s="34"/>
      <c r="E255" s="22"/>
      <c r="G255" s="34"/>
      <c r="AG255" s="22"/>
      <c r="AH255" s="22"/>
      <c r="AI255" s="22"/>
    </row>
    <row r="256" spans="1:45" x14ac:dyDescent="0.3">
      <c r="A256" s="22" t="s">
        <v>256</v>
      </c>
      <c r="B256" s="61"/>
    </row>
    <row r="257" spans="1:35" x14ac:dyDescent="0.3">
      <c r="A257" s="22" t="s">
        <v>383</v>
      </c>
      <c r="B257" s="22"/>
      <c r="C257" s="34" t="s">
        <v>22</v>
      </c>
      <c r="E257" s="196">
        <v>0.5</v>
      </c>
      <c r="G257" s="34" t="s">
        <v>7</v>
      </c>
      <c r="H257" s="22">
        <v>2019</v>
      </c>
      <c r="AG257" s="22"/>
      <c r="AH257" s="22"/>
      <c r="AI257" s="22"/>
    </row>
    <row r="258" spans="1:35" x14ac:dyDescent="0.3">
      <c r="A258" s="22" t="s">
        <v>23</v>
      </c>
      <c r="B258" s="22"/>
      <c r="C258" s="22">
        <v>0.14000000000000001</v>
      </c>
      <c r="E258" s="22"/>
      <c r="F258" s="22">
        <v>0.16</v>
      </c>
      <c r="G258" s="34" t="s">
        <v>7</v>
      </c>
      <c r="H258" s="22">
        <v>2019</v>
      </c>
      <c r="AG258" s="22"/>
      <c r="AH258" s="22"/>
      <c r="AI258" s="22"/>
    </row>
    <row r="259" spans="1:35" x14ac:dyDescent="0.3">
      <c r="A259" s="22" t="s">
        <v>37</v>
      </c>
      <c r="B259" s="22"/>
      <c r="C259" s="196"/>
      <c r="E259" s="22"/>
      <c r="F259" s="196"/>
      <c r="G259" s="34" t="s">
        <v>31</v>
      </c>
      <c r="H259" s="22">
        <v>2019</v>
      </c>
      <c r="AG259" s="22"/>
      <c r="AH259" s="22"/>
      <c r="AI259" s="22"/>
    </row>
    <row r="260" spans="1:35" x14ac:dyDescent="0.3">
      <c r="A260" s="22" t="s">
        <v>30</v>
      </c>
      <c r="B260" s="22"/>
      <c r="C260" s="196">
        <v>0.35</v>
      </c>
      <c r="E260" s="22"/>
      <c r="F260" s="196">
        <v>0.4</v>
      </c>
      <c r="G260" s="34" t="s">
        <v>31</v>
      </c>
      <c r="H260" s="22">
        <v>2019</v>
      </c>
      <c r="AG260" s="22"/>
      <c r="AH260" s="22"/>
      <c r="AI260" s="22"/>
    </row>
    <row r="261" spans="1:35" x14ac:dyDescent="0.3">
      <c r="A261" s="22" t="s">
        <v>35</v>
      </c>
      <c r="B261" s="22"/>
      <c r="C261" s="34"/>
      <c r="E261" s="22"/>
      <c r="G261" s="34"/>
      <c r="AG261" s="22"/>
      <c r="AH261" s="22"/>
      <c r="AI261" s="22"/>
    </row>
    <row r="262" spans="1:35" x14ac:dyDescent="0.3">
      <c r="A262" s="22" t="s">
        <v>32</v>
      </c>
      <c r="B262" s="22"/>
      <c r="C262" s="34"/>
      <c r="E262" s="22"/>
      <c r="G262" s="34"/>
      <c r="AG262" s="22"/>
      <c r="AH262" s="22"/>
      <c r="AI262" s="22"/>
    </row>
    <row r="263" spans="1:35" s="24" customFormat="1" ht="13.8" x14ac:dyDescent="0.3">
      <c r="B263" s="38"/>
      <c r="E263" s="62"/>
      <c r="AG263" s="62"/>
      <c r="AH263" s="62"/>
      <c r="AI263" s="62"/>
    </row>
    <row r="264" spans="1:35" x14ac:dyDescent="0.3">
      <c r="A264" s="40" t="s">
        <v>9</v>
      </c>
      <c r="B264" s="22"/>
      <c r="C264" s="34"/>
      <c r="E264" s="22"/>
      <c r="G264" s="22" t="s">
        <v>7</v>
      </c>
      <c r="AG264" s="22"/>
      <c r="AH264" s="22"/>
      <c r="AI264" s="22"/>
    </row>
    <row r="265" spans="1:35" s="24" customFormat="1" ht="13.8" x14ac:dyDescent="0.3">
      <c r="C265" s="38"/>
      <c r="F265" s="62"/>
      <c r="AD265" s="62"/>
      <c r="AE265" s="62"/>
      <c r="AF265" s="62"/>
    </row>
    <row r="266" spans="1:35" s="24" customFormat="1" ht="13.8" x14ac:dyDescent="0.3">
      <c r="C266" s="38"/>
      <c r="F266" s="62"/>
      <c r="AD266" s="62"/>
      <c r="AE266" s="62"/>
      <c r="AF266" s="62"/>
    </row>
    <row r="267" spans="1:35" s="24" customFormat="1" ht="13.8" x14ac:dyDescent="0.3">
      <c r="C267" s="38"/>
      <c r="F267" s="62"/>
      <c r="AD267" s="62"/>
      <c r="AE267" s="62"/>
      <c r="AF267" s="62"/>
    </row>
    <row r="268" spans="1:35" s="24" customFormat="1" ht="13.8" x14ac:dyDescent="0.3">
      <c r="C268" s="38"/>
      <c r="F268" s="62"/>
      <c r="AD268" s="62"/>
      <c r="AE268" s="62"/>
      <c r="AF268" s="62"/>
    </row>
    <row r="269" spans="1:35" s="24" customFormat="1" ht="13.8" x14ac:dyDescent="0.3">
      <c r="C269" s="38"/>
      <c r="F269" s="62"/>
      <c r="AD269" s="62"/>
      <c r="AE269" s="62"/>
      <c r="AF269" s="62"/>
    </row>
    <row r="270" spans="1:35" s="24" customFormat="1" ht="13.8" x14ac:dyDescent="0.3">
      <c r="C270" s="38"/>
      <c r="F270" s="62"/>
      <c r="AD270" s="62"/>
      <c r="AE270" s="62"/>
      <c r="AF270" s="62"/>
    </row>
    <row r="271" spans="1:35" s="24" customFormat="1" ht="13.8" x14ac:dyDescent="0.3">
      <c r="C271" s="38"/>
      <c r="F271" s="62"/>
      <c r="AD271" s="62"/>
      <c r="AE271" s="62"/>
      <c r="AF271" s="62"/>
    </row>
    <row r="272" spans="1:35" s="24" customFormat="1" ht="13.8" x14ac:dyDescent="0.3">
      <c r="C272" s="38"/>
      <c r="F272" s="62"/>
      <c r="AD272" s="62"/>
      <c r="AE272" s="62"/>
      <c r="AF272" s="62"/>
    </row>
    <row r="273" spans="1:45" s="24" customFormat="1" ht="13.8" x14ac:dyDescent="0.3">
      <c r="C273" s="38"/>
      <c r="F273" s="62"/>
      <c r="AD273" s="62"/>
      <c r="AE273" s="62"/>
      <c r="AF273" s="62"/>
    </row>
    <row r="274" spans="1:45" s="24" customFormat="1" ht="13.8" x14ac:dyDescent="0.3">
      <c r="C274" s="38"/>
      <c r="F274" s="62"/>
      <c r="AD274" s="62"/>
      <c r="AE274" s="62"/>
      <c r="AF274" s="62"/>
    </row>
    <row r="275" spans="1:45" s="24" customFormat="1" ht="13.8" x14ac:dyDescent="0.3">
      <c r="C275" s="38"/>
      <c r="F275" s="62"/>
      <c r="AD275" s="62"/>
      <c r="AE275" s="62"/>
      <c r="AF275" s="62"/>
    </row>
    <row r="276" spans="1:45" s="24" customFormat="1" ht="13.8" x14ac:dyDescent="0.3">
      <c r="C276" s="38"/>
      <c r="F276" s="62"/>
      <c r="AD276" s="62"/>
      <c r="AE276" s="62"/>
      <c r="AF276" s="62"/>
    </row>
    <row r="277" spans="1:45" s="24" customFormat="1" ht="13.8" x14ac:dyDescent="0.3">
      <c r="C277" s="38"/>
      <c r="F277" s="62"/>
      <c r="AD277" s="62"/>
      <c r="AE277" s="62"/>
      <c r="AF277" s="62"/>
    </row>
    <row r="278" spans="1:45" s="24" customFormat="1" ht="13.8" x14ac:dyDescent="0.3">
      <c r="C278" s="38"/>
      <c r="F278" s="62"/>
      <c r="AD278" s="62"/>
      <c r="AE278" s="62"/>
      <c r="AF278" s="62"/>
    </row>
    <row r="279" spans="1:45" s="24" customFormat="1" ht="13.8" x14ac:dyDescent="0.3">
      <c r="C279" s="38"/>
      <c r="F279" s="62"/>
      <c r="AD279" s="62"/>
      <c r="AE279" s="62"/>
      <c r="AF279" s="62"/>
    </row>
    <row r="280" spans="1:45" s="24" customFormat="1" ht="13.8" x14ac:dyDescent="0.3">
      <c r="B280" s="38"/>
      <c r="E280" s="62"/>
      <c r="AC280" s="62"/>
      <c r="AD280" s="62"/>
      <c r="AE280" s="62"/>
    </row>
    <row r="281" spans="1:45" s="24" customFormat="1" ht="13.8" x14ac:dyDescent="0.3">
      <c r="B281" s="38"/>
      <c r="E281" s="62"/>
      <c r="AC281" s="62"/>
      <c r="AD281" s="62"/>
      <c r="AE281" s="62"/>
    </row>
    <row r="282" spans="1:45" x14ac:dyDescent="0.3">
      <c r="A282" s="101" t="s">
        <v>151</v>
      </c>
      <c r="B282" s="61" t="str">
        <f>B60</f>
        <v>US$</v>
      </c>
      <c r="C282" s="34"/>
      <c r="E282" s="102"/>
      <c r="F282" s="34"/>
      <c r="G282" s="34"/>
      <c r="H282" s="34"/>
      <c r="I282" s="34"/>
      <c r="J282" s="34"/>
      <c r="K282" s="34"/>
      <c r="L282" s="34"/>
      <c r="M282" s="34"/>
      <c r="N282" s="34"/>
      <c r="O282" s="34"/>
      <c r="P282" s="34"/>
      <c r="Q282" s="34"/>
      <c r="R282" s="34"/>
      <c r="S282" s="34"/>
      <c r="T282" s="34"/>
      <c r="U282" s="34"/>
      <c r="V282" s="34"/>
      <c r="W282" s="34"/>
      <c r="X282" s="34"/>
      <c r="Y282" s="34"/>
      <c r="Z282" s="34"/>
      <c r="AA282" s="34"/>
      <c r="AB282" s="34"/>
      <c r="AC282" s="34"/>
      <c r="AD282" s="34"/>
      <c r="AE282" s="34"/>
      <c r="AF282" s="34"/>
      <c r="AG282" s="33"/>
      <c r="AH282" s="33"/>
      <c r="AI282" s="33"/>
      <c r="AJ282" s="34"/>
      <c r="AK282" s="34"/>
      <c r="AL282" s="34"/>
      <c r="AM282" s="34"/>
      <c r="AN282" s="34"/>
      <c r="AO282" s="34"/>
      <c r="AP282" s="34"/>
      <c r="AQ282" s="34"/>
      <c r="AR282" s="34"/>
      <c r="AS282" s="34"/>
    </row>
    <row r="283" spans="1:45" s="24" customFormat="1" ht="13.8" x14ac:dyDescent="0.3">
      <c r="B283" s="38"/>
      <c r="E283" s="62"/>
      <c r="AC283" s="62"/>
      <c r="AD283" s="62"/>
      <c r="AE283" s="62"/>
    </row>
    <row r="284" spans="1:45" s="24" customFormat="1" ht="13.8" x14ac:dyDescent="0.3">
      <c r="B284" s="38"/>
      <c r="E284" s="62"/>
      <c r="AC284" s="62"/>
      <c r="AD284" s="62"/>
      <c r="AE284" s="62"/>
    </row>
    <row r="285" spans="1:45" s="24" customFormat="1" ht="13.8" x14ac:dyDescent="0.3">
      <c r="B285" s="38"/>
      <c r="E285" s="62"/>
      <c r="AC285" s="62"/>
      <c r="AD285" s="62"/>
      <c r="AE285" s="62"/>
    </row>
    <row r="286" spans="1:45" s="24" customFormat="1" ht="13.8" x14ac:dyDescent="0.3">
      <c r="B286" s="38"/>
      <c r="E286" s="62"/>
      <c r="AC286" s="62"/>
      <c r="AD286" s="62"/>
      <c r="AE286" s="62"/>
    </row>
    <row r="287" spans="1:45" s="24" customFormat="1" ht="13.8" x14ac:dyDescent="0.3">
      <c r="B287" s="38"/>
      <c r="E287" s="62"/>
      <c r="AC287" s="62"/>
      <c r="AD287" s="62"/>
      <c r="AE287" s="62"/>
    </row>
    <row r="288" spans="1:45" s="24" customFormat="1" ht="13.8" x14ac:dyDescent="0.3">
      <c r="B288" s="38"/>
      <c r="E288" s="62"/>
      <c r="AC288" s="62"/>
      <c r="AD288" s="62"/>
      <c r="AE288" s="62"/>
    </row>
    <row r="289" spans="2:35" s="24" customFormat="1" ht="13.8" x14ac:dyDescent="0.3">
      <c r="B289" s="38"/>
      <c r="E289" s="62"/>
      <c r="AC289" s="62"/>
      <c r="AD289" s="62"/>
      <c r="AE289" s="62"/>
    </row>
    <row r="290" spans="2:35" s="24" customFormat="1" ht="13.8" x14ac:dyDescent="0.3">
      <c r="B290" s="38"/>
      <c r="E290" s="62"/>
      <c r="AG290" s="62"/>
      <c r="AH290" s="62"/>
      <c r="AI290" s="62"/>
    </row>
    <row r="291" spans="2:35" s="24" customFormat="1" ht="13.8" x14ac:dyDescent="0.3">
      <c r="B291" s="38"/>
      <c r="E291" s="62"/>
      <c r="AG291" s="62"/>
      <c r="AH291" s="62"/>
      <c r="AI291" s="62"/>
    </row>
    <row r="292" spans="2:35" s="24" customFormat="1" ht="13.8" x14ac:dyDescent="0.3">
      <c r="B292" s="38"/>
      <c r="E292" s="62"/>
      <c r="AG292" s="62"/>
      <c r="AH292" s="62"/>
      <c r="AI292" s="62"/>
    </row>
    <row r="293" spans="2:35" s="24" customFormat="1" ht="13.8" x14ac:dyDescent="0.3">
      <c r="B293" s="38"/>
      <c r="E293" s="62"/>
      <c r="AG293" s="62"/>
      <c r="AH293" s="62"/>
      <c r="AI293" s="62"/>
    </row>
    <row r="294" spans="2:35" s="24" customFormat="1" ht="13.8" x14ac:dyDescent="0.3">
      <c r="B294" s="38"/>
      <c r="E294" s="62"/>
      <c r="AG294" s="62"/>
      <c r="AH294" s="62"/>
      <c r="AI294" s="62"/>
    </row>
    <row r="295" spans="2:35" s="24" customFormat="1" ht="13.8" x14ac:dyDescent="0.3">
      <c r="B295" s="38"/>
      <c r="E295" s="62"/>
      <c r="AG295" s="62"/>
      <c r="AH295" s="62"/>
      <c r="AI295" s="62"/>
    </row>
    <row r="296" spans="2:35" s="24" customFormat="1" ht="13.8" x14ac:dyDescent="0.3">
      <c r="B296" s="38"/>
      <c r="E296" s="62"/>
      <c r="AG296" s="62"/>
      <c r="AH296" s="62"/>
      <c r="AI296" s="62"/>
    </row>
    <row r="297" spans="2:35" s="24" customFormat="1" ht="13.8" x14ac:dyDescent="0.3">
      <c r="B297" s="38"/>
      <c r="E297" s="62"/>
      <c r="AG297" s="62"/>
      <c r="AH297" s="62"/>
      <c r="AI297" s="62"/>
    </row>
    <row r="298" spans="2:35" s="24" customFormat="1" ht="13.8" x14ac:dyDescent="0.3">
      <c r="B298" s="38"/>
      <c r="E298" s="62"/>
      <c r="AG298" s="62"/>
      <c r="AH298" s="62"/>
      <c r="AI298" s="62"/>
    </row>
    <row r="299" spans="2:35" s="24" customFormat="1" ht="13.8" x14ac:dyDescent="0.3">
      <c r="B299" s="38"/>
      <c r="E299" s="62"/>
      <c r="AG299" s="62"/>
      <c r="AH299" s="62"/>
      <c r="AI299" s="62"/>
    </row>
    <row r="300" spans="2:35" s="24" customFormat="1" ht="13.8" x14ac:dyDescent="0.3">
      <c r="B300" s="38"/>
      <c r="E300" s="62"/>
      <c r="AG300" s="62"/>
      <c r="AH300" s="62"/>
      <c r="AI300" s="62"/>
    </row>
    <row r="301" spans="2:35" s="24" customFormat="1" ht="13.8" x14ac:dyDescent="0.3">
      <c r="B301" s="38"/>
      <c r="E301" s="62"/>
      <c r="AG301" s="62"/>
      <c r="AH301" s="62"/>
      <c r="AI301" s="62"/>
    </row>
    <row r="302" spans="2:35" s="24" customFormat="1" ht="13.8" x14ac:dyDescent="0.3">
      <c r="B302" s="38"/>
      <c r="E302" s="62"/>
      <c r="AG302" s="62"/>
      <c r="AH302" s="62"/>
      <c r="AI302" s="62"/>
    </row>
    <row r="303" spans="2:35" s="24" customFormat="1" ht="13.8" x14ac:dyDescent="0.3">
      <c r="B303" s="38"/>
      <c r="E303" s="62"/>
      <c r="AG303" s="62"/>
      <c r="AH303" s="62"/>
      <c r="AI303" s="62"/>
    </row>
    <row r="304" spans="2:35" s="24" customFormat="1" ht="13.8" x14ac:dyDescent="0.3">
      <c r="B304" s="38"/>
      <c r="E304" s="62"/>
      <c r="AG304" s="62"/>
      <c r="AH304" s="62"/>
      <c r="AI304" s="62"/>
    </row>
    <row r="305" spans="2:35" s="24" customFormat="1" ht="13.8" x14ac:dyDescent="0.3">
      <c r="B305" s="38"/>
      <c r="E305" s="62"/>
      <c r="AG305" s="62"/>
      <c r="AH305" s="62"/>
      <c r="AI305" s="62"/>
    </row>
    <row r="306" spans="2:35" s="24" customFormat="1" ht="13.8" x14ac:dyDescent="0.3">
      <c r="B306" s="38"/>
      <c r="E306" s="62"/>
      <c r="AG306" s="62"/>
      <c r="AH306" s="62"/>
      <c r="AI306" s="62"/>
    </row>
    <row r="307" spans="2:35" s="24" customFormat="1" ht="13.8" x14ac:dyDescent="0.3">
      <c r="B307" s="38"/>
      <c r="E307" s="62"/>
      <c r="AG307" s="62"/>
      <c r="AH307" s="62"/>
      <c r="AI307" s="62"/>
    </row>
    <row r="308" spans="2:35" s="24" customFormat="1" ht="13.8" x14ac:dyDescent="0.3">
      <c r="B308" s="38"/>
      <c r="E308" s="62"/>
      <c r="AG308" s="62"/>
      <c r="AH308" s="62"/>
      <c r="AI308" s="62"/>
    </row>
    <row r="309" spans="2:35" s="24" customFormat="1" ht="13.8" x14ac:dyDescent="0.3">
      <c r="B309" s="38"/>
      <c r="E309" s="62"/>
      <c r="AG309" s="62"/>
      <c r="AH309" s="62"/>
      <c r="AI309" s="62"/>
    </row>
    <row r="310" spans="2:35" s="24" customFormat="1" ht="13.8" x14ac:dyDescent="0.3">
      <c r="B310" s="38"/>
      <c r="E310" s="62"/>
      <c r="AG310" s="62"/>
      <c r="AH310" s="62"/>
      <c r="AI310" s="62"/>
    </row>
    <row r="311" spans="2:35" s="24" customFormat="1" ht="13.8" x14ac:dyDescent="0.3">
      <c r="B311" s="38"/>
      <c r="E311" s="62"/>
      <c r="AG311" s="62"/>
      <c r="AH311" s="62"/>
      <c r="AI311" s="62"/>
    </row>
    <row r="312" spans="2:35" s="24" customFormat="1" ht="13.8" x14ac:dyDescent="0.3">
      <c r="B312" s="38"/>
      <c r="E312" s="62"/>
      <c r="AG312" s="62"/>
      <c r="AH312" s="62"/>
      <c r="AI312" s="62"/>
    </row>
    <row r="313" spans="2:35" s="24" customFormat="1" ht="13.8" x14ac:dyDescent="0.3">
      <c r="B313" s="38"/>
      <c r="E313" s="62"/>
      <c r="AG313" s="62"/>
      <c r="AH313" s="62"/>
      <c r="AI313" s="62"/>
    </row>
    <row r="314" spans="2:35" s="24" customFormat="1" ht="13.8" x14ac:dyDescent="0.3">
      <c r="B314" s="38"/>
      <c r="E314" s="62"/>
      <c r="AG314" s="62"/>
      <c r="AH314" s="62"/>
      <c r="AI314" s="62"/>
    </row>
    <row r="315" spans="2:35" s="24" customFormat="1" ht="13.8" x14ac:dyDescent="0.3">
      <c r="B315" s="38"/>
      <c r="E315" s="62"/>
      <c r="AG315" s="62"/>
      <c r="AH315" s="62"/>
      <c r="AI315" s="62"/>
    </row>
    <row r="316" spans="2:35" s="24" customFormat="1" ht="13.8" x14ac:dyDescent="0.3">
      <c r="B316" s="38"/>
      <c r="E316" s="62"/>
      <c r="AG316" s="62"/>
      <c r="AH316" s="62"/>
      <c r="AI316" s="62"/>
    </row>
    <row r="317" spans="2:35" s="24" customFormat="1" ht="13.8" x14ac:dyDescent="0.3">
      <c r="B317" s="38"/>
      <c r="E317" s="62"/>
      <c r="AG317" s="62"/>
      <c r="AH317" s="62"/>
      <c r="AI317" s="62"/>
    </row>
    <row r="318" spans="2:35" s="24" customFormat="1" ht="13.8" x14ac:dyDescent="0.3">
      <c r="B318" s="38"/>
      <c r="E318" s="62"/>
      <c r="AG318" s="62"/>
      <c r="AH318" s="62"/>
      <c r="AI318" s="62"/>
    </row>
    <row r="319" spans="2:35" s="24" customFormat="1" ht="13.8" x14ac:dyDescent="0.3">
      <c r="B319" s="38"/>
      <c r="E319" s="62"/>
      <c r="AG319" s="62"/>
      <c r="AH319" s="62"/>
      <c r="AI319" s="62"/>
    </row>
    <row r="320" spans="2:35" s="24" customFormat="1" ht="13.8" x14ac:dyDescent="0.3">
      <c r="B320" s="38"/>
      <c r="E320" s="62"/>
      <c r="AG320" s="62"/>
      <c r="AH320" s="62"/>
      <c r="AI320" s="62"/>
    </row>
    <row r="321" spans="2:35" s="24" customFormat="1" ht="13.8" x14ac:dyDescent="0.3">
      <c r="B321" s="38"/>
      <c r="E321" s="62"/>
      <c r="AG321" s="62"/>
      <c r="AH321" s="62"/>
      <c r="AI321" s="62"/>
    </row>
    <row r="322" spans="2:35" s="24" customFormat="1" ht="13.8" x14ac:dyDescent="0.3">
      <c r="B322" s="38"/>
      <c r="E322" s="62"/>
      <c r="AG322" s="62"/>
      <c r="AH322" s="62"/>
      <c r="AI322" s="62"/>
    </row>
    <row r="323" spans="2:35" s="24" customFormat="1" ht="13.8" x14ac:dyDescent="0.3">
      <c r="B323" s="38"/>
      <c r="E323" s="62"/>
      <c r="AG323" s="62"/>
      <c r="AH323" s="62"/>
      <c r="AI323" s="62"/>
    </row>
    <row r="324" spans="2:35" s="24" customFormat="1" ht="13.8" x14ac:dyDescent="0.3">
      <c r="B324" s="38"/>
      <c r="E324" s="62"/>
      <c r="AG324" s="62"/>
      <c r="AH324" s="62"/>
      <c r="AI324" s="62"/>
    </row>
    <row r="325" spans="2:35" s="24" customFormat="1" ht="13.8" x14ac:dyDescent="0.3">
      <c r="B325" s="38"/>
      <c r="E325" s="62"/>
      <c r="AG325" s="62"/>
      <c r="AH325" s="62"/>
      <c r="AI325" s="62"/>
    </row>
    <row r="326" spans="2:35" s="24" customFormat="1" ht="13.8" x14ac:dyDescent="0.3">
      <c r="B326" s="38"/>
      <c r="E326" s="62"/>
      <c r="AG326" s="62"/>
      <c r="AH326" s="62"/>
      <c r="AI326" s="62"/>
    </row>
    <row r="327" spans="2:35" s="24" customFormat="1" ht="13.8" x14ac:dyDescent="0.3">
      <c r="B327" s="38"/>
      <c r="E327" s="62"/>
      <c r="AG327" s="62"/>
      <c r="AH327" s="62"/>
      <c r="AI327" s="62"/>
    </row>
    <row r="328" spans="2:35" s="24" customFormat="1" ht="13.8" x14ac:dyDescent="0.3">
      <c r="B328" s="38"/>
      <c r="E328" s="62"/>
      <c r="AG328" s="62"/>
      <c r="AH328" s="62"/>
      <c r="AI328" s="62"/>
    </row>
    <row r="329" spans="2:35" s="24" customFormat="1" ht="13.8" x14ac:dyDescent="0.3">
      <c r="B329" s="38"/>
      <c r="E329" s="62"/>
      <c r="AG329" s="62"/>
      <c r="AH329" s="62"/>
      <c r="AI329" s="62"/>
    </row>
    <row r="330" spans="2:35" s="24" customFormat="1" ht="13.8" x14ac:dyDescent="0.3">
      <c r="B330" s="38"/>
      <c r="E330" s="62"/>
      <c r="AG330" s="62"/>
      <c r="AH330" s="62"/>
      <c r="AI330" s="62"/>
    </row>
    <row r="331" spans="2:35" s="24" customFormat="1" ht="13.8" x14ac:dyDescent="0.3">
      <c r="B331" s="38"/>
      <c r="E331" s="62"/>
      <c r="AG331" s="62"/>
      <c r="AH331" s="62"/>
      <c r="AI331" s="62"/>
    </row>
    <row r="332" spans="2:35" s="24" customFormat="1" ht="13.8" x14ac:dyDescent="0.3">
      <c r="B332" s="38"/>
      <c r="E332" s="62"/>
      <c r="AG332" s="62"/>
      <c r="AH332" s="62"/>
      <c r="AI332" s="62"/>
    </row>
    <row r="333" spans="2:35" s="24" customFormat="1" ht="13.8" x14ac:dyDescent="0.3">
      <c r="B333" s="38"/>
      <c r="E333" s="62"/>
      <c r="AG333" s="62"/>
      <c r="AH333" s="62"/>
      <c r="AI333" s="62"/>
    </row>
    <row r="334" spans="2:35" s="24" customFormat="1" ht="13.8" x14ac:dyDescent="0.3">
      <c r="B334" s="38"/>
      <c r="E334" s="62"/>
      <c r="AG334" s="62"/>
      <c r="AH334" s="62"/>
      <c r="AI334" s="62"/>
    </row>
    <row r="335" spans="2:35" s="24" customFormat="1" ht="13.8" x14ac:dyDescent="0.3">
      <c r="B335" s="38"/>
      <c r="E335" s="62"/>
      <c r="AG335" s="62"/>
      <c r="AH335" s="62"/>
      <c r="AI335" s="62"/>
    </row>
    <row r="336" spans="2:35" s="24" customFormat="1" ht="13.8" x14ac:dyDescent="0.3">
      <c r="B336" s="38"/>
      <c r="E336" s="62"/>
      <c r="AG336" s="62"/>
      <c r="AH336" s="62"/>
      <c r="AI336" s="62"/>
    </row>
    <row r="337" spans="2:35" s="24" customFormat="1" ht="13.8" x14ac:dyDescent="0.3">
      <c r="B337" s="38"/>
      <c r="E337" s="62"/>
      <c r="AG337" s="62"/>
      <c r="AH337" s="62"/>
      <c r="AI337" s="62"/>
    </row>
    <row r="338" spans="2:35" s="24" customFormat="1" ht="13.8" x14ac:dyDescent="0.3">
      <c r="B338" s="38"/>
      <c r="E338" s="62"/>
      <c r="AG338" s="62"/>
      <c r="AH338" s="62"/>
      <c r="AI338" s="62"/>
    </row>
    <row r="339" spans="2:35" s="24" customFormat="1" ht="13.8" x14ac:dyDescent="0.3">
      <c r="B339" s="38"/>
      <c r="E339" s="62"/>
      <c r="AG339" s="62"/>
      <c r="AH339" s="62"/>
      <c r="AI339" s="62"/>
    </row>
    <row r="340" spans="2:35" s="24" customFormat="1" ht="13.8" x14ac:dyDescent="0.3">
      <c r="B340" s="38"/>
      <c r="E340" s="62"/>
      <c r="AG340" s="62"/>
      <c r="AH340" s="62"/>
      <c r="AI340" s="62"/>
    </row>
    <row r="341" spans="2:35" s="24" customFormat="1" ht="13.8" x14ac:dyDescent="0.3">
      <c r="B341" s="38"/>
      <c r="E341" s="62"/>
      <c r="AG341" s="62"/>
      <c r="AH341" s="62"/>
      <c r="AI341" s="62"/>
    </row>
    <row r="342" spans="2:35" s="24" customFormat="1" ht="13.8" x14ac:dyDescent="0.3">
      <c r="B342" s="38"/>
      <c r="E342" s="62"/>
      <c r="AG342" s="62"/>
      <c r="AH342" s="62"/>
      <c r="AI342" s="62"/>
    </row>
    <row r="343" spans="2:35" s="24" customFormat="1" ht="13.8" x14ac:dyDescent="0.3">
      <c r="B343" s="38"/>
      <c r="E343" s="62"/>
      <c r="AG343" s="62"/>
      <c r="AH343" s="62"/>
      <c r="AI343" s="62"/>
    </row>
    <row r="344" spans="2:35" s="24" customFormat="1" ht="13.8" x14ac:dyDescent="0.3">
      <c r="B344" s="38"/>
      <c r="E344" s="62"/>
      <c r="AG344" s="62"/>
      <c r="AH344" s="62"/>
      <c r="AI344" s="62"/>
    </row>
    <row r="345" spans="2:35" s="24" customFormat="1" ht="13.8" x14ac:dyDescent="0.3">
      <c r="B345" s="38"/>
      <c r="E345" s="62"/>
      <c r="AG345" s="62"/>
      <c r="AH345" s="62"/>
      <c r="AI345" s="62"/>
    </row>
    <row r="346" spans="2:35" s="24" customFormat="1" ht="13.8" x14ac:dyDescent="0.3">
      <c r="B346" s="38"/>
      <c r="E346" s="62"/>
      <c r="AG346" s="62"/>
      <c r="AH346" s="62"/>
      <c r="AI346" s="62"/>
    </row>
    <row r="347" spans="2:35" s="24" customFormat="1" ht="13.8" x14ac:dyDescent="0.3">
      <c r="B347" s="38"/>
      <c r="E347" s="62"/>
      <c r="AG347" s="62"/>
      <c r="AH347" s="62"/>
      <c r="AI347" s="62"/>
    </row>
    <row r="348" spans="2:35" s="24" customFormat="1" ht="13.8" x14ac:dyDescent="0.3">
      <c r="B348" s="38"/>
      <c r="E348" s="62"/>
      <c r="AG348" s="62"/>
      <c r="AH348" s="62"/>
      <c r="AI348" s="62"/>
    </row>
    <row r="349" spans="2:35" s="24" customFormat="1" ht="13.8" x14ac:dyDescent="0.3">
      <c r="B349" s="38"/>
      <c r="E349" s="62"/>
      <c r="AG349" s="62"/>
      <c r="AH349" s="62"/>
      <c r="AI349" s="62"/>
    </row>
    <row r="350" spans="2:35" s="24" customFormat="1" ht="13.8" x14ac:dyDescent="0.3">
      <c r="B350" s="38"/>
      <c r="E350" s="62"/>
      <c r="AG350" s="62"/>
      <c r="AH350" s="62"/>
      <c r="AI350" s="62"/>
    </row>
    <row r="351" spans="2:35" s="24" customFormat="1" ht="13.8" x14ac:dyDescent="0.3">
      <c r="B351" s="38"/>
      <c r="E351" s="62"/>
      <c r="AG351" s="62"/>
      <c r="AH351" s="62"/>
      <c r="AI351" s="62"/>
    </row>
    <row r="352" spans="2:35" s="24" customFormat="1" ht="13.8" x14ac:dyDescent="0.3">
      <c r="B352" s="38"/>
      <c r="E352" s="62"/>
      <c r="AG352" s="62"/>
      <c r="AH352" s="62"/>
      <c r="AI352" s="62"/>
    </row>
    <row r="353" spans="2:35" s="24" customFormat="1" ht="13.8" x14ac:dyDescent="0.3">
      <c r="B353" s="38"/>
      <c r="E353" s="62"/>
      <c r="AG353" s="62"/>
      <c r="AH353" s="62"/>
      <c r="AI353" s="62"/>
    </row>
    <row r="354" spans="2:35" s="24" customFormat="1" ht="13.8" x14ac:dyDescent="0.3">
      <c r="B354" s="38"/>
      <c r="E354" s="62"/>
      <c r="AG354" s="62"/>
      <c r="AH354" s="62"/>
      <c r="AI354" s="62"/>
    </row>
    <row r="355" spans="2:35" s="24" customFormat="1" ht="13.8" x14ac:dyDescent="0.3">
      <c r="B355" s="38"/>
      <c r="E355" s="62"/>
      <c r="AG355" s="62"/>
      <c r="AH355" s="62"/>
      <c r="AI355" s="62"/>
    </row>
    <row r="356" spans="2:35" s="24" customFormat="1" ht="13.8" x14ac:dyDescent="0.3">
      <c r="B356" s="38"/>
      <c r="E356" s="62"/>
      <c r="AG356" s="62"/>
      <c r="AH356" s="62"/>
      <c r="AI356" s="62"/>
    </row>
    <row r="357" spans="2:35" s="24" customFormat="1" ht="13.8" x14ac:dyDescent="0.3">
      <c r="B357" s="38"/>
      <c r="E357" s="62"/>
      <c r="AG357" s="62"/>
      <c r="AH357" s="62"/>
      <c r="AI357" s="62"/>
    </row>
    <row r="358" spans="2:35" s="24" customFormat="1" ht="13.8" x14ac:dyDescent="0.3">
      <c r="B358" s="38"/>
      <c r="E358" s="62"/>
      <c r="AG358" s="62"/>
      <c r="AH358" s="62"/>
      <c r="AI358" s="62"/>
    </row>
    <row r="359" spans="2:35" s="24" customFormat="1" ht="13.8" x14ac:dyDescent="0.3">
      <c r="B359" s="38"/>
      <c r="E359" s="62"/>
      <c r="AG359" s="62"/>
      <c r="AH359" s="62"/>
      <c r="AI359" s="62"/>
    </row>
    <row r="360" spans="2:35" s="24" customFormat="1" ht="13.8" x14ac:dyDescent="0.3">
      <c r="B360" s="38"/>
      <c r="E360" s="62"/>
      <c r="AG360" s="62"/>
      <c r="AH360" s="62"/>
      <c r="AI360" s="62"/>
    </row>
    <row r="361" spans="2:35" s="24" customFormat="1" ht="13.8" x14ac:dyDescent="0.3">
      <c r="B361" s="38"/>
      <c r="E361" s="62"/>
      <c r="AG361" s="62"/>
      <c r="AH361" s="62"/>
      <c r="AI361" s="62"/>
    </row>
    <row r="362" spans="2:35" s="24" customFormat="1" ht="13.8" x14ac:dyDescent="0.3">
      <c r="B362" s="38"/>
      <c r="E362" s="62"/>
      <c r="AG362" s="62"/>
      <c r="AH362" s="62"/>
      <c r="AI362" s="62"/>
    </row>
    <row r="363" spans="2:35" s="24" customFormat="1" ht="13.8" x14ac:dyDescent="0.3">
      <c r="B363" s="38"/>
      <c r="E363" s="62"/>
      <c r="AG363" s="62"/>
      <c r="AH363" s="62"/>
      <c r="AI363" s="62"/>
    </row>
    <row r="364" spans="2:35" s="24" customFormat="1" ht="13.8" x14ac:dyDescent="0.3">
      <c r="B364" s="38"/>
      <c r="E364" s="62"/>
      <c r="AG364" s="62"/>
      <c r="AH364" s="62"/>
      <c r="AI364" s="62"/>
    </row>
    <row r="365" spans="2:35" s="24" customFormat="1" ht="13.8" x14ac:dyDescent="0.3">
      <c r="B365" s="38"/>
      <c r="E365" s="62"/>
      <c r="AG365" s="62"/>
      <c r="AH365" s="62"/>
      <c r="AI365" s="62"/>
    </row>
    <row r="366" spans="2:35" s="24" customFormat="1" ht="13.8" x14ac:dyDescent="0.3">
      <c r="B366" s="38"/>
      <c r="E366" s="62"/>
      <c r="AG366" s="62"/>
      <c r="AH366" s="62"/>
      <c r="AI366" s="62"/>
    </row>
    <row r="367" spans="2:35" s="24" customFormat="1" ht="13.8" x14ac:dyDescent="0.3">
      <c r="B367" s="38"/>
      <c r="E367" s="62"/>
      <c r="AG367" s="62"/>
      <c r="AH367" s="62"/>
      <c r="AI367" s="62"/>
    </row>
    <row r="368" spans="2:35" s="24" customFormat="1" ht="13.8" x14ac:dyDescent="0.3">
      <c r="B368" s="38"/>
      <c r="E368" s="62"/>
      <c r="AG368" s="62"/>
      <c r="AH368" s="62"/>
      <c r="AI368" s="62"/>
    </row>
    <row r="369" spans="2:35" s="24" customFormat="1" ht="13.8" x14ac:dyDescent="0.3">
      <c r="B369" s="38"/>
      <c r="E369" s="62"/>
      <c r="AG369" s="62"/>
      <c r="AH369" s="62"/>
      <c r="AI369" s="62"/>
    </row>
    <row r="370" spans="2:35" s="24" customFormat="1" ht="13.8" x14ac:dyDescent="0.3">
      <c r="B370" s="38"/>
      <c r="E370" s="62"/>
      <c r="AG370" s="62"/>
      <c r="AH370" s="62"/>
      <c r="AI370" s="62"/>
    </row>
    <row r="371" spans="2:35" s="24" customFormat="1" ht="13.8" x14ac:dyDescent="0.3">
      <c r="B371" s="38"/>
      <c r="E371" s="62"/>
      <c r="AG371" s="62"/>
      <c r="AH371" s="62"/>
      <c r="AI371" s="62"/>
    </row>
    <row r="372" spans="2:35" s="24" customFormat="1" ht="13.8" x14ac:dyDescent="0.3">
      <c r="B372" s="38"/>
      <c r="E372" s="62"/>
      <c r="AG372" s="62"/>
      <c r="AH372" s="62"/>
      <c r="AI372" s="62"/>
    </row>
    <row r="373" spans="2:35" s="24" customFormat="1" ht="13.8" x14ac:dyDescent="0.3">
      <c r="B373" s="38"/>
      <c r="E373" s="62"/>
      <c r="AG373" s="62"/>
      <c r="AH373" s="62"/>
      <c r="AI373" s="62"/>
    </row>
    <row r="374" spans="2:35" s="24" customFormat="1" ht="13.8" x14ac:dyDescent="0.3">
      <c r="B374" s="38"/>
      <c r="E374" s="62"/>
      <c r="AG374" s="62"/>
      <c r="AH374" s="62"/>
      <c r="AI374" s="62"/>
    </row>
    <row r="375" spans="2:35" s="24" customFormat="1" ht="13.8" x14ac:dyDescent="0.3">
      <c r="B375" s="38"/>
      <c r="E375" s="62"/>
      <c r="AG375" s="62"/>
      <c r="AH375" s="62"/>
      <c r="AI375" s="62"/>
    </row>
    <row r="376" spans="2:35" s="24" customFormat="1" ht="13.8" x14ac:dyDescent="0.3">
      <c r="B376" s="38"/>
      <c r="E376" s="62"/>
      <c r="AG376" s="62"/>
      <c r="AH376" s="62"/>
      <c r="AI376" s="62"/>
    </row>
  </sheetData>
  <sheetProtection algorithmName="SHA-512" hashValue="xSck+P1pdsW+rUbBbnLQ194mrv2UhSIbIbi2FutuiQb0GcI7Q9VBtfUOmwIfdslTbK0nBVVtQuk3poWnWZYyAA==" saltValue="pdzkar/YDh++LDf7/gSv/g==" spinCount="100000" sheet="1" formatCells="0" formatColumns="0" formatRows="0"/>
  <mergeCells count="10">
    <mergeCell ref="A149:C149"/>
    <mergeCell ref="G196:G197"/>
    <mergeCell ref="F196:F197"/>
    <mergeCell ref="E196:E197"/>
    <mergeCell ref="H194:H196"/>
    <mergeCell ref="B196:B197"/>
    <mergeCell ref="A189:C189"/>
    <mergeCell ref="A167:C167"/>
    <mergeCell ref="A181:C181"/>
    <mergeCell ref="A175:C175"/>
  </mergeCells>
  <phoneticPr fontId="9" type="noConversion"/>
  <dataValidations xWindow="959" yWindow="848" count="21">
    <dataValidation type="custom" allowBlank="1" showInputMessage="1" showErrorMessage="1" errorTitle="Error" error="This figure is fixed and therefore cannot be changed" promptTitle="Note" prompt="This value is fixed at 365 days/yr x 24 hrs/day= 8760 hrs per yr" sqref="C6" xr:uid="{4B60249F-4F6B-4E12-A3B6-D568E513F229}">
      <formula1>0</formula1>
    </dataValidation>
    <dataValidation allowBlank="1" showInputMessage="1" showErrorMessage="1" promptTitle="Note" prompt="Capacity Factor is the % representation of the actual production vs. the installed nameplate design capacity annual production of an energy project. " sqref="A7:B7" xr:uid="{9DEB216C-B8B5-41FD-B81B-C2C4127C4AFA}"/>
    <dataValidation type="list" allowBlank="1" showInputMessage="1" showErrorMessage="1" errorTitle="Error" error="Your entry is out of range. Please select from one of the % provided, i.e. 0%, 0,25%, 0,5%, 0,75% or 1,0%" promptTitle="Plant Annual Degradation Rate" prompt="Please select from the percentages provided, i.e., 0%, 0,25%, 0,5%, 0,75% or 1,0%" sqref="C15" xr:uid="{7838B212-1229-4345-9778-9D19B3D1F741}">
      <formula1>"0%,0.25%,0.5%,0.75%,1.0%"</formula1>
    </dataValidation>
    <dataValidation type="list" allowBlank="1" showInputMessage="1" showErrorMessage="1" errorTitle="Error" error="Unit of Measurement entered is not allowed. Please choose one from amongst: Kw or MW" promptTitle="Units" prompt="Please select unit of measurements, i.e. kW or MW" sqref="B6" xr:uid="{342D730D-1EBA-41D2-8EF9-ADA955DA9613}">
      <formula1>"kW,MW"</formula1>
    </dataValidation>
    <dataValidation type="list" allowBlank="1" showInputMessage="1" showErrorMessage="1" errorTitle="Error" error="The figure entered is outside the range. Please select from the allowed range" promptTitle="Useful life or License Period" prompt="Select the plant economic useful life or license period" sqref="C16" xr:uid="{A3BF37FB-1B48-40C1-873C-EDCC8377103E}">
      <formula1>"25,24,23,22,21,20,19,18,17,16,15,14,13,12,11,10,9,8,7,6,5"</formula1>
    </dataValidation>
    <dataValidation type="decimal" errorStyle="information" operator="greaterThanOrEqual" allowBlank="1" showInputMessage="1" showErrorMessage="1" errorTitle="Error" error="Amount received cannot be less than zero" promptTitle="Capital Subsidy" prompt="Enter the subsidy received that is used to reduce capital costs" sqref="C127" xr:uid="{1C734D0E-A94B-4E37-B094-64C0359F8D2C}">
      <formula1>0</formula1>
    </dataValidation>
    <dataValidation allowBlank="1" showInputMessage="1" showErrorMessage="1" promptTitle="Currency" prompt="Please enter your reporting currency" sqref="B24" xr:uid="{90D6824F-6FF1-444A-9FDD-2C4BEC8E4234}"/>
    <dataValidation type="custom" allowBlank="1" showInputMessage="1" showErrorMessage="1" error="Land is not depreciated" prompt="Land is not depreciated" sqref="E64 E100 E25 E82 E48" xr:uid="{3290C2C6-42C2-4D4A-9FE0-D93A5CED4AFB}">
      <formula1>0</formula1>
    </dataValidation>
    <dataValidation type="whole" operator="equal" allowBlank="1" showInputMessage="1" showErrorMessage="1" error="Total must be equal 100%" promptTitle="check" prompt="Total must be equal 100%" sqref="D172 L172 E205:F205" xr:uid="{05D175FC-68A7-47F2-BE44-33379D2DC574}">
      <formula1>1</formula1>
    </dataValidation>
    <dataValidation allowBlank="1" showInputMessage="1" showErrorMessage="1" promptTitle="Note: " prompt="Includes the cost and installation of assets relevant to the generation and supply of electricity" sqref="A21" xr:uid="{D319138A-E635-417A-84F4-EEE3E06C3530}"/>
    <dataValidation type="list" showInputMessage="1" showErrorMessage="1" errorTitle="Error Message" error="Please select and use one of the currencies provided_x000a_KES or USD or Euro or GBP" promptTitle="Select your currency" prompt="Select your currency" sqref="B218" xr:uid="{FD856813-1451-4AC6-8921-226C385B71F2}">
      <formula1>"Local currency, US$, Euro, GBP, CFA"</formula1>
    </dataValidation>
    <dataValidation type="list" showInputMessage="1" showErrorMessage="1" errorTitle="Error Message" error="Please select and use one of the currencies provided_x000a_KES or USD or Euro or GBP" promptTitle="Select your currency" prompt="Select your currency" sqref="B222" xr:uid="{718DE128-DA07-4619-A59E-9906E1DE7703}">
      <formula1>"currency, USD, Euro, GBP, CFA"</formula1>
    </dataValidation>
    <dataValidation type="list" allowBlank="1" showInputMessage="1" showErrorMessage="1" errorTitle="Error" error="Unit of Measurement entered is not allowed. Please choose one from amongst: Kw or MW" promptTitle="Units" prompt="Please select unit of measurements, i.e. kW or MW" sqref="B5" xr:uid="{69462090-7C09-43FB-8862-A45236E70CBC}">
      <formula1>"kWp,MWp"</formula1>
    </dataValidation>
    <dataValidation type="list" allowBlank="1" showInputMessage="1" showErrorMessage="1" sqref="A191" xr:uid="{E34B7DFC-BC2A-4054-93E6-83D8AEA8D350}">
      <formula1>"Construction Period-Solar,Construction Period-Wind,Construction Period-Hydro,Construction Period-Biomass, Construction Period-Hybrid System"</formula1>
    </dataValidation>
    <dataValidation allowBlank="1" showInputMessage="1" showErrorMessage="1" error="The total funding must be equal to the total assets" promptTitle="Check" prompt="The total funding must be equal to the total assets" sqref="C172" xr:uid="{E7561A68-A774-41DC-BE16-4DC710487534}"/>
    <dataValidation type="custom" allowBlank="1" showInputMessage="1" showErrorMessage="1" errorTitle="Note" error="These cells are locked._x000a_No inputs required." promptTitle="Locked cells" prompt="No input required" sqref="F24:AF128 AG126:AG128 AH24:AI128" xr:uid="{49410253-2C75-4227-8C36-6D48A75C89A1}">
      <formula1>0</formula1>
    </dataValidation>
    <dataValidation type="list" allowBlank="1" showInputMessage="1" showErrorMessage="1" sqref="C20" xr:uid="{F0824D70-E1A7-463B-9CB9-84D3CFFA8CE7}">
      <formula1>"currency,DZD,AOA,BWP,BIF,CVE,XAF,XOF,KMF,CDF,GMD,DJF,EGP,ERN,ETB,GHS,GNF,KES,LSL,LRD,LYD,SZL,MGA,MWK,MUR,MAD,MZN,NAD,NGN,MRU,ZWD,RWF,STN,SCR,SLL,SOS,ZAR,SSP,SDG,TZS,TND,UGX,ZMW,US$,Euro,GBP,CFA"</formula1>
    </dataValidation>
    <dataValidation promptTitle="Select your currency" prompt="Select your currency" sqref="B223:B226 B216:B217" xr:uid="{AB9A0BFF-BF99-431D-AE47-5491E0A4C8C7}"/>
    <dataValidation type="custom" allowBlank="1" showInputMessage="1" showErrorMessage="1" errorTitle="capacity check" error="Excess Capacity" promptTitle="Capacity check" prompt="check installed capacity against demand" sqref="D205 C209:G209" xr:uid="{F65DB8BE-DBC7-48FC-8CB0-4B4ADED764A6}">
      <formula1>IF(SUM(C198:C204)&gt;B14,SUM(C198:C204),"Excess Capacity")</formula1>
    </dataValidation>
    <dataValidation type="custom" allowBlank="1" showInputMessage="1" showErrorMessage="1" errorTitle="Error" error="No value cannot be entered in this cell. Please enter % of Equity funding" promptTitle="Note" prompt="This cell is a formulaic calculation. No input is required" sqref="K185:K187" xr:uid="{3C3EA56D-659B-4832-9170-683C8A3F4EB7}">
      <formula1>0</formula1>
    </dataValidation>
    <dataValidation allowBlank="1" showInputMessage="1" showErrorMessage="1" errorTitle="Error" error="No value cannot be entered in this cell. Please enter % of Equity funding" promptTitle="Note" prompt="This cell is a formulaic calculation. No input is required" sqref="H185" xr:uid="{098EA9AD-2DAA-449B-9DC2-1B85050BC76F}"/>
  </dataValidations>
  <pageMargins left="0.7" right="0.7" top="0.75" bottom="0.75" header="0.3" footer="0.3"/>
  <pageSetup paperSize="9" orientation="portrait" r:id="rId1"/>
  <ignoredErrors>
    <ignoredError sqref="C227 E24:E27 E47:E61 B216 C222 B228 H197 C191 F206:G206 D206:E206 H186:J186 G185:K185 G187 G186 K186 C173 E31:E42 I187:K187 E94:E97 E79 E63:E78 E80:E93 E98:E122" unlockedFormula="1"/>
    <ignoredError sqref="F205 D205" formula="1"/>
    <ignoredError sqref="E124 E127" evalError="1"/>
  </ignoredErrors>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2BA42-CA4F-4A13-9104-B2CD6E06435F}">
  <dimension ref="A1:FO175"/>
  <sheetViews>
    <sheetView topLeftCell="A7" workbookViewId="0">
      <selection activeCell="D34" sqref="D34"/>
    </sheetView>
  </sheetViews>
  <sheetFormatPr defaultColWidth="9.21875" defaultRowHeight="14.4" x14ac:dyDescent="0.3"/>
  <cols>
    <col min="1" max="1" width="35.77734375" style="34" customWidth="1"/>
    <col min="2" max="2" width="11.21875" style="34" customWidth="1"/>
    <col min="3" max="3" width="12.109375" style="34" customWidth="1"/>
    <col min="4" max="4" width="10.88671875" style="34" bestFit="1" customWidth="1"/>
    <col min="5" max="10" width="11.88671875" style="34" customWidth="1"/>
    <col min="11" max="16" width="10.33203125" style="34" bestFit="1" customWidth="1"/>
    <col min="17" max="18" width="11" style="34" bestFit="1" customWidth="1"/>
    <col min="19" max="20" width="10.88671875" style="34" bestFit="1" customWidth="1"/>
    <col min="21" max="28" width="11" style="34" bestFit="1" customWidth="1"/>
    <col min="29" max="29" width="10.33203125" style="34" bestFit="1" customWidth="1"/>
    <col min="30" max="16384" width="9.21875" style="34"/>
  </cols>
  <sheetData>
    <row r="1" spans="1:132" s="22" customFormat="1" ht="18" x14ac:dyDescent="0.35">
      <c r="A1" s="20" t="s">
        <v>320</v>
      </c>
      <c r="B1" s="21"/>
      <c r="C1" s="21"/>
      <c r="E1" s="23"/>
      <c r="AG1" s="23"/>
      <c r="AH1" s="23"/>
      <c r="AI1" s="23"/>
    </row>
    <row r="2" spans="1:132" x14ac:dyDescent="0.3">
      <c r="B2" s="252"/>
    </row>
    <row r="3" spans="1:132" s="38" customFormat="1" x14ac:dyDescent="0.3">
      <c r="A3" s="34"/>
      <c r="C3" s="132" t="s">
        <v>152</v>
      </c>
      <c r="D3" s="133">
        <v>1</v>
      </c>
      <c r="E3" s="133">
        <f>D3+1</f>
        <v>2</v>
      </c>
      <c r="F3" s="133">
        <f t="shared" ref="F3:AB3" si="0">E3+1</f>
        <v>3</v>
      </c>
      <c r="G3" s="133">
        <f t="shared" si="0"/>
        <v>4</v>
      </c>
      <c r="H3" s="133">
        <f t="shared" si="0"/>
        <v>5</v>
      </c>
      <c r="I3" s="133">
        <f t="shared" si="0"/>
        <v>6</v>
      </c>
      <c r="J3" s="133">
        <f t="shared" si="0"/>
        <v>7</v>
      </c>
      <c r="K3" s="133">
        <f t="shared" si="0"/>
        <v>8</v>
      </c>
      <c r="L3" s="133">
        <f t="shared" si="0"/>
        <v>9</v>
      </c>
      <c r="M3" s="133">
        <f t="shared" si="0"/>
        <v>10</v>
      </c>
      <c r="N3" s="133">
        <f t="shared" si="0"/>
        <v>11</v>
      </c>
      <c r="O3" s="133">
        <f t="shared" si="0"/>
        <v>12</v>
      </c>
      <c r="P3" s="133">
        <f t="shared" si="0"/>
        <v>13</v>
      </c>
      <c r="Q3" s="133">
        <f t="shared" si="0"/>
        <v>14</v>
      </c>
      <c r="R3" s="133">
        <f t="shared" si="0"/>
        <v>15</v>
      </c>
      <c r="S3" s="133">
        <f t="shared" si="0"/>
        <v>16</v>
      </c>
      <c r="T3" s="133">
        <f t="shared" si="0"/>
        <v>17</v>
      </c>
      <c r="U3" s="133">
        <f t="shared" si="0"/>
        <v>18</v>
      </c>
      <c r="V3" s="133">
        <f t="shared" si="0"/>
        <v>19</v>
      </c>
      <c r="W3" s="133">
        <f t="shared" si="0"/>
        <v>20</v>
      </c>
      <c r="X3" s="133">
        <f t="shared" si="0"/>
        <v>21</v>
      </c>
      <c r="Y3" s="133">
        <f t="shared" si="0"/>
        <v>22</v>
      </c>
      <c r="Z3" s="133">
        <f t="shared" si="0"/>
        <v>23</v>
      </c>
      <c r="AA3" s="133">
        <f t="shared" si="0"/>
        <v>24</v>
      </c>
      <c r="AB3" s="133">
        <f t="shared" si="0"/>
        <v>25</v>
      </c>
      <c r="AC3" s="134"/>
      <c r="AD3" s="134"/>
      <c r="AE3" s="134"/>
      <c r="AF3" s="134"/>
      <c r="AG3" s="134"/>
      <c r="AH3" s="134"/>
      <c r="AI3" s="134"/>
      <c r="AJ3" s="134"/>
      <c r="AK3" s="134"/>
      <c r="AL3" s="134"/>
      <c r="AM3" s="134"/>
      <c r="AN3" s="134"/>
      <c r="AO3" s="134"/>
      <c r="AP3" s="134"/>
      <c r="AQ3" s="134"/>
      <c r="AR3" s="134"/>
      <c r="AS3" s="134"/>
      <c r="AT3" s="134"/>
      <c r="AU3" s="134"/>
      <c r="AV3" s="134"/>
      <c r="AW3" s="134"/>
      <c r="AX3" s="134"/>
      <c r="AY3" s="134"/>
      <c r="AZ3" s="134"/>
      <c r="BA3" s="134"/>
      <c r="BB3" s="134"/>
      <c r="BC3" s="134"/>
      <c r="BD3" s="134"/>
      <c r="BE3" s="134"/>
      <c r="BF3" s="134"/>
      <c r="BG3" s="134"/>
      <c r="BH3" s="134"/>
      <c r="BI3" s="134"/>
      <c r="BJ3" s="134"/>
      <c r="BK3" s="134"/>
      <c r="BL3" s="134"/>
      <c r="BM3" s="134"/>
      <c r="BN3" s="134"/>
      <c r="BO3" s="134"/>
      <c r="BP3" s="134"/>
      <c r="BQ3" s="134"/>
      <c r="BR3" s="134"/>
      <c r="BS3" s="134"/>
      <c r="BT3" s="134"/>
      <c r="BU3" s="134"/>
      <c r="BV3" s="134"/>
      <c r="BW3" s="134"/>
      <c r="BX3" s="134"/>
      <c r="BY3" s="134"/>
      <c r="BZ3" s="134"/>
      <c r="CA3" s="134"/>
      <c r="CB3" s="134"/>
      <c r="CC3" s="134"/>
      <c r="CD3" s="134"/>
      <c r="CE3" s="134"/>
      <c r="CF3" s="134"/>
      <c r="CG3" s="134"/>
      <c r="CH3" s="134"/>
      <c r="CI3" s="134"/>
      <c r="CJ3" s="134"/>
      <c r="CK3" s="134"/>
      <c r="CL3" s="134"/>
      <c r="CM3" s="134"/>
      <c r="CN3" s="134"/>
      <c r="CO3" s="134"/>
      <c r="CP3" s="134"/>
      <c r="CQ3" s="134"/>
      <c r="CR3" s="134"/>
      <c r="CS3" s="134"/>
      <c r="CT3" s="134"/>
      <c r="CU3" s="134"/>
      <c r="CV3" s="134"/>
      <c r="CW3" s="134"/>
      <c r="CX3" s="134"/>
      <c r="CY3" s="134"/>
      <c r="CZ3" s="134"/>
      <c r="DA3" s="134"/>
      <c r="DB3" s="134"/>
      <c r="DC3" s="134"/>
      <c r="DD3" s="134"/>
      <c r="DE3" s="134"/>
      <c r="DF3" s="134"/>
      <c r="DG3" s="134"/>
      <c r="DH3" s="134"/>
      <c r="DI3" s="134"/>
      <c r="DJ3" s="134"/>
      <c r="DK3" s="134"/>
      <c r="DL3" s="134"/>
      <c r="DM3" s="134"/>
      <c r="DN3" s="134"/>
      <c r="DO3" s="134"/>
      <c r="DP3" s="134"/>
      <c r="DQ3" s="134"/>
      <c r="DR3" s="134"/>
      <c r="DS3" s="134"/>
      <c r="DT3" s="134"/>
      <c r="DU3" s="134"/>
      <c r="DV3" s="134"/>
      <c r="DW3" s="134"/>
      <c r="DX3" s="134"/>
      <c r="DY3" s="134"/>
      <c r="DZ3" s="134"/>
      <c r="EA3" s="134"/>
      <c r="EB3" s="134"/>
    </row>
    <row r="4" spans="1:132" s="134" customFormat="1" x14ac:dyDescent="0.3">
      <c r="A4" s="34"/>
      <c r="B4" s="253"/>
      <c r="C4" s="253"/>
      <c r="D4" s="254"/>
      <c r="E4" s="254"/>
      <c r="F4" s="254"/>
      <c r="G4" s="254"/>
      <c r="H4" s="254"/>
      <c r="I4" s="254"/>
      <c r="J4" s="254"/>
      <c r="K4" s="254"/>
      <c r="L4" s="254"/>
      <c r="M4" s="254"/>
      <c r="N4" s="254"/>
      <c r="O4" s="254"/>
      <c r="P4" s="254"/>
      <c r="Q4" s="254"/>
      <c r="R4" s="254"/>
      <c r="S4" s="254"/>
      <c r="T4" s="254"/>
      <c r="U4" s="254"/>
      <c r="V4" s="254"/>
      <c r="W4" s="254"/>
      <c r="X4" s="254"/>
      <c r="Y4" s="254"/>
      <c r="Z4" s="254"/>
      <c r="AA4" s="254"/>
      <c r="AB4" s="254"/>
    </row>
    <row r="5" spans="1:132" s="38" customFormat="1" ht="13.8" x14ac:dyDescent="0.3">
      <c r="A5" s="255" t="s">
        <v>416</v>
      </c>
      <c r="B5" s="47"/>
      <c r="C5" s="47"/>
      <c r="D5" s="37"/>
      <c r="E5" s="37"/>
      <c r="F5" s="37"/>
      <c r="G5" s="37"/>
      <c r="H5" s="37"/>
      <c r="I5" s="37"/>
      <c r="J5" s="37"/>
      <c r="K5" s="37"/>
      <c r="L5" s="37"/>
      <c r="M5" s="37"/>
      <c r="N5" s="37"/>
      <c r="O5" s="37"/>
      <c r="P5" s="37"/>
      <c r="Q5" s="37"/>
      <c r="R5" s="37"/>
      <c r="S5" s="37"/>
      <c r="T5" s="37"/>
      <c r="U5" s="37"/>
      <c r="V5" s="37"/>
      <c r="W5" s="37"/>
      <c r="X5" s="37"/>
      <c r="Y5" s="37"/>
      <c r="Z5" s="37"/>
      <c r="AA5" s="37"/>
      <c r="AB5" s="37"/>
      <c r="AC5" s="134"/>
      <c r="AD5" s="134"/>
      <c r="AE5" s="134"/>
      <c r="AF5" s="134"/>
      <c r="AG5" s="134"/>
      <c r="AH5" s="134"/>
      <c r="AI5" s="134"/>
      <c r="AJ5" s="134"/>
      <c r="AK5" s="134"/>
      <c r="AL5" s="134"/>
      <c r="AM5" s="134"/>
      <c r="AN5" s="134"/>
      <c r="AO5" s="134"/>
      <c r="AP5" s="134"/>
      <c r="AQ5" s="134"/>
      <c r="AR5" s="134"/>
      <c r="AS5" s="134"/>
      <c r="AT5" s="134"/>
      <c r="AU5" s="134"/>
      <c r="AV5" s="134"/>
      <c r="AW5" s="134"/>
      <c r="AX5" s="134"/>
      <c r="AY5" s="134"/>
      <c r="AZ5" s="134"/>
      <c r="BA5" s="134"/>
      <c r="BB5" s="134"/>
      <c r="BC5" s="134"/>
      <c r="BD5" s="134"/>
      <c r="BE5" s="134"/>
      <c r="BF5" s="134"/>
      <c r="BG5" s="134"/>
      <c r="BH5" s="134"/>
      <c r="BI5" s="134"/>
      <c r="BJ5" s="134"/>
      <c r="BK5" s="134"/>
      <c r="BL5" s="134"/>
      <c r="BM5" s="134"/>
      <c r="BN5" s="134"/>
      <c r="BO5" s="134"/>
      <c r="BP5" s="134"/>
      <c r="BQ5" s="134"/>
      <c r="BR5" s="134"/>
      <c r="BS5" s="134"/>
      <c r="BT5" s="134"/>
      <c r="BU5" s="134"/>
      <c r="BV5" s="134"/>
      <c r="BW5" s="134"/>
      <c r="BX5" s="134"/>
      <c r="BY5" s="134"/>
      <c r="BZ5" s="134"/>
      <c r="CA5" s="134"/>
      <c r="CB5" s="134"/>
      <c r="CC5" s="134"/>
      <c r="CD5" s="134"/>
      <c r="CE5" s="134"/>
      <c r="CF5" s="134"/>
      <c r="CG5" s="134"/>
      <c r="CH5" s="134"/>
      <c r="CI5" s="134"/>
      <c r="CJ5" s="134"/>
      <c r="CK5" s="134"/>
      <c r="CL5" s="134"/>
      <c r="CM5" s="134"/>
      <c r="CN5" s="134"/>
      <c r="CO5" s="134"/>
      <c r="CP5" s="134"/>
      <c r="CQ5" s="134"/>
      <c r="CR5" s="134"/>
      <c r="CS5" s="134"/>
      <c r="CT5" s="134"/>
      <c r="CU5" s="134"/>
      <c r="CV5" s="134"/>
      <c r="CW5" s="134"/>
      <c r="CX5" s="134"/>
      <c r="CY5" s="134"/>
      <c r="CZ5" s="134"/>
      <c r="DA5" s="134"/>
      <c r="DB5" s="134"/>
      <c r="DC5" s="134"/>
      <c r="DD5" s="134"/>
      <c r="DE5" s="134"/>
      <c r="DF5" s="134"/>
      <c r="DG5" s="134"/>
      <c r="DH5" s="134"/>
      <c r="DI5" s="134"/>
      <c r="DJ5" s="134"/>
      <c r="DK5" s="134"/>
      <c r="DL5" s="134"/>
      <c r="DM5" s="134"/>
      <c r="DN5" s="134"/>
      <c r="DO5" s="134"/>
      <c r="DP5" s="134"/>
      <c r="DQ5" s="134"/>
      <c r="DR5" s="134"/>
      <c r="DS5" s="134"/>
      <c r="DT5" s="134"/>
      <c r="DU5" s="134"/>
      <c r="DV5" s="134"/>
      <c r="DW5" s="134"/>
      <c r="DX5" s="134"/>
      <c r="DY5" s="134"/>
      <c r="DZ5" s="134"/>
      <c r="EA5" s="134"/>
      <c r="EB5" s="134"/>
    </row>
    <row r="6" spans="1:132" x14ac:dyDescent="0.3">
      <c r="A6" s="152"/>
      <c r="B6" s="256" t="s">
        <v>49</v>
      </c>
      <c r="C6" s="256"/>
      <c r="D6" s="257" t="s">
        <v>124</v>
      </c>
      <c r="AC6" s="134"/>
      <c r="AD6" s="134"/>
      <c r="AE6" s="134"/>
      <c r="AF6" s="134"/>
      <c r="AG6" s="134"/>
      <c r="AH6" s="134"/>
      <c r="AI6" s="134"/>
      <c r="AJ6" s="134"/>
      <c r="AK6" s="134"/>
      <c r="AL6" s="134"/>
    </row>
    <row r="7" spans="1:132" s="38" customFormat="1" ht="13.8" x14ac:dyDescent="0.3">
      <c r="A7" s="258" t="s">
        <v>157</v>
      </c>
      <c r="B7" s="259" t="s">
        <v>88</v>
      </c>
      <c r="C7" s="211"/>
      <c r="D7" s="212">
        <f>Inputs!C14</f>
        <v>375688.36800000002</v>
      </c>
      <c r="E7" s="212"/>
      <c r="F7" s="212"/>
      <c r="G7" s="212"/>
      <c r="H7" s="212"/>
      <c r="I7" s="212"/>
      <c r="J7" s="212"/>
      <c r="K7" s="212"/>
      <c r="L7" s="212"/>
      <c r="M7" s="212"/>
      <c r="N7" s="212"/>
      <c r="O7" s="212"/>
      <c r="P7" s="212"/>
      <c r="Q7" s="212"/>
      <c r="R7" s="212"/>
      <c r="S7" s="212"/>
      <c r="T7" s="212"/>
      <c r="U7" s="212"/>
      <c r="V7" s="212"/>
      <c r="W7" s="212"/>
      <c r="X7" s="212"/>
      <c r="Y7" s="212"/>
      <c r="Z7" s="212"/>
      <c r="AA7" s="212"/>
      <c r="AB7" s="212"/>
      <c r="AC7" s="134"/>
      <c r="AD7" s="134"/>
      <c r="AE7" s="134"/>
      <c r="AF7" s="134"/>
      <c r="AG7" s="134"/>
      <c r="AH7" s="134"/>
      <c r="AI7" s="134"/>
      <c r="AJ7" s="134"/>
      <c r="AK7" s="134"/>
      <c r="AL7" s="134"/>
      <c r="AM7" s="134"/>
      <c r="AN7" s="134"/>
      <c r="AO7" s="134"/>
      <c r="AP7" s="134"/>
      <c r="AQ7" s="134"/>
      <c r="AR7" s="134"/>
      <c r="AS7" s="134"/>
      <c r="AT7" s="134"/>
      <c r="AU7" s="134"/>
      <c r="AV7" s="134"/>
      <c r="AW7" s="134"/>
      <c r="AX7" s="134"/>
      <c r="AY7" s="134"/>
      <c r="AZ7" s="134"/>
      <c r="BA7" s="134"/>
      <c r="BB7" s="134"/>
      <c r="BC7" s="134"/>
      <c r="BD7" s="134"/>
      <c r="BE7" s="134"/>
      <c r="BF7" s="134"/>
      <c r="BG7" s="134"/>
      <c r="BH7" s="134"/>
      <c r="BI7" s="134"/>
      <c r="BJ7" s="134"/>
      <c r="BK7" s="134"/>
      <c r="BL7" s="134"/>
      <c r="BM7" s="134"/>
      <c r="BN7" s="134"/>
      <c r="BO7" s="134"/>
      <c r="BP7" s="134"/>
      <c r="BQ7" s="134"/>
      <c r="BR7" s="134"/>
      <c r="BS7" s="134"/>
      <c r="BT7" s="134"/>
      <c r="BU7" s="134"/>
      <c r="BV7" s="134"/>
      <c r="BW7" s="134"/>
      <c r="BX7" s="134"/>
      <c r="BY7" s="134"/>
      <c r="BZ7" s="134"/>
      <c r="CA7" s="134"/>
      <c r="CB7" s="134"/>
      <c r="CC7" s="134"/>
      <c r="CD7" s="134"/>
      <c r="CE7" s="134"/>
      <c r="CF7" s="134"/>
      <c r="CG7" s="134"/>
      <c r="CH7" s="134"/>
      <c r="CI7" s="134"/>
      <c r="CJ7" s="134"/>
      <c r="CK7" s="134"/>
      <c r="CL7" s="134"/>
      <c r="CM7" s="134"/>
      <c r="CN7" s="134"/>
      <c r="CO7" s="134"/>
      <c r="CP7" s="134"/>
      <c r="CQ7" s="134"/>
      <c r="CR7" s="134"/>
      <c r="CS7" s="134"/>
      <c r="CT7" s="134"/>
      <c r="CU7" s="134"/>
      <c r="CV7" s="134"/>
      <c r="CW7" s="134"/>
      <c r="CX7" s="134"/>
      <c r="CY7" s="134"/>
      <c r="CZ7" s="134"/>
      <c r="DA7" s="134"/>
      <c r="DB7" s="134"/>
      <c r="DC7" s="134"/>
      <c r="DD7" s="134"/>
      <c r="DE7" s="134"/>
      <c r="DF7" s="134"/>
      <c r="DG7" s="134"/>
      <c r="DH7" s="134"/>
      <c r="DI7" s="134"/>
      <c r="DJ7" s="134"/>
      <c r="DK7" s="134"/>
      <c r="DL7" s="134"/>
      <c r="DM7" s="134"/>
      <c r="DN7" s="134"/>
      <c r="DO7" s="134"/>
      <c r="DP7" s="134"/>
      <c r="DQ7" s="134"/>
      <c r="DR7" s="134"/>
      <c r="DS7" s="134"/>
      <c r="DT7" s="134"/>
      <c r="DU7" s="134"/>
      <c r="DV7" s="134"/>
      <c r="DW7" s="134"/>
      <c r="DX7" s="134"/>
      <c r="DY7" s="134"/>
      <c r="DZ7" s="134"/>
      <c r="EA7" s="134"/>
      <c r="EB7" s="134"/>
    </row>
    <row r="8" spans="1:132" s="38" customFormat="1" ht="13.8" x14ac:dyDescent="0.3">
      <c r="A8" s="262" t="s">
        <v>153</v>
      </c>
      <c r="B8" s="263" t="s">
        <v>88</v>
      </c>
      <c r="C8" s="10"/>
      <c r="D8" s="10"/>
      <c r="E8" s="10">
        <f>IF(E3&lt;=Inputs!$C$16,-ROUNDUP(D9*Inputs!$C$15,0),0)</f>
        <v>-940</v>
      </c>
      <c r="F8" s="10">
        <f>IF(F3&lt;=Inputs!$C$16,-ROUNDUP(E9*Inputs!$C$15,0),0)</f>
        <v>-937</v>
      </c>
      <c r="G8" s="10">
        <f>IF(G3&lt;=Inputs!$C$16,-ROUNDUP(F9*Inputs!$C$15,0),0)</f>
        <v>-935</v>
      </c>
      <c r="H8" s="10">
        <f>IF(H3&lt;=Inputs!$C$16,-ROUNDUP(G9*Inputs!$C$15,0),0)</f>
        <v>-933</v>
      </c>
      <c r="I8" s="10">
        <f>IF(I3&lt;=Inputs!$C$16,-ROUNDUP(H9*Inputs!$C$15,0),0)</f>
        <v>-930</v>
      </c>
      <c r="J8" s="10">
        <f>IF(J3&lt;=Inputs!$C$16,-ROUNDUP(I9*Inputs!$C$15,0),0)</f>
        <v>-928</v>
      </c>
      <c r="K8" s="10">
        <f>IF(K3&lt;=Inputs!$C$16,-ROUNDUP(J9*Inputs!$C$15,0),0)</f>
        <v>-926</v>
      </c>
      <c r="L8" s="10">
        <f>IF(L3&lt;=Inputs!$C$16,-ROUNDUP(K9*Inputs!$C$15,0),0)</f>
        <v>-923</v>
      </c>
      <c r="M8" s="10">
        <f>IF(M3&lt;=Inputs!$C$16,-ROUNDUP(L9*Inputs!$C$15,0),0)</f>
        <v>-921</v>
      </c>
      <c r="N8" s="10">
        <f>IF(N3&lt;=Inputs!$C$16,-ROUNDUP(M9*Inputs!$C$15,0),0)</f>
        <v>-919</v>
      </c>
      <c r="O8" s="10">
        <f>IF(O3&lt;=Inputs!$C$16,-ROUNDUP(N9*Inputs!$C$15,0),0)</f>
        <v>-916</v>
      </c>
      <c r="P8" s="10">
        <f>IF(P3&lt;=Inputs!$C$16,-ROUNDUP(O9*Inputs!$C$15,0),0)</f>
        <v>-914</v>
      </c>
      <c r="Q8" s="10">
        <f>IF(Q3&lt;=Inputs!$C$16,-ROUNDUP(P9*Inputs!$C$15,0),0)</f>
        <v>-912</v>
      </c>
      <c r="R8" s="10">
        <f>IF(R3&lt;=Inputs!$C$16,-ROUNDUP(Q9*Inputs!$C$15,0),0)</f>
        <v>-910</v>
      </c>
      <c r="S8" s="10">
        <f>IF(S3&lt;=Inputs!$C$16,-ROUNDUP(R9*Inputs!$C$15,0),0)</f>
        <v>-907</v>
      </c>
      <c r="T8" s="10">
        <f>IF(T3&lt;=Inputs!$C$16,-ROUNDUP(S9*Inputs!$C$15,0),0)</f>
        <v>-905</v>
      </c>
      <c r="U8" s="10">
        <f>IF(U3&lt;=Inputs!$C$16,-ROUNDUP(T9*Inputs!$C$15,0),0)</f>
        <v>-903</v>
      </c>
      <c r="V8" s="10">
        <f>IF(V3&lt;=Inputs!$C$16,-ROUNDUP(U9*Inputs!$C$15,0),0)</f>
        <v>-901</v>
      </c>
      <c r="W8" s="10">
        <f>IF(W3&lt;=Inputs!$C$16,-ROUNDUP(V9*Inputs!$C$15,0),0)</f>
        <v>-898</v>
      </c>
      <c r="X8" s="10">
        <f>IF(X3&lt;=Inputs!$C$16,-ROUNDUP(W9*Inputs!$C$15,0),0)</f>
        <v>-896</v>
      </c>
      <c r="Y8" s="10">
        <f>IF(Y3&lt;=Inputs!$C$16,-ROUNDUP(X9*Inputs!$C$15,0),0)</f>
        <v>-894</v>
      </c>
      <c r="Z8" s="10">
        <f>IF(Z3&lt;=Inputs!$C$16,-ROUNDUP(Y9*Inputs!$C$15,0),0)</f>
        <v>-892</v>
      </c>
      <c r="AA8" s="10">
        <f>IF(AA3&lt;=Inputs!$C$16,-ROUNDUP(Z9*Inputs!$C$15,0),0)</f>
        <v>-889</v>
      </c>
      <c r="AB8" s="10">
        <f>IF(AB3&lt;=Inputs!$C$16,-ROUNDUP(AA9*Inputs!$C$15,0),0)</f>
        <v>-887</v>
      </c>
      <c r="AC8" s="134"/>
      <c r="AD8" s="134"/>
      <c r="AE8" s="134"/>
      <c r="AF8" s="134"/>
      <c r="AG8" s="134"/>
      <c r="AH8" s="134"/>
      <c r="AI8" s="134"/>
      <c r="AJ8" s="134"/>
      <c r="AK8" s="134"/>
      <c r="AL8" s="134"/>
      <c r="AM8" s="134"/>
      <c r="AN8" s="134"/>
      <c r="AO8" s="134"/>
      <c r="AP8" s="134"/>
      <c r="AQ8" s="134"/>
      <c r="AR8" s="134"/>
      <c r="AS8" s="134"/>
      <c r="AT8" s="134"/>
      <c r="AU8" s="134"/>
      <c r="AV8" s="134"/>
      <c r="AW8" s="134"/>
      <c r="AX8" s="134"/>
      <c r="AY8" s="134"/>
      <c r="AZ8" s="134"/>
      <c r="BA8" s="134"/>
      <c r="BB8" s="134"/>
      <c r="BC8" s="134"/>
      <c r="BD8" s="134"/>
      <c r="BE8" s="134"/>
      <c r="BF8" s="134"/>
      <c r="BG8" s="134"/>
      <c r="BH8" s="134"/>
      <c r="BI8" s="134"/>
      <c r="BJ8" s="134"/>
      <c r="BK8" s="134"/>
      <c r="BL8" s="134"/>
      <c r="BM8" s="134"/>
      <c r="BN8" s="134"/>
      <c r="BO8" s="134"/>
      <c r="BP8" s="134"/>
      <c r="BQ8" s="134"/>
      <c r="BR8" s="134"/>
      <c r="BS8" s="134"/>
      <c r="BT8" s="134"/>
      <c r="BU8" s="134"/>
      <c r="BV8" s="134"/>
      <c r="BW8" s="134"/>
      <c r="BX8" s="134"/>
      <c r="BY8" s="134"/>
      <c r="BZ8" s="134"/>
      <c r="CA8" s="134"/>
      <c r="CB8" s="134"/>
      <c r="CC8" s="134"/>
      <c r="CD8" s="134"/>
      <c r="CE8" s="134"/>
      <c r="CF8" s="134"/>
      <c r="CG8" s="134"/>
      <c r="CH8" s="134"/>
      <c r="CI8" s="134"/>
      <c r="CJ8" s="134"/>
      <c r="CK8" s="134"/>
      <c r="CL8" s="134"/>
      <c r="CM8" s="134"/>
      <c r="CN8" s="134"/>
      <c r="CO8" s="134"/>
      <c r="CP8" s="134"/>
      <c r="CQ8" s="134"/>
      <c r="CR8" s="134"/>
      <c r="CS8" s="134"/>
      <c r="CT8" s="134"/>
      <c r="CU8" s="134"/>
      <c r="CV8" s="134"/>
      <c r="CW8" s="134"/>
      <c r="CX8" s="134"/>
      <c r="CY8" s="134"/>
      <c r="CZ8" s="134"/>
      <c r="DA8" s="134"/>
      <c r="DB8" s="134"/>
      <c r="DC8" s="134"/>
      <c r="DD8" s="134"/>
      <c r="DE8" s="134"/>
      <c r="DF8" s="134"/>
      <c r="DG8" s="134"/>
      <c r="DH8" s="134"/>
      <c r="DI8" s="134"/>
      <c r="DJ8" s="134"/>
      <c r="DK8" s="134"/>
      <c r="DL8" s="134"/>
      <c r="DM8" s="134"/>
      <c r="DN8" s="134"/>
      <c r="DO8" s="134"/>
      <c r="DP8" s="134"/>
      <c r="DQ8" s="134"/>
      <c r="DR8" s="134"/>
      <c r="DS8" s="134"/>
      <c r="DT8" s="134"/>
      <c r="DU8" s="134"/>
      <c r="DV8" s="134"/>
      <c r="DW8" s="134"/>
      <c r="DX8" s="134"/>
      <c r="DY8" s="134"/>
      <c r="DZ8" s="134"/>
      <c r="EA8" s="134"/>
      <c r="EB8" s="134"/>
    </row>
    <row r="9" spans="1:132" s="38" customFormat="1" thickBot="1" x14ac:dyDescent="0.35">
      <c r="A9" s="264" t="s">
        <v>156</v>
      </c>
      <c r="B9" s="265" t="s">
        <v>88</v>
      </c>
      <c r="C9" s="213"/>
      <c r="D9" s="213">
        <f>IF(D3&lt;=Inputs!$C16,SUM(D7:D8),0)</f>
        <v>375688.36800000002</v>
      </c>
      <c r="E9" s="213">
        <f>IF(E3&lt;=Inputs!$C16,(D9+SUM(E7:E8)),0)</f>
        <v>374748.36800000002</v>
      </c>
      <c r="F9" s="213">
        <f>IF(F3&lt;=Inputs!$C16,(E9+SUM(F7:F8)),0)</f>
        <v>373811.36800000002</v>
      </c>
      <c r="G9" s="213">
        <f>IF(G3&lt;=Inputs!$C16,(F9+SUM(G7:G8)),0)</f>
        <v>372876.36800000002</v>
      </c>
      <c r="H9" s="213">
        <f>IF(H3&lt;=Inputs!$C16,(G9+SUM(H7:H8)),0)</f>
        <v>371943.36800000002</v>
      </c>
      <c r="I9" s="213">
        <f>IF(I3&lt;=Inputs!$C16,(H9+SUM(I7:I8)),0)</f>
        <v>371013.36800000002</v>
      </c>
      <c r="J9" s="213">
        <f>IF(J3&lt;=Inputs!$C16,(I9+SUM(J7:J8)),0)</f>
        <v>370085.36800000002</v>
      </c>
      <c r="K9" s="213">
        <f>IF(K3&lt;=Inputs!$C16,(J9+SUM(K7:K8)),0)</f>
        <v>369159.36800000002</v>
      </c>
      <c r="L9" s="213">
        <f>IF(L3&lt;=Inputs!$C16,(K9+SUM(L7:L8)),0)</f>
        <v>368236.36800000002</v>
      </c>
      <c r="M9" s="213">
        <f>IF(M3&lt;=Inputs!$C16,(L9+SUM(M7:M8)),0)</f>
        <v>367315.36800000002</v>
      </c>
      <c r="N9" s="213">
        <f>IF(N3&lt;=Inputs!$C16,(M9+SUM(N7:N8)),0)</f>
        <v>366396.36800000002</v>
      </c>
      <c r="O9" s="213">
        <f>IF(O3&lt;=Inputs!$C16,(N9+SUM(O7:O8)),0)</f>
        <v>365480.36800000002</v>
      </c>
      <c r="P9" s="213">
        <f>IF(P3&lt;=Inputs!$C16,(O9+SUM(P7:P8)),0)</f>
        <v>364566.36800000002</v>
      </c>
      <c r="Q9" s="213">
        <f>IF(Q3&lt;=Inputs!$C16,(P9+SUM(Q7:Q8)),0)</f>
        <v>363654.36800000002</v>
      </c>
      <c r="R9" s="213">
        <f>IF(R3&lt;=Inputs!$C16,(Q9+SUM(R7:R8)),0)</f>
        <v>362744.36800000002</v>
      </c>
      <c r="S9" s="213">
        <f>IF(S3&lt;=Inputs!$C16,(R9+SUM(S7:S8)),0)</f>
        <v>361837.36800000002</v>
      </c>
      <c r="T9" s="213">
        <f>IF(T3&lt;=Inputs!$C16,(S9+SUM(T7:T8)),0)</f>
        <v>360932.36800000002</v>
      </c>
      <c r="U9" s="213">
        <f>IF(U3&lt;=Inputs!$C16,(T9+SUM(U7:U8)),0)</f>
        <v>360029.36800000002</v>
      </c>
      <c r="V9" s="213">
        <f>IF(V3&lt;=Inputs!$C16,(U9+SUM(V7:V8)),0)</f>
        <v>359128.36800000002</v>
      </c>
      <c r="W9" s="213">
        <f>IF(W3&lt;=Inputs!$C16,(V9+SUM(W7:W8)),0)</f>
        <v>358230.36800000002</v>
      </c>
      <c r="X9" s="213">
        <f>IF(X3&lt;=Inputs!$C16,(W9+SUM(X7:X8)),0)</f>
        <v>357334.36800000002</v>
      </c>
      <c r="Y9" s="213">
        <f>IF(Y3&lt;=Inputs!$C16,(X9+SUM(Y7:Y8)),0)</f>
        <v>356440.36800000002</v>
      </c>
      <c r="Z9" s="213">
        <f>IF(Z3&lt;=Inputs!$C16,(Y9+SUM(Z7:Z8)),0)</f>
        <v>355548.36800000002</v>
      </c>
      <c r="AA9" s="213">
        <f>IF(AA3&lt;=Inputs!$C16,(Z9+SUM(AA7:AA8)),0)</f>
        <v>354659.36800000002</v>
      </c>
      <c r="AB9" s="213">
        <f>IF(AB3&lt;=Inputs!$C16,(AA9+SUM(AB7:AB8)),0)</f>
        <v>353772.36800000002</v>
      </c>
      <c r="AC9" s="134"/>
      <c r="AD9" s="134"/>
      <c r="AE9" s="134"/>
      <c r="AF9" s="134"/>
      <c r="AG9" s="134"/>
      <c r="AH9" s="134"/>
      <c r="AI9" s="134"/>
      <c r="AJ9" s="134"/>
      <c r="AK9" s="134"/>
      <c r="AL9" s="134"/>
      <c r="AM9" s="134"/>
      <c r="AN9" s="134"/>
      <c r="AO9" s="134"/>
      <c r="AP9" s="134"/>
      <c r="AQ9" s="134"/>
      <c r="AR9" s="134"/>
      <c r="AS9" s="134"/>
      <c r="AT9" s="134"/>
      <c r="AU9" s="134"/>
      <c r="AV9" s="134"/>
      <c r="AW9" s="134"/>
      <c r="AX9" s="134"/>
      <c r="AY9" s="134"/>
      <c r="AZ9" s="134"/>
      <c r="BA9" s="134"/>
      <c r="BB9" s="134"/>
      <c r="BC9" s="134"/>
      <c r="BD9" s="134"/>
      <c r="BE9" s="134"/>
      <c r="BF9" s="134"/>
      <c r="BG9" s="134"/>
      <c r="BH9" s="134"/>
      <c r="BI9" s="134"/>
      <c r="BJ9" s="134"/>
      <c r="BK9" s="134"/>
      <c r="BL9" s="134"/>
      <c r="BM9" s="134"/>
      <c r="BN9" s="134"/>
      <c r="BO9" s="134"/>
      <c r="BP9" s="134"/>
      <c r="BQ9" s="134"/>
      <c r="BR9" s="134"/>
      <c r="BS9" s="134"/>
      <c r="BT9" s="134"/>
      <c r="BU9" s="134"/>
      <c r="BV9" s="134"/>
      <c r="BW9" s="134"/>
      <c r="BX9" s="134"/>
      <c r="BY9" s="134"/>
      <c r="BZ9" s="134"/>
      <c r="CA9" s="134"/>
      <c r="CB9" s="134"/>
      <c r="CC9" s="134"/>
      <c r="CD9" s="134"/>
      <c r="CE9" s="134"/>
      <c r="CF9" s="134"/>
      <c r="CG9" s="134"/>
      <c r="CH9" s="134"/>
      <c r="CI9" s="134"/>
      <c r="CJ9" s="134"/>
      <c r="CK9" s="134"/>
      <c r="CL9" s="134"/>
      <c r="CM9" s="134"/>
      <c r="CN9" s="134"/>
      <c r="CO9" s="134"/>
      <c r="CP9" s="134"/>
      <c r="CQ9" s="134"/>
      <c r="CR9" s="134"/>
      <c r="CS9" s="134"/>
      <c r="CT9" s="134"/>
      <c r="CU9" s="134"/>
      <c r="CV9" s="134"/>
      <c r="CW9" s="134"/>
      <c r="CX9" s="134"/>
      <c r="CY9" s="134"/>
      <c r="CZ9" s="134"/>
      <c r="DA9" s="134"/>
      <c r="DB9" s="134"/>
      <c r="DC9" s="134"/>
      <c r="DD9" s="134"/>
      <c r="DE9" s="134"/>
      <c r="DF9" s="134"/>
      <c r="DG9" s="134"/>
      <c r="DH9" s="134"/>
      <c r="DI9" s="134"/>
      <c r="DJ9" s="134"/>
      <c r="DK9" s="134"/>
      <c r="DL9" s="134"/>
      <c r="DM9" s="134"/>
      <c r="DN9" s="134"/>
      <c r="DO9" s="134"/>
      <c r="DP9" s="134"/>
      <c r="DQ9" s="134"/>
      <c r="DR9" s="134"/>
      <c r="DS9" s="134"/>
      <c r="DT9" s="134"/>
      <c r="DU9" s="134"/>
      <c r="DV9" s="134"/>
      <c r="DW9" s="134"/>
      <c r="DX9" s="134"/>
      <c r="DY9" s="134"/>
      <c r="DZ9" s="134"/>
      <c r="EA9" s="134"/>
      <c r="EB9" s="134"/>
    </row>
    <row r="10" spans="1:132" s="38" customFormat="1" thickTop="1" x14ac:dyDescent="0.3">
      <c r="A10" s="266" t="s">
        <v>158</v>
      </c>
      <c r="B10" s="263" t="s">
        <v>88</v>
      </c>
      <c r="C10" s="214"/>
      <c r="D10" s="215">
        <f>D9</f>
        <v>375688.36800000002</v>
      </c>
      <c r="E10" s="215">
        <f>D10+E9</f>
        <v>750436.73600000003</v>
      </c>
      <c r="F10" s="215">
        <f>E10+F9</f>
        <v>1124248.1040000001</v>
      </c>
      <c r="G10" s="215">
        <f t="shared" ref="G10:AB10" si="1">F10+G9</f>
        <v>1497124.4720000001</v>
      </c>
      <c r="H10" s="215">
        <f t="shared" si="1"/>
        <v>1869067.84</v>
      </c>
      <c r="I10" s="215">
        <f t="shared" si="1"/>
        <v>2240081.2080000001</v>
      </c>
      <c r="J10" s="215">
        <f t="shared" si="1"/>
        <v>2610166.5760000004</v>
      </c>
      <c r="K10" s="215">
        <f t="shared" si="1"/>
        <v>2979325.9440000001</v>
      </c>
      <c r="L10" s="215">
        <f t="shared" si="1"/>
        <v>3347562.3119999999</v>
      </c>
      <c r="M10" s="215">
        <f t="shared" si="1"/>
        <v>3714877.6799999997</v>
      </c>
      <c r="N10" s="215">
        <f t="shared" si="1"/>
        <v>4081274.0479999995</v>
      </c>
      <c r="O10" s="215">
        <f t="shared" si="1"/>
        <v>4446754.4159999993</v>
      </c>
      <c r="P10" s="215">
        <f t="shared" si="1"/>
        <v>4811320.7839999991</v>
      </c>
      <c r="Q10" s="215">
        <f t="shared" si="1"/>
        <v>5174975.1519999988</v>
      </c>
      <c r="R10" s="215">
        <f t="shared" si="1"/>
        <v>5537719.5199999986</v>
      </c>
      <c r="S10" s="215">
        <f t="shared" si="1"/>
        <v>5899556.8879999984</v>
      </c>
      <c r="T10" s="215">
        <f t="shared" si="1"/>
        <v>6260489.2559999982</v>
      </c>
      <c r="U10" s="215">
        <f t="shared" si="1"/>
        <v>6620518.623999998</v>
      </c>
      <c r="V10" s="215">
        <f t="shared" si="1"/>
        <v>6979646.9919999978</v>
      </c>
      <c r="W10" s="215">
        <f t="shared" si="1"/>
        <v>7337877.3599999975</v>
      </c>
      <c r="X10" s="215">
        <f t="shared" si="1"/>
        <v>7695211.7279999973</v>
      </c>
      <c r="Y10" s="215">
        <f t="shared" si="1"/>
        <v>8051652.0959999971</v>
      </c>
      <c r="Z10" s="215">
        <f t="shared" si="1"/>
        <v>8407200.4639999978</v>
      </c>
      <c r="AA10" s="215">
        <f t="shared" si="1"/>
        <v>8761859.8319999985</v>
      </c>
      <c r="AB10" s="215">
        <f t="shared" si="1"/>
        <v>9115632.1999999993</v>
      </c>
      <c r="AC10" s="134"/>
      <c r="AD10" s="134"/>
      <c r="AE10" s="134"/>
      <c r="AF10" s="134"/>
      <c r="AG10" s="134"/>
      <c r="AH10" s="134"/>
      <c r="AI10" s="134"/>
      <c r="AJ10" s="134"/>
      <c r="AK10" s="134"/>
      <c r="AL10" s="134"/>
      <c r="AM10" s="134"/>
      <c r="AN10" s="134"/>
      <c r="AO10" s="134"/>
      <c r="AP10" s="134"/>
      <c r="AQ10" s="134"/>
      <c r="AR10" s="134"/>
      <c r="AS10" s="134"/>
      <c r="AT10" s="134"/>
      <c r="AU10" s="134"/>
      <c r="AV10" s="134"/>
      <c r="AW10" s="134"/>
      <c r="AX10" s="134"/>
      <c r="AY10" s="134"/>
      <c r="AZ10" s="134"/>
      <c r="BA10" s="134"/>
      <c r="BB10" s="134"/>
      <c r="BC10" s="134"/>
      <c r="BD10" s="134"/>
      <c r="BE10" s="134"/>
      <c r="BF10" s="134"/>
      <c r="BG10" s="134"/>
      <c r="BH10" s="134"/>
      <c r="BI10" s="134"/>
      <c r="BJ10" s="134"/>
      <c r="BK10" s="134"/>
      <c r="BL10" s="134"/>
      <c r="BM10" s="134"/>
      <c r="BN10" s="134"/>
      <c r="BO10" s="134"/>
      <c r="BP10" s="134"/>
      <c r="BQ10" s="134"/>
      <c r="BR10" s="134"/>
      <c r="BS10" s="134"/>
      <c r="BT10" s="134"/>
      <c r="BU10" s="134"/>
      <c r="BV10" s="134"/>
      <c r="BW10" s="134"/>
      <c r="BX10" s="134"/>
      <c r="BY10" s="134"/>
      <c r="BZ10" s="134"/>
      <c r="CA10" s="134"/>
      <c r="CB10" s="134"/>
      <c r="CC10" s="134"/>
      <c r="CD10" s="134"/>
      <c r="CE10" s="134"/>
      <c r="CF10" s="134"/>
      <c r="CG10" s="134"/>
      <c r="CH10" s="134"/>
      <c r="CI10" s="134"/>
      <c r="CJ10" s="134"/>
      <c r="CK10" s="134"/>
      <c r="CL10" s="134"/>
      <c r="CM10" s="134"/>
      <c r="CN10" s="134"/>
      <c r="CO10" s="134"/>
      <c r="CP10" s="134"/>
      <c r="CQ10" s="134"/>
      <c r="CR10" s="134"/>
      <c r="CS10" s="134"/>
      <c r="CT10" s="134"/>
      <c r="CU10" s="134"/>
      <c r="CV10" s="134"/>
      <c r="CW10" s="134"/>
      <c r="CX10" s="134"/>
      <c r="CY10" s="134"/>
      <c r="CZ10" s="134"/>
      <c r="DA10" s="134"/>
      <c r="DB10" s="134"/>
      <c r="DC10" s="134"/>
      <c r="DD10" s="134"/>
      <c r="DE10" s="134"/>
      <c r="DF10" s="134"/>
      <c r="DG10" s="134"/>
      <c r="DH10" s="134"/>
      <c r="DI10" s="134"/>
      <c r="DJ10" s="134"/>
      <c r="DK10" s="134"/>
      <c r="DL10" s="134"/>
      <c r="DM10" s="134"/>
      <c r="DN10" s="134"/>
      <c r="DO10" s="134"/>
      <c r="DP10" s="134"/>
      <c r="DQ10" s="134"/>
      <c r="DR10" s="134"/>
      <c r="DS10" s="134"/>
      <c r="DT10" s="134"/>
      <c r="DU10" s="134"/>
      <c r="DV10" s="134"/>
      <c r="DW10" s="134"/>
      <c r="DX10" s="134"/>
      <c r="DY10" s="134"/>
      <c r="DZ10" s="134"/>
      <c r="EA10" s="134"/>
      <c r="EB10" s="134"/>
    </row>
    <row r="11" spans="1:132" s="38" customFormat="1" ht="13.8" x14ac:dyDescent="0.3">
      <c r="A11" s="36" t="s">
        <v>241</v>
      </c>
      <c r="B11" s="37" t="s">
        <v>88</v>
      </c>
      <c r="C11" s="11"/>
      <c r="D11" s="10">
        <f>IF(D3&lt;=Inputs!$C16,Inputs!C151,"")</f>
        <v>0</v>
      </c>
      <c r="E11" s="10">
        <f>IF(E3&lt;=Inputs!$C16,Inputs!D151,"")</f>
        <v>0</v>
      </c>
      <c r="F11" s="10">
        <f>IF(F3&lt;=Inputs!$C16,Inputs!E151,"")</f>
        <v>0</v>
      </c>
      <c r="G11" s="10">
        <f>IF(G3&lt;=Inputs!$C16,Inputs!F151,"")</f>
        <v>0</v>
      </c>
      <c r="H11" s="10">
        <f>IF(H3&lt;=Inputs!$C16,Inputs!G151,"")</f>
        <v>0</v>
      </c>
      <c r="I11" s="10">
        <f>IF(I3&lt;=Inputs!$C16,H11,"")</f>
        <v>0</v>
      </c>
      <c r="J11" s="10">
        <f>IF(J3&lt;=Inputs!$C16,I11,"")</f>
        <v>0</v>
      </c>
      <c r="K11" s="10">
        <f>IF(K3&lt;=Inputs!$C16,J11,"")</f>
        <v>0</v>
      </c>
      <c r="L11" s="10">
        <f>IF(L3&lt;=Inputs!$C16,K11,"")</f>
        <v>0</v>
      </c>
      <c r="M11" s="10">
        <f>IF(M3&lt;=Inputs!$C16,L11,"")</f>
        <v>0</v>
      </c>
      <c r="N11" s="10">
        <f>IF(N3&lt;=Inputs!$C16,M11,"")</f>
        <v>0</v>
      </c>
      <c r="O11" s="10">
        <f>IF(O3&lt;=Inputs!$C16,N11,"")</f>
        <v>0</v>
      </c>
      <c r="P11" s="10">
        <f>IF(P3&lt;=Inputs!$C16,O11,"")</f>
        <v>0</v>
      </c>
      <c r="Q11" s="10">
        <f>IF(Q3&lt;=Inputs!$C16,P11,"")</f>
        <v>0</v>
      </c>
      <c r="R11" s="10">
        <f>IF(R3&lt;=Inputs!$C16,Q11,"")</f>
        <v>0</v>
      </c>
      <c r="S11" s="10">
        <f>IF(S3&lt;=Inputs!$C16,R11,"")</f>
        <v>0</v>
      </c>
      <c r="T11" s="10">
        <f>IF(T3&lt;=Inputs!$C16,S11,"")</f>
        <v>0</v>
      </c>
      <c r="U11" s="10">
        <f>IF(U3&lt;=Inputs!$C16,T11,"")</f>
        <v>0</v>
      </c>
      <c r="V11" s="10">
        <f>IF(V3&lt;=Inputs!$C16,U11,"")</f>
        <v>0</v>
      </c>
      <c r="W11" s="10">
        <f>IF(W3&lt;=Inputs!$C16,V11,"")</f>
        <v>0</v>
      </c>
      <c r="X11" s="10">
        <f>IF(X3&lt;=Inputs!$C16,W11,"")</f>
        <v>0</v>
      </c>
      <c r="Y11" s="10">
        <f>IF(Y3&lt;=Inputs!$C16,X11,"")</f>
        <v>0</v>
      </c>
      <c r="Z11" s="10">
        <f>IF(Z3&lt;=Inputs!$C16,Y11,"")</f>
        <v>0</v>
      </c>
      <c r="AA11" s="10">
        <f>IF(AA3&lt;=Inputs!$C16,Z11,"")</f>
        <v>0</v>
      </c>
      <c r="AB11" s="10">
        <f>IF(AB3&lt;=Inputs!$C16,AA11,"")</f>
        <v>0</v>
      </c>
      <c r="AC11" s="134"/>
      <c r="AD11" s="134"/>
      <c r="AE11" s="134"/>
      <c r="AF11" s="134"/>
      <c r="AG11" s="134"/>
      <c r="AH11" s="134"/>
      <c r="AI11" s="134"/>
      <c r="AJ11" s="134"/>
      <c r="AK11" s="134"/>
      <c r="AL11" s="134"/>
      <c r="AM11" s="134"/>
      <c r="AN11" s="134"/>
      <c r="AO11" s="134"/>
      <c r="AP11" s="134"/>
      <c r="AQ11" s="134"/>
      <c r="AR11" s="134"/>
      <c r="AS11" s="134"/>
      <c r="AT11" s="134"/>
      <c r="AU11" s="134"/>
      <c r="AV11" s="134"/>
      <c r="AW11" s="134"/>
      <c r="AX11" s="134"/>
      <c r="AY11" s="134"/>
      <c r="AZ11" s="134"/>
      <c r="BA11" s="134"/>
      <c r="BB11" s="134"/>
      <c r="BC11" s="134"/>
      <c r="BD11" s="134"/>
      <c r="BE11" s="134"/>
      <c r="BF11" s="134"/>
      <c r="BG11" s="134"/>
      <c r="BH11" s="134"/>
      <c r="BI11" s="134"/>
      <c r="BJ11" s="134"/>
      <c r="BK11" s="134"/>
      <c r="BL11" s="134"/>
      <c r="BM11" s="134"/>
      <c r="BN11" s="134"/>
      <c r="BO11" s="134"/>
      <c r="BP11" s="134"/>
      <c r="BQ11" s="134"/>
      <c r="BR11" s="134"/>
      <c r="BS11" s="134"/>
      <c r="BT11" s="134"/>
      <c r="BU11" s="134"/>
      <c r="BV11" s="134"/>
      <c r="BW11" s="134"/>
      <c r="BX11" s="134"/>
      <c r="BY11" s="134"/>
      <c r="BZ11" s="134"/>
      <c r="CA11" s="134"/>
      <c r="CB11" s="134"/>
      <c r="CC11" s="134"/>
      <c r="CD11" s="134"/>
      <c r="CE11" s="134"/>
      <c r="CF11" s="134"/>
      <c r="CG11" s="134"/>
      <c r="CH11" s="134"/>
      <c r="CI11" s="134"/>
      <c r="CJ11" s="134"/>
      <c r="CK11" s="134"/>
      <c r="CL11" s="134"/>
      <c r="CM11" s="134"/>
      <c r="CN11" s="134"/>
      <c r="CO11" s="134"/>
      <c r="CP11" s="134"/>
      <c r="CQ11" s="134"/>
      <c r="CR11" s="134"/>
      <c r="CS11" s="134"/>
      <c r="CT11" s="134"/>
      <c r="CU11" s="134"/>
      <c r="CV11" s="134"/>
      <c r="CW11" s="134"/>
      <c r="CX11" s="134"/>
      <c r="CY11" s="134"/>
      <c r="CZ11" s="134"/>
      <c r="DA11" s="134"/>
      <c r="DB11" s="134"/>
      <c r="DC11" s="134"/>
      <c r="DD11" s="134"/>
      <c r="DE11" s="134"/>
      <c r="DF11" s="134"/>
      <c r="DG11" s="134"/>
      <c r="DH11" s="134"/>
      <c r="DI11" s="134"/>
      <c r="DJ11" s="134"/>
      <c r="DK11" s="134"/>
      <c r="DL11" s="134"/>
      <c r="DM11" s="134"/>
      <c r="DN11" s="134"/>
      <c r="DO11" s="134"/>
      <c r="DP11" s="134"/>
      <c r="DQ11" s="134"/>
      <c r="DR11" s="134"/>
      <c r="DS11" s="134"/>
      <c r="DT11" s="134"/>
      <c r="DU11" s="134"/>
      <c r="DV11" s="134"/>
      <c r="DW11" s="134"/>
      <c r="DX11" s="134"/>
      <c r="DY11" s="134"/>
      <c r="DZ11" s="134"/>
      <c r="EA11" s="134"/>
      <c r="EB11" s="134"/>
    </row>
    <row r="12" spans="1:132" s="38" customFormat="1" thickBot="1" x14ac:dyDescent="0.35">
      <c r="A12" s="269" t="s">
        <v>415</v>
      </c>
      <c r="B12" s="270" t="s">
        <v>88</v>
      </c>
      <c r="C12" s="216"/>
      <c r="D12" s="216">
        <f>IF(D3&lt;=Inputs!$C16,D9+D11," ")</f>
        <v>375688.36800000002</v>
      </c>
      <c r="E12" s="216">
        <f>IF(E3&lt;=Inputs!$C16,E9+E11," ")</f>
        <v>374748.36800000002</v>
      </c>
      <c r="F12" s="216">
        <f>IF(F3&lt;=Inputs!$C16,F9+F11," ")</f>
        <v>373811.36800000002</v>
      </c>
      <c r="G12" s="216">
        <f>IF(G3&lt;=Inputs!$C16,G9+G11," ")</f>
        <v>372876.36800000002</v>
      </c>
      <c r="H12" s="216">
        <f>IF(H3&lt;=Inputs!$C16,H9+H11," ")</f>
        <v>371943.36800000002</v>
      </c>
      <c r="I12" s="216">
        <f>IF(I3&lt;=Inputs!$C16,I9+I11," ")</f>
        <v>371013.36800000002</v>
      </c>
      <c r="J12" s="216">
        <f>IF(J3&lt;=Inputs!$C16,J9+J11," ")</f>
        <v>370085.36800000002</v>
      </c>
      <c r="K12" s="216">
        <f>IF(K3&lt;=Inputs!$C16,K9+K11," ")</f>
        <v>369159.36800000002</v>
      </c>
      <c r="L12" s="216">
        <f>IF(L3&lt;=Inputs!$C16,L9+L11," ")</f>
        <v>368236.36800000002</v>
      </c>
      <c r="M12" s="216">
        <f>IF(M3&lt;=Inputs!$C16,M9+M11," ")</f>
        <v>367315.36800000002</v>
      </c>
      <c r="N12" s="216">
        <f>IF(N3&lt;=Inputs!$C16,N9+N11," ")</f>
        <v>366396.36800000002</v>
      </c>
      <c r="O12" s="216">
        <f>IF(O3&lt;=Inputs!$C16,O9+O11," ")</f>
        <v>365480.36800000002</v>
      </c>
      <c r="P12" s="216">
        <f>IF(P3&lt;=Inputs!$C16,P9+P11," ")</f>
        <v>364566.36800000002</v>
      </c>
      <c r="Q12" s="216">
        <f>IF(Q3&lt;=Inputs!$C16,Q9+Q11," ")</f>
        <v>363654.36800000002</v>
      </c>
      <c r="R12" s="216">
        <f>IF(R3&lt;=Inputs!$C16,R9+R11," ")</f>
        <v>362744.36800000002</v>
      </c>
      <c r="S12" s="216">
        <f>IF(S3&lt;=Inputs!$C16,S9+S11," ")</f>
        <v>361837.36800000002</v>
      </c>
      <c r="T12" s="216">
        <f>IF(T3&lt;=Inputs!$C16,T9+T11," ")</f>
        <v>360932.36800000002</v>
      </c>
      <c r="U12" s="216">
        <f>IF(U3&lt;=Inputs!$C16,U9+U11," ")</f>
        <v>360029.36800000002</v>
      </c>
      <c r="V12" s="216">
        <f>IF(V3&lt;=Inputs!$C16,V9+V11," ")</f>
        <v>359128.36800000002</v>
      </c>
      <c r="W12" s="216">
        <f>IF(W3&lt;=Inputs!$C16,W9+W11," ")</f>
        <v>358230.36800000002</v>
      </c>
      <c r="X12" s="216">
        <f>IF(X3&lt;=Inputs!$C16,X9+X11," ")</f>
        <v>357334.36800000002</v>
      </c>
      <c r="Y12" s="216">
        <f>IF(Y3&lt;=Inputs!$C16,Y9+Y11," ")</f>
        <v>356440.36800000002</v>
      </c>
      <c r="Z12" s="216">
        <f>IF(Z3&lt;=Inputs!$C16,Z9+Z11," ")</f>
        <v>355548.36800000002</v>
      </c>
      <c r="AA12" s="216">
        <f>IF(AA3&lt;=Inputs!$C16,AA9+AA11," ")</f>
        <v>354659.36800000002</v>
      </c>
      <c r="AB12" s="216">
        <f>IF(AB3&lt;=Inputs!$C16,AB9+AB11," ")</f>
        <v>353772.36800000002</v>
      </c>
      <c r="AC12" s="134"/>
      <c r="AD12" s="134"/>
      <c r="AE12" s="134"/>
      <c r="AF12" s="134"/>
      <c r="AG12" s="134"/>
      <c r="AH12" s="134"/>
      <c r="AI12" s="134"/>
      <c r="AJ12" s="134"/>
      <c r="AK12" s="134"/>
      <c r="AL12" s="134"/>
      <c r="AM12" s="134"/>
      <c r="AN12" s="134"/>
      <c r="AO12" s="134"/>
      <c r="AP12" s="134"/>
      <c r="AQ12" s="134"/>
      <c r="AR12" s="134"/>
      <c r="AS12" s="134"/>
      <c r="AT12" s="134"/>
      <c r="AU12" s="134"/>
      <c r="AV12" s="134"/>
      <c r="AW12" s="134"/>
      <c r="AX12" s="134"/>
      <c r="AY12" s="134"/>
      <c r="AZ12" s="134"/>
      <c r="BA12" s="134"/>
      <c r="BB12" s="134"/>
      <c r="BC12" s="134"/>
      <c r="BD12" s="134"/>
      <c r="BE12" s="134"/>
      <c r="BF12" s="134"/>
      <c r="BG12" s="134"/>
      <c r="BH12" s="134"/>
      <c r="BI12" s="134"/>
      <c r="BJ12" s="134"/>
      <c r="BK12" s="134"/>
      <c r="BL12" s="134"/>
      <c r="BM12" s="134"/>
      <c r="BN12" s="134"/>
      <c r="BO12" s="134"/>
      <c r="BP12" s="134"/>
      <c r="BQ12" s="134"/>
      <c r="BR12" s="134"/>
      <c r="BS12" s="134"/>
      <c r="BT12" s="134"/>
      <c r="BU12" s="134"/>
      <c r="BV12" s="134"/>
      <c r="BW12" s="134"/>
      <c r="BX12" s="134"/>
      <c r="BY12" s="134"/>
      <c r="BZ12" s="134"/>
      <c r="CA12" s="134"/>
      <c r="CB12" s="134"/>
      <c r="CC12" s="134"/>
      <c r="CD12" s="134"/>
      <c r="CE12" s="134"/>
      <c r="CF12" s="134"/>
      <c r="CG12" s="134"/>
      <c r="CH12" s="134"/>
      <c r="CI12" s="134"/>
      <c r="CJ12" s="134"/>
      <c r="CK12" s="134"/>
      <c r="CL12" s="134"/>
      <c r="CM12" s="134"/>
      <c r="CN12" s="134"/>
      <c r="CO12" s="134"/>
      <c r="CP12" s="134"/>
      <c r="CQ12" s="134"/>
      <c r="CR12" s="134"/>
      <c r="CS12" s="134"/>
      <c r="CT12" s="134"/>
      <c r="CU12" s="134"/>
      <c r="CV12" s="134"/>
      <c r="CW12" s="134"/>
      <c r="CX12" s="134"/>
      <c r="CY12" s="134"/>
      <c r="CZ12" s="134"/>
      <c r="DA12" s="134"/>
      <c r="DB12" s="134"/>
      <c r="DC12" s="134"/>
      <c r="DD12" s="134"/>
      <c r="DE12" s="134"/>
      <c r="DF12" s="134"/>
      <c r="DG12" s="134"/>
      <c r="DH12" s="134"/>
      <c r="DI12" s="134"/>
      <c r="DJ12" s="134"/>
      <c r="DK12" s="134"/>
      <c r="DL12" s="134"/>
      <c r="DM12" s="134"/>
      <c r="DN12" s="134"/>
      <c r="DO12" s="134"/>
      <c r="DP12" s="134"/>
      <c r="DQ12" s="134"/>
      <c r="DR12" s="134"/>
      <c r="DS12" s="134"/>
      <c r="DT12" s="134"/>
      <c r="DU12" s="134"/>
      <c r="DV12" s="134"/>
      <c r="DW12" s="134"/>
      <c r="DX12" s="134"/>
      <c r="DY12" s="134"/>
      <c r="DZ12" s="134"/>
      <c r="EA12" s="134"/>
      <c r="EB12" s="134"/>
    </row>
    <row r="13" spans="1:132" ht="15" thickTop="1" x14ac:dyDescent="0.3">
      <c r="A13" s="38"/>
      <c r="B13" s="66"/>
      <c r="C13" s="66"/>
      <c r="D13" s="66"/>
      <c r="AC13" s="134"/>
      <c r="AD13" s="134"/>
      <c r="AE13" s="134"/>
      <c r="AF13" s="134"/>
      <c r="AG13" s="134"/>
      <c r="AH13" s="134"/>
      <c r="AI13" s="134"/>
      <c r="AJ13" s="134"/>
      <c r="AK13" s="134"/>
      <c r="AL13" s="134"/>
    </row>
    <row r="14" spans="1:132" x14ac:dyDescent="0.3">
      <c r="A14" s="271" t="s">
        <v>361</v>
      </c>
      <c r="B14" s="66"/>
      <c r="C14" s="66"/>
      <c r="D14" s="66"/>
      <c r="AC14" s="134"/>
      <c r="AD14" s="134"/>
      <c r="AE14" s="134"/>
      <c r="AF14" s="134"/>
      <c r="AG14" s="134"/>
      <c r="AH14" s="134"/>
      <c r="AI14" s="134"/>
      <c r="AJ14" s="134"/>
      <c r="AK14" s="134"/>
      <c r="AL14" s="134"/>
    </row>
    <row r="15" spans="1:132" x14ac:dyDescent="0.3">
      <c r="A15" s="152"/>
      <c r="B15" s="256" t="s">
        <v>49</v>
      </c>
      <c r="C15" s="257" t="s">
        <v>124</v>
      </c>
      <c r="AC15" s="134"/>
      <c r="AD15" s="134"/>
      <c r="AE15" s="134"/>
      <c r="AF15" s="134"/>
      <c r="AG15" s="134"/>
      <c r="AH15" s="134"/>
      <c r="AI15" s="134"/>
      <c r="AJ15" s="134"/>
      <c r="AK15" s="134"/>
      <c r="AL15" s="134"/>
    </row>
    <row r="16" spans="1:132" ht="15" thickBot="1" x14ac:dyDescent="0.35">
      <c r="A16" s="272" t="s">
        <v>167</v>
      </c>
      <c r="B16" s="273" t="s">
        <v>125</v>
      </c>
      <c r="C16" s="3" t="s">
        <v>255</v>
      </c>
      <c r="D16" s="1" t="str">
        <f>IF(D3&lt;=Inputs!$C$16,IF($C16="Yes",Inputs!$AH$128,""),"")</f>
        <v/>
      </c>
      <c r="E16" s="1" t="str">
        <f>IF(E3&lt;=Inputs!$C$16,IF($C16="Yes",Inputs!$AH$128,""),"")</f>
        <v/>
      </c>
      <c r="F16" s="1" t="str">
        <f>IF(F3&lt;=Inputs!$C$16,IF($C16="Yes",Inputs!$AH$128,""),"")</f>
        <v/>
      </c>
      <c r="G16" s="1" t="str">
        <f>IF(G3&lt;=Inputs!$C$16,IF($C16="Yes",Inputs!$AH$128,""),"")</f>
        <v/>
      </c>
      <c r="H16" s="1" t="str">
        <f>IF(H3&lt;=Inputs!$C$16,IF($C16="Yes",Inputs!$AH$128,""),"")</f>
        <v/>
      </c>
      <c r="I16" s="1" t="str">
        <f>IF(I3&lt;=Inputs!$C$16,IF($C16="Yes",Inputs!$AH$128,""),"")</f>
        <v/>
      </c>
      <c r="J16" s="1" t="str">
        <f>IF(J3&lt;=Inputs!$C$16,IF($C16="Yes",Inputs!$AH$128,""),"")</f>
        <v/>
      </c>
      <c r="K16" s="1" t="str">
        <f>IF(K3&lt;=Inputs!$C$16,IF($C16="Yes",Inputs!$AH$128,""),"")</f>
        <v/>
      </c>
      <c r="L16" s="1" t="str">
        <f>IF(L3&lt;=Inputs!$C$16,IF($C16="Yes",Inputs!$AH$128,""),"")</f>
        <v/>
      </c>
      <c r="M16" s="1" t="str">
        <f>IF(M3&lt;=Inputs!$C$16,IF($C16="Yes",Inputs!$AH$128,""),"")</f>
        <v/>
      </c>
      <c r="N16" s="1" t="str">
        <f>IF(N3&lt;=Inputs!$C$16,IF($C16="Yes",Inputs!$AH$128,""),"")</f>
        <v/>
      </c>
      <c r="O16" s="1" t="str">
        <f>IF(O3&lt;=Inputs!$C$16,IF($C16="Yes",Inputs!$AH$128,""),"")</f>
        <v/>
      </c>
      <c r="P16" s="1" t="str">
        <f>IF(P3&lt;=Inputs!$C$16,IF($C16="Yes",Inputs!$AH$128,""),"")</f>
        <v/>
      </c>
      <c r="Q16" s="1" t="str">
        <f>IF(Q3&lt;=Inputs!$C$16,IF($C16="Yes",Inputs!$AH$128,""),"")</f>
        <v/>
      </c>
      <c r="R16" s="1" t="str">
        <f>IF(R3&lt;=Inputs!$C$16,IF($C16="Yes",Inputs!$AH$128,""),"")</f>
        <v/>
      </c>
      <c r="S16" s="1" t="str">
        <f>IF(S3&lt;=Inputs!$C$16,IF($C16="Yes",Inputs!$AH$128,""),"")</f>
        <v/>
      </c>
      <c r="T16" s="1" t="str">
        <f>IF(T3&lt;=Inputs!$C$16,IF($C16="Yes",Inputs!$AH$128,""),"")</f>
        <v/>
      </c>
      <c r="U16" s="1" t="str">
        <f>IF(U3&lt;=Inputs!$C$16,IF($C16="Yes",Inputs!$AH$128,""),"")</f>
        <v/>
      </c>
      <c r="V16" s="1" t="str">
        <f>IF(V3&lt;=Inputs!$C$16,IF($C16="Yes",Inputs!$AH$128,""),"")</f>
        <v/>
      </c>
      <c r="W16" s="1" t="str">
        <f>IF(W3&lt;=Inputs!$C$16,IF($C16="Yes",Inputs!$AH$128,""),"")</f>
        <v/>
      </c>
      <c r="X16" s="1" t="str">
        <f>IF(X3&lt;=Inputs!$C$16,IF($C16="Yes",Inputs!$AH$128,""),"")</f>
        <v/>
      </c>
      <c r="Y16" s="1" t="str">
        <f>IF(Y3&lt;=Inputs!$C$16,IF($C16="Yes",Inputs!$AH$128,""),"")</f>
        <v/>
      </c>
      <c r="Z16" s="1" t="str">
        <f>IF(Z3&lt;=Inputs!$C$16,IF($C16="Yes",Inputs!$AH$128,""),"")</f>
        <v/>
      </c>
      <c r="AA16" s="1" t="str">
        <f>IF(AA3&lt;=Inputs!$C$16,IF($C16="Yes",Inputs!$AH$128,""),"")</f>
        <v/>
      </c>
      <c r="AB16" s="1" t="str">
        <f>IF(AB3&lt;=Inputs!$C$16,IF($C16="Yes",Inputs!$AH$128,""),"")</f>
        <v/>
      </c>
      <c r="AC16" s="274">
        <f>SUM(D16:AB16)</f>
        <v>0</v>
      </c>
      <c r="AD16" s="134"/>
      <c r="AE16" s="134"/>
      <c r="AF16" s="134"/>
      <c r="AG16" s="134"/>
      <c r="AH16" s="134"/>
      <c r="AI16" s="134"/>
      <c r="AJ16" s="134"/>
      <c r="AK16" s="134"/>
      <c r="AL16" s="134"/>
    </row>
    <row r="17" spans="1:132" ht="15.6" thickTop="1" thickBot="1" x14ac:dyDescent="0.35">
      <c r="A17" s="275" t="s">
        <v>183</v>
      </c>
      <c r="B17" s="273" t="s">
        <v>125</v>
      </c>
      <c r="C17" s="491" t="str">
        <f>IF(C16="Yes","No",IF(C18="Yes","No","Yes"))</f>
        <v>No</v>
      </c>
      <c r="D17" s="1" t="str">
        <f>IF(D3&lt;=Inputs!$C$16,IF($C17="Yes",Inputs!$AI$128*Calculations!D9,""),"")</f>
        <v/>
      </c>
      <c r="E17" s="1" t="str">
        <f>IF(E3&lt;=Inputs!$C$16,IF($C17="Yes",Inputs!$AI$128*Calculations!E9,""),"")</f>
        <v/>
      </c>
      <c r="F17" s="1" t="str">
        <f>IF(F3&lt;=Inputs!$C$16,IF($C17="Yes",Inputs!$AI$128*Calculations!F9,""),"")</f>
        <v/>
      </c>
      <c r="G17" s="1" t="str">
        <f>IF(G3&lt;=Inputs!$C$16,IF($C17="Yes",Inputs!$AI$128*Calculations!G9,""),"")</f>
        <v/>
      </c>
      <c r="H17" s="1" t="str">
        <f>IF(H3&lt;=Inputs!$C$16,IF($C17="Yes",Inputs!$AI$128*Calculations!H9,""),"")</f>
        <v/>
      </c>
      <c r="I17" s="1" t="str">
        <f>IF(I3&lt;=Inputs!$C$16,IF($C17="Yes",Inputs!$AI$128*Calculations!I9,""),"")</f>
        <v/>
      </c>
      <c r="J17" s="1" t="str">
        <f>IF(J3&lt;=Inputs!$C$16,IF($C17="Yes",Inputs!$AI$128*Calculations!J9,""),"")</f>
        <v/>
      </c>
      <c r="K17" s="1" t="str">
        <f>IF(K3&lt;=Inputs!$C$16,IF($C17="Yes",Inputs!$AI$128*Calculations!K9,""),"")</f>
        <v/>
      </c>
      <c r="L17" s="1" t="str">
        <f>IF(L3&lt;=Inputs!$C$16,IF($C17="Yes",Inputs!$AI$128*Calculations!L9,""),"")</f>
        <v/>
      </c>
      <c r="M17" s="1" t="str">
        <f>IF(M3&lt;=Inputs!$C$16,IF($C17="Yes",Inputs!$AI$128*Calculations!M9,""),"")</f>
        <v/>
      </c>
      <c r="N17" s="1" t="str">
        <f>IF(N3&lt;=Inputs!$C$16,IF($C17="Yes",Inputs!$AI$128*Calculations!N9,""),"")</f>
        <v/>
      </c>
      <c r="O17" s="1" t="str">
        <f>IF(O3&lt;=Inputs!$C$16,IF($C17="Yes",Inputs!$AI$128*Calculations!O9,""),"")</f>
        <v/>
      </c>
      <c r="P17" s="1" t="str">
        <f>IF(P3&lt;=Inputs!$C$16,IF($C17="Yes",Inputs!$AI$128*Calculations!P9,""),"")</f>
        <v/>
      </c>
      <c r="Q17" s="1" t="str">
        <f>IF(Q3&lt;=Inputs!$C$16,IF($C17="Yes",Inputs!$AI$128*Calculations!Q9,""),"")</f>
        <v/>
      </c>
      <c r="R17" s="1" t="str">
        <f>IF(R3&lt;=Inputs!$C$16,IF($C17="Yes",Inputs!$AI$128*Calculations!R9,""),"")</f>
        <v/>
      </c>
      <c r="S17" s="1" t="str">
        <f>IF(S3&lt;=Inputs!$C$16,IF($C17="Yes",Inputs!$AI$128*Calculations!S9,""),"")</f>
        <v/>
      </c>
      <c r="T17" s="1" t="str">
        <f>IF(T3&lt;=Inputs!$C$16,IF($C17="Yes",Inputs!$AI$128*Calculations!T9,""),"")</f>
        <v/>
      </c>
      <c r="U17" s="1" t="str">
        <f>IF(U3&lt;=Inputs!$C$16,IF($C17="Yes",Inputs!$AI$128*Calculations!U9,""),"")</f>
        <v/>
      </c>
      <c r="V17" s="1" t="str">
        <f>IF(V3&lt;=Inputs!$C$16,IF($C17="Yes",Inputs!$AI$128*Calculations!V9,""),"")</f>
        <v/>
      </c>
      <c r="W17" s="1" t="str">
        <f>IF(W3&lt;=Inputs!$C$16,IF($C17="Yes",Inputs!$AI$128*Calculations!W9,""),"")</f>
        <v/>
      </c>
      <c r="X17" s="1" t="str">
        <f>IF(X3&lt;=Inputs!$C$16,IF($C17="Yes",Inputs!$AI$128*Calculations!X9,""),"")</f>
        <v/>
      </c>
      <c r="Y17" s="1" t="str">
        <f>IF(Y3&lt;=Inputs!$C$16,IF($C17="Yes",Inputs!$AI$128*Calculations!Y9,""),"")</f>
        <v/>
      </c>
      <c r="Z17" s="1" t="str">
        <f>IF(Z3&lt;=Inputs!$C$16,IF($C17="Yes",Inputs!$AI$128*Calculations!Z9,""),"")</f>
        <v/>
      </c>
      <c r="AA17" s="1" t="str">
        <f>IF(AA3&lt;=Inputs!$C$16,IF($C17="Yes",Inputs!$AI$128*Calculations!AA9,""),"")</f>
        <v/>
      </c>
      <c r="AB17" s="1" t="str">
        <f>IF(AB3&lt;=Inputs!$C$16,IF($C17="Yes",Inputs!$AI$128*Calculations!AB9,""),"")</f>
        <v/>
      </c>
      <c r="AC17" s="274">
        <f t="shared" ref="AC17" si="2">SUM(D17:AB17)</f>
        <v>0</v>
      </c>
      <c r="AD17" s="134"/>
      <c r="AE17" s="134"/>
      <c r="AF17" s="134"/>
      <c r="AG17" s="134"/>
      <c r="AH17" s="134"/>
      <c r="AI17" s="134"/>
      <c r="AJ17" s="134"/>
      <c r="AK17" s="134"/>
      <c r="AL17" s="134"/>
    </row>
    <row r="18" spans="1:132" ht="15.6" thickTop="1" thickBot="1" x14ac:dyDescent="0.35">
      <c r="A18" s="276" t="s">
        <v>184</v>
      </c>
      <c r="B18" s="277" t="s">
        <v>125</v>
      </c>
      <c r="C18" s="3" t="s">
        <v>187</v>
      </c>
      <c r="D18" s="1" t="e">
        <f>IF(D3&lt;=Inputs!$C$16,IF($C18="Yes",((D27*Inputs!$D$187*(1+Inputs!$D$187)^Inputs!$C$16))/((1+Inputs!$D$187)^Inputs!$C$16-1),""),"")</f>
        <v>#DIV/0!</v>
      </c>
      <c r="E18" s="1" t="e">
        <f>IF(E3&lt;=Inputs!$C$16,IF($C18="Yes",((E27*Inputs!$D$187*(1+Inputs!$D$187)^Inputs!$C$16))/((1+Inputs!$D$187)^Inputs!$C$16-1),""),"")</f>
        <v>#DIV/0!</v>
      </c>
      <c r="F18" s="1" t="e">
        <f>IF(F3&lt;=Inputs!$C$16,IF($C18="Yes",((F27*Inputs!$D$187*(1+Inputs!$D$187)^Inputs!$C$16))/((1+Inputs!$D$187)^Inputs!$C$16-1),""),"")</f>
        <v>#DIV/0!</v>
      </c>
      <c r="G18" s="1" t="e">
        <f>IF(G3&lt;=Inputs!$C$16,IF($C18="Yes",((G27*Inputs!$D$187*(1+Inputs!$D$187)^Inputs!$C$16))/((1+Inputs!$D$187)^Inputs!$C$16-1),""),"")</f>
        <v>#DIV/0!</v>
      </c>
      <c r="H18" s="1" t="e">
        <f>IF(H3&lt;=Inputs!$C$16,IF($C18="Yes",((H27*Inputs!$D$187*(1+Inputs!$D$187)^Inputs!$C$16))/((1+Inputs!$D$187)^Inputs!$C$16-1),""),"")</f>
        <v>#DIV/0!</v>
      </c>
      <c r="I18" s="1" t="e">
        <f>IF(I3&lt;=Inputs!$C$16,IF($C18="Yes",((I27*Inputs!$D$187*(1+Inputs!$D$187)^Inputs!$C$16))/((1+Inputs!$D$187)^Inputs!$C$16-1),""),"")</f>
        <v>#DIV/0!</v>
      </c>
      <c r="J18" s="1" t="e">
        <f>IF(J3&lt;=Inputs!$C$16,IF($C18="Yes",((J27*Inputs!$D$187*(1+Inputs!$D$187)^Inputs!$C$16))/((1+Inputs!$D$187)^Inputs!$C$16-1),""),"")</f>
        <v>#DIV/0!</v>
      </c>
      <c r="K18" s="1" t="e">
        <f>IF(K3&lt;=Inputs!$C$16,IF($C18="Yes",((K27*Inputs!$D$187*(1+Inputs!$D$187)^Inputs!$C$16))/((1+Inputs!$D$187)^Inputs!$C$16-1),""),"")</f>
        <v>#DIV/0!</v>
      </c>
      <c r="L18" s="1" t="e">
        <f>IF(L3&lt;=Inputs!$C$16,IF($C18="Yes",((L27*Inputs!$D$187*(1+Inputs!$D$187)^Inputs!$C$16))/((1+Inputs!$D$187)^Inputs!$C$16-1),""),"")</f>
        <v>#DIV/0!</v>
      </c>
      <c r="M18" s="1" t="e">
        <f>IF(M3&lt;=Inputs!$C$16,IF($C18="Yes",((M27*Inputs!$D$187*(1+Inputs!$D$187)^Inputs!$C$16))/((1+Inputs!$D$187)^Inputs!$C$16-1),""),"")</f>
        <v>#DIV/0!</v>
      </c>
      <c r="N18" s="1" t="e">
        <f>IF(N3&lt;=Inputs!$C$16,IF($C18="Yes",((N27*Inputs!$D$187*(1+Inputs!$D$187)^Inputs!$C$16))/((1+Inputs!$D$187)^Inputs!$C$16-1),""),"")</f>
        <v>#DIV/0!</v>
      </c>
      <c r="O18" s="1" t="e">
        <f>IF(O3&lt;=Inputs!$C$16,IF($C18="Yes",((O27*Inputs!$D$187*(1+Inputs!$D$187)^Inputs!$C$16))/((1+Inputs!$D$187)^Inputs!$C$16-1),""),"")</f>
        <v>#DIV/0!</v>
      </c>
      <c r="P18" s="1" t="e">
        <f>IF(P3&lt;=Inputs!$C$16,IF($C18="Yes",((P27*Inputs!$D$187*(1+Inputs!$D$187)^Inputs!$C$16))/((1+Inputs!$D$187)^Inputs!$C$16-1),""),"")</f>
        <v>#DIV/0!</v>
      </c>
      <c r="Q18" s="1" t="e">
        <f>IF(Q3&lt;=Inputs!$C$16,IF($C18="Yes",((Q27*Inputs!$D$187*(1+Inputs!$D$187)^Inputs!$C$16))/((1+Inputs!$D$187)^Inputs!$C$16-1),""),"")</f>
        <v>#DIV/0!</v>
      </c>
      <c r="R18" s="1" t="e">
        <f>IF(R3&lt;=Inputs!$C$16,IF($C18="Yes",((R27*Inputs!$D$187*(1+Inputs!$D$187)^Inputs!$C$16))/((1+Inputs!$D$187)^Inputs!$C$16-1),""),"")</f>
        <v>#DIV/0!</v>
      </c>
      <c r="S18" s="1" t="e">
        <f>IF(S3&lt;=Inputs!$C$16,IF($C18="Yes",((S27*Inputs!$D$187*(1+Inputs!$D$187)^Inputs!$C$16))/((1+Inputs!$D$187)^Inputs!$C$16-1),""),"")</f>
        <v>#DIV/0!</v>
      </c>
      <c r="T18" s="1" t="e">
        <f>IF(T3&lt;=Inputs!$C$16,IF($C18="Yes",((T27*Inputs!$D$187*(1+Inputs!$D$187)^Inputs!$C$16))/((1+Inputs!$D$187)^Inputs!$C$16-1),""),"")</f>
        <v>#DIV/0!</v>
      </c>
      <c r="U18" s="1" t="e">
        <f>IF(U3&lt;=Inputs!$C$16,IF($C18="Yes",((U27*Inputs!$D$187*(1+Inputs!$D$187)^Inputs!$C$16))/((1+Inputs!$D$187)^Inputs!$C$16-1),""),"")</f>
        <v>#DIV/0!</v>
      </c>
      <c r="V18" s="1" t="e">
        <f>IF(V3&lt;=Inputs!$C$16,IF($C18="Yes",((V27*Inputs!$D$187*(1+Inputs!$D$187)^Inputs!$C$16))/((1+Inputs!$D$187)^Inputs!$C$16-1),""),"")</f>
        <v>#DIV/0!</v>
      </c>
      <c r="W18" s="1" t="e">
        <f>IF(W3&lt;=Inputs!$C$16,IF($C18="Yes",((W27*Inputs!$D$187*(1+Inputs!$D$187)^Inputs!$C$16))/((1+Inputs!$D$187)^Inputs!$C$16-1),""),"")</f>
        <v>#DIV/0!</v>
      </c>
      <c r="X18" s="1" t="e">
        <f>IF(X3&lt;=Inputs!$C$16,IF($C18="Yes",((X27*Inputs!$D$187*(1+Inputs!$D$187)^Inputs!$C$16))/((1+Inputs!$D$187)^Inputs!$C$16-1),""),"")</f>
        <v>#DIV/0!</v>
      </c>
      <c r="Y18" s="1" t="e">
        <f>IF(Y3&lt;=Inputs!$C$16,IF($C18="Yes",((Y27*Inputs!$D$187*(1+Inputs!$D$187)^Inputs!$C$16))/((1+Inputs!$D$187)^Inputs!$C$16-1),""),"")</f>
        <v>#DIV/0!</v>
      </c>
      <c r="Z18" s="1" t="e">
        <f>IF(Z3&lt;=Inputs!$C$16,IF($C18="Yes",((Z27*Inputs!$D$187*(1+Inputs!$D$187)^Inputs!$C$16))/((1+Inputs!$D$187)^Inputs!$C$16-1),""),"")</f>
        <v>#DIV/0!</v>
      </c>
      <c r="AA18" s="1" t="e">
        <f>IF(AA3&lt;=Inputs!$C$16,IF($C18="Yes",((AA27*Inputs!$D$187*(1+Inputs!$D$187)^Inputs!$C$16))/((1+Inputs!$D$187)^Inputs!$C$16-1),""),"")</f>
        <v>#DIV/0!</v>
      </c>
      <c r="AB18" s="1" t="e">
        <f>IF(AB3&lt;=Inputs!$C$16,IF($C18="Yes",((AB27*Inputs!$D$187*(1+Inputs!$D$187)^Inputs!$C$16))/((1+Inputs!$D$187)^Inputs!$C$16-1),""),"")</f>
        <v>#DIV/0!</v>
      </c>
      <c r="AC18" s="274" t="e">
        <f>IF(C18="Yes",SUM(D18:AB18)-(Inputs!AG128-Inputs!AH128*Inputs!C16),0)</f>
        <v>#DIV/0!</v>
      </c>
      <c r="AD18" s="134"/>
      <c r="AE18" s="134"/>
      <c r="AF18" s="134"/>
      <c r="AG18" s="134"/>
      <c r="AH18" s="134"/>
      <c r="AI18" s="134"/>
      <c r="AJ18" s="134"/>
      <c r="AK18" s="134"/>
      <c r="AL18" s="134"/>
    </row>
    <row r="19" spans="1:132" s="38" customFormat="1" thickBot="1" x14ac:dyDescent="0.35">
      <c r="A19" s="278" t="s">
        <v>182</v>
      </c>
      <c r="B19" s="279"/>
      <c r="C19" s="218"/>
      <c r="D19" s="219" t="e">
        <f>SUM(D16:D18)</f>
        <v>#DIV/0!</v>
      </c>
      <c r="E19" s="219" t="e">
        <f t="shared" ref="E19:AB19" si="3">SUM(E16:E18)</f>
        <v>#DIV/0!</v>
      </c>
      <c r="F19" s="219" t="e">
        <f t="shared" si="3"/>
        <v>#DIV/0!</v>
      </c>
      <c r="G19" s="219" t="e">
        <f t="shared" si="3"/>
        <v>#DIV/0!</v>
      </c>
      <c r="H19" s="219" t="e">
        <f t="shared" si="3"/>
        <v>#DIV/0!</v>
      </c>
      <c r="I19" s="219" t="e">
        <f t="shared" si="3"/>
        <v>#DIV/0!</v>
      </c>
      <c r="J19" s="219" t="e">
        <f t="shared" si="3"/>
        <v>#DIV/0!</v>
      </c>
      <c r="K19" s="219" t="e">
        <f t="shared" si="3"/>
        <v>#DIV/0!</v>
      </c>
      <c r="L19" s="219" t="e">
        <f t="shared" si="3"/>
        <v>#DIV/0!</v>
      </c>
      <c r="M19" s="219" t="e">
        <f t="shared" si="3"/>
        <v>#DIV/0!</v>
      </c>
      <c r="N19" s="219" t="e">
        <f t="shared" si="3"/>
        <v>#DIV/0!</v>
      </c>
      <c r="O19" s="219" t="e">
        <f t="shared" si="3"/>
        <v>#DIV/0!</v>
      </c>
      <c r="P19" s="219" t="e">
        <f t="shared" si="3"/>
        <v>#DIV/0!</v>
      </c>
      <c r="Q19" s="219" t="e">
        <f t="shared" si="3"/>
        <v>#DIV/0!</v>
      </c>
      <c r="R19" s="219" t="e">
        <f t="shared" si="3"/>
        <v>#DIV/0!</v>
      </c>
      <c r="S19" s="219" t="e">
        <f t="shared" si="3"/>
        <v>#DIV/0!</v>
      </c>
      <c r="T19" s="219" t="e">
        <f t="shared" si="3"/>
        <v>#DIV/0!</v>
      </c>
      <c r="U19" s="219" t="e">
        <f t="shared" si="3"/>
        <v>#DIV/0!</v>
      </c>
      <c r="V19" s="219" t="e">
        <f t="shared" si="3"/>
        <v>#DIV/0!</v>
      </c>
      <c r="W19" s="219" t="e">
        <f t="shared" si="3"/>
        <v>#DIV/0!</v>
      </c>
      <c r="X19" s="219" t="e">
        <f t="shared" si="3"/>
        <v>#DIV/0!</v>
      </c>
      <c r="Y19" s="219" t="e">
        <f t="shared" si="3"/>
        <v>#DIV/0!</v>
      </c>
      <c r="Z19" s="219" t="e">
        <f t="shared" si="3"/>
        <v>#DIV/0!</v>
      </c>
      <c r="AA19" s="219" t="e">
        <f t="shared" si="3"/>
        <v>#DIV/0!</v>
      </c>
      <c r="AB19" s="219" t="e">
        <f t="shared" si="3"/>
        <v>#DIV/0!</v>
      </c>
      <c r="AC19" s="134"/>
      <c r="AD19" s="134"/>
      <c r="AE19" s="134"/>
      <c r="AF19" s="134"/>
      <c r="AG19" s="134"/>
      <c r="AH19" s="134"/>
      <c r="AI19" s="134"/>
      <c r="AJ19" s="134"/>
      <c r="AK19" s="134"/>
      <c r="AL19" s="134"/>
      <c r="AM19" s="134"/>
      <c r="AN19" s="134"/>
      <c r="AO19" s="134"/>
      <c r="AP19" s="134"/>
      <c r="AQ19" s="134"/>
      <c r="AR19" s="134"/>
      <c r="AS19" s="134"/>
      <c r="AT19" s="134"/>
      <c r="AU19" s="134"/>
      <c r="AV19" s="134"/>
      <c r="AW19" s="134"/>
      <c r="AX19" s="134"/>
      <c r="AY19" s="134"/>
      <c r="AZ19" s="134"/>
      <c r="BA19" s="134"/>
      <c r="BB19" s="134"/>
      <c r="BC19" s="134"/>
      <c r="BD19" s="134"/>
      <c r="BE19" s="134"/>
      <c r="BF19" s="134"/>
      <c r="BG19" s="134"/>
      <c r="BH19" s="134"/>
      <c r="BI19" s="134"/>
      <c r="BJ19" s="134"/>
      <c r="BK19" s="134"/>
      <c r="BL19" s="134"/>
      <c r="BM19" s="134"/>
      <c r="BN19" s="134"/>
      <c r="BO19" s="134"/>
      <c r="BP19" s="134"/>
      <c r="BQ19" s="134"/>
      <c r="BR19" s="134"/>
      <c r="BS19" s="134"/>
      <c r="BT19" s="134"/>
      <c r="BU19" s="134"/>
      <c r="BV19" s="134"/>
      <c r="BW19" s="134"/>
      <c r="BX19" s="134"/>
      <c r="BY19" s="134"/>
      <c r="BZ19" s="134"/>
      <c r="CA19" s="134"/>
      <c r="CB19" s="134"/>
      <c r="CC19" s="134"/>
      <c r="CD19" s="134"/>
      <c r="CE19" s="134"/>
      <c r="CF19" s="134"/>
      <c r="CG19" s="134"/>
      <c r="CH19" s="134"/>
      <c r="CI19" s="134"/>
      <c r="CJ19" s="134"/>
      <c r="CK19" s="134"/>
      <c r="CL19" s="134"/>
      <c r="CM19" s="134"/>
      <c r="CN19" s="134"/>
      <c r="CO19" s="134"/>
      <c r="CP19" s="134"/>
      <c r="CQ19" s="134"/>
      <c r="CR19" s="134"/>
      <c r="CS19" s="134"/>
      <c r="CT19" s="134"/>
      <c r="CU19" s="134"/>
      <c r="CV19" s="134"/>
      <c r="CW19" s="134"/>
      <c r="CX19" s="134"/>
      <c r="CY19" s="134"/>
      <c r="CZ19" s="134"/>
      <c r="DA19" s="134"/>
      <c r="DB19" s="134"/>
      <c r="DC19" s="134"/>
      <c r="DD19" s="134"/>
      <c r="DE19" s="134"/>
      <c r="DF19" s="134"/>
      <c r="DG19" s="134"/>
      <c r="DH19" s="134"/>
      <c r="DI19" s="134"/>
      <c r="DJ19" s="134"/>
      <c r="DK19" s="134"/>
      <c r="DL19" s="134"/>
      <c r="DM19" s="134"/>
      <c r="DN19" s="134"/>
      <c r="DO19" s="134"/>
      <c r="DP19" s="134"/>
      <c r="DQ19" s="134"/>
      <c r="DR19" s="134"/>
      <c r="DS19" s="134"/>
      <c r="DT19" s="134"/>
      <c r="DU19" s="134"/>
      <c r="DV19" s="134"/>
      <c r="DW19" s="134"/>
      <c r="DX19" s="134"/>
      <c r="DY19" s="134"/>
      <c r="DZ19" s="134"/>
      <c r="EA19" s="134"/>
      <c r="EB19" s="134"/>
    </row>
    <row r="20" spans="1:132" x14ac:dyDescent="0.3">
      <c r="A20" s="38"/>
      <c r="B20" s="66"/>
      <c r="C20" s="66"/>
      <c r="D20" s="66"/>
      <c r="E20" s="66"/>
      <c r="F20" s="66"/>
      <c r="G20" s="66"/>
      <c r="H20" s="66"/>
      <c r="I20" s="66"/>
      <c r="J20" s="66"/>
      <c r="K20" s="66"/>
      <c r="L20" s="66"/>
      <c r="M20" s="66"/>
      <c r="N20" s="66"/>
      <c r="O20" s="66"/>
      <c r="P20" s="66"/>
      <c r="Q20" s="66"/>
      <c r="R20" s="66"/>
      <c r="S20" s="66"/>
      <c r="T20" s="66"/>
      <c r="U20" s="66"/>
      <c r="V20" s="66"/>
      <c r="W20" s="66"/>
      <c r="X20" s="66"/>
      <c r="Y20" s="66"/>
      <c r="Z20" s="66"/>
      <c r="AA20" s="66"/>
      <c r="AB20" s="66"/>
      <c r="AC20" s="134"/>
      <c r="AD20" s="134"/>
      <c r="AE20" s="134"/>
      <c r="AF20" s="134"/>
      <c r="AG20" s="134"/>
      <c r="AH20" s="134"/>
      <c r="AI20" s="134"/>
      <c r="AJ20" s="134"/>
      <c r="AK20" s="134"/>
      <c r="AL20" s="134"/>
    </row>
    <row r="21" spans="1:132" x14ac:dyDescent="0.3">
      <c r="A21" s="271" t="s">
        <v>362</v>
      </c>
      <c r="B21" s="271"/>
      <c r="C21" s="271"/>
      <c r="D21" s="271"/>
      <c r="E21" s="271"/>
      <c r="AC21" s="134"/>
      <c r="AD21" s="134"/>
      <c r="AE21" s="134"/>
      <c r="AF21" s="134"/>
      <c r="AG21" s="134"/>
      <c r="AH21" s="134"/>
      <c r="AI21" s="134"/>
      <c r="AJ21" s="134"/>
      <c r="AK21" s="134"/>
      <c r="AL21" s="134"/>
    </row>
    <row r="22" spans="1:132" s="38" customFormat="1" ht="13.8" x14ac:dyDescent="0.3">
      <c r="A22" s="280" t="s">
        <v>168</v>
      </c>
      <c r="B22" s="259"/>
      <c r="C22" s="211"/>
      <c r="D22" s="212">
        <f>IF(D3&lt;=Inputs!$C$16,Inputs!$C$145,"")</f>
        <v>0</v>
      </c>
      <c r="E22" s="212">
        <f>IF(E3&lt;=Inputs!$C$16,D22+(D22*Inputs!$C$147*Inputs!$C$214),"")</f>
        <v>0</v>
      </c>
      <c r="F22" s="212">
        <f>IF(F3&lt;=Inputs!$C$16,E22+(E22*Inputs!$C$147*Inputs!$C$214),"")</f>
        <v>0</v>
      </c>
      <c r="G22" s="212">
        <f>IF(G3&lt;=Inputs!$C$16,F22+(F22*Inputs!$C$147*Inputs!$C$214),"")</f>
        <v>0</v>
      </c>
      <c r="H22" s="212">
        <f>IF(H3&lt;=Inputs!$C$16,G22+(G22*Inputs!$C$147*Inputs!$C$214),"")</f>
        <v>0</v>
      </c>
      <c r="I22" s="212">
        <f>IF(I3&lt;=Inputs!$C$16,H22+(H22*Inputs!$C$147*Inputs!$C$214),"")</f>
        <v>0</v>
      </c>
      <c r="J22" s="212">
        <f>IF(J3&lt;=Inputs!$C$16,I22+(I22*Inputs!$C$147*Inputs!$C$214),"")</f>
        <v>0</v>
      </c>
      <c r="K22" s="212">
        <f>IF(K3&lt;=Inputs!$C$16,J22+(J22*Inputs!$C$147*Inputs!$C$214),"")</f>
        <v>0</v>
      </c>
      <c r="L22" s="212">
        <f>IF(L3&lt;=Inputs!$C$16,K22+(K22*Inputs!$C$147*Inputs!$C$214),"")</f>
        <v>0</v>
      </c>
      <c r="M22" s="212">
        <f>IF(M3&lt;=Inputs!$C$16,L22+(L22*Inputs!$C$147*Inputs!$C$214),"")</f>
        <v>0</v>
      </c>
      <c r="N22" s="212">
        <f>IF(N3&lt;=Inputs!$C$16,M22+(M22*Inputs!$C$147*Inputs!$C$214),"")</f>
        <v>0</v>
      </c>
      <c r="O22" s="212">
        <f>IF(O3&lt;=Inputs!$C$16,N22+(N22*Inputs!$C$147*Inputs!$C$214),"")</f>
        <v>0</v>
      </c>
      <c r="P22" s="212">
        <f>IF(P3&lt;=Inputs!$C$16,O22+(O22*Inputs!$C$147*Inputs!$C$214),"")</f>
        <v>0</v>
      </c>
      <c r="Q22" s="212">
        <f>IF(Q3&lt;=Inputs!$C$16,P22+(P22*Inputs!$C$147*Inputs!$C$214),"")</f>
        <v>0</v>
      </c>
      <c r="R22" s="212">
        <f>IF(R3&lt;=Inputs!$C$16,Q22+(Q22*Inputs!$C$147*Inputs!$C$214),"")</f>
        <v>0</v>
      </c>
      <c r="S22" s="212">
        <f>IF(S3&lt;=Inputs!$C$16,R22+(R22*Inputs!$C$147*Inputs!$C$214),"")</f>
        <v>0</v>
      </c>
      <c r="T22" s="212">
        <f>IF(T3&lt;=Inputs!$C$16,S22+(S22*Inputs!$C$147*Inputs!$C$214),"")</f>
        <v>0</v>
      </c>
      <c r="U22" s="212">
        <f>IF(U3&lt;=Inputs!$C$16,T22+(T22*Inputs!$C$147*Inputs!$C$214),"")</f>
        <v>0</v>
      </c>
      <c r="V22" s="212">
        <f>IF(V3&lt;=Inputs!$C$16,U22+(U22*Inputs!$C$147*Inputs!$C$214),"")</f>
        <v>0</v>
      </c>
      <c r="W22" s="212">
        <f>IF(W3&lt;=Inputs!$C$16,V22+(V22*Inputs!$C$147*Inputs!$C$214),"")</f>
        <v>0</v>
      </c>
      <c r="X22" s="212">
        <f>IF(X3&lt;=Inputs!$C$16,W22+(W22*Inputs!$C$147*Inputs!$C$214),"")</f>
        <v>0</v>
      </c>
      <c r="Y22" s="212">
        <f>IF(Y3&lt;=Inputs!$C$16,X22+(X22*Inputs!$C$147*Inputs!$C$214),"")</f>
        <v>0</v>
      </c>
      <c r="Z22" s="212">
        <f>IF(Z3&lt;=Inputs!$C$16,Y22+(Y22*Inputs!$C$147*Inputs!$C$214),"")</f>
        <v>0</v>
      </c>
      <c r="AA22" s="212">
        <f>IF(AA3&lt;=Inputs!$C$16,Z22+(Z22*Inputs!$C$147*Inputs!$C$214),"")</f>
        <v>0</v>
      </c>
      <c r="AB22" s="212">
        <f>IF(AB3&lt;=Inputs!$C$16,AA22+(AA22*Inputs!$C$147*Inputs!$C$214),"")</f>
        <v>0</v>
      </c>
      <c r="AC22" s="134"/>
      <c r="AD22" s="134"/>
      <c r="AE22" s="134"/>
      <c r="AF22" s="134"/>
      <c r="AG22" s="134"/>
      <c r="AH22" s="134"/>
      <c r="AI22" s="134"/>
      <c r="AJ22" s="134"/>
      <c r="AK22" s="134"/>
      <c r="AL22" s="134"/>
      <c r="AM22" s="134"/>
      <c r="AN22" s="134"/>
      <c r="AO22" s="134"/>
      <c r="AP22" s="134"/>
      <c r="AQ22" s="134"/>
      <c r="AR22" s="134"/>
      <c r="AS22" s="134"/>
      <c r="AT22" s="134"/>
      <c r="AU22" s="134"/>
      <c r="AV22" s="134"/>
      <c r="AW22" s="134"/>
      <c r="AX22" s="134"/>
      <c r="AY22" s="134"/>
      <c r="AZ22" s="134"/>
      <c r="BA22" s="134"/>
      <c r="BB22" s="134"/>
      <c r="BC22" s="134"/>
      <c r="BD22" s="134"/>
      <c r="BE22" s="134"/>
      <c r="BF22" s="134"/>
      <c r="BG22" s="134"/>
      <c r="BH22" s="134"/>
      <c r="BI22" s="134"/>
      <c r="BJ22" s="134"/>
      <c r="BK22" s="134"/>
      <c r="BL22" s="134"/>
      <c r="BM22" s="134"/>
      <c r="BN22" s="134"/>
      <c r="BO22" s="134"/>
      <c r="BP22" s="134"/>
      <c r="BQ22" s="134"/>
      <c r="BR22" s="134"/>
      <c r="BS22" s="134"/>
      <c r="BT22" s="134"/>
      <c r="BU22" s="134"/>
      <c r="BV22" s="134"/>
      <c r="BW22" s="134"/>
      <c r="BX22" s="134"/>
      <c r="BY22" s="134"/>
      <c r="BZ22" s="134"/>
      <c r="CA22" s="134"/>
      <c r="CB22" s="134"/>
      <c r="CC22" s="134"/>
      <c r="CD22" s="134"/>
      <c r="CE22" s="134"/>
      <c r="CF22" s="134"/>
      <c r="CG22" s="134"/>
      <c r="CH22" s="134"/>
      <c r="CI22" s="134"/>
      <c r="CJ22" s="134"/>
      <c r="CK22" s="134"/>
      <c r="CL22" s="134"/>
      <c r="CM22" s="134"/>
      <c r="CN22" s="134"/>
      <c r="CO22" s="134"/>
      <c r="CP22" s="134"/>
      <c r="CQ22" s="134"/>
      <c r="CR22" s="134"/>
      <c r="CS22" s="134"/>
      <c r="CT22" s="134"/>
      <c r="CU22" s="134"/>
      <c r="CV22" s="134"/>
      <c r="CW22" s="134"/>
      <c r="CX22" s="134"/>
      <c r="CY22" s="134"/>
      <c r="CZ22" s="134"/>
      <c r="DA22" s="134"/>
      <c r="DB22" s="134"/>
      <c r="DC22" s="134"/>
      <c r="DD22" s="134"/>
      <c r="DE22" s="134"/>
      <c r="DF22" s="134"/>
      <c r="DG22" s="134"/>
      <c r="DH22" s="134"/>
      <c r="DI22" s="134"/>
      <c r="DJ22" s="134"/>
      <c r="DK22" s="134"/>
      <c r="DL22" s="134"/>
      <c r="DM22" s="134"/>
      <c r="DN22" s="134"/>
      <c r="DO22" s="134"/>
      <c r="DP22" s="134"/>
      <c r="DQ22" s="134"/>
      <c r="DR22" s="134"/>
      <c r="DS22" s="134"/>
      <c r="DT22" s="134"/>
      <c r="DU22" s="134"/>
      <c r="DV22" s="134"/>
      <c r="DW22" s="134"/>
      <c r="DX22" s="134"/>
      <c r="DY22" s="134"/>
      <c r="DZ22" s="134"/>
      <c r="EA22" s="134"/>
      <c r="EB22" s="134"/>
    </row>
    <row r="23" spans="1:132" s="38" customFormat="1" ht="13.8" x14ac:dyDescent="0.3">
      <c r="A23" s="281" t="s">
        <v>159</v>
      </c>
      <c r="B23" s="263"/>
      <c r="C23" s="214"/>
      <c r="D23" s="215">
        <f>-Inputs!C158</f>
        <v>0</v>
      </c>
      <c r="E23" s="215">
        <f>-Inputs!D158</f>
        <v>0</v>
      </c>
      <c r="F23" s="215">
        <f>-Inputs!E158</f>
        <v>0</v>
      </c>
      <c r="G23" s="215">
        <f>-Inputs!F158</f>
        <v>0</v>
      </c>
      <c r="H23" s="215">
        <f>-Inputs!G158</f>
        <v>0</v>
      </c>
      <c r="I23" s="215"/>
      <c r="J23" s="215"/>
      <c r="K23" s="215"/>
      <c r="L23" s="215"/>
      <c r="M23" s="215"/>
      <c r="N23" s="215"/>
      <c r="O23" s="215"/>
      <c r="P23" s="215"/>
      <c r="Q23" s="215"/>
      <c r="R23" s="215"/>
      <c r="S23" s="215"/>
      <c r="T23" s="215"/>
      <c r="U23" s="215"/>
      <c r="V23" s="215"/>
      <c r="W23" s="215"/>
      <c r="X23" s="215"/>
      <c r="Y23" s="215"/>
      <c r="Z23" s="215"/>
      <c r="AA23" s="215"/>
      <c r="AB23" s="215"/>
      <c r="AC23" s="134"/>
      <c r="AD23" s="134"/>
      <c r="AE23" s="134"/>
      <c r="AF23" s="134"/>
      <c r="AG23" s="134"/>
      <c r="AH23" s="134"/>
      <c r="AI23" s="134"/>
      <c r="AJ23" s="134"/>
      <c r="AK23" s="134"/>
      <c r="AL23" s="134"/>
      <c r="AM23" s="134"/>
      <c r="AN23" s="134"/>
      <c r="AO23" s="134"/>
      <c r="AP23" s="134"/>
      <c r="AQ23" s="134"/>
      <c r="AR23" s="134"/>
      <c r="AS23" s="134"/>
      <c r="AT23" s="134"/>
      <c r="AU23" s="134"/>
      <c r="AV23" s="134"/>
      <c r="AW23" s="134"/>
      <c r="AX23" s="134"/>
      <c r="AY23" s="134"/>
      <c r="AZ23" s="134"/>
      <c r="BA23" s="134"/>
      <c r="BB23" s="134"/>
      <c r="BC23" s="134"/>
      <c r="BD23" s="134"/>
      <c r="BE23" s="134"/>
      <c r="BF23" s="134"/>
      <c r="BG23" s="134"/>
      <c r="BH23" s="134"/>
      <c r="BI23" s="134"/>
      <c r="BJ23" s="134"/>
      <c r="BK23" s="134"/>
      <c r="BL23" s="134"/>
      <c r="BM23" s="134"/>
      <c r="BN23" s="134"/>
      <c r="BO23" s="134"/>
      <c r="BP23" s="134"/>
      <c r="BQ23" s="134"/>
      <c r="BR23" s="134"/>
      <c r="BS23" s="134"/>
      <c r="BT23" s="134"/>
      <c r="BU23" s="134"/>
      <c r="BV23" s="134"/>
      <c r="BW23" s="134"/>
      <c r="BX23" s="134"/>
      <c r="BY23" s="134"/>
      <c r="BZ23" s="134"/>
      <c r="CA23" s="134"/>
      <c r="CB23" s="134"/>
      <c r="CC23" s="134"/>
      <c r="CD23" s="134"/>
      <c r="CE23" s="134"/>
      <c r="CF23" s="134"/>
      <c r="CG23" s="134"/>
      <c r="CH23" s="134"/>
      <c r="CI23" s="134"/>
      <c r="CJ23" s="134"/>
      <c r="CK23" s="134"/>
      <c r="CL23" s="134"/>
      <c r="CM23" s="134"/>
      <c r="CN23" s="134"/>
      <c r="CO23" s="134"/>
      <c r="CP23" s="134"/>
      <c r="CQ23" s="134"/>
      <c r="CR23" s="134"/>
      <c r="CS23" s="134"/>
      <c r="CT23" s="134"/>
      <c r="CU23" s="134"/>
      <c r="CV23" s="134"/>
      <c r="CW23" s="134"/>
      <c r="CX23" s="134"/>
      <c r="CY23" s="134"/>
      <c r="CZ23" s="134"/>
      <c r="DA23" s="134"/>
      <c r="DB23" s="134"/>
      <c r="DC23" s="134"/>
      <c r="DD23" s="134"/>
      <c r="DE23" s="134"/>
      <c r="DF23" s="134"/>
      <c r="DG23" s="134"/>
      <c r="DH23" s="134"/>
      <c r="DI23" s="134"/>
      <c r="DJ23" s="134"/>
      <c r="DK23" s="134"/>
      <c r="DL23" s="134"/>
      <c r="DM23" s="134"/>
      <c r="DN23" s="134"/>
      <c r="DO23" s="134"/>
      <c r="DP23" s="134"/>
      <c r="DQ23" s="134"/>
      <c r="DR23" s="134"/>
      <c r="DS23" s="134"/>
      <c r="DT23" s="134"/>
      <c r="DU23" s="134"/>
      <c r="DV23" s="134"/>
      <c r="DW23" s="134"/>
      <c r="DX23" s="134"/>
      <c r="DY23" s="134"/>
      <c r="DZ23" s="134"/>
      <c r="EA23" s="134"/>
      <c r="EB23" s="134"/>
    </row>
    <row r="24" spans="1:132" s="38" customFormat="1" ht="13.8" x14ac:dyDescent="0.3">
      <c r="A24" s="272" t="s">
        <v>169</v>
      </c>
      <c r="B24" s="282"/>
      <c r="C24" s="11"/>
      <c r="D24" s="10">
        <f>Inputs!C126</f>
        <v>271500</v>
      </c>
      <c r="E24" s="10"/>
      <c r="F24" s="10"/>
      <c r="G24" s="10"/>
      <c r="H24" s="10">
        <f>IF(H3&lt;=Inputs!$C$16,Inputs!L126," ")</f>
        <v>19500</v>
      </c>
      <c r="I24" s="10">
        <f>IF(I3&lt;=Inputs!$C$16,Inputs!M126," ")</f>
        <v>0</v>
      </c>
      <c r="J24" s="10">
        <f>IF(J3&lt;=Inputs!$C$16,Inputs!N126," ")</f>
        <v>0</v>
      </c>
      <c r="K24" s="10">
        <f>IF(K3&lt;=Inputs!$C$16,Inputs!O126," ")</f>
        <v>0</v>
      </c>
      <c r="L24" s="10">
        <f>IF(L3&lt;=Inputs!$C$16,Inputs!P126," ")</f>
        <v>0</v>
      </c>
      <c r="M24" s="10">
        <f>IF(M3&lt;=Inputs!$C$16,Inputs!Q126," ")</f>
        <v>24500</v>
      </c>
      <c r="N24" s="10">
        <f>IF(N3&lt;=Inputs!$C$16,Inputs!R126," ")</f>
        <v>0</v>
      </c>
      <c r="O24" s="10">
        <f>IF(O3&lt;=Inputs!$C$16,Inputs!S126," ")</f>
        <v>0</v>
      </c>
      <c r="P24" s="10">
        <f>IF(P3&lt;=Inputs!$C$16,Inputs!T126," ")</f>
        <v>30000</v>
      </c>
      <c r="Q24" s="10">
        <f>IF(Q3&lt;=Inputs!$C$16,Inputs!U126," ")</f>
        <v>0</v>
      </c>
      <c r="R24" s="10">
        <f>IF(R3&lt;=Inputs!$C$16,Inputs!V126," ")</f>
        <v>24500</v>
      </c>
      <c r="S24" s="10">
        <f>IF(S3&lt;=Inputs!$C$16,Inputs!W126," ")</f>
        <v>0</v>
      </c>
      <c r="T24" s="10">
        <f>IF(T3&lt;=Inputs!$C$16,Inputs!X126," ")</f>
        <v>0</v>
      </c>
      <c r="U24" s="10">
        <f>IF(U3&lt;=Inputs!$C$16,Inputs!Y126," ")</f>
        <v>0</v>
      </c>
      <c r="V24" s="10">
        <f>IF(V3&lt;=Inputs!$C$16,Inputs!Z126," ")</f>
        <v>0</v>
      </c>
      <c r="W24" s="10">
        <f>IF(W3&lt;=Inputs!$C$16,Inputs!AA126," ")</f>
        <v>24500</v>
      </c>
      <c r="X24" s="10">
        <f>IF(X3&lt;=Inputs!$C$16,Inputs!AB126," ")</f>
        <v>0</v>
      </c>
      <c r="Y24" s="10">
        <f>IF(Y3&lt;=Inputs!$C$16,Inputs!AC126," ")</f>
        <v>0</v>
      </c>
      <c r="Z24" s="10">
        <f>IF(Z3&lt;=Inputs!$C$16,Inputs!AD126," ")</f>
        <v>0</v>
      </c>
      <c r="AA24" s="10">
        <f>IF(AA3&lt;=Inputs!$C$16,Inputs!AE126," ")</f>
        <v>0</v>
      </c>
      <c r="AB24" s="10">
        <f>IF(AB3&lt;=Inputs!$C$16,Inputs!AF126," ")</f>
        <v>0</v>
      </c>
      <c r="AC24" s="134"/>
      <c r="AD24" s="134"/>
      <c r="AE24" s="134"/>
      <c r="AF24" s="134"/>
      <c r="AG24" s="134"/>
      <c r="AH24" s="134"/>
      <c r="AI24" s="134"/>
      <c r="AJ24" s="134"/>
      <c r="AK24" s="134"/>
      <c r="AL24" s="134"/>
      <c r="AM24" s="134"/>
      <c r="AN24" s="134"/>
      <c r="AO24" s="134"/>
      <c r="AP24" s="134"/>
      <c r="AQ24" s="134"/>
      <c r="AR24" s="134"/>
      <c r="AS24" s="134"/>
      <c r="AT24" s="134"/>
      <c r="AU24" s="134"/>
      <c r="AV24" s="134"/>
      <c r="AW24" s="134"/>
      <c r="AX24" s="134"/>
      <c r="AY24" s="134"/>
      <c r="AZ24" s="134"/>
      <c r="BA24" s="134"/>
      <c r="BB24" s="134"/>
      <c r="BC24" s="134"/>
      <c r="BD24" s="134"/>
      <c r="BE24" s="134"/>
      <c r="BF24" s="134"/>
      <c r="BG24" s="134"/>
      <c r="BH24" s="134"/>
      <c r="BI24" s="134"/>
      <c r="BJ24" s="134"/>
      <c r="BK24" s="134"/>
      <c r="BL24" s="134"/>
      <c r="BM24" s="134"/>
      <c r="BN24" s="134"/>
      <c r="BO24" s="134"/>
      <c r="BP24" s="134"/>
      <c r="BQ24" s="134"/>
      <c r="BR24" s="134"/>
      <c r="BS24" s="134"/>
      <c r="BT24" s="134"/>
      <c r="BU24" s="134"/>
      <c r="BV24" s="134"/>
      <c r="BW24" s="134"/>
      <c r="BX24" s="134"/>
      <c r="BY24" s="134"/>
      <c r="BZ24" s="134"/>
      <c r="CA24" s="134"/>
      <c r="CB24" s="134"/>
      <c r="CC24" s="134"/>
      <c r="CD24" s="134"/>
      <c r="CE24" s="134"/>
      <c r="CF24" s="134"/>
      <c r="CG24" s="134"/>
      <c r="CH24" s="134"/>
      <c r="CI24" s="134"/>
      <c r="CJ24" s="134"/>
      <c r="CK24" s="134"/>
      <c r="CL24" s="134"/>
      <c r="CM24" s="134"/>
      <c r="CN24" s="134"/>
      <c r="CO24" s="134"/>
      <c r="CP24" s="134"/>
      <c r="CQ24" s="134"/>
      <c r="CR24" s="134"/>
      <c r="CS24" s="134"/>
      <c r="CT24" s="134"/>
      <c r="CU24" s="134"/>
      <c r="CV24" s="134"/>
      <c r="CW24" s="134"/>
      <c r="CX24" s="134"/>
      <c r="CY24" s="134"/>
      <c r="CZ24" s="134"/>
      <c r="DA24" s="134"/>
      <c r="DB24" s="134"/>
      <c r="DC24" s="134"/>
      <c r="DD24" s="134"/>
      <c r="DE24" s="134"/>
      <c r="DF24" s="134"/>
      <c r="DG24" s="134"/>
      <c r="DH24" s="134"/>
      <c r="DI24" s="134"/>
      <c r="DJ24" s="134"/>
      <c r="DK24" s="134"/>
      <c r="DL24" s="134"/>
      <c r="DM24" s="134"/>
      <c r="DN24" s="134"/>
      <c r="DO24" s="134"/>
      <c r="DP24" s="134"/>
      <c r="DQ24" s="134"/>
      <c r="DR24" s="134"/>
      <c r="DS24" s="134"/>
      <c r="DT24" s="134"/>
      <c r="DU24" s="134"/>
      <c r="DV24" s="134"/>
      <c r="DW24" s="134"/>
      <c r="DX24" s="134"/>
      <c r="DY24" s="134"/>
      <c r="DZ24" s="134"/>
      <c r="EA24" s="134"/>
      <c r="EB24" s="134"/>
    </row>
    <row r="25" spans="1:132" s="38" customFormat="1" ht="13.8" x14ac:dyDescent="0.3">
      <c r="A25" s="283" t="s">
        <v>160</v>
      </c>
      <c r="B25" s="282"/>
      <c r="C25" s="11"/>
      <c r="D25" s="10">
        <f>-Inputs!C156</f>
        <v>-4000</v>
      </c>
      <c r="E25" s="10">
        <f>-Inputs!D156</f>
        <v>0</v>
      </c>
      <c r="F25" s="10">
        <f>-Inputs!E156</f>
        <v>0</v>
      </c>
      <c r="G25" s="10">
        <f>-Inputs!F156</f>
        <v>0</v>
      </c>
      <c r="H25" s="10">
        <f>-Inputs!G156</f>
        <v>0</v>
      </c>
      <c r="I25" s="10"/>
      <c r="J25" s="10"/>
      <c r="K25" s="10"/>
      <c r="L25" s="10"/>
      <c r="M25" s="10"/>
      <c r="N25" s="10"/>
      <c r="O25" s="10"/>
      <c r="P25" s="10"/>
      <c r="Q25" s="10"/>
      <c r="R25" s="10"/>
      <c r="S25" s="10"/>
      <c r="T25" s="10"/>
      <c r="U25" s="10"/>
      <c r="V25" s="10"/>
      <c r="W25" s="10"/>
      <c r="X25" s="10"/>
      <c r="Y25" s="10"/>
      <c r="Z25" s="10"/>
      <c r="AA25" s="10"/>
      <c r="AB25" s="10"/>
      <c r="AC25" s="134"/>
      <c r="AD25" s="134"/>
      <c r="AE25" s="134"/>
      <c r="AF25" s="134"/>
      <c r="AG25" s="134"/>
      <c r="AH25" s="134"/>
      <c r="AI25" s="134"/>
      <c r="AJ25" s="134"/>
      <c r="AK25" s="134"/>
      <c r="AL25" s="134"/>
      <c r="AM25" s="134"/>
      <c r="AN25" s="134"/>
      <c r="AO25" s="134"/>
      <c r="AP25" s="134"/>
      <c r="AQ25" s="134"/>
      <c r="AR25" s="134"/>
      <c r="AS25" s="134"/>
      <c r="AT25" s="134"/>
      <c r="AU25" s="134"/>
      <c r="AV25" s="134"/>
      <c r="AW25" s="134"/>
      <c r="AX25" s="134"/>
      <c r="AY25" s="134"/>
      <c r="AZ25" s="134"/>
      <c r="BA25" s="134"/>
      <c r="BB25" s="134"/>
      <c r="BC25" s="134"/>
      <c r="BD25" s="134"/>
      <c r="BE25" s="134"/>
      <c r="BF25" s="134"/>
      <c r="BG25" s="134"/>
      <c r="BH25" s="134"/>
      <c r="BI25" s="134"/>
      <c r="BJ25" s="134"/>
      <c r="BK25" s="134"/>
      <c r="BL25" s="134"/>
      <c r="BM25" s="134"/>
      <c r="BN25" s="134"/>
      <c r="BO25" s="134"/>
      <c r="BP25" s="134"/>
      <c r="BQ25" s="134"/>
      <c r="BR25" s="134"/>
      <c r="BS25" s="134"/>
      <c r="BT25" s="134"/>
      <c r="BU25" s="134"/>
      <c r="BV25" s="134"/>
      <c r="BW25" s="134"/>
      <c r="BX25" s="134"/>
      <c r="BY25" s="134"/>
      <c r="BZ25" s="134"/>
      <c r="CA25" s="134"/>
      <c r="CB25" s="134"/>
      <c r="CC25" s="134"/>
      <c r="CD25" s="134"/>
      <c r="CE25" s="134"/>
      <c r="CF25" s="134"/>
      <c r="CG25" s="134"/>
      <c r="CH25" s="134"/>
      <c r="CI25" s="134"/>
      <c r="CJ25" s="134"/>
      <c r="CK25" s="134"/>
      <c r="CL25" s="134"/>
      <c r="CM25" s="134"/>
      <c r="CN25" s="134"/>
      <c r="CO25" s="134"/>
      <c r="CP25" s="134"/>
      <c r="CQ25" s="134"/>
      <c r="CR25" s="134"/>
      <c r="CS25" s="134"/>
      <c r="CT25" s="134"/>
      <c r="CU25" s="134"/>
      <c r="CV25" s="134"/>
      <c r="CW25" s="134"/>
      <c r="CX25" s="134"/>
      <c r="CY25" s="134"/>
      <c r="CZ25" s="134"/>
      <c r="DA25" s="134"/>
      <c r="DB25" s="134"/>
      <c r="DC25" s="134"/>
      <c r="DD25" s="134"/>
      <c r="DE25" s="134"/>
      <c r="DF25" s="134"/>
      <c r="DG25" s="134"/>
      <c r="DH25" s="134"/>
      <c r="DI25" s="134"/>
      <c r="DJ25" s="134"/>
      <c r="DK25" s="134"/>
      <c r="DL25" s="134"/>
      <c r="DM25" s="134"/>
      <c r="DN25" s="134"/>
      <c r="DO25" s="134"/>
      <c r="DP25" s="134"/>
      <c r="DQ25" s="134"/>
      <c r="DR25" s="134"/>
      <c r="DS25" s="134"/>
      <c r="DT25" s="134"/>
      <c r="DU25" s="134"/>
      <c r="DV25" s="134"/>
      <c r="DW25" s="134"/>
      <c r="DX25" s="134"/>
      <c r="DY25" s="134"/>
      <c r="DZ25" s="134"/>
      <c r="EA25" s="134"/>
      <c r="EB25" s="134"/>
    </row>
    <row r="26" spans="1:132" s="38" customFormat="1" ht="13.8" x14ac:dyDescent="0.3">
      <c r="A26" s="283" t="s">
        <v>161</v>
      </c>
      <c r="B26" s="282"/>
      <c r="C26" s="11"/>
      <c r="D26" s="10">
        <f>-Inputs!C157</f>
        <v>0</v>
      </c>
      <c r="E26" s="10">
        <f>-Inputs!D157</f>
        <v>0</v>
      </c>
      <c r="F26" s="10">
        <f>-Inputs!E157</f>
        <v>0</v>
      </c>
      <c r="G26" s="10">
        <f>-Inputs!F157</f>
        <v>0</v>
      </c>
      <c r="H26" s="10">
        <f>-Inputs!G157</f>
        <v>0</v>
      </c>
      <c r="I26" s="10"/>
      <c r="J26" s="10"/>
      <c r="K26" s="10"/>
      <c r="L26" s="10"/>
      <c r="M26" s="10"/>
      <c r="N26" s="10"/>
      <c r="O26" s="10"/>
      <c r="P26" s="10"/>
      <c r="Q26" s="10"/>
      <c r="R26" s="10"/>
      <c r="S26" s="10"/>
      <c r="T26" s="10"/>
      <c r="U26" s="10"/>
      <c r="V26" s="10"/>
      <c r="W26" s="10"/>
      <c r="X26" s="10"/>
      <c r="Y26" s="10"/>
      <c r="Z26" s="10"/>
      <c r="AA26" s="10"/>
      <c r="AB26" s="10"/>
      <c r="AC26" s="134"/>
      <c r="AD26" s="134"/>
      <c r="AE26" s="134"/>
      <c r="AF26" s="134"/>
      <c r="AG26" s="134"/>
      <c r="AH26" s="134"/>
      <c r="AI26" s="134"/>
      <c r="AJ26" s="134"/>
      <c r="AK26" s="134"/>
      <c r="AL26" s="134"/>
      <c r="AM26" s="134"/>
      <c r="AN26" s="134"/>
      <c r="AO26" s="134"/>
      <c r="AP26" s="134"/>
      <c r="AQ26" s="134"/>
      <c r="AR26" s="134"/>
      <c r="AS26" s="134"/>
      <c r="AT26" s="134"/>
      <c r="AU26" s="134"/>
      <c r="AV26" s="134"/>
      <c r="AW26" s="134"/>
      <c r="AX26" s="134"/>
      <c r="AY26" s="134"/>
      <c r="AZ26" s="134"/>
      <c r="BA26" s="134"/>
      <c r="BB26" s="134"/>
      <c r="BC26" s="134"/>
      <c r="BD26" s="134"/>
      <c r="BE26" s="134"/>
      <c r="BF26" s="134"/>
      <c r="BG26" s="134"/>
      <c r="BH26" s="134"/>
      <c r="BI26" s="134"/>
      <c r="BJ26" s="134"/>
      <c r="BK26" s="134"/>
      <c r="BL26" s="134"/>
      <c r="BM26" s="134"/>
      <c r="BN26" s="134"/>
      <c r="BO26" s="134"/>
      <c r="BP26" s="134"/>
      <c r="BQ26" s="134"/>
      <c r="BR26" s="134"/>
      <c r="BS26" s="134"/>
      <c r="BT26" s="134"/>
      <c r="BU26" s="134"/>
      <c r="BV26" s="134"/>
      <c r="BW26" s="134"/>
      <c r="BX26" s="134"/>
      <c r="BY26" s="134"/>
      <c r="BZ26" s="134"/>
      <c r="CA26" s="134"/>
      <c r="CB26" s="134"/>
      <c r="CC26" s="134"/>
      <c r="CD26" s="134"/>
      <c r="CE26" s="134"/>
      <c r="CF26" s="134"/>
      <c r="CG26" s="134"/>
      <c r="CH26" s="134"/>
      <c r="CI26" s="134"/>
      <c r="CJ26" s="134"/>
      <c r="CK26" s="134"/>
      <c r="CL26" s="134"/>
      <c r="CM26" s="134"/>
      <c r="CN26" s="134"/>
      <c r="CO26" s="134"/>
      <c r="CP26" s="134"/>
      <c r="CQ26" s="134"/>
      <c r="CR26" s="134"/>
      <c r="CS26" s="134"/>
      <c r="CT26" s="134"/>
      <c r="CU26" s="134"/>
      <c r="CV26" s="134"/>
      <c r="CW26" s="134"/>
      <c r="CX26" s="134"/>
      <c r="CY26" s="134"/>
      <c r="CZ26" s="134"/>
      <c r="DA26" s="134"/>
      <c r="DB26" s="134"/>
      <c r="DC26" s="134"/>
      <c r="DD26" s="134"/>
      <c r="DE26" s="134"/>
      <c r="DF26" s="134"/>
      <c r="DG26" s="134"/>
      <c r="DH26" s="134"/>
      <c r="DI26" s="134"/>
      <c r="DJ26" s="134"/>
      <c r="DK26" s="134"/>
      <c r="DL26" s="134"/>
      <c r="DM26" s="134"/>
      <c r="DN26" s="134"/>
      <c r="DO26" s="134"/>
      <c r="DP26" s="134"/>
      <c r="DQ26" s="134"/>
      <c r="DR26" s="134"/>
      <c r="DS26" s="134"/>
      <c r="DT26" s="134"/>
      <c r="DU26" s="134"/>
      <c r="DV26" s="134"/>
      <c r="DW26" s="134"/>
      <c r="DX26" s="134"/>
      <c r="DY26" s="134"/>
      <c r="DZ26" s="134"/>
      <c r="EA26" s="134"/>
      <c r="EB26" s="134"/>
    </row>
    <row r="27" spans="1:132" s="38" customFormat="1" ht="13.8" x14ac:dyDescent="0.3">
      <c r="A27" s="272" t="s">
        <v>478</v>
      </c>
      <c r="B27" s="282" t="s">
        <v>22</v>
      </c>
      <c r="C27" s="11"/>
      <c r="D27" s="10">
        <f>D24+D25+D26</f>
        <v>267500</v>
      </c>
      <c r="E27" s="10">
        <f>IF(E3&lt;=Inputs!$C$16,D27+E24+E25+E26,"")</f>
        <v>267500</v>
      </c>
      <c r="F27" s="10">
        <f>IF(F3&lt;=Inputs!$C$16,E27+F24+F25+F26,"")</f>
        <v>267500</v>
      </c>
      <c r="G27" s="10">
        <f>IF(G3&lt;=Inputs!$C$16,F27+G24+G25+G26,"")</f>
        <v>267500</v>
      </c>
      <c r="H27" s="10">
        <f>IF(H3&lt;=Inputs!$C$16,G27+H24+H25+H26,"")</f>
        <v>287000</v>
      </c>
      <c r="I27" s="10">
        <f>IF(I3&lt;=Inputs!$C$16,H27+I24+I25+I26,"")</f>
        <v>287000</v>
      </c>
      <c r="J27" s="10">
        <f>IF(J3&lt;=Inputs!$C$16,I27+J24+J25+J26,"")</f>
        <v>287000</v>
      </c>
      <c r="K27" s="10">
        <f>IF(K3&lt;=Inputs!$C$16,J27+K24+K25+K26,"")</f>
        <v>287000</v>
      </c>
      <c r="L27" s="10">
        <f>IF(L3&lt;=Inputs!$C$16,K27+L24+L25+L26,"")</f>
        <v>287000</v>
      </c>
      <c r="M27" s="10">
        <f>IF(M3&lt;=Inputs!$C$16,L27+M24+M25+M26,"")</f>
        <v>311500</v>
      </c>
      <c r="N27" s="10">
        <f>IF(N3&lt;=Inputs!$C$16,M27+N24+N25+N26,"")</f>
        <v>311500</v>
      </c>
      <c r="O27" s="10">
        <f>IF(O3&lt;=Inputs!$C$16,N27+O24+O25+O26,"")</f>
        <v>311500</v>
      </c>
      <c r="P27" s="10">
        <f>IF(P3&lt;=Inputs!$C$16,O27+P24+P25+P26,"")</f>
        <v>341500</v>
      </c>
      <c r="Q27" s="10">
        <f>IF(Q3&lt;=Inputs!$C$16,P27+Q24+Q25+Q26,"")</f>
        <v>341500</v>
      </c>
      <c r="R27" s="10">
        <f>IF(R3&lt;=Inputs!$C$16,Q27+R24+R25+R26,"")</f>
        <v>366000</v>
      </c>
      <c r="S27" s="10">
        <f>IF(S3&lt;=Inputs!$C$16,R27+S24+S25+S26,"")</f>
        <v>366000</v>
      </c>
      <c r="T27" s="10">
        <f>IF(T3&lt;=Inputs!$C$16,S27+T24+T25+T26,"")</f>
        <v>366000</v>
      </c>
      <c r="U27" s="10">
        <f>IF(U3&lt;=Inputs!$C$16,T27+U24+U25+U26,"")</f>
        <v>366000</v>
      </c>
      <c r="V27" s="10">
        <f>IF(V3&lt;=Inputs!$C$16,U27+V24+V25+V26,"")</f>
        <v>366000</v>
      </c>
      <c r="W27" s="10">
        <f>IF(W3&lt;=Inputs!$C$16,V27+W24+W25+W26,"")</f>
        <v>390500</v>
      </c>
      <c r="X27" s="10">
        <f>IF(X3&lt;=Inputs!$C$16,W27+X24+X25+X26,"")</f>
        <v>390500</v>
      </c>
      <c r="Y27" s="10">
        <f>IF(Y3&lt;=Inputs!$C$16,X27+Y24+Y25+Y26,"")</f>
        <v>390500</v>
      </c>
      <c r="Z27" s="10">
        <f>IF(Z3&lt;=Inputs!$C$16,Y27+Z24+Z25+Z26,"")</f>
        <v>390500</v>
      </c>
      <c r="AA27" s="10">
        <f>IF(AA3&lt;=Inputs!$C$16,Z27+AA24+AA25+AA26,"")</f>
        <v>390500</v>
      </c>
      <c r="AB27" s="10">
        <f>IF(AB3&lt;=Inputs!$C$16,AA27+AB24+AB25+AB26,"")</f>
        <v>390500</v>
      </c>
      <c r="AC27" s="134"/>
      <c r="AD27" s="134"/>
      <c r="AE27" s="134"/>
      <c r="AF27" s="134"/>
      <c r="AG27" s="134"/>
      <c r="AH27" s="134"/>
      <c r="AI27" s="134"/>
      <c r="AJ27" s="134"/>
      <c r="AK27" s="134"/>
      <c r="AL27" s="134"/>
      <c r="AM27" s="134"/>
      <c r="AN27" s="134"/>
      <c r="AO27" s="134"/>
      <c r="AP27" s="134"/>
      <c r="AQ27" s="134"/>
      <c r="AR27" s="134"/>
      <c r="AS27" s="134"/>
      <c r="AT27" s="134"/>
      <c r="AU27" s="134"/>
      <c r="AV27" s="134"/>
      <c r="AW27" s="134"/>
      <c r="AX27" s="134"/>
      <c r="AY27" s="134"/>
      <c r="AZ27" s="134"/>
      <c r="BA27" s="134"/>
      <c r="BB27" s="134"/>
      <c r="BC27" s="134"/>
      <c r="BD27" s="134"/>
      <c r="BE27" s="134"/>
      <c r="BF27" s="134"/>
      <c r="BG27" s="134"/>
      <c r="BH27" s="134"/>
      <c r="BI27" s="134"/>
      <c r="BJ27" s="134"/>
      <c r="BK27" s="134"/>
      <c r="BL27" s="134"/>
      <c r="BM27" s="134"/>
      <c r="BN27" s="134"/>
      <c r="BO27" s="134"/>
      <c r="BP27" s="134"/>
      <c r="BQ27" s="134"/>
      <c r="BR27" s="134"/>
      <c r="BS27" s="134"/>
      <c r="BT27" s="134"/>
      <c r="BU27" s="134"/>
      <c r="BV27" s="134"/>
      <c r="BW27" s="134"/>
      <c r="BX27" s="134"/>
      <c r="BY27" s="134"/>
      <c r="BZ27" s="134"/>
      <c r="CA27" s="134"/>
      <c r="CB27" s="134"/>
      <c r="CC27" s="134"/>
      <c r="CD27" s="134"/>
      <c r="CE27" s="134"/>
      <c r="CF27" s="134"/>
      <c r="CG27" s="134"/>
      <c r="CH27" s="134"/>
      <c r="CI27" s="134"/>
      <c r="CJ27" s="134"/>
      <c r="CK27" s="134"/>
      <c r="CL27" s="134"/>
      <c r="CM27" s="134"/>
      <c r="CN27" s="134"/>
      <c r="CO27" s="134"/>
      <c r="CP27" s="134"/>
      <c r="CQ27" s="134"/>
      <c r="CR27" s="134"/>
      <c r="CS27" s="134"/>
      <c r="CT27" s="134"/>
      <c r="CU27" s="134"/>
      <c r="CV27" s="134"/>
      <c r="CW27" s="134"/>
      <c r="CX27" s="134"/>
      <c r="CY27" s="134"/>
      <c r="CZ27" s="134"/>
      <c r="DA27" s="134"/>
      <c r="DB27" s="134"/>
      <c r="DC27" s="134"/>
      <c r="DD27" s="134"/>
      <c r="DE27" s="134"/>
      <c r="DF27" s="134"/>
      <c r="DG27" s="134"/>
      <c r="DH27" s="134"/>
      <c r="DI27" s="134"/>
      <c r="DJ27" s="134"/>
      <c r="DK27" s="134"/>
      <c r="DL27" s="134"/>
      <c r="DM27" s="134"/>
      <c r="DN27" s="134"/>
      <c r="DO27" s="134"/>
      <c r="DP27" s="134"/>
      <c r="DQ27" s="134"/>
      <c r="DR27" s="134"/>
      <c r="DS27" s="134"/>
      <c r="DT27" s="134"/>
      <c r="DU27" s="134"/>
      <c r="DV27" s="134"/>
      <c r="DW27" s="134"/>
      <c r="DX27" s="134"/>
      <c r="DY27" s="134"/>
      <c r="DZ27" s="134"/>
      <c r="EA27" s="134"/>
      <c r="EB27" s="134"/>
    </row>
    <row r="28" spans="1:132" x14ac:dyDescent="0.3">
      <c r="A28" s="272" t="s">
        <v>126</v>
      </c>
      <c r="B28" s="282"/>
      <c r="C28" s="11"/>
      <c r="D28" s="1" t="e">
        <f t="shared" ref="D28:AB28" si="4">-D19</f>
        <v>#DIV/0!</v>
      </c>
      <c r="E28" s="1" t="e">
        <f t="shared" si="4"/>
        <v>#DIV/0!</v>
      </c>
      <c r="F28" s="1" t="e">
        <f t="shared" si="4"/>
        <v>#DIV/0!</v>
      </c>
      <c r="G28" s="1" t="e">
        <f t="shared" si="4"/>
        <v>#DIV/0!</v>
      </c>
      <c r="H28" s="1" t="e">
        <f t="shared" si="4"/>
        <v>#DIV/0!</v>
      </c>
      <c r="I28" s="1" t="e">
        <f t="shared" si="4"/>
        <v>#DIV/0!</v>
      </c>
      <c r="J28" s="1" t="e">
        <f t="shared" si="4"/>
        <v>#DIV/0!</v>
      </c>
      <c r="K28" s="1" t="e">
        <f t="shared" si="4"/>
        <v>#DIV/0!</v>
      </c>
      <c r="L28" s="1" t="e">
        <f t="shared" si="4"/>
        <v>#DIV/0!</v>
      </c>
      <c r="M28" s="1" t="e">
        <f t="shared" si="4"/>
        <v>#DIV/0!</v>
      </c>
      <c r="N28" s="1" t="e">
        <f t="shared" si="4"/>
        <v>#DIV/0!</v>
      </c>
      <c r="O28" s="1" t="e">
        <f t="shared" si="4"/>
        <v>#DIV/0!</v>
      </c>
      <c r="P28" s="1" t="e">
        <f t="shared" si="4"/>
        <v>#DIV/0!</v>
      </c>
      <c r="Q28" s="1" t="e">
        <f t="shared" si="4"/>
        <v>#DIV/0!</v>
      </c>
      <c r="R28" s="1" t="e">
        <f t="shared" si="4"/>
        <v>#DIV/0!</v>
      </c>
      <c r="S28" s="1" t="e">
        <f t="shared" si="4"/>
        <v>#DIV/0!</v>
      </c>
      <c r="T28" s="1" t="e">
        <f t="shared" si="4"/>
        <v>#DIV/0!</v>
      </c>
      <c r="U28" s="1" t="e">
        <f t="shared" si="4"/>
        <v>#DIV/0!</v>
      </c>
      <c r="V28" s="1" t="e">
        <f t="shared" si="4"/>
        <v>#DIV/0!</v>
      </c>
      <c r="W28" s="1" t="e">
        <f t="shared" si="4"/>
        <v>#DIV/0!</v>
      </c>
      <c r="X28" s="1" t="e">
        <f t="shared" si="4"/>
        <v>#DIV/0!</v>
      </c>
      <c r="Y28" s="1" t="e">
        <f t="shared" si="4"/>
        <v>#DIV/0!</v>
      </c>
      <c r="Z28" s="1" t="e">
        <f t="shared" si="4"/>
        <v>#DIV/0!</v>
      </c>
      <c r="AA28" s="1" t="e">
        <f t="shared" si="4"/>
        <v>#DIV/0!</v>
      </c>
      <c r="AB28" s="1" t="e">
        <f t="shared" si="4"/>
        <v>#DIV/0!</v>
      </c>
      <c r="AC28" s="134"/>
      <c r="AD28" s="134"/>
      <c r="AE28" s="134"/>
      <c r="AF28" s="134"/>
      <c r="AG28" s="134"/>
      <c r="AH28" s="134"/>
      <c r="AI28" s="134"/>
      <c r="AJ28" s="134"/>
      <c r="AK28" s="134"/>
      <c r="AL28" s="134"/>
    </row>
    <row r="29" spans="1:132" s="38" customFormat="1" ht="13.8" x14ac:dyDescent="0.3">
      <c r="A29" s="283" t="s">
        <v>162</v>
      </c>
      <c r="B29" s="282"/>
      <c r="C29" s="11"/>
      <c r="D29" s="10" t="e">
        <f>D28</f>
        <v>#DIV/0!</v>
      </c>
      <c r="E29" s="10" t="e">
        <f>IF(E3&lt;=Inputs!$C$16,D29+E28,"")</f>
        <v>#DIV/0!</v>
      </c>
      <c r="F29" s="10" t="e">
        <f>IF(F3&lt;=Inputs!$C$16,E29+F28,"")</f>
        <v>#DIV/0!</v>
      </c>
      <c r="G29" s="10" t="e">
        <f>IF(G3&lt;=Inputs!$C$16,F29+G28,"")</f>
        <v>#DIV/0!</v>
      </c>
      <c r="H29" s="10" t="e">
        <f>IF(H3&lt;=Inputs!$C$16,G29+H28,"")</f>
        <v>#DIV/0!</v>
      </c>
      <c r="I29" s="10" t="e">
        <f>IF(I3&lt;=Inputs!$C$16,H29+I28,"")</f>
        <v>#DIV/0!</v>
      </c>
      <c r="J29" s="10" t="e">
        <f>IF(J3&lt;=Inputs!$C$16,I29+J28,"")</f>
        <v>#DIV/0!</v>
      </c>
      <c r="K29" s="10" t="e">
        <f>IF(K3&lt;=Inputs!$C$16,J29+K28,"")</f>
        <v>#DIV/0!</v>
      </c>
      <c r="L29" s="10" t="e">
        <f>IF(L3&lt;=Inputs!$C$16,K29+L28,"")</f>
        <v>#DIV/0!</v>
      </c>
      <c r="M29" s="10" t="e">
        <f>IF(M3&lt;=Inputs!$C$16,L29+M28,"")</f>
        <v>#DIV/0!</v>
      </c>
      <c r="N29" s="10" t="e">
        <f>IF(N3&lt;=Inputs!$C$16,M29+N28,"")</f>
        <v>#DIV/0!</v>
      </c>
      <c r="O29" s="10" t="e">
        <f>IF(O3&lt;=Inputs!$C$16,N29+O28,"")</f>
        <v>#DIV/0!</v>
      </c>
      <c r="P29" s="10" t="e">
        <f>IF(P3&lt;=Inputs!$C$16,O29+P28,"")</f>
        <v>#DIV/0!</v>
      </c>
      <c r="Q29" s="10" t="e">
        <f>IF(Q3&lt;=Inputs!$C$16,P29+Q28,"")</f>
        <v>#DIV/0!</v>
      </c>
      <c r="R29" s="10" t="e">
        <f>IF(R3&lt;=Inputs!$C$16,Q29+R28,"")</f>
        <v>#DIV/0!</v>
      </c>
      <c r="S29" s="10" t="e">
        <f>IF(S3&lt;=Inputs!$C$16,R29+S28,"")</f>
        <v>#DIV/0!</v>
      </c>
      <c r="T29" s="10" t="e">
        <f>IF(T3&lt;=Inputs!$C$16,S29+T28,"")</f>
        <v>#DIV/0!</v>
      </c>
      <c r="U29" s="10" t="e">
        <f>IF(U3&lt;=Inputs!$C$16,T29+U28,"")</f>
        <v>#DIV/0!</v>
      </c>
      <c r="V29" s="10" t="e">
        <f>IF(V3&lt;=Inputs!$C$16,U29+V28,"")</f>
        <v>#DIV/0!</v>
      </c>
      <c r="W29" s="10" t="e">
        <f>IF(W3&lt;=Inputs!$C$16,V29+W28,"")</f>
        <v>#DIV/0!</v>
      </c>
      <c r="X29" s="10" t="e">
        <f>IF(X3&lt;=Inputs!$C$16,W29+X28,"")</f>
        <v>#DIV/0!</v>
      </c>
      <c r="Y29" s="10" t="e">
        <f>IF(Y3&lt;=Inputs!$C$16,X29+Y28,"")</f>
        <v>#DIV/0!</v>
      </c>
      <c r="Z29" s="10" t="e">
        <f>IF(Z3&lt;=Inputs!$C$16,Y29+Z28,"")</f>
        <v>#DIV/0!</v>
      </c>
      <c r="AA29" s="10" t="e">
        <f>IF(AA3&lt;=Inputs!$C$16,Z29+AA28,"")</f>
        <v>#DIV/0!</v>
      </c>
      <c r="AB29" s="10" t="e">
        <f>IF(AB3&lt;=Inputs!$C$16,AA29+AB28,"")</f>
        <v>#DIV/0!</v>
      </c>
      <c r="AC29" s="134" t="e">
        <f>AB27+AB29</f>
        <v>#DIV/0!</v>
      </c>
      <c r="AD29" s="134"/>
      <c r="AE29" s="134"/>
      <c r="AF29" s="134"/>
      <c r="AG29" s="134"/>
      <c r="AH29" s="134"/>
      <c r="AI29" s="134"/>
      <c r="AJ29" s="134"/>
      <c r="AK29" s="134"/>
      <c r="AL29" s="134"/>
      <c r="AM29" s="134"/>
      <c r="AN29" s="134"/>
      <c r="AO29" s="134"/>
      <c r="AP29" s="134"/>
      <c r="AQ29" s="134"/>
      <c r="AR29" s="134"/>
      <c r="AS29" s="134"/>
      <c r="AT29" s="134"/>
      <c r="AU29" s="134"/>
      <c r="AV29" s="134"/>
      <c r="AW29" s="134"/>
      <c r="AX29" s="134"/>
      <c r="AY29" s="134"/>
      <c r="AZ29" s="134"/>
      <c r="BA29" s="134"/>
      <c r="BB29" s="134"/>
      <c r="BC29" s="134"/>
      <c r="BD29" s="134"/>
      <c r="BE29" s="134"/>
      <c r="BF29" s="134"/>
      <c r="BG29" s="134"/>
      <c r="BH29" s="134"/>
      <c r="BI29" s="134"/>
      <c r="BJ29" s="134"/>
      <c r="BK29" s="134"/>
      <c r="BL29" s="134"/>
      <c r="BM29" s="134"/>
      <c r="BN29" s="134"/>
      <c r="BO29" s="134"/>
      <c r="BP29" s="134"/>
      <c r="BQ29" s="134"/>
      <c r="BR29" s="134"/>
      <c r="BS29" s="134"/>
      <c r="BT29" s="134"/>
      <c r="BU29" s="134"/>
      <c r="BV29" s="134"/>
      <c r="BW29" s="134"/>
      <c r="BX29" s="134"/>
      <c r="BY29" s="134"/>
      <c r="BZ29" s="134"/>
      <c r="CA29" s="134"/>
      <c r="CB29" s="134"/>
      <c r="CC29" s="134"/>
      <c r="CD29" s="134"/>
      <c r="CE29" s="134"/>
      <c r="CF29" s="134"/>
      <c r="CG29" s="134"/>
      <c r="CH29" s="134"/>
      <c r="CI29" s="134"/>
      <c r="CJ29" s="134"/>
      <c r="CK29" s="134"/>
      <c r="CL29" s="134"/>
      <c r="CM29" s="134"/>
      <c r="CN29" s="134"/>
      <c r="CO29" s="134"/>
      <c r="CP29" s="134"/>
      <c r="CQ29" s="134"/>
      <c r="CR29" s="134"/>
      <c r="CS29" s="134"/>
      <c r="CT29" s="134"/>
      <c r="CU29" s="134"/>
      <c r="CV29" s="134"/>
      <c r="CW29" s="134"/>
      <c r="CX29" s="134"/>
      <c r="CY29" s="134"/>
      <c r="CZ29" s="134"/>
      <c r="DA29" s="134"/>
      <c r="DB29" s="134"/>
      <c r="DC29" s="134"/>
      <c r="DD29" s="134"/>
      <c r="DE29" s="134"/>
      <c r="DF29" s="134"/>
      <c r="DG29" s="134"/>
      <c r="DH29" s="134"/>
      <c r="DI29" s="134"/>
      <c r="DJ29" s="134"/>
      <c r="DK29" s="134"/>
      <c r="DL29" s="134"/>
      <c r="DM29" s="134"/>
      <c r="DN29" s="134"/>
      <c r="DO29" s="134"/>
      <c r="DP29" s="134"/>
      <c r="DQ29" s="134"/>
      <c r="DR29" s="134"/>
      <c r="DS29" s="134"/>
      <c r="DT29" s="134"/>
      <c r="DU29" s="134"/>
      <c r="DV29" s="134"/>
      <c r="DW29" s="134"/>
      <c r="DX29" s="134"/>
      <c r="DY29" s="134"/>
      <c r="DZ29" s="134"/>
      <c r="EA29" s="134"/>
      <c r="EB29" s="134"/>
    </row>
    <row r="30" spans="1:132" s="287" customFormat="1" ht="13.8" x14ac:dyDescent="0.3">
      <c r="A30" s="284" t="s">
        <v>170</v>
      </c>
      <c r="B30" s="285"/>
      <c r="C30" s="220"/>
      <c r="D30" s="221">
        <f>IF(D3&lt;=Inputs!$C$16,Inputs!$C$133*SUM(D22:D23)/365,"")</f>
        <v>0</v>
      </c>
      <c r="E30" s="221">
        <f>IF(E3&lt;=Inputs!$C$16,Inputs!$C$133*SUM(E22:E23)/365,"")</f>
        <v>0</v>
      </c>
      <c r="F30" s="221">
        <f>IF(F3&lt;=Inputs!$C$16,Inputs!$C$133*SUM(F22:F23)/365,"")</f>
        <v>0</v>
      </c>
      <c r="G30" s="221">
        <f>IF(G3&lt;=Inputs!$C$16,Inputs!$C$133*SUM(G22:G23)/365,"")</f>
        <v>0</v>
      </c>
      <c r="H30" s="221">
        <f>IF(H3&lt;=Inputs!$C$16,Inputs!$C$133*SUM(H22:H23)/365,"")</f>
        <v>0</v>
      </c>
      <c r="I30" s="221">
        <f>IF(I3&lt;=Inputs!$C$16,Inputs!$C$133*SUM(I22:I23)/365,"")</f>
        <v>0</v>
      </c>
      <c r="J30" s="221">
        <f>IF(J3&lt;=Inputs!$C$16,Inputs!$C$133*SUM(J22:J23)/365,"")</f>
        <v>0</v>
      </c>
      <c r="K30" s="221">
        <f>IF(K3&lt;=Inputs!$C$16,Inputs!$C$133*SUM(K22:K23)/365,"")</f>
        <v>0</v>
      </c>
      <c r="L30" s="221">
        <f>IF(L3&lt;=Inputs!$C$16,Inputs!$C$133*SUM(L22:L23)/365,"")</f>
        <v>0</v>
      </c>
      <c r="M30" s="221">
        <f>IF(M3&lt;=Inputs!$C$16,Inputs!$C$133*SUM(M22:M23)/365,"")</f>
        <v>0</v>
      </c>
      <c r="N30" s="221">
        <f>IF(N3&lt;=Inputs!$C$16,Inputs!$C$133*SUM(N22:N23)/365,"")</f>
        <v>0</v>
      </c>
      <c r="O30" s="221">
        <f>IF(O3&lt;=Inputs!$C$16,Inputs!$C$133*SUM(O22:O23)/365,"")</f>
        <v>0</v>
      </c>
      <c r="P30" s="221">
        <f>IF(P3&lt;=Inputs!$C$16,Inputs!$C$133*SUM(P22:P23)/365,"")</f>
        <v>0</v>
      </c>
      <c r="Q30" s="221">
        <f>IF(Q3&lt;=Inputs!$C$16,Inputs!$C$133*SUM(Q22:Q23)/365,"")</f>
        <v>0</v>
      </c>
      <c r="R30" s="221">
        <f>IF(R3&lt;=Inputs!$C$16,Inputs!$C$133*SUM(R22:R23)/365,"")</f>
        <v>0</v>
      </c>
      <c r="S30" s="221">
        <f>IF(S3&lt;=Inputs!$C$16,Inputs!$C$133*SUM(S22:S23)/365,"")</f>
        <v>0</v>
      </c>
      <c r="T30" s="221">
        <f>IF(T3&lt;=Inputs!$C$16,Inputs!$C$133*SUM(T22:T23)/365,"")</f>
        <v>0</v>
      </c>
      <c r="U30" s="221">
        <f>IF(U3&lt;=Inputs!$C$16,Inputs!$C$133*SUM(U22:U23)/365,"")</f>
        <v>0</v>
      </c>
      <c r="V30" s="221">
        <f>IF(V3&lt;=Inputs!$C$16,Inputs!$C$133*SUM(V22:V23)/365,"")</f>
        <v>0</v>
      </c>
      <c r="W30" s="221">
        <f>IF(W3&lt;=Inputs!$C$16,Inputs!$C$133*SUM(W22:W23)/365,"")</f>
        <v>0</v>
      </c>
      <c r="X30" s="221">
        <f>IF(X3&lt;=Inputs!$C$16,Inputs!$C$133*SUM(X22:X23)/365,"")</f>
        <v>0</v>
      </c>
      <c r="Y30" s="221">
        <f>IF(Y3&lt;=Inputs!$C$16,Inputs!$C$133*SUM(Y22:Y23)/365,"")</f>
        <v>0</v>
      </c>
      <c r="Z30" s="221">
        <f>IF(Z3&lt;=Inputs!$C$16,Inputs!$C$133*SUM(Z22:Z23)/365,"")</f>
        <v>0</v>
      </c>
      <c r="AA30" s="221">
        <f>IF(AA3&lt;=Inputs!$C$16,Inputs!$C$133*SUM(AA22:AA23)/365,"")</f>
        <v>0</v>
      </c>
      <c r="AB30" s="221">
        <f>IF(AB3&lt;=Inputs!$C$16,Inputs!$C$133*SUM(AB22:AB23)/365,"")</f>
        <v>0</v>
      </c>
      <c r="AC30" s="134"/>
      <c r="AD30" s="134"/>
      <c r="AE30" s="134"/>
      <c r="AF30" s="134"/>
      <c r="AG30" s="134"/>
      <c r="AH30" s="134"/>
      <c r="AI30" s="134"/>
      <c r="AJ30" s="134"/>
      <c r="AK30" s="134"/>
      <c r="AL30" s="134"/>
      <c r="AM30" s="286"/>
      <c r="AN30" s="286"/>
      <c r="AO30" s="286"/>
      <c r="AP30" s="286"/>
      <c r="AQ30" s="286"/>
      <c r="AR30" s="286"/>
      <c r="AS30" s="286"/>
      <c r="AT30" s="286"/>
      <c r="AU30" s="286"/>
      <c r="AV30" s="286"/>
      <c r="AW30" s="286"/>
      <c r="AX30" s="286"/>
      <c r="AY30" s="286"/>
      <c r="AZ30" s="286"/>
      <c r="BA30" s="286"/>
      <c r="BB30" s="286"/>
      <c r="BC30" s="286"/>
      <c r="BD30" s="286"/>
      <c r="BE30" s="286"/>
      <c r="BF30" s="286"/>
      <c r="BG30" s="286"/>
      <c r="BH30" s="286"/>
      <c r="BI30" s="286"/>
      <c r="BJ30" s="286"/>
      <c r="BK30" s="286"/>
      <c r="BL30" s="286"/>
      <c r="BM30" s="286"/>
      <c r="BN30" s="286"/>
      <c r="BO30" s="286"/>
      <c r="BP30" s="286"/>
      <c r="BQ30" s="286"/>
      <c r="BR30" s="286"/>
      <c r="BS30" s="286"/>
      <c r="BT30" s="286"/>
      <c r="BU30" s="286"/>
      <c r="BV30" s="286"/>
      <c r="BW30" s="286"/>
      <c r="BX30" s="286"/>
      <c r="BY30" s="286"/>
      <c r="BZ30" s="286"/>
      <c r="CA30" s="286"/>
      <c r="CB30" s="286"/>
      <c r="CC30" s="286"/>
      <c r="CD30" s="286"/>
      <c r="CE30" s="286"/>
      <c r="CF30" s="286"/>
      <c r="CG30" s="286"/>
      <c r="CH30" s="286"/>
      <c r="CI30" s="286"/>
      <c r="CJ30" s="286"/>
      <c r="CK30" s="286"/>
      <c r="CL30" s="286"/>
      <c r="CM30" s="286"/>
      <c r="CN30" s="286"/>
      <c r="CO30" s="286"/>
      <c r="CP30" s="286"/>
      <c r="CQ30" s="286"/>
      <c r="CR30" s="286"/>
      <c r="CS30" s="286"/>
      <c r="CT30" s="286"/>
      <c r="CU30" s="286"/>
      <c r="CV30" s="286"/>
      <c r="CW30" s="286"/>
      <c r="CX30" s="286"/>
      <c r="CY30" s="286"/>
      <c r="CZ30" s="286"/>
      <c r="DA30" s="286"/>
      <c r="DB30" s="286"/>
      <c r="DC30" s="286"/>
      <c r="DD30" s="286"/>
      <c r="DE30" s="286"/>
      <c r="DF30" s="286"/>
      <c r="DG30" s="286"/>
      <c r="DH30" s="286"/>
      <c r="DI30" s="286"/>
      <c r="DJ30" s="286"/>
      <c r="DK30" s="286"/>
      <c r="DL30" s="286"/>
      <c r="DM30" s="286"/>
      <c r="DN30" s="286"/>
      <c r="DO30" s="286"/>
      <c r="DP30" s="286"/>
      <c r="DQ30" s="286"/>
      <c r="DR30" s="286"/>
      <c r="DS30" s="286"/>
      <c r="DT30" s="286"/>
      <c r="DU30" s="286"/>
      <c r="DV30" s="286"/>
      <c r="DW30" s="286"/>
      <c r="DX30" s="286"/>
      <c r="DY30" s="286"/>
      <c r="DZ30" s="286"/>
      <c r="EA30" s="286"/>
      <c r="EB30" s="286"/>
    </row>
    <row r="31" spans="1:132" s="38" customFormat="1" ht="13.8" x14ac:dyDescent="0.3">
      <c r="A31" s="288" t="s">
        <v>166</v>
      </c>
      <c r="B31" s="282"/>
      <c r="C31" s="11"/>
      <c r="D31" s="10">
        <f>IF(D3&lt;=Inputs!$C$16,+C29+D27+D30,"")</f>
        <v>267500</v>
      </c>
      <c r="E31" s="10" t="e">
        <f>IF(E3&lt;=Inputs!$C$16,+D29+E27+E30,"")</f>
        <v>#DIV/0!</v>
      </c>
      <c r="F31" s="10" t="e">
        <f>IF(F3&lt;=Inputs!$C$16,+E29+F27+F30,"")</f>
        <v>#DIV/0!</v>
      </c>
      <c r="G31" s="10" t="e">
        <f>IF(G3&lt;=Inputs!$C$16,+F29+G27+G30,"")</f>
        <v>#DIV/0!</v>
      </c>
      <c r="H31" s="10" t="e">
        <f>IF(H3&lt;=Inputs!$C$16,+G29+H27+H30,"")</f>
        <v>#DIV/0!</v>
      </c>
      <c r="I31" s="10" t="e">
        <f>IF(I3&lt;=Inputs!$C$16,+H29+I27+I30,"")</f>
        <v>#DIV/0!</v>
      </c>
      <c r="J31" s="10" t="e">
        <f>IF(J3&lt;=Inputs!$C$16,+I29+J27+J30,"")</f>
        <v>#DIV/0!</v>
      </c>
      <c r="K31" s="10" t="e">
        <f>IF(K3&lt;=Inputs!$C$16,+J29+K27+K30,"")</f>
        <v>#DIV/0!</v>
      </c>
      <c r="L31" s="10" t="e">
        <f>IF(L3&lt;=Inputs!$C$16,+K29+L27+L30,"")</f>
        <v>#DIV/0!</v>
      </c>
      <c r="M31" s="10" t="e">
        <f>IF(M3&lt;=Inputs!$C$16,+L29+M27+M30,"")</f>
        <v>#DIV/0!</v>
      </c>
      <c r="N31" s="10" t="e">
        <f>IF(N3&lt;=Inputs!$C$16,+M29+N27+N30,"")</f>
        <v>#DIV/0!</v>
      </c>
      <c r="O31" s="10" t="e">
        <f>IF(O3&lt;=Inputs!$C$16,+N29+O27+O30,"")</f>
        <v>#DIV/0!</v>
      </c>
      <c r="P31" s="10" t="e">
        <f>IF(P3&lt;=Inputs!$C$16,+O29+P27+P30,"")</f>
        <v>#DIV/0!</v>
      </c>
      <c r="Q31" s="10" t="e">
        <f>IF(Q3&lt;=Inputs!$C$16,+P29+Q27+Q30,"")</f>
        <v>#DIV/0!</v>
      </c>
      <c r="R31" s="10" t="e">
        <f>IF(R3&lt;=Inputs!$C$16,+Q29+R27+R30,"")</f>
        <v>#DIV/0!</v>
      </c>
      <c r="S31" s="10" t="e">
        <f>IF(S3&lt;=Inputs!$C$16,+R29+S27+S30,"")</f>
        <v>#DIV/0!</v>
      </c>
      <c r="T31" s="10" t="e">
        <f>IF(T3&lt;=Inputs!$C$16,+S29+T27+T30,"")</f>
        <v>#DIV/0!</v>
      </c>
      <c r="U31" s="10" t="e">
        <f>IF(U3&lt;=Inputs!$C$16,+T29+U27+U30,"")</f>
        <v>#DIV/0!</v>
      </c>
      <c r="V31" s="10" t="e">
        <f>IF(V3&lt;=Inputs!$C$16,+U29+V27+V30,"")</f>
        <v>#DIV/0!</v>
      </c>
      <c r="W31" s="10" t="e">
        <f>IF(W3&lt;=Inputs!$C$16,+V29+W27+W30,"")</f>
        <v>#DIV/0!</v>
      </c>
      <c r="X31" s="10" t="e">
        <f>IF(X3&lt;=Inputs!$C$16,+W29+X27+X30,"")</f>
        <v>#DIV/0!</v>
      </c>
      <c r="Y31" s="10" t="e">
        <f>IF(Y3&lt;=Inputs!$C$16,+X29+Y27+Y30,"")</f>
        <v>#DIV/0!</v>
      </c>
      <c r="Z31" s="10" t="e">
        <f>IF(Z3&lt;=Inputs!$C$16,+Y29+Z27+Z30,"")</f>
        <v>#DIV/0!</v>
      </c>
      <c r="AA31" s="10" t="e">
        <f>IF(AA3&lt;=Inputs!$C$16,+Z29+AA27+AA30,"")</f>
        <v>#DIV/0!</v>
      </c>
      <c r="AB31" s="10" t="e">
        <f>IF(AB3&lt;=Inputs!$C$16,+AA29+AB27+AB30,"")</f>
        <v>#DIV/0!</v>
      </c>
      <c r="AC31" s="134"/>
      <c r="AD31" s="134"/>
      <c r="AE31" s="134"/>
      <c r="AF31" s="134"/>
      <c r="AG31" s="134"/>
      <c r="AH31" s="134"/>
      <c r="AI31" s="134"/>
      <c r="AJ31" s="134"/>
      <c r="AK31" s="134"/>
      <c r="AL31" s="134"/>
      <c r="AM31" s="134"/>
      <c r="AN31" s="134"/>
      <c r="AO31" s="134"/>
      <c r="AP31" s="134"/>
      <c r="AQ31" s="134"/>
      <c r="AR31" s="134"/>
      <c r="AS31" s="134"/>
      <c r="AT31" s="134"/>
      <c r="AU31" s="134"/>
      <c r="AV31" s="134"/>
      <c r="AW31" s="134"/>
      <c r="AX31" s="134"/>
      <c r="AY31" s="134"/>
      <c r="AZ31" s="134"/>
      <c r="BA31" s="134"/>
      <c r="BB31" s="134"/>
      <c r="BC31" s="134"/>
      <c r="BD31" s="134"/>
      <c r="BE31" s="134"/>
      <c r="BF31" s="134"/>
      <c r="BG31" s="134"/>
      <c r="BH31" s="134"/>
      <c r="BI31" s="134"/>
      <c r="BJ31" s="134"/>
      <c r="BK31" s="134"/>
      <c r="BL31" s="134"/>
      <c r="BM31" s="134"/>
      <c r="BN31" s="134"/>
      <c r="BO31" s="134"/>
      <c r="BP31" s="134"/>
      <c r="BQ31" s="134"/>
      <c r="BR31" s="134"/>
      <c r="BS31" s="134"/>
      <c r="BT31" s="134"/>
      <c r="BU31" s="134"/>
      <c r="BV31" s="134"/>
      <c r="BW31" s="134"/>
      <c r="BX31" s="134"/>
      <c r="BY31" s="134"/>
      <c r="BZ31" s="134"/>
      <c r="CA31" s="134"/>
      <c r="CB31" s="134"/>
      <c r="CC31" s="134"/>
      <c r="CD31" s="134"/>
      <c r="CE31" s="134"/>
      <c r="CF31" s="134"/>
      <c r="CG31" s="134"/>
      <c r="CH31" s="134"/>
      <c r="CI31" s="134"/>
      <c r="CJ31" s="134"/>
      <c r="CK31" s="134"/>
      <c r="CL31" s="134"/>
      <c r="CM31" s="134"/>
      <c r="CN31" s="134"/>
      <c r="CO31" s="134"/>
      <c r="CP31" s="134"/>
      <c r="CQ31" s="134"/>
      <c r="CR31" s="134"/>
      <c r="CS31" s="134"/>
      <c r="CT31" s="134"/>
      <c r="CU31" s="134"/>
      <c r="CV31" s="134"/>
      <c r="CW31" s="134"/>
      <c r="CX31" s="134"/>
      <c r="CY31" s="134"/>
      <c r="CZ31" s="134"/>
      <c r="DA31" s="134"/>
      <c r="DB31" s="134"/>
      <c r="DC31" s="134"/>
      <c r="DD31" s="134"/>
      <c r="DE31" s="134"/>
      <c r="DF31" s="134"/>
      <c r="DG31" s="134"/>
      <c r="DH31" s="134"/>
      <c r="DI31" s="134"/>
      <c r="DJ31" s="134"/>
      <c r="DK31" s="134"/>
      <c r="DL31" s="134"/>
      <c r="DM31" s="134"/>
      <c r="DN31" s="134"/>
      <c r="DO31" s="134"/>
      <c r="DP31" s="134"/>
      <c r="DQ31" s="134"/>
      <c r="DR31" s="134"/>
      <c r="DS31" s="134"/>
      <c r="DT31" s="134"/>
      <c r="DU31" s="134"/>
      <c r="DV31" s="134"/>
      <c r="DW31" s="134"/>
      <c r="DX31" s="134"/>
      <c r="DY31" s="134"/>
      <c r="DZ31" s="134"/>
      <c r="EA31" s="134"/>
      <c r="EB31" s="134"/>
    </row>
    <row r="32" spans="1:132" s="292" customFormat="1" ht="13.8" x14ac:dyDescent="0.3">
      <c r="A32" s="289" t="s">
        <v>108</v>
      </c>
      <c r="B32" s="290" t="s">
        <v>85</v>
      </c>
      <c r="C32" s="125"/>
      <c r="D32" s="126">
        <f>IF(D3&lt;=Inputs!$C$16,Inputs!$D$187,"")</f>
        <v>0</v>
      </c>
      <c r="E32" s="126">
        <f>IF(E3&lt;=Inputs!$C$16,Inputs!$D$187,"")</f>
        <v>0</v>
      </c>
      <c r="F32" s="126">
        <f>IF(F3&lt;=Inputs!$C$16,Inputs!$D$187,"")</f>
        <v>0</v>
      </c>
      <c r="G32" s="126">
        <f>IF(G3&lt;=Inputs!$C$16,Inputs!$D$187,"")</f>
        <v>0</v>
      </c>
      <c r="H32" s="126">
        <f>IF(H3&lt;=Inputs!$C$16,Inputs!$D$187,"")</f>
        <v>0</v>
      </c>
      <c r="I32" s="126">
        <f>IF(I3&lt;=Inputs!$C$16,Inputs!$D$187,"")</f>
        <v>0</v>
      </c>
      <c r="J32" s="126">
        <f>IF(J3&lt;=Inputs!$C$16,Inputs!$D$187,"")</f>
        <v>0</v>
      </c>
      <c r="K32" s="126">
        <f>IF(K3&lt;=Inputs!$C$16,Inputs!$D$187,"")</f>
        <v>0</v>
      </c>
      <c r="L32" s="126">
        <f>IF(L3&lt;=Inputs!$C$16,Inputs!$D$187,"")</f>
        <v>0</v>
      </c>
      <c r="M32" s="126">
        <f>IF(M3&lt;=Inputs!$C$16,Inputs!$D$187,"")</f>
        <v>0</v>
      </c>
      <c r="N32" s="126">
        <f>IF(N3&lt;=Inputs!$C$16,Inputs!$D$187,"")</f>
        <v>0</v>
      </c>
      <c r="O32" s="126">
        <f>IF(O3&lt;=Inputs!$C$16,Inputs!$D$187,"")</f>
        <v>0</v>
      </c>
      <c r="P32" s="126">
        <f>IF(P3&lt;=Inputs!$C$16,Inputs!$D$187,"")</f>
        <v>0</v>
      </c>
      <c r="Q32" s="126">
        <f>IF(Q3&lt;=Inputs!$C$16,Inputs!$D$187,"")</f>
        <v>0</v>
      </c>
      <c r="R32" s="126">
        <f>IF(R3&lt;=Inputs!$C$16,Inputs!$D$187,"")</f>
        <v>0</v>
      </c>
      <c r="S32" s="126">
        <f>IF(S3&lt;=Inputs!$C$16,Inputs!$D$187,"")</f>
        <v>0</v>
      </c>
      <c r="T32" s="126">
        <f>IF(T3&lt;=Inputs!$C$16,Inputs!$D$187,"")</f>
        <v>0</v>
      </c>
      <c r="U32" s="126">
        <f>IF(U3&lt;=Inputs!$C$16,Inputs!$D$187,"")</f>
        <v>0</v>
      </c>
      <c r="V32" s="126">
        <f>IF(V3&lt;=Inputs!$C$16,Inputs!$D$187,"")</f>
        <v>0</v>
      </c>
      <c r="W32" s="126">
        <f>IF(W3&lt;=Inputs!$C$16,Inputs!$D$187,"")</f>
        <v>0</v>
      </c>
      <c r="X32" s="126">
        <f>IF(X3&lt;=Inputs!$C$16,Inputs!$D$187,"")</f>
        <v>0</v>
      </c>
      <c r="Y32" s="126">
        <f>IF(Y3&lt;=Inputs!$C$16,Inputs!$D$187,"")</f>
        <v>0</v>
      </c>
      <c r="Z32" s="126">
        <f>IF(Z3&lt;=Inputs!$C$16,Inputs!$D$187,"")</f>
        <v>0</v>
      </c>
      <c r="AA32" s="126">
        <f>IF(AA3&lt;=Inputs!$C$16,Inputs!$D$187,"")</f>
        <v>0</v>
      </c>
      <c r="AB32" s="126">
        <f>IF(AB3&lt;=Inputs!$C$16,Inputs!$D$187,"")</f>
        <v>0</v>
      </c>
      <c r="AC32" s="134"/>
      <c r="AD32" s="134"/>
      <c r="AE32" s="134"/>
      <c r="AF32" s="134"/>
      <c r="AG32" s="134"/>
      <c r="AH32" s="134"/>
      <c r="AI32" s="134"/>
      <c r="AJ32" s="134"/>
      <c r="AK32" s="134"/>
      <c r="AL32" s="134"/>
      <c r="AM32" s="291"/>
      <c r="AN32" s="291"/>
      <c r="AO32" s="291"/>
      <c r="AP32" s="291"/>
      <c r="AQ32" s="291"/>
      <c r="AR32" s="291"/>
      <c r="AS32" s="291"/>
      <c r="AT32" s="291"/>
      <c r="AU32" s="291"/>
      <c r="AV32" s="291"/>
      <c r="AW32" s="291"/>
      <c r="AX32" s="291"/>
      <c r="AY32" s="291"/>
      <c r="AZ32" s="291"/>
      <c r="BA32" s="291"/>
      <c r="BB32" s="291"/>
      <c r="BC32" s="291"/>
      <c r="BD32" s="291"/>
      <c r="BE32" s="291"/>
      <c r="BF32" s="291"/>
      <c r="BG32" s="291"/>
      <c r="BH32" s="291"/>
      <c r="BI32" s="291"/>
      <c r="BJ32" s="291"/>
      <c r="BK32" s="291"/>
      <c r="BL32" s="291"/>
      <c r="BM32" s="291"/>
      <c r="BN32" s="291"/>
      <c r="BO32" s="291"/>
      <c r="BP32" s="291"/>
      <c r="BQ32" s="291"/>
      <c r="BR32" s="291"/>
      <c r="BS32" s="291"/>
      <c r="BT32" s="291"/>
      <c r="BU32" s="291"/>
      <c r="BV32" s="291"/>
      <c r="BW32" s="291"/>
      <c r="BX32" s="291"/>
      <c r="BY32" s="291"/>
      <c r="BZ32" s="291"/>
      <c r="CA32" s="291"/>
      <c r="CB32" s="291"/>
      <c r="CC32" s="291"/>
      <c r="CD32" s="291"/>
      <c r="CE32" s="291"/>
      <c r="CF32" s="291"/>
      <c r="CG32" s="291"/>
      <c r="CH32" s="291"/>
      <c r="CI32" s="291"/>
      <c r="CJ32" s="291"/>
      <c r="CK32" s="291"/>
      <c r="CL32" s="291"/>
      <c r="CM32" s="291"/>
      <c r="CN32" s="291"/>
      <c r="CO32" s="291"/>
      <c r="CP32" s="291"/>
      <c r="CQ32" s="291"/>
      <c r="CR32" s="291"/>
      <c r="CS32" s="291"/>
      <c r="CT32" s="291"/>
      <c r="CU32" s="291"/>
      <c r="CV32" s="291"/>
      <c r="CW32" s="291"/>
      <c r="CX32" s="291"/>
      <c r="CY32" s="291"/>
      <c r="CZ32" s="291"/>
      <c r="DA32" s="291"/>
      <c r="DB32" s="291"/>
      <c r="DC32" s="291"/>
      <c r="DD32" s="291"/>
      <c r="DE32" s="291"/>
      <c r="DF32" s="291"/>
      <c r="DG32" s="291"/>
      <c r="DH32" s="291"/>
      <c r="DI32" s="291"/>
      <c r="DJ32" s="291"/>
      <c r="DK32" s="291"/>
      <c r="DL32" s="291"/>
      <c r="DM32" s="291"/>
      <c r="DN32" s="291"/>
      <c r="DO32" s="291"/>
      <c r="DP32" s="291"/>
      <c r="DQ32" s="291"/>
      <c r="DR32" s="291"/>
      <c r="DS32" s="291"/>
      <c r="DT32" s="291"/>
      <c r="DU32" s="291"/>
      <c r="DV32" s="291"/>
      <c r="DW32" s="291"/>
      <c r="DX32" s="291"/>
      <c r="DY32" s="291"/>
      <c r="DZ32" s="291"/>
      <c r="EA32" s="291"/>
      <c r="EB32" s="291"/>
    </row>
    <row r="33" spans="1:132" s="38" customFormat="1" ht="13.8" x14ac:dyDescent="0.3">
      <c r="A33" s="272" t="s">
        <v>172</v>
      </c>
      <c r="B33" s="282"/>
      <c r="C33" s="11"/>
      <c r="D33" s="447">
        <f>IF(D3&lt;=Inputs!$C$16,D31*D32,"")</f>
        <v>0</v>
      </c>
      <c r="E33" s="10" t="e">
        <f>IF(E3&lt;=Inputs!$C$16,E31*E32,"")</f>
        <v>#DIV/0!</v>
      </c>
      <c r="F33" s="10" t="e">
        <f>IF(F3&lt;=Inputs!$C$16,F31*F32,"")</f>
        <v>#DIV/0!</v>
      </c>
      <c r="G33" s="10" t="e">
        <f>IF(G3&lt;=Inputs!$C$16,G31*G32,"")</f>
        <v>#DIV/0!</v>
      </c>
      <c r="H33" s="10" t="e">
        <f>IF(H3&lt;=Inputs!$C$16,H31*H32,"")</f>
        <v>#DIV/0!</v>
      </c>
      <c r="I33" s="10" t="e">
        <f>IF(I3&lt;=Inputs!$C$16,I31*I32,"")</f>
        <v>#DIV/0!</v>
      </c>
      <c r="J33" s="10" t="e">
        <f>IF(J3&lt;=Inputs!$C$16,J31*J32,"")</f>
        <v>#DIV/0!</v>
      </c>
      <c r="K33" s="10" t="e">
        <f>IF(K3&lt;=Inputs!$C$16,K31*K32,"")</f>
        <v>#DIV/0!</v>
      </c>
      <c r="L33" s="10" t="e">
        <f>IF(L3&lt;=Inputs!$C$16,L31*L32,"")</f>
        <v>#DIV/0!</v>
      </c>
      <c r="M33" s="10" t="e">
        <f>IF(M3&lt;=Inputs!$C$16,M31*M32,"")</f>
        <v>#DIV/0!</v>
      </c>
      <c r="N33" s="10" t="e">
        <f>IF(N3&lt;=Inputs!$C$16,N31*N32,"")</f>
        <v>#DIV/0!</v>
      </c>
      <c r="O33" s="10" t="e">
        <f>IF(O3&lt;=Inputs!$C$16,O31*O32,"")</f>
        <v>#DIV/0!</v>
      </c>
      <c r="P33" s="10" t="e">
        <f>IF(P3&lt;=Inputs!$C$16,P31*P32,"")</f>
        <v>#DIV/0!</v>
      </c>
      <c r="Q33" s="10" t="e">
        <f>IF(Q3&lt;=Inputs!$C$16,Q31*Q32,"")</f>
        <v>#DIV/0!</v>
      </c>
      <c r="R33" s="10" t="e">
        <f>IF(R3&lt;=Inputs!$C$16,R31*R32,"")</f>
        <v>#DIV/0!</v>
      </c>
      <c r="S33" s="10" t="e">
        <f>IF(S3&lt;=Inputs!$C$16,S31*S32,"")</f>
        <v>#DIV/0!</v>
      </c>
      <c r="T33" s="10" t="e">
        <f>IF(T3&lt;=Inputs!$C$16,T31*T32,"")</f>
        <v>#DIV/0!</v>
      </c>
      <c r="U33" s="10" t="e">
        <f>IF(U3&lt;=Inputs!$C$16,U31*U32,"")</f>
        <v>#DIV/0!</v>
      </c>
      <c r="V33" s="10" t="e">
        <f>IF(V3&lt;=Inputs!$C$16,V31*V32,"")</f>
        <v>#DIV/0!</v>
      </c>
      <c r="W33" s="10" t="e">
        <f>IF(W3&lt;=Inputs!$C$16,W31*W32,"")</f>
        <v>#DIV/0!</v>
      </c>
      <c r="X33" s="10" t="e">
        <f>IF(X3&lt;=Inputs!$C$16,X31*X32,"")</f>
        <v>#DIV/0!</v>
      </c>
      <c r="Y33" s="10" t="e">
        <f>IF(Y3&lt;=Inputs!$C$16,Y31*Y32,"")</f>
        <v>#DIV/0!</v>
      </c>
      <c r="Z33" s="10" t="e">
        <f>IF(Z3&lt;=Inputs!$C$16,Z31*Z32,"")</f>
        <v>#DIV/0!</v>
      </c>
      <c r="AA33" s="10" t="e">
        <f>IF(AA3&lt;=Inputs!$C$16,AA31*AA32,"")</f>
        <v>#DIV/0!</v>
      </c>
      <c r="AB33" s="10" t="e">
        <f>IF(AB3&lt;=Inputs!$C$16,AB31*AB32,"")</f>
        <v>#DIV/0!</v>
      </c>
      <c r="AC33" s="134"/>
      <c r="AD33" s="134"/>
      <c r="AE33" s="134"/>
      <c r="AF33" s="134"/>
      <c r="AG33" s="134"/>
      <c r="AH33" s="134"/>
      <c r="AI33" s="134"/>
      <c r="AJ33" s="134"/>
      <c r="AK33" s="134"/>
      <c r="AL33" s="134"/>
      <c r="AM33" s="134"/>
      <c r="AN33" s="134"/>
      <c r="AO33" s="134"/>
      <c r="AP33" s="134"/>
      <c r="AQ33" s="134"/>
      <c r="AR33" s="134"/>
      <c r="AS33" s="134"/>
      <c r="AT33" s="134"/>
      <c r="AU33" s="134"/>
      <c r="AV33" s="134"/>
      <c r="AW33" s="134"/>
      <c r="AX33" s="134"/>
      <c r="AY33" s="134"/>
      <c r="AZ33" s="134"/>
      <c r="BA33" s="134"/>
      <c r="BB33" s="134"/>
      <c r="BC33" s="134"/>
      <c r="BD33" s="134"/>
      <c r="BE33" s="134"/>
      <c r="BF33" s="134"/>
      <c r="BG33" s="134"/>
      <c r="BH33" s="134"/>
      <c r="BI33" s="134"/>
      <c r="BJ33" s="134"/>
      <c r="BK33" s="134"/>
      <c r="BL33" s="134"/>
      <c r="BM33" s="134"/>
      <c r="BN33" s="134"/>
      <c r="BO33" s="134"/>
      <c r="BP33" s="134"/>
      <c r="BQ33" s="134"/>
      <c r="BR33" s="134"/>
      <c r="BS33" s="134"/>
      <c r="BT33" s="134"/>
      <c r="BU33" s="134"/>
      <c r="BV33" s="134"/>
      <c r="BW33" s="134"/>
      <c r="BX33" s="134"/>
      <c r="BY33" s="134"/>
      <c r="BZ33" s="134"/>
      <c r="CA33" s="134"/>
      <c r="CB33" s="134"/>
      <c r="CC33" s="134"/>
      <c r="CD33" s="134"/>
      <c r="CE33" s="134"/>
      <c r="CF33" s="134"/>
      <c r="CG33" s="134"/>
      <c r="CH33" s="134"/>
      <c r="CI33" s="134"/>
      <c r="CJ33" s="134"/>
      <c r="CK33" s="134"/>
      <c r="CL33" s="134"/>
      <c r="CM33" s="134"/>
      <c r="CN33" s="134"/>
      <c r="CO33" s="134"/>
      <c r="CP33" s="134"/>
      <c r="CQ33" s="134"/>
      <c r="CR33" s="134"/>
      <c r="CS33" s="134"/>
      <c r="CT33" s="134"/>
      <c r="CU33" s="134"/>
      <c r="CV33" s="134"/>
      <c r="CW33" s="134"/>
      <c r="CX33" s="134"/>
      <c r="CY33" s="134"/>
      <c r="CZ33" s="134"/>
      <c r="DA33" s="134"/>
      <c r="DB33" s="134"/>
      <c r="DC33" s="134"/>
      <c r="DD33" s="134"/>
      <c r="DE33" s="134"/>
      <c r="DF33" s="134"/>
      <c r="DG33" s="134"/>
      <c r="DH33" s="134"/>
      <c r="DI33" s="134"/>
      <c r="DJ33" s="134"/>
      <c r="DK33" s="134"/>
      <c r="DL33" s="134"/>
      <c r="DM33" s="134"/>
      <c r="DN33" s="134"/>
      <c r="DO33" s="134"/>
      <c r="DP33" s="134"/>
      <c r="DQ33" s="134"/>
      <c r="DR33" s="134"/>
      <c r="DS33" s="134"/>
      <c r="DT33" s="134"/>
      <c r="DU33" s="134"/>
      <c r="DV33" s="134"/>
      <c r="DW33" s="134"/>
      <c r="DX33" s="134"/>
      <c r="DY33" s="134"/>
      <c r="DZ33" s="134"/>
      <c r="EA33" s="134"/>
      <c r="EB33" s="134"/>
    </row>
    <row r="34" spans="1:132" s="38" customFormat="1" ht="13.8" x14ac:dyDescent="0.3">
      <c r="A34" s="283" t="s">
        <v>173</v>
      </c>
      <c r="B34" s="282"/>
      <c r="C34" s="11"/>
      <c r="D34" s="10">
        <f>IF(D3&lt;=Inputs!$C$16,D31*Inputs!$D$183*Inputs!$D$185,"")</f>
        <v>0</v>
      </c>
      <c r="E34" s="10" t="e">
        <f>IF(E3&lt;=Inputs!$C$16,E31*Inputs!$D$183*Inputs!$D$185,"")</f>
        <v>#DIV/0!</v>
      </c>
      <c r="F34" s="10" t="e">
        <f>IF(F3&lt;=Inputs!$C$16,F31*Inputs!$D$183*Inputs!$D$185,"")</f>
        <v>#DIV/0!</v>
      </c>
      <c r="G34" s="10" t="e">
        <f>IF(G3&lt;=Inputs!$C$16,G31*Inputs!$D$183*Inputs!$D$185,"")</f>
        <v>#DIV/0!</v>
      </c>
      <c r="H34" s="10" t="e">
        <f>IF(H3&lt;=Inputs!$C$16,H31*Inputs!$D$183*Inputs!$D$185,"")</f>
        <v>#DIV/0!</v>
      </c>
      <c r="I34" s="10" t="e">
        <f>IF(I3&lt;=Inputs!$C$16,I31*Inputs!$D$183*Inputs!$D$185,"")</f>
        <v>#DIV/0!</v>
      </c>
      <c r="J34" s="10" t="e">
        <f>IF(J3&lt;=Inputs!$C$16,J31*Inputs!$D$183*Inputs!$D$185,"")</f>
        <v>#DIV/0!</v>
      </c>
      <c r="K34" s="10" t="e">
        <f>IF(K3&lt;=Inputs!$C$16,K31*Inputs!$D$183*Inputs!$D$185,"")</f>
        <v>#DIV/0!</v>
      </c>
      <c r="L34" s="10" t="e">
        <f>IF(L3&lt;=Inputs!$C$16,L31*Inputs!$D$183*Inputs!$D$185,"")</f>
        <v>#DIV/0!</v>
      </c>
      <c r="M34" s="10" t="e">
        <f>IF(M3&lt;=Inputs!$C$16,M31*Inputs!$D$183*Inputs!$D$185,"")</f>
        <v>#DIV/0!</v>
      </c>
      <c r="N34" s="10" t="e">
        <f>IF(N3&lt;=Inputs!$C$16,N31*Inputs!$D$183*Inputs!$D$185,"")</f>
        <v>#DIV/0!</v>
      </c>
      <c r="O34" s="10" t="e">
        <f>IF(O3&lt;=Inputs!$C$16,O31*Inputs!$D$183*Inputs!$D$185,"")</f>
        <v>#DIV/0!</v>
      </c>
      <c r="P34" s="10" t="e">
        <f>IF(P3&lt;=Inputs!$C$16,P31*Inputs!$D$183*Inputs!$D$185,"")</f>
        <v>#DIV/0!</v>
      </c>
      <c r="Q34" s="10" t="e">
        <f>IF(Q3&lt;=Inputs!$C$16,Q31*Inputs!$D$183*Inputs!$D$185,"")</f>
        <v>#DIV/0!</v>
      </c>
      <c r="R34" s="10" t="e">
        <f>IF(R3&lt;=Inputs!$C$16,R31*Inputs!$D$183*Inputs!$D$185,"")</f>
        <v>#DIV/0!</v>
      </c>
      <c r="S34" s="10" t="e">
        <f>IF(S3&lt;=Inputs!$C$16,S31*Inputs!$D$183*Inputs!$D$185,"")</f>
        <v>#DIV/0!</v>
      </c>
      <c r="T34" s="10" t="e">
        <f>IF(T3&lt;=Inputs!$C$16,T31*Inputs!$D$183*Inputs!$D$185,"")</f>
        <v>#DIV/0!</v>
      </c>
      <c r="U34" s="10" t="e">
        <f>IF(U3&lt;=Inputs!$C$16,U31*Inputs!$D$183*Inputs!$D$185,"")</f>
        <v>#DIV/0!</v>
      </c>
      <c r="V34" s="10" t="e">
        <f>IF(V3&lt;=Inputs!$C$16,V31*Inputs!$D$183*Inputs!$D$185,"")</f>
        <v>#DIV/0!</v>
      </c>
      <c r="W34" s="10" t="e">
        <f>IF(W3&lt;=Inputs!$C$16,W31*Inputs!$D$183*Inputs!$D$185,"")</f>
        <v>#DIV/0!</v>
      </c>
      <c r="X34" s="10" t="e">
        <f>IF(X3&lt;=Inputs!$C$16,X31*Inputs!$D$183*Inputs!$D$185,"")</f>
        <v>#DIV/0!</v>
      </c>
      <c r="Y34" s="10" t="e">
        <f>IF(Y3&lt;=Inputs!$C$16,Y31*Inputs!$D$183*Inputs!$D$185,"")</f>
        <v>#DIV/0!</v>
      </c>
      <c r="Z34" s="10" t="e">
        <f>IF(Z3&lt;=Inputs!$C$16,Z31*Inputs!$D$183*Inputs!$D$185,"")</f>
        <v>#DIV/0!</v>
      </c>
      <c r="AA34" s="10" t="e">
        <f>IF(AA3&lt;=Inputs!$C$16,AA31*Inputs!$D$183*Inputs!$D$185,"")</f>
        <v>#DIV/0!</v>
      </c>
      <c r="AB34" s="10" t="e">
        <f>IF(AB3&lt;=Inputs!$C$16,AB31*Inputs!$D$183*Inputs!$D$185,"")</f>
        <v>#DIV/0!</v>
      </c>
      <c r="AC34" s="134"/>
      <c r="AD34" s="134"/>
      <c r="AE34" s="134"/>
      <c r="AF34" s="134"/>
      <c r="AG34" s="134"/>
      <c r="AH34" s="134"/>
      <c r="AI34" s="134"/>
      <c r="AJ34" s="134"/>
      <c r="AK34" s="134"/>
      <c r="AL34" s="134"/>
      <c r="AM34" s="134"/>
      <c r="AN34" s="134"/>
      <c r="AO34" s="134"/>
      <c r="AP34" s="134"/>
      <c r="AQ34" s="134"/>
      <c r="AR34" s="134"/>
      <c r="AS34" s="134"/>
      <c r="AT34" s="134"/>
      <c r="AU34" s="134"/>
      <c r="AV34" s="134"/>
      <c r="AW34" s="134"/>
      <c r="AX34" s="134"/>
      <c r="AY34" s="134"/>
      <c r="AZ34" s="134"/>
      <c r="BA34" s="134"/>
      <c r="BB34" s="134"/>
      <c r="BC34" s="134"/>
      <c r="BD34" s="134"/>
      <c r="BE34" s="134"/>
      <c r="BF34" s="134"/>
      <c r="BG34" s="134"/>
      <c r="BH34" s="134"/>
      <c r="BI34" s="134"/>
      <c r="BJ34" s="134"/>
      <c r="BK34" s="134"/>
      <c r="BL34" s="134"/>
      <c r="BM34" s="134"/>
      <c r="BN34" s="134"/>
      <c r="BO34" s="134"/>
      <c r="BP34" s="134"/>
      <c r="BQ34" s="134"/>
      <c r="BR34" s="134"/>
      <c r="BS34" s="134"/>
      <c r="BT34" s="134"/>
      <c r="BU34" s="134"/>
      <c r="BV34" s="134"/>
      <c r="BW34" s="134"/>
      <c r="BX34" s="134"/>
      <c r="BY34" s="134"/>
      <c r="BZ34" s="134"/>
      <c r="CA34" s="134"/>
      <c r="CB34" s="134"/>
      <c r="CC34" s="134"/>
      <c r="CD34" s="134"/>
      <c r="CE34" s="134"/>
      <c r="CF34" s="134"/>
      <c r="CG34" s="134"/>
      <c r="CH34" s="134"/>
      <c r="CI34" s="134"/>
      <c r="CJ34" s="134"/>
      <c r="CK34" s="134"/>
      <c r="CL34" s="134"/>
      <c r="CM34" s="134"/>
      <c r="CN34" s="134"/>
      <c r="CO34" s="134"/>
      <c r="CP34" s="134"/>
      <c r="CQ34" s="134"/>
      <c r="CR34" s="134"/>
      <c r="CS34" s="134"/>
      <c r="CT34" s="134"/>
      <c r="CU34" s="134"/>
      <c r="CV34" s="134"/>
      <c r="CW34" s="134"/>
      <c r="CX34" s="134"/>
      <c r="CY34" s="134"/>
      <c r="CZ34" s="134"/>
      <c r="DA34" s="134"/>
      <c r="DB34" s="134"/>
      <c r="DC34" s="134"/>
      <c r="DD34" s="134"/>
      <c r="DE34" s="134"/>
      <c r="DF34" s="134"/>
      <c r="DG34" s="134"/>
      <c r="DH34" s="134"/>
      <c r="DI34" s="134"/>
      <c r="DJ34" s="134"/>
      <c r="DK34" s="134"/>
      <c r="DL34" s="134"/>
      <c r="DM34" s="134"/>
      <c r="DN34" s="134"/>
      <c r="DO34" s="134"/>
      <c r="DP34" s="134"/>
      <c r="DQ34" s="134"/>
      <c r="DR34" s="134"/>
      <c r="DS34" s="134"/>
      <c r="DT34" s="134"/>
      <c r="DU34" s="134"/>
      <c r="DV34" s="134"/>
      <c r="DW34" s="134"/>
      <c r="DX34" s="134"/>
      <c r="DY34" s="134"/>
      <c r="DZ34" s="134"/>
      <c r="EA34" s="134"/>
      <c r="EB34" s="134"/>
    </row>
    <row r="35" spans="1:132" s="38" customFormat="1" ht="13.8" x14ac:dyDescent="0.3">
      <c r="A35" s="283" t="s">
        <v>174</v>
      </c>
      <c r="B35" s="282"/>
      <c r="C35" s="11"/>
      <c r="D35" s="10">
        <f>IF(D3&lt;=Inputs!$C$16,D31*Inputs!$D$184*Inputs!$D$186,"")</f>
        <v>0</v>
      </c>
      <c r="E35" s="10" t="e">
        <f>IF(E3&lt;=Inputs!$C$16,E31*Inputs!$D$184*Inputs!$D$186,"")</f>
        <v>#DIV/0!</v>
      </c>
      <c r="F35" s="10" t="e">
        <f>IF(F3&lt;=Inputs!$C$16,F31*Inputs!$D$184*Inputs!$D$186,"")</f>
        <v>#DIV/0!</v>
      </c>
      <c r="G35" s="10" t="e">
        <f>IF(G3&lt;=Inputs!$C$16,G31*Inputs!$D$184*Inputs!$D$186,"")</f>
        <v>#DIV/0!</v>
      </c>
      <c r="H35" s="10" t="e">
        <f>IF(H3&lt;=Inputs!$C$16,H31*Inputs!$D$184*Inputs!$D$186,"")</f>
        <v>#DIV/0!</v>
      </c>
      <c r="I35" s="10" t="e">
        <f>IF(I3&lt;=Inputs!$C$16,I31*Inputs!$D$184*Inputs!$D$186,"")</f>
        <v>#DIV/0!</v>
      </c>
      <c r="J35" s="10" t="e">
        <f>IF(J3&lt;=Inputs!$C$16,J31*Inputs!$D$184*Inputs!$D$186,"")</f>
        <v>#DIV/0!</v>
      </c>
      <c r="K35" s="10" t="e">
        <f>IF(K3&lt;=Inputs!$C$16,K31*Inputs!$D$184*Inputs!$D$186,"")</f>
        <v>#DIV/0!</v>
      </c>
      <c r="L35" s="10" t="e">
        <f>IF(L3&lt;=Inputs!$C$16,L31*Inputs!$D$184*Inputs!$D$186,"")</f>
        <v>#DIV/0!</v>
      </c>
      <c r="M35" s="10" t="e">
        <f>IF(M3&lt;=Inputs!$C$16,M31*Inputs!$D$184*Inputs!$D$186,"")</f>
        <v>#DIV/0!</v>
      </c>
      <c r="N35" s="10" t="e">
        <f>IF(N3&lt;=Inputs!$C$16,N31*Inputs!$D$184*Inputs!$D$186,"")</f>
        <v>#DIV/0!</v>
      </c>
      <c r="O35" s="10" t="e">
        <f>IF(O3&lt;=Inputs!$C$16,O31*Inputs!$D$184*Inputs!$D$186,"")</f>
        <v>#DIV/0!</v>
      </c>
      <c r="P35" s="10" t="e">
        <f>IF(P3&lt;=Inputs!$C$16,P31*Inputs!$D$184*Inputs!$D$186,"")</f>
        <v>#DIV/0!</v>
      </c>
      <c r="Q35" s="10" t="e">
        <f>IF(Q3&lt;=Inputs!$C$16,Q31*Inputs!$D$184*Inputs!$D$186,"")</f>
        <v>#DIV/0!</v>
      </c>
      <c r="R35" s="10" t="e">
        <f>IF(R3&lt;=Inputs!$C$16,R31*Inputs!$D$184*Inputs!$D$186,"")</f>
        <v>#DIV/0!</v>
      </c>
      <c r="S35" s="10" t="e">
        <f>IF(S3&lt;=Inputs!$C$16,S31*Inputs!$D$184*Inputs!$D$186,"")</f>
        <v>#DIV/0!</v>
      </c>
      <c r="T35" s="10" t="e">
        <f>IF(T3&lt;=Inputs!$C$16,T31*Inputs!$D$184*Inputs!$D$186,"")</f>
        <v>#DIV/0!</v>
      </c>
      <c r="U35" s="10" t="e">
        <f>IF(U3&lt;=Inputs!$C$16,U31*Inputs!$D$184*Inputs!$D$186,"")</f>
        <v>#DIV/0!</v>
      </c>
      <c r="V35" s="10" t="e">
        <f>IF(V3&lt;=Inputs!$C$16,V31*Inputs!$D$184*Inputs!$D$186,"")</f>
        <v>#DIV/0!</v>
      </c>
      <c r="W35" s="10" t="e">
        <f>IF(W3&lt;=Inputs!$C$16,W31*Inputs!$D$184*Inputs!$D$186,"")</f>
        <v>#DIV/0!</v>
      </c>
      <c r="X35" s="10" t="e">
        <f>IF(X3&lt;=Inputs!$C$16,X31*Inputs!$D$184*Inputs!$D$186,"")</f>
        <v>#DIV/0!</v>
      </c>
      <c r="Y35" s="10" t="e">
        <f>IF(Y3&lt;=Inputs!$C$16,Y31*Inputs!$D$184*Inputs!$D$186,"")</f>
        <v>#DIV/0!</v>
      </c>
      <c r="Z35" s="10" t="e">
        <f>IF(Z3&lt;=Inputs!$C$16,Z31*Inputs!$D$184*Inputs!$D$186,"")</f>
        <v>#DIV/0!</v>
      </c>
      <c r="AA35" s="10" t="e">
        <f>IF(AA3&lt;=Inputs!$C$16,AA31*Inputs!$D$184*Inputs!$D$186,"")</f>
        <v>#DIV/0!</v>
      </c>
      <c r="AB35" s="10" t="e">
        <f>IF(AB3&lt;=Inputs!$C$16,AB31*Inputs!$D$184*Inputs!$D$186,"")</f>
        <v>#DIV/0!</v>
      </c>
      <c r="AC35" s="134"/>
      <c r="AD35" s="134"/>
      <c r="AE35" s="134"/>
      <c r="AF35" s="134"/>
      <c r="AG35" s="134"/>
      <c r="AH35" s="134"/>
      <c r="AI35" s="134"/>
      <c r="AJ35" s="134"/>
      <c r="AK35" s="134"/>
      <c r="AL35" s="134"/>
      <c r="AM35" s="134"/>
      <c r="AN35" s="134"/>
      <c r="AO35" s="134"/>
      <c r="AP35" s="134"/>
      <c r="AQ35" s="134"/>
      <c r="AR35" s="134"/>
      <c r="AS35" s="134"/>
      <c r="AT35" s="134"/>
      <c r="AU35" s="134"/>
      <c r="AV35" s="134"/>
      <c r="AW35" s="134"/>
      <c r="AX35" s="134"/>
      <c r="AY35" s="134"/>
      <c r="AZ35" s="134"/>
      <c r="BA35" s="134"/>
      <c r="BB35" s="134"/>
      <c r="BC35" s="134"/>
      <c r="BD35" s="134"/>
      <c r="BE35" s="134"/>
      <c r="BF35" s="134"/>
      <c r="BG35" s="134"/>
      <c r="BH35" s="134"/>
      <c r="BI35" s="134"/>
      <c r="BJ35" s="134"/>
      <c r="BK35" s="134"/>
      <c r="BL35" s="134"/>
      <c r="BM35" s="134"/>
      <c r="BN35" s="134"/>
      <c r="BO35" s="134"/>
      <c r="BP35" s="134"/>
      <c r="BQ35" s="134"/>
      <c r="BR35" s="134"/>
      <c r="BS35" s="134"/>
      <c r="BT35" s="134"/>
      <c r="BU35" s="134"/>
      <c r="BV35" s="134"/>
      <c r="BW35" s="134"/>
      <c r="BX35" s="134"/>
      <c r="BY35" s="134"/>
      <c r="BZ35" s="134"/>
      <c r="CA35" s="134"/>
      <c r="CB35" s="134"/>
      <c r="CC35" s="134"/>
      <c r="CD35" s="134"/>
      <c r="CE35" s="134"/>
      <c r="CF35" s="134"/>
      <c r="CG35" s="134"/>
      <c r="CH35" s="134"/>
      <c r="CI35" s="134"/>
      <c r="CJ35" s="134"/>
      <c r="CK35" s="134"/>
      <c r="CL35" s="134"/>
      <c r="CM35" s="134"/>
      <c r="CN35" s="134"/>
      <c r="CO35" s="134"/>
      <c r="CP35" s="134"/>
      <c r="CQ35" s="134"/>
      <c r="CR35" s="134"/>
      <c r="CS35" s="134"/>
      <c r="CT35" s="134"/>
      <c r="CU35" s="134"/>
      <c r="CV35" s="134"/>
      <c r="CW35" s="134"/>
      <c r="CX35" s="134"/>
      <c r="CY35" s="134"/>
      <c r="CZ35" s="134"/>
      <c r="DA35" s="134"/>
      <c r="DB35" s="134"/>
      <c r="DC35" s="134"/>
      <c r="DD35" s="134"/>
      <c r="DE35" s="134"/>
      <c r="DF35" s="134"/>
      <c r="DG35" s="134"/>
      <c r="DH35" s="134"/>
      <c r="DI35" s="134"/>
      <c r="DJ35" s="134"/>
      <c r="DK35" s="134"/>
      <c r="DL35" s="134"/>
      <c r="DM35" s="134"/>
      <c r="DN35" s="134"/>
      <c r="DO35" s="134"/>
      <c r="DP35" s="134"/>
      <c r="DQ35" s="134"/>
      <c r="DR35" s="134"/>
      <c r="DS35" s="134"/>
      <c r="DT35" s="134"/>
      <c r="DU35" s="134"/>
      <c r="DV35" s="134"/>
      <c r="DW35" s="134"/>
      <c r="DX35" s="134"/>
      <c r="DY35" s="134"/>
      <c r="DZ35" s="134"/>
      <c r="EA35" s="134"/>
      <c r="EB35" s="134"/>
    </row>
    <row r="36" spans="1:132" s="38" customFormat="1" ht="13.8" x14ac:dyDescent="0.3">
      <c r="A36" s="280" t="s">
        <v>171</v>
      </c>
      <c r="B36" s="259"/>
      <c r="C36" s="211"/>
      <c r="D36" s="212">
        <f>IF(D3&lt;=Inputs!$C$16,(D35/(1-Inputs!$C$213))-D35,"")</f>
        <v>0</v>
      </c>
      <c r="E36" s="212" t="e">
        <f>IF(E3&lt;=Inputs!$C$16,(E35/(1-Inputs!$C$213))-E35,"")</f>
        <v>#DIV/0!</v>
      </c>
      <c r="F36" s="212" t="e">
        <f>IF(F3&lt;=Inputs!$C$16,(F35/(1-Inputs!$C$213))-F35,"")</f>
        <v>#DIV/0!</v>
      </c>
      <c r="G36" s="212" t="e">
        <f>IF(G3&lt;=Inputs!$C$16,(G35/(1-Inputs!$C$213))-G35,"")</f>
        <v>#DIV/0!</v>
      </c>
      <c r="H36" s="212" t="e">
        <f>IF(H3&lt;=Inputs!$C$16,(H35/(1-Inputs!$C$213))-H35,"")</f>
        <v>#DIV/0!</v>
      </c>
      <c r="I36" s="212" t="e">
        <f>IF(I3&lt;=Inputs!$C$16,(I35/(1-Inputs!$C$213))-I35,"")</f>
        <v>#DIV/0!</v>
      </c>
      <c r="J36" s="212" t="e">
        <f>IF(J3&lt;=Inputs!$C$16,(J35/(1-Inputs!$C$213))-J35,"")</f>
        <v>#DIV/0!</v>
      </c>
      <c r="K36" s="212" t="e">
        <f>IF(K3&lt;=Inputs!$C$16,(K35/(1-Inputs!$C$213))-K35,"")</f>
        <v>#DIV/0!</v>
      </c>
      <c r="L36" s="212" t="e">
        <f>IF(L3&lt;=Inputs!$C$16,(L35/(1-Inputs!$C$213))-L35,"")</f>
        <v>#DIV/0!</v>
      </c>
      <c r="M36" s="212" t="e">
        <f>IF(M3&lt;=Inputs!$C$16,(M35/(1-Inputs!$C$213))-M35,"")</f>
        <v>#DIV/0!</v>
      </c>
      <c r="N36" s="212" t="e">
        <f>IF(N3&lt;=Inputs!$C$16,(N35/(1-Inputs!$C$213))-N35,"")</f>
        <v>#DIV/0!</v>
      </c>
      <c r="O36" s="212" t="e">
        <f>IF(O3&lt;=Inputs!$C$16,(O35/(1-Inputs!$C$213))-O35,"")</f>
        <v>#DIV/0!</v>
      </c>
      <c r="P36" s="212" t="e">
        <f>IF(P3&lt;=Inputs!$C$16,(P35/(1-Inputs!$C$213))-P35,"")</f>
        <v>#DIV/0!</v>
      </c>
      <c r="Q36" s="212" t="e">
        <f>IF(Q3&lt;=Inputs!$C$16,(Q35/(1-Inputs!$C$213))-Q35,"")</f>
        <v>#DIV/0!</v>
      </c>
      <c r="R36" s="212" t="e">
        <f>IF(R3&lt;=Inputs!$C$16,(R35/(1-Inputs!$C$213))-R35,"")</f>
        <v>#DIV/0!</v>
      </c>
      <c r="S36" s="212" t="e">
        <f>IF(S3&lt;=Inputs!$C$16,(S35/(1-Inputs!$C$213))-S35,"")</f>
        <v>#DIV/0!</v>
      </c>
      <c r="T36" s="212" t="e">
        <f>IF(T3&lt;=Inputs!$C$16,(T35/(1-Inputs!$C$213))-T35,"")</f>
        <v>#DIV/0!</v>
      </c>
      <c r="U36" s="212" t="e">
        <f>IF(U3&lt;=Inputs!$C$16,(U35/(1-Inputs!$C$213))-U35,"")</f>
        <v>#DIV/0!</v>
      </c>
      <c r="V36" s="212" t="e">
        <f>IF(V3&lt;=Inputs!$C$16,(V35/(1-Inputs!$C$213))-V35,"")</f>
        <v>#DIV/0!</v>
      </c>
      <c r="W36" s="212" t="e">
        <f>IF(W3&lt;=Inputs!$C$16,(W35/(1-Inputs!$C$213))-W35,"")</f>
        <v>#DIV/0!</v>
      </c>
      <c r="X36" s="212" t="e">
        <f>IF(X3&lt;=Inputs!$C$16,(X35/(1-Inputs!$C$213))-X35,"")</f>
        <v>#DIV/0!</v>
      </c>
      <c r="Y36" s="212" t="e">
        <f>IF(Y3&lt;=Inputs!$C$16,(Y35/(1-Inputs!$C$213))-Y35,"")</f>
        <v>#DIV/0!</v>
      </c>
      <c r="Z36" s="212" t="e">
        <f>IF(Z3&lt;=Inputs!$C$16,(Z35/(1-Inputs!$C$213))-Z35,"")</f>
        <v>#DIV/0!</v>
      </c>
      <c r="AA36" s="212" t="e">
        <f>IF(AA3&lt;=Inputs!$C$16,(AA35/(1-Inputs!$C$213))-AA35,"")</f>
        <v>#DIV/0!</v>
      </c>
      <c r="AB36" s="212" t="e">
        <f>IF(AB3&lt;=Inputs!$C$16,(AB35/(1-Inputs!$C$213))-AB35,"")</f>
        <v>#DIV/0!</v>
      </c>
      <c r="AC36" s="134"/>
      <c r="AD36" s="134"/>
      <c r="AE36" s="134"/>
      <c r="AF36" s="134"/>
      <c r="AG36" s="134"/>
      <c r="AH36" s="134"/>
      <c r="AI36" s="134"/>
      <c r="AJ36" s="134"/>
      <c r="AK36" s="134"/>
      <c r="AL36" s="134"/>
      <c r="AM36" s="134"/>
      <c r="AN36" s="134"/>
      <c r="AO36" s="134"/>
      <c r="AP36" s="134"/>
      <c r="AQ36" s="134"/>
      <c r="AR36" s="134"/>
      <c r="AS36" s="134"/>
      <c r="AT36" s="134"/>
      <c r="AU36" s="134"/>
      <c r="AV36" s="134"/>
      <c r="AW36" s="134"/>
      <c r="AX36" s="134"/>
      <c r="AY36" s="134"/>
      <c r="AZ36" s="134"/>
      <c r="BA36" s="134"/>
      <c r="BB36" s="134"/>
      <c r="BC36" s="134"/>
      <c r="BD36" s="134"/>
      <c r="BE36" s="134"/>
      <c r="BF36" s="134"/>
      <c r="BG36" s="134"/>
      <c r="BH36" s="134"/>
      <c r="BI36" s="134"/>
      <c r="BJ36" s="134"/>
      <c r="BK36" s="134"/>
      <c r="BL36" s="134"/>
      <c r="BM36" s="134"/>
      <c r="BN36" s="134"/>
      <c r="BO36" s="134"/>
      <c r="BP36" s="134"/>
      <c r="BQ36" s="134"/>
      <c r="BR36" s="134"/>
      <c r="BS36" s="134"/>
      <c r="BT36" s="134"/>
      <c r="BU36" s="134"/>
      <c r="BV36" s="134"/>
      <c r="BW36" s="134"/>
      <c r="BX36" s="134"/>
      <c r="BY36" s="134"/>
      <c r="BZ36" s="134"/>
      <c r="CA36" s="134"/>
      <c r="CB36" s="134"/>
      <c r="CC36" s="134"/>
      <c r="CD36" s="134"/>
      <c r="CE36" s="134"/>
      <c r="CF36" s="134"/>
      <c r="CG36" s="134"/>
      <c r="CH36" s="134"/>
      <c r="CI36" s="134"/>
      <c r="CJ36" s="134"/>
      <c r="CK36" s="134"/>
      <c r="CL36" s="134"/>
      <c r="CM36" s="134"/>
      <c r="CN36" s="134"/>
      <c r="CO36" s="134"/>
      <c r="CP36" s="134"/>
      <c r="CQ36" s="134"/>
      <c r="CR36" s="134"/>
      <c r="CS36" s="134"/>
      <c r="CT36" s="134"/>
      <c r="CU36" s="134"/>
      <c r="CV36" s="134"/>
      <c r="CW36" s="134"/>
      <c r="CX36" s="134"/>
      <c r="CY36" s="134"/>
      <c r="CZ36" s="134"/>
      <c r="DA36" s="134"/>
      <c r="DB36" s="134"/>
      <c r="DC36" s="134"/>
      <c r="DD36" s="134"/>
      <c r="DE36" s="134"/>
      <c r="DF36" s="134"/>
      <c r="DG36" s="134"/>
      <c r="DH36" s="134"/>
      <c r="DI36" s="134"/>
      <c r="DJ36" s="134"/>
      <c r="DK36" s="134"/>
      <c r="DL36" s="134"/>
      <c r="DM36" s="134"/>
      <c r="DN36" s="134"/>
      <c r="DO36" s="134"/>
      <c r="DP36" s="134"/>
      <c r="DQ36" s="134"/>
      <c r="DR36" s="134"/>
      <c r="DS36" s="134"/>
      <c r="DT36" s="134"/>
      <c r="DU36" s="134"/>
      <c r="DV36" s="134"/>
      <c r="DW36" s="134"/>
      <c r="DX36" s="134"/>
      <c r="DY36" s="134"/>
      <c r="DZ36" s="134"/>
      <c r="EA36" s="134"/>
      <c r="EB36" s="134"/>
    </row>
    <row r="37" spans="1:132" s="153" customFormat="1" thickBot="1" x14ac:dyDescent="0.35">
      <c r="A37" s="293" t="s">
        <v>1</v>
      </c>
      <c r="B37" s="294"/>
      <c r="C37" s="222"/>
      <c r="D37" s="223" t="e">
        <f>IF(D3&lt;=Inputs!$C$16,D22+D23-D28+D33+D36,"")</f>
        <v>#DIV/0!</v>
      </c>
      <c r="E37" s="223" t="e">
        <f>IF(E3&lt;=Inputs!$C$16,E22+E23-E28+E33+E36,"")</f>
        <v>#DIV/0!</v>
      </c>
      <c r="F37" s="223" t="e">
        <f>IF(F3&lt;=Inputs!$C$16,F22+F23-F28+F33+F36,"")</f>
        <v>#DIV/0!</v>
      </c>
      <c r="G37" s="223" t="e">
        <f>IF(G3&lt;=Inputs!$C$16,G22+G23-G28+G33+G36,"")</f>
        <v>#DIV/0!</v>
      </c>
      <c r="H37" s="223" t="e">
        <f>IF(H3&lt;=Inputs!$C$16,H22+H23-H28+H33+H36,"")</f>
        <v>#DIV/0!</v>
      </c>
      <c r="I37" s="223" t="e">
        <f>IF(I3&lt;=Inputs!$C$16,I22+I23-I28+I33+I36,"")</f>
        <v>#DIV/0!</v>
      </c>
      <c r="J37" s="223" t="e">
        <f>IF(J3&lt;=Inputs!$C$16,J22+J23-J28+J33+J36,"")</f>
        <v>#DIV/0!</v>
      </c>
      <c r="K37" s="223" t="e">
        <f>IF(K3&lt;=Inputs!$C$16,K22+K23-K28+K33+K36,"")</f>
        <v>#DIV/0!</v>
      </c>
      <c r="L37" s="223" t="e">
        <f>IF(L3&lt;=Inputs!$C$16,L22+L23-L28+L33+L36,"")</f>
        <v>#DIV/0!</v>
      </c>
      <c r="M37" s="223" t="e">
        <f>IF(M3&lt;=Inputs!$C$16,M22+M23-M28+M33+M36,"")</f>
        <v>#DIV/0!</v>
      </c>
      <c r="N37" s="223" t="e">
        <f>IF(N3&lt;=Inputs!$C$16,N22+N23-N28+N33+N36,"")</f>
        <v>#DIV/0!</v>
      </c>
      <c r="O37" s="223" t="e">
        <f>IF(O3&lt;=Inputs!$C$16,O22+O23-O28+O33+O36,"")</f>
        <v>#DIV/0!</v>
      </c>
      <c r="P37" s="223" t="e">
        <f>IF(P3&lt;=Inputs!$C$16,P22+P23-P28+P33+P36,"")</f>
        <v>#DIV/0!</v>
      </c>
      <c r="Q37" s="223" t="e">
        <f>IF(Q3&lt;=Inputs!$C$16,Q22+Q23-Q28+Q33+Q36,"")</f>
        <v>#DIV/0!</v>
      </c>
      <c r="R37" s="223" t="e">
        <f>IF(R3&lt;=Inputs!$C$16,R22+R23-R28+R33+R36,"")</f>
        <v>#DIV/0!</v>
      </c>
      <c r="S37" s="223" t="e">
        <f>IF(S3&lt;=Inputs!$C$16,S22+S23-S28+S33+S36,"")</f>
        <v>#DIV/0!</v>
      </c>
      <c r="T37" s="223" t="e">
        <f>IF(T3&lt;=Inputs!$C$16,T22+T23-T28+T33+T36,"")</f>
        <v>#DIV/0!</v>
      </c>
      <c r="U37" s="223" t="e">
        <f>IF(U3&lt;=Inputs!$C$16,U22+U23-U28+U33+U36,"")</f>
        <v>#DIV/0!</v>
      </c>
      <c r="V37" s="223" t="e">
        <f>IF(V3&lt;=Inputs!$C$16,V22+V23-V28+V33+V36,"")</f>
        <v>#DIV/0!</v>
      </c>
      <c r="W37" s="223" t="e">
        <f>IF(W3&lt;=Inputs!$C$16,W22+W23-W28+W33+W36,"")</f>
        <v>#DIV/0!</v>
      </c>
      <c r="X37" s="223" t="e">
        <f>IF(X3&lt;=Inputs!$C$16,X22+X23-X28+X33+X36,"")</f>
        <v>#DIV/0!</v>
      </c>
      <c r="Y37" s="223" t="e">
        <f>IF(Y3&lt;=Inputs!$C$16,Y22+Y23-Y28+Y33+Y36,"")</f>
        <v>#DIV/0!</v>
      </c>
      <c r="Z37" s="223" t="e">
        <f>IF(Z3&lt;=Inputs!$C$16,Z22+Z23-Z28+Z33+Z36,"")</f>
        <v>#DIV/0!</v>
      </c>
      <c r="AA37" s="223" t="e">
        <f>IF(AA3&lt;=Inputs!$C$16,AA22+AA23-AA28+AA33+AA36,"")</f>
        <v>#DIV/0!</v>
      </c>
      <c r="AB37" s="223" t="e">
        <f>IF(AB3&lt;=Inputs!$C$16,AB22+AB23-AB28+AB33+AB36,"")</f>
        <v>#DIV/0!</v>
      </c>
      <c r="AC37" s="134"/>
      <c r="AD37" s="134"/>
      <c r="AE37" s="134"/>
      <c r="AF37" s="134"/>
      <c r="AG37" s="134"/>
      <c r="AH37" s="134"/>
      <c r="AI37" s="134"/>
      <c r="AJ37" s="134"/>
      <c r="AK37" s="134"/>
      <c r="AL37" s="134"/>
      <c r="AM37" s="295"/>
      <c r="AN37" s="295"/>
      <c r="AO37" s="295"/>
      <c r="AP37" s="295"/>
      <c r="AQ37" s="295"/>
      <c r="AR37" s="295"/>
      <c r="AS37" s="295"/>
      <c r="AT37" s="295"/>
      <c r="AU37" s="295"/>
      <c r="AV37" s="295"/>
      <c r="AW37" s="295"/>
      <c r="AX37" s="295"/>
      <c r="AY37" s="295"/>
      <c r="AZ37" s="295"/>
      <c r="BA37" s="295"/>
      <c r="BB37" s="295"/>
      <c r="BC37" s="295"/>
      <c r="BD37" s="295"/>
      <c r="BE37" s="295"/>
      <c r="BF37" s="295"/>
      <c r="BG37" s="295"/>
      <c r="BH37" s="295"/>
      <c r="BI37" s="295"/>
      <c r="BJ37" s="295"/>
      <c r="BK37" s="295"/>
      <c r="BL37" s="295"/>
      <c r="BM37" s="295"/>
      <c r="BN37" s="295"/>
      <c r="BO37" s="295"/>
      <c r="BP37" s="295"/>
      <c r="BQ37" s="295"/>
      <c r="BR37" s="295"/>
      <c r="BS37" s="295"/>
      <c r="BT37" s="295"/>
      <c r="BU37" s="295"/>
      <c r="BV37" s="295"/>
      <c r="BW37" s="295"/>
      <c r="BX37" s="295"/>
      <c r="BY37" s="295"/>
      <c r="BZ37" s="295"/>
      <c r="CA37" s="295"/>
      <c r="CB37" s="295"/>
      <c r="CC37" s="295"/>
      <c r="CD37" s="295"/>
      <c r="CE37" s="295"/>
      <c r="CF37" s="295"/>
      <c r="CG37" s="295"/>
      <c r="CH37" s="295"/>
      <c r="CI37" s="295"/>
      <c r="CJ37" s="295"/>
      <c r="CK37" s="295"/>
      <c r="CL37" s="295"/>
      <c r="CM37" s="295"/>
      <c r="CN37" s="295"/>
      <c r="CO37" s="295"/>
      <c r="CP37" s="295"/>
      <c r="CQ37" s="295"/>
      <c r="CR37" s="295"/>
      <c r="CS37" s="295"/>
      <c r="CT37" s="295"/>
      <c r="CU37" s="295"/>
      <c r="CV37" s="295"/>
      <c r="CW37" s="295"/>
      <c r="CX37" s="295"/>
      <c r="CY37" s="295"/>
      <c r="CZ37" s="295"/>
      <c r="DA37" s="295"/>
      <c r="DB37" s="295"/>
      <c r="DC37" s="295"/>
      <c r="DD37" s="295"/>
      <c r="DE37" s="295"/>
      <c r="DF37" s="295"/>
      <c r="DG37" s="295"/>
      <c r="DH37" s="295"/>
      <c r="DI37" s="295"/>
      <c r="DJ37" s="295"/>
      <c r="DK37" s="295"/>
      <c r="DL37" s="295"/>
      <c r="DM37" s="295"/>
      <c r="DN37" s="295"/>
      <c r="DO37" s="295"/>
      <c r="DP37" s="295"/>
      <c r="DQ37" s="295"/>
      <c r="DR37" s="295"/>
      <c r="DS37" s="295"/>
      <c r="DT37" s="295"/>
      <c r="DU37" s="295"/>
      <c r="DV37" s="295"/>
      <c r="DW37" s="295"/>
      <c r="DX37" s="295"/>
      <c r="DY37" s="295"/>
      <c r="DZ37" s="295"/>
      <c r="EA37" s="295"/>
      <c r="EB37" s="295"/>
    </row>
    <row r="38" spans="1:132" s="52" customFormat="1" thickTop="1" x14ac:dyDescent="0.3">
      <c r="A38" s="372" t="s">
        <v>202</v>
      </c>
      <c r="B38" s="297"/>
      <c r="C38" s="297"/>
      <c r="D38" s="296"/>
      <c r="E38" s="296"/>
      <c r="F38" s="296"/>
      <c r="G38" s="296"/>
      <c r="H38" s="296"/>
      <c r="I38" s="296"/>
      <c r="J38" s="296"/>
      <c r="K38" s="296"/>
      <c r="L38" s="296"/>
      <c r="M38" s="296"/>
      <c r="N38" s="296"/>
      <c r="O38" s="296"/>
      <c r="P38" s="296"/>
      <c r="Q38" s="296"/>
      <c r="R38" s="296"/>
      <c r="S38" s="296"/>
      <c r="T38" s="296"/>
      <c r="U38" s="296"/>
      <c r="V38" s="296"/>
      <c r="W38" s="296"/>
      <c r="X38" s="296"/>
      <c r="Y38" s="296"/>
      <c r="Z38" s="296"/>
      <c r="AA38" s="296"/>
      <c r="AB38" s="296"/>
      <c r="AC38" s="274"/>
      <c r="AD38" s="274"/>
      <c r="AE38" s="274"/>
      <c r="AF38" s="274"/>
      <c r="AG38" s="274"/>
      <c r="AH38" s="274"/>
      <c r="AI38" s="274"/>
      <c r="AJ38" s="274"/>
      <c r="AK38" s="274"/>
      <c r="AL38" s="274"/>
      <c r="AM38" s="274"/>
      <c r="AN38" s="274"/>
      <c r="AO38" s="274"/>
      <c r="AP38" s="274"/>
      <c r="AQ38" s="274"/>
      <c r="AR38" s="274"/>
      <c r="AS38" s="274"/>
      <c r="AT38" s="274"/>
      <c r="AU38" s="274"/>
      <c r="AV38" s="274"/>
      <c r="AW38" s="274"/>
      <c r="AX38" s="274"/>
      <c r="AY38" s="274"/>
      <c r="AZ38" s="274"/>
      <c r="BA38" s="274"/>
      <c r="BB38" s="274"/>
      <c r="BC38" s="274"/>
      <c r="BD38" s="274"/>
      <c r="BE38" s="274"/>
      <c r="BF38" s="274"/>
      <c r="BG38" s="274"/>
      <c r="BH38" s="274"/>
      <c r="BI38" s="274"/>
      <c r="BJ38" s="274"/>
      <c r="BK38" s="274"/>
      <c r="BL38" s="274"/>
      <c r="BM38" s="274"/>
      <c r="BN38" s="274"/>
      <c r="BO38" s="274"/>
      <c r="BP38" s="274"/>
      <c r="BQ38" s="274"/>
      <c r="BR38" s="274"/>
      <c r="BS38" s="274"/>
      <c r="BT38" s="274"/>
      <c r="BU38" s="274"/>
      <c r="BV38" s="274"/>
      <c r="BW38" s="274"/>
      <c r="BX38" s="274"/>
      <c r="BY38" s="274"/>
      <c r="BZ38" s="274"/>
      <c r="CA38" s="274"/>
      <c r="CB38" s="274"/>
      <c r="CC38" s="274"/>
      <c r="CD38" s="274"/>
      <c r="CE38" s="274"/>
      <c r="CF38" s="274"/>
      <c r="CG38" s="274"/>
      <c r="CH38" s="274"/>
      <c r="CI38" s="274"/>
      <c r="CJ38" s="274"/>
      <c r="CK38" s="274"/>
      <c r="CL38" s="274"/>
      <c r="CM38" s="274"/>
      <c r="CN38" s="274"/>
      <c r="CO38" s="274"/>
      <c r="CP38" s="274"/>
      <c r="CQ38" s="274"/>
      <c r="CR38" s="274"/>
      <c r="CS38" s="274"/>
      <c r="CT38" s="274"/>
      <c r="CU38" s="274"/>
      <c r="CV38" s="274"/>
      <c r="CW38" s="274"/>
      <c r="CX38" s="274"/>
      <c r="CY38" s="274"/>
      <c r="CZ38" s="274"/>
      <c r="DA38" s="274"/>
      <c r="DB38" s="274"/>
      <c r="DC38" s="274"/>
      <c r="DD38" s="274"/>
      <c r="DE38" s="274"/>
      <c r="DF38" s="274"/>
      <c r="DG38" s="274"/>
      <c r="DH38" s="274"/>
      <c r="DI38" s="274"/>
      <c r="DJ38" s="274"/>
      <c r="DK38" s="274"/>
      <c r="DL38" s="274"/>
      <c r="DM38" s="274"/>
      <c r="DN38" s="274"/>
      <c r="DO38" s="274"/>
      <c r="DP38" s="274"/>
      <c r="DQ38" s="274"/>
      <c r="DR38" s="274"/>
      <c r="DS38" s="274"/>
      <c r="DT38" s="274"/>
      <c r="DU38" s="274"/>
      <c r="DV38" s="274"/>
      <c r="DW38" s="274"/>
      <c r="DX38" s="274"/>
      <c r="DY38" s="274"/>
      <c r="DZ38" s="274"/>
      <c r="EA38" s="274"/>
      <c r="EB38" s="274"/>
    </row>
    <row r="39" spans="1:132" s="38" customFormat="1" ht="13.8" x14ac:dyDescent="0.3">
      <c r="B39" s="37"/>
      <c r="C39" s="37"/>
      <c r="AC39" s="134"/>
      <c r="AD39" s="134"/>
      <c r="AE39" s="134"/>
      <c r="AF39" s="134"/>
      <c r="AG39" s="134"/>
      <c r="AH39" s="134"/>
      <c r="AI39" s="134"/>
      <c r="AJ39" s="134"/>
      <c r="AK39" s="134"/>
      <c r="AL39" s="134"/>
      <c r="AM39" s="134"/>
      <c r="AN39" s="134"/>
      <c r="AO39" s="134"/>
      <c r="AP39" s="134"/>
      <c r="AQ39" s="134"/>
      <c r="AR39" s="134"/>
      <c r="AS39" s="134"/>
      <c r="AT39" s="134"/>
      <c r="AU39" s="134"/>
      <c r="AV39" s="134"/>
      <c r="AW39" s="134"/>
      <c r="AX39" s="134"/>
      <c r="AY39" s="134"/>
      <c r="AZ39" s="134"/>
      <c r="BA39" s="134"/>
      <c r="BB39" s="134"/>
      <c r="BC39" s="134"/>
      <c r="BD39" s="134"/>
      <c r="BE39" s="134"/>
      <c r="BF39" s="134"/>
      <c r="BG39" s="134"/>
      <c r="BH39" s="134"/>
      <c r="BI39" s="134"/>
      <c r="BJ39" s="134"/>
      <c r="BK39" s="134"/>
      <c r="BL39" s="134"/>
      <c r="BM39" s="134"/>
      <c r="BN39" s="134"/>
      <c r="BO39" s="134"/>
      <c r="BP39" s="134"/>
      <c r="BQ39" s="134"/>
      <c r="BR39" s="134"/>
      <c r="BS39" s="134"/>
      <c r="BT39" s="134"/>
      <c r="BU39" s="134"/>
      <c r="BV39" s="134"/>
      <c r="BW39" s="134"/>
      <c r="BX39" s="134"/>
      <c r="BY39" s="134"/>
      <c r="BZ39" s="134"/>
      <c r="CA39" s="134"/>
      <c r="CB39" s="134"/>
      <c r="CC39" s="134"/>
      <c r="CD39" s="134"/>
      <c r="CE39" s="134"/>
      <c r="CF39" s="134"/>
      <c r="CG39" s="134"/>
      <c r="CH39" s="134"/>
      <c r="CI39" s="134"/>
      <c r="CJ39" s="134"/>
      <c r="CK39" s="134"/>
      <c r="CL39" s="134"/>
      <c r="CM39" s="134"/>
      <c r="CN39" s="134"/>
      <c r="CO39" s="134"/>
      <c r="CP39" s="134"/>
      <c r="CQ39" s="134"/>
      <c r="CR39" s="134"/>
      <c r="CS39" s="134"/>
      <c r="CT39" s="134"/>
      <c r="CU39" s="134"/>
      <c r="CV39" s="134"/>
      <c r="CW39" s="134"/>
      <c r="CX39" s="134"/>
      <c r="CY39" s="134"/>
      <c r="CZ39" s="134"/>
      <c r="DA39" s="134"/>
      <c r="DB39" s="134"/>
      <c r="DC39" s="134"/>
      <c r="DD39" s="134"/>
      <c r="DE39" s="134"/>
      <c r="DF39" s="134"/>
      <c r="DG39" s="134"/>
      <c r="DH39" s="134"/>
      <c r="DI39" s="134"/>
      <c r="DJ39" s="134"/>
      <c r="DK39" s="134"/>
      <c r="DL39" s="134"/>
      <c r="DM39" s="134"/>
      <c r="DN39" s="134"/>
      <c r="DO39" s="134"/>
      <c r="DP39" s="134"/>
      <c r="DQ39" s="134"/>
      <c r="DR39" s="134"/>
      <c r="DS39" s="134"/>
      <c r="DT39" s="134"/>
      <c r="DU39" s="134"/>
      <c r="DV39" s="134"/>
      <c r="DW39" s="134"/>
      <c r="DX39" s="134"/>
      <c r="DY39" s="134"/>
      <c r="DZ39" s="134"/>
      <c r="EA39" s="134"/>
      <c r="EB39" s="134"/>
    </row>
    <row r="40" spans="1:132" x14ac:dyDescent="0.3">
      <c r="A40" s="298" t="s">
        <v>490</v>
      </c>
      <c r="B40" s="299" t="str">
        <f>IF(Inputs!C20="currency","currency/kWh",IF(Inputs!C20="DZD","DZD/kWh",IF(Inputs!C20="AOA","AOA/kWh",IF(Inputs!C20="BWP","BWP/kWh",IF(Inputs!C20="BIF","BIF/kWh",IF(Inputs!C20="CVE","CVE/kWh",IF(Inputs!C20="XAF","XAF/kWh",IF(Inputs!C20="XOF","XOF/kWh",IF(Inputs!C20="KMF","KMF/kWh",IF(Inputs!C20="CDF","CDF/kWh",IF(Inputs!C20="GMD","GMD/kWh",IF(Inputs!C20="DJF","DJF/kWh",IF(Inputs!C20="EGP","EGP/kWh",IF(Inputs!C20="ERN","ERN/kWh",IF(Inputs!C20="ETB","ETB/kWh",IF(Inputs!C20="GHS","GHS/kWh",IF(Inputs!C20="GNF","GNF/kWh",IF(Inputs!C20="KES","KES/kWh",IF(Inputs!C20="LSL","LSL/kWh",IF(Inputs!C20="LRD","LRD/kWh",IF(Inputs!C20="LYD","LYD/kWh",IF(Inputs!C20="SZL","SZL/kWh",IF(Inputs!C20="MGA","MGA/kWh",IF(Inputs!C20="MWK","MWK/kWh",IF(Inputs!C20="MUR","MUR/kWh",IF(Inputs!C20="MAD","MAD/kWh",IF(Inputs!C20="MZN","MZN/kWh",IF(Inputs!C20="NAD","NAD/kWh",IF(Inputs!C20="NGN","NGN/kWh",IF(Inputs!C20="MRU","MRU/kWh",IF(Inputs!C20="ZWD","ZWD/kWh",IF(Inputs!C20="RWF","RWF/kWh",IF(Inputs!C20="STN","STN/kWh",IF(Inputs!C20="SCR","SCR/kWh",IF(Inputs!C20="SLL","SLL/kWh",IF(Inputs!C20="SOS","SOS/kWh",IF(Inputs!C20="ZAR","ZAR/kWh",IF(Inputs!C20="SSP","SSP/kWh",IF(Inputs!C20="SDG","SDG/kWh",IF(Inputs!C20="TZS","TZS/kWh",IF(Inputs!C20="TND","TND/kWh",IF(Inputs!C20="UGX","UGX/kWh",IF(Inputs!C20="ZMW","ZMW/kWh",IF(Inputs!C20="US$","US$/kWh",IF(Inputs!C20="Euro","Euro/kWh",IF(Inputs!C20="GBP","GBP/kWh",IF(Inputs!C20="CFA","CFA/kWh","")))))))))))))))))))))))))))))))))))))))))))))))</f>
        <v>US$/kWh</v>
      </c>
      <c r="C40" s="224"/>
      <c r="D40" s="225" t="e">
        <f>IF(D3&lt;=Inputs!$C$16,D37/D12,"")</f>
        <v>#DIV/0!</v>
      </c>
      <c r="E40" s="225" t="e">
        <f>IF(E3&lt;=Inputs!$C$16,E37/E12,"")</f>
        <v>#DIV/0!</v>
      </c>
      <c r="F40" s="225" t="e">
        <f>IF(F3&lt;=Inputs!$C$16,F37/F12,"")</f>
        <v>#DIV/0!</v>
      </c>
      <c r="G40" s="225" t="e">
        <f>IF(G3&lt;=Inputs!$C$16,G37/G12,"")</f>
        <v>#DIV/0!</v>
      </c>
      <c r="H40" s="225" t="e">
        <f>IF(H3&lt;=Inputs!$C$16,H37/H12,"")</f>
        <v>#DIV/0!</v>
      </c>
      <c r="I40" s="225" t="e">
        <f>IF(I3&lt;=Inputs!$C$16,I37/I12,"")</f>
        <v>#DIV/0!</v>
      </c>
      <c r="J40" s="225" t="e">
        <f>IF(J3&lt;=Inputs!$C$16,J37/J12,"")</f>
        <v>#DIV/0!</v>
      </c>
      <c r="K40" s="225" t="e">
        <f>IF(K3&lt;=Inputs!$C$16,K37/K12,"")</f>
        <v>#DIV/0!</v>
      </c>
      <c r="L40" s="225" t="e">
        <f>IF(L3&lt;=Inputs!$C$16,L37/L12,"")</f>
        <v>#DIV/0!</v>
      </c>
      <c r="M40" s="225" t="e">
        <f>IF(M3&lt;=Inputs!$C$16,M37/M12,"")</f>
        <v>#DIV/0!</v>
      </c>
      <c r="N40" s="225" t="e">
        <f>IF(N3&lt;=Inputs!$C$16,N37/N12,"")</f>
        <v>#DIV/0!</v>
      </c>
      <c r="O40" s="225" t="e">
        <f>IF(O3&lt;=Inputs!$C$16,O37/O12,"")</f>
        <v>#DIV/0!</v>
      </c>
      <c r="P40" s="225" t="e">
        <f>IF(P3&lt;=Inputs!$C$16,P37/P12,"")</f>
        <v>#DIV/0!</v>
      </c>
      <c r="Q40" s="225" t="e">
        <f>IF(Q3&lt;=Inputs!$C$16,Q37/Q12,"")</f>
        <v>#DIV/0!</v>
      </c>
      <c r="R40" s="225" t="e">
        <f>IF(R3&lt;=Inputs!$C$16,R37/R12,"")</f>
        <v>#DIV/0!</v>
      </c>
      <c r="S40" s="225" t="e">
        <f>IF(S3&lt;=Inputs!$C$16,S37/S12,"")</f>
        <v>#DIV/0!</v>
      </c>
      <c r="T40" s="225" t="e">
        <f>IF(T3&lt;=Inputs!$C$16,T37/T12,"")</f>
        <v>#DIV/0!</v>
      </c>
      <c r="U40" s="225" t="e">
        <f>IF(U3&lt;=Inputs!$C$16,U37/U12,"")</f>
        <v>#DIV/0!</v>
      </c>
      <c r="V40" s="225" t="e">
        <f>IF(V3&lt;=Inputs!$C$16,V37/V12,"")</f>
        <v>#DIV/0!</v>
      </c>
      <c r="W40" s="225" t="e">
        <f>IF(W3&lt;=Inputs!$C$16,W37/W12,"")</f>
        <v>#DIV/0!</v>
      </c>
      <c r="X40" s="225" t="e">
        <f>IF(X3&lt;=Inputs!$C$16,X37/X12,"")</f>
        <v>#DIV/0!</v>
      </c>
      <c r="Y40" s="225" t="e">
        <f>IF(Y3&lt;=Inputs!$C$16,Y37/Y12,"")</f>
        <v>#DIV/0!</v>
      </c>
      <c r="Z40" s="225" t="e">
        <f>IF(Z3&lt;=Inputs!$C$16,Z37/Z12,"")</f>
        <v>#DIV/0!</v>
      </c>
      <c r="AA40" s="225" t="e">
        <f>IF(AA3&lt;=Inputs!$C$16,AA37/AA12,"")</f>
        <v>#DIV/0!</v>
      </c>
      <c r="AB40" s="225" t="e">
        <f>IF(AB3&lt;=Inputs!$C$16,AB37/AB12,"")</f>
        <v>#DIV/0!</v>
      </c>
      <c r="AC40" s="134"/>
      <c r="AD40" s="134"/>
      <c r="AE40" s="134"/>
      <c r="AF40" s="134"/>
      <c r="AG40" s="134"/>
      <c r="AH40" s="134"/>
      <c r="AI40" s="134"/>
      <c r="AJ40" s="134"/>
      <c r="AK40" s="134"/>
      <c r="AL40" s="134"/>
    </row>
    <row r="41" spans="1:132" s="38" customFormat="1" x14ac:dyDescent="0.3">
      <c r="B41" s="299" t="str">
        <f>IF(Inputs!B222="USD","USD/kWh",IF(Inputs!B222="Euro","Euro/kWh",IF(Inputs!B222="GBP","GBP/kWh",IF(Inputs!B222="CFA","CFA/kWh",""))))</f>
        <v>USD/kWh</v>
      </c>
      <c r="C41" s="224"/>
      <c r="D41" s="226" t="e">
        <f>D40/Inputs!$C$216</f>
        <v>#DIV/0!</v>
      </c>
      <c r="AC41" s="134"/>
      <c r="AD41" s="134"/>
      <c r="AE41" s="134"/>
      <c r="AF41" s="134"/>
      <c r="AG41" s="134"/>
      <c r="AH41" s="134"/>
      <c r="AI41" s="134"/>
      <c r="AJ41" s="134"/>
      <c r="AK41" s="134"/>
      <c r="AL41" s="134"/>
      <c r="AM41" s="134"/>
      <c r="AN41" s="134"/>
      <c r="AO41" s="134"/>
      <c r="AP41" s="134"/>
      <c r="AQ41" s="134"/>
      <c r="AR41" s="134"/>
      <c r="AS41" s="134"/>
      <c r="AT41" s="134"/>
      <c r="AU41" s="134"/>
      <c r="AV41" s="134"/>
      <c r="AW41" s="134"/>
      <c r="AX41" s="134"/>
      <c r="AY41" s="134"/>
      <c r="AZ41" s="134"/>
      <c r="BA41" s="134"/>
      <c r="BB41" s="134"/>
      <c r="BC41" s="134"/>
      <c r="BD41" s="134"/>
      <c r="BE41" s="134"/>
      <c r="BF41" s="134"/>
      <c r="BG41" s="134"/>
      <c r="BH41" s="134"/>
      <c r="BI41" s="134"/>
      <c r="BJ41" s="134"/>
      <c r="BK41" s="134"/>
      <c r="BL41" s="134"/>
      <c r="BM41" s="134"/>
      <c r="BN41" s="134"/>
      <c r="BO41" s="134"/>
      <c r="BP41" s="134"/>
      <c r="BQ41" s="134"/>
      <c r="BR41" s="134"/>
      <c r="BS41" s="134"/>
      <c r="BT41" s="134"/>
      <c r="BU41" s="134"/>
      <c r="BV41" s="134"/>
      <c r="BW41" s="134"/>
      <c r="BX41" s="134"/>
      <c r="BY41" s="134"/>
      <c r="BZ41" s="134"/>
      <c r="CA41" s="134"/>
      <c r="CB41" s="134"/>
      <c r="CC41" s="134"/>
      <c r="CD41" s="134"/>
      <c r="CE41" s="134"/>
      <c r="CF41" s="134"/>
      <c r="CG41" s="134"/>
      <c r="CH41" s="134"/>
      <c r="CI41" s="134"/>
      <c r="CJ41" s="134"/>
      <c r="CK41" s="134"/>
      <c r="CL41" s="134"/>
      <c r="CM41" s="134"/>
      <c r="CN41" s="134"/>
      <c r="CO41" s="134"/>
      <c r="CP41" s="134"/>
      <c r="CQ41" s="134"/>
      <c r="CR41" s="134"/>
      <c r="CS41" s="134"/>
      <c r="CT41" s="134"/>
      <c r="CU41" s="134"/>
      <c r="CV41" s="134"/>
      <c r="CW41" s="134"/>
      <c r="CX41" s="134"/>
      <c r="CY41" s="134"/>
      <c r="CZ41" s="134"/>
      <c r="DA41" s="134"/>
      <c r="DB41" s="134"/>
      <c r="DC41" s="134"/>
      <c r="DD41" s="134"/>
      <c r="DE41" s="134"/>
      <c r="DF41" s="134"/>
      <c r="DG41" s="134"/>
      <c r="DH41" s="134"/>
      <c r="DI41" s="134"/>
      <c r="DJ41" s="134"/>
      <c r="DK41" s="134"/>
      <c r="DL41" s="134"/>
      <c r="DM41" s="134"/>
      <c r="DN41" s="134"/>
      <c r="DO41" s="134"/>
      <c r="DP41" s="134"/>
      <c r="DQ41" s="134"/>
      <c r="DR41" s="134"/>
      <c r="DS41" s="134"/>
      <c r="DT41" s="134"/>
      <c r="DU41" s="134"/>
      <c r="DV41" s="134"/>
      <c r="DW41" s="134"/>
      <c r="DX41" s="134"/>
      <c r="DY41" s="134"/>
      <c r="DZ41" s="134"/>
      <c r="EA41" s="134"/>
      <c r="EB41" s="134"/>
    </row>
    <row r="42" spans="1:132" s="38" customFormat="1" x14ac:dyDescent="0.3">
      <c r="A42" s="34"/>
      <c r="C42" s="132" t="s">
        <v>152</v>
      </c>
      <c r="D42" s="133">
        <v>1</v>
      </c>
      <c r="E42" s="133">
        <f>D42+1</f>
        <v>2</v>
      </c>
      <c r="F42" s="133">
        <f t="shared" ref="F42" si="5">E42+1</f>
        <v>3</v>
      </c>
      <c r="G42" s="133">
        <f t="shared" ref="G42" si="6">F42+1</f>
        <v>4</v>
      </c>
      <c r="H42" s="133">
        <f t="shared" ref="H42" si="7">G42+1</f>
        <v>5</v>
      </c>
      <c r="I42" s="133">
        <f t="shared" ref="I42" si="8">H42+1</f>
        <v>6</v>
      </c>
      <c r="J42" s="133">
        <f t="shared" ref="J42" si="9">I42+1</f>
        <v>7</v>
      </c>
      <c r="K42" s="133">
        <f t="shared" ref="K42" si="10">J42+1</f>
        <v>8</v>
      </c>
      <c r="L42" s="133">
        <f t="shared" ref="L42" si="11">K42+1</f>
        <v>9</v>
      </c>
      <c r="M42" s="133">
        <f t="shared" ref="M42" si="12">L42+1</f>
        <v>10</v>
      </c>
      <c r="N42" s="133">
        <f t="shared" ref="N42" si="13">M42+1</f>
        <v>11</v>
      </c>
      <c r="O42" s="133">
        <f t="shared" ref="O42" si="14">N42+1</f>
        <v>12</v>
      </c>
      <c r="P42" s="133">
        <f t="shared" ref="P42" si="15">O42+1</f>
        <v>13</v>
      </c>
      <c r="Q42" s="133">
        <f t="shared" ref="Q42" si="16">P42+1</f>
        <v>14</v>
      </c>
      <c r="R42" s="133">
        <f t="shared" ref="R42" si="17">Q42+1</f>
        <v>15</v>
      </c>
      <c r="S42" s="133">
        <f t="shared" ref="S42" si="18">R42+1</f>
        <v>16</v>
      </c>
      <c r="T42" s="133">
        <f t="shared" ref="T42" si="19">S42+1</f>
        <v>17</v>
      </c>
      <c r="U42" s="133">
        <f t="shared" ref="U42" si="20">T42+1</f>
        <v>18</v>
      </c>
      <c r="V42" s="133">
        <f t="shared" ref="V42" si="21">U42+1</f>
        <v>19</v>
      </c>
      <c r="W42" s="133">
        <f t="shared" ref="W42" si="22">V42+1</f>
        <v>20</v>
      </c>
      <c r="X42" s="133">
        <f t="shared" ref="X42" si="23">W42+1</f>
        <v>21</v>
      </c>
      <c r="Y42" s="133">
        <f t="shared" ref="Y42" si="24">X42+1</f>
        <v>22</v>
      </c>
      <c r="Z42" s="133">
        <f t="shared" ref="Z42" si="25">Y42+1</f>
        <v>23</v>
      </c>
      <c r="AA42" s="133">
        <f t="shared" ref="AA42" si="26">Z42+1</f>
        <v>24</v>
      </c>
      <c r="AB42" s="133">
        <f t="shared" ref="AB42" si="27">AA42+1</f>
        <v>25</v>
      </c>
      <c r="AC42" s="134"/>
      <c r="AD42" s="134"/>
      <c r="AE42" s="134"/>
      <c r="AF42" s="134"/>
      <c r="AG42" s="134"/>
      <c r="AH42" s="134"/>
      <c r="AI42" s="134"/>
      <c r="AJ42" s="134"/>
      <c r="AK42" s="134"/>
      <c r="AL42" s="134"/>
      <c r="AM42" s="134"/>
      <c r="AN42" s="134"/>
      <c r="AO42" s="134"/>
      <c r="AP42" s="134"/>
      <c r="AQ42" s="134"/>
      <c r="AR42" s="134"/>
      <c r="AS42" s="134"/>
      <c r="AT42" s="134"/>
      <c r="AU42" s="134"/>
      <c r="AV42" s="134"/>
      <c r="AW42" s="134"/>
      <c r="AX42" s="134"/>
      <c r="AY42" s="134"/>
      <c r="AZ42" s="134"/>
      <c r="BA42" s="134"/>
      <c r="BB42" s="134"/>
      <c r="BC42" s="134"/>
      <c r="BD42" s="134"/>
      <c r="BE42" s="134"/>
      <c r="BF42" s="134"/>
      <c r="BG42" s="134"/>
      <c r="BH42" s="134"/>
      <c r="BI42" s="134"/>
      <c r="BJ42" s="134"/>
      <c r="BK42" s="134"/>
      <c r="BL42" s="134"/>
      <c r="BM42" s="134"/>
      <c r="BN42" s="134"/>
      <c r="BO42" s="134"/>
      <c r="BP42" s="134"/>
      <c r="BQ42" s="134"/>
      <c r="BR42" s="134"/>
      <c r="BS42" s="134"/>
      <c r="BT42" s="134"/>
      <c r="BU42" s="134"/>
      <c r="BV42" s="134"/>
      <c r="BW42" s="134"/>
      <c r="BX42" s="134"/>
      <c r="BY42" s="134"/>
      <c r="BZ42" s="134"/>
      <c r="CA42" s="134"/>
      <c r="CB42" s="134"/>
      <c r="CC42" s="134"/>
      <c r="CD42" s="134"/>
      <c r="CE42" s="134"/>
      <c r="CF42" s="134"/>
      <c r="CG42" s="134"/>
      <c r="CH42" s="134"/>
      <c r="CI42" s="134"/>
      <c r="CJ42" s="134"/>
      <c r="CK42" s="134"/>
      <c r="CL42" s="134"/>
      <c r="CM42" s="134"/>
      <c r="CN42" s="134"/>
      <c r="CO42" s="134"/>
      <c r="CP42" s="134"/>
      <c r="CQ42" s="134"/>
      <c r="CR42" s="134"/>
      <c r="CS42" s="134"/>
      <c r="CT42" s="134"/>
      <c r="CU42" s="134"/>
      <c r="CV42" s="134"/>
      <c r="CW42" s="134"/>
      <c r="CX42" s="134"/>
      <c r="CY42" s="134"/>
      <c r="CZ42" s="134"/>
      <c r="DA42" s="134"/>
      <c r="DB42" s="134"/>
      <c r="DC42" s="134"/>
      <c r="DD42" s="134"/>
      <c r="DE42" s="134"/>
      <c r="DF42" s="134"/>
      <c r="DG42" s="134"/>
      <c r="DH42" s="134"/>
      <c r="DI42" s="134"/>
      <c r="DJ42" s="134"/>
      <c r="DK42" s="134"/>
      <c r="DL42" s="134"/>
      <c r="DM42" s="134"/>
      <c r="DN42" s="134"/>
      <c r="DO42" s="134"/>
      <c r="DP42" s="134"/>
      <c r="DQ42" s="134"/>
      <c r="DR42" s="134"/>
      <c r="DS42" s="134"/>
      <c r="DT42" s="134"/>
      <c r="DU42" s="134"/>
      <c r="DV42" s="134"/>
      <c r="DW42" s="134"/>
      <c r="DX42" s="134"/>
      <c r="DY42" s="134"/>
      <c r="DZ42" s="134"/>
      <c r="EA42" s="134"/>
      <c r="EB42" s="134"/>
    </row>
    <row r="43" spans="1:132" x14ac:dyDescent="0.3">
      <c r="A43" s="255" t="s">
        <v>405</v>
      </c>
      <c r="B43" s="255"/>
      <c r="C43" s="210"/>
      <c r="D43" s="1"/>
      <c r="E43" s="1"/>
      <c r="F43" s="1"/>
      <c r="G43" s="1"/>
      <c r="H43" s="1"/>
      <c r="I43" s="1"/>
      <c r="J43" s="1"/>
      <c r="K43" s="1"/>
      <c r="L43" s="1"/>
      <c r="M43" s="1"/>
      <c r="N43" s="1"/>
      <c r="O43" s="1"/>
      <c r="P43" s="1"/>
      <c r="Q43" s="1"/>
      <c r="R43" s="1"/>
      <c r="S43" s="1"/>
      <c r="T43" s="1"/>
      <c r="U43" s="1"/>
      <c r="V43" s="1"/>
      <c r="W43" s="1"/>
      <c r="X43" s="1"/>
      <c r="Y43" s="1"/>
      <c r="Z43" s="1"/>
      <c r="AA43" s="1"/>
      <c r="AB43" s="1"/>
    </row>
    <row r="44" spans="1:132" s="38" customFormat="1" ht="13.8" x14ac:dyDescent="0.3">
      <c r="A44" s="258" t="s">
        <v>189</v>
      </c>
      <c r="B44" s="282"/>
      <c r="C44" s="11"/>
      <c r="D44" s="10"/>
      <c r="E44" s="10" t="e">
        <f>IF(D3&lt;=Inputs!$C$16,IF(D37-D38&gt;0,D37-D38,0),0)</f>
        <v>#DIV/0!</v>
      </c>
      <c r="F44" s="10" t="e">
        <f>IF(E3&lt;=Inputs!$C$16,IF(E37-E38&gt;0,E37-E38,0),0)</f>
        <v>#DIV/0!</v>
      </c>
      <c r="G44" s="10" t="e">
        <f>IF(F3&lt;=Inputs!$C$16,IF(F37-F38&gt;0,F37-F38,0),0)</f>
        <v>#DIV/0!</v>
      </c>
      <c r="H44" s="10" t="e">
        <f>IF(G3&lt;=Inputs!$C$16,IF(G37-G38&gt;0,G37-G38,0),0)</f>
        <v>#DIV/0!</v>
      </c>
      <c r="I44" s="10" t="e">
        <f>IF(H3&lt;=Inputs!$C$16,IF(H37-H38&gt;0,H37-H38,0),0)</f>
        <v>#DIV/0!</v>
      </c>
      <c r="J44" s="10" t="e">
        <f>IF(I3&lt;=Inputs!$C$16,IF(I37-I38&gt;0,I37-I38,0),0)</f>
        <v>#DIV/0!</v>
      </c>
      <c r="K44" s="10" t="e">
        <f>IF(J3&lt;=Inputs!$C$16,IF(J37-J38&gt;0,J37-J38,0),0)</f>
        <v>#DIV/0!</v>
      </c>
      <c r="L44" s="10" t="e">
        <f>IF(K3&lt;=Inputs!$C$16,IF(K37-K38&gt;0,K37-K38,0),0)</f>
        <v>#DIV/0!</v>
      </c>
      <c r="M44" s="10" t="e">
        <f>IF(L3&lt;=Inputs!$C$16,IF(L37-L38&gt;0,L37-L38,0),0)</f>
        <v>#DIV/0!</v>
      </c>
      <c r="N44" s="10" t="e">
        <f>IF(M3&lt;=Inputs!$C$16,IF(M37-M38&gt;0,M37-M38,0),0)</f>
        <v>#DIV/0!</v>
      </c>
      <c r="O44" s="10" t="e">
        <f>IF(N3&lt;=Inputs!$C$16,IF(N37-N38&gt;0,N37-N38,0),0)</f>
        <v>#DIV/0!</v>
      </c>
      <c r="P44" s="10" t="e">
        <f>IF(O3&lt;=Inputs!$C$16,IF(O37-O38&gt;0,O37-O38,0),0)</f>
        <v>#DIV/0!</v>
      </c>
      <c r="Q44" s="10" t="e">
        <f>IF(P3&lt;=Inputs!$C$16,IF(P37-P38&gt;0,P37-P38,0),0)</f>
        <v>#DIV/0!</v>
      </c>
      <c r="R44" s="10" t="e">
        <f>IF(Q3&lt;=Inputs!$C$16,IF(Q37-Q38&gt;0,Q37-Q38,0),0)</f>
        <v>#DIV/0!</v>
      </c>
      <c r="S44" s="10" t="e">
        <f>IF(R3&lt;=Inputs!$C$16,IF(R37-R38&gt;0,R37-R38,0),0)</f>
        <v>#DIV/0!</v>
      </c>
      <c r="T44" s="10" t="e">
        <f>IF(S3&lt;=Inputs!$C$16,IF(S37-S38&gt;0,S37-S38,0),0)</f>
        <v>#DIV/0!</v>
      </c>
      <c r="U44" s="10" t="e">
        <f>IF(T3&lt;=Inputs!$C$16,IF(T37-T38&gt;0,T37-T38,0),0)</f>
        <v>#DIV/0!</v>
      </c>
      <c r="V44" s="10" t="e">
        <f>IF(U3&lt;=Inputs!$C$16,IF(U37-U38&gt;0,U37-U38,0),0)</f>
        <v>#DIV/0!</v>
      </c>
      <c r="W44" s="10" t="e">
        <f>IF(V3&lt;=Inputs!$C$16,IF(V37-V38&gt;0,V37-V38,0),0)</f>
        <v>#DIV/0!</v>
      </c>
      <c r="X44" s="10" t="e">
        <f>IF(W3&lt;=Inputs!$C$16,IF(W37-W38&gt;0,W37-W38,0),0)</f>
        <v>#DIV/0!</v>
      </c>
      <c r="Y44" s="10" t="e">
        <f>IF(X3&lt;=Inputs!$C$16,IF(X37-X38&gt;0,X37-X38,0),0)</f>
        <v>#DIV/0!</v>
      </c>
      <c r="Z44" s="10" t="e">
        <f>IF(Y3&lt;=Inputs!$C$16,IF(Y37-Y38&gt;0,Y37-Y38,0),0)</f>
        <v>#DIV/0!</v>
      </c>
      <c r="AA44" s="10" t="e">
        <f>IF(Z3&lt;=Inputs!$C$16,IF(Z37-Z38&gt;0,Z37-Z38,0),0)</f>
        <v>#DIV/0!</v>
      </c>
      <c r="AB44" s="10" t="e">
        <f>IF(AA3&lt;=Inputs!$C$16,IF(AA37-AA38&gt;0,AA37-AA38,0),0)</f>
        <v>#DIV/0!</v>
      </c>
      <c r="AC44" s="134"/>
      <c r="AD44" s="134"/>
      <c r="AE44" s="134"/>
      <c r="AF44" s="134"/>
      <c r="AG44" s="134"/>
      <c r="AH44" s="134"/>
      <c r="AI44" s="134"/>
      <c r="AJ44" s="134"/>
      <c r="AK44" s="134"/>
      <c r="AL44" s="134"/>
      <c r="AM44" s="134"/>
      <c r="AN44" s="134"/>
      <c r="AO44" s="134"/>
      <c r="AP44" s="134"/>
      <c r="AQ44" s="134"/>
      <c r="AR44" s="134"/>
      <c r="AS44" s="134"/>
      <c r="AT44" s="134"/>
      <c r="AU44" s="134"/>
      <c r="AV44" s="134"/>
      <c r="AW44" s="134"/>
      <c r="AX44" s="134"/>
      <c r="AY44" s="134"/>
      <c r="AZ44" s="134"/>
      <c r="BA44" s="134"/>
      <c r="BB44" s="134"/>
      <c r="BC44" s="134"/>
      <c r="BD44" s="134"/>
      <c r="BE44" s="134"/>
      <c r="BF44" s="134"/>
      <c r="BG44" s="134"/>
      <c r="BH44" s="134"/>
      <c r="BI44" s="134"/>
      <c r="BJ44" s="134"/>
      <c r="BK44" s="134"/>
      <c r="BL44" s="134"/>
      <c r="BM44" s="134"/>
      <c r="BN44" s="134"/>
      <c r="BO44" s="134"/>
      <c r="BP44" s="134"/>
      <c r="BQ44" s="134"/>
      <c r="BR44" s="134"/>
      <c r="BS44" s="134"/>
      <c r="BT44" s="134"/>
      <c r="BU44" s="134"/>
      <c r="BV44" s="134"/>
      <c r="BW44" s="134"/>
      <c r="BX44" s="134"/>
      <c r="BY44" s="134"/>
      <c r="BZ44" s="134"/>
      <c r="CA44" s="134"/>
      <c r="CB44" s="134"/>
      <c r="CC44" s="134"/>
      <c r="CD44" s="134"/>
      <c r="CE44" s="134"/>
      <c r="CF44" s="134"/>
      <c r="CG44" s="134"/>
      <c r="CH44" s="134"/>
      <c r="CI44" s="134"/>
      <c r="CJ44" s="134"/>
      <c r="CK44" s="134"/>
      <c r="CL44" s="134"/>
      <c r="CM44" s="134"/>
      <c r="CN44" s="134"/>
      <c r="CO44" s="134"/>
      <c r="CP44" s="134"/>
      <c r="CQ44" s="134"/>
      <c r="CR44" s="134"/>
      <c r="CS44" s="134"/>
      <c r="CT44" s="134"/>
      <c r="CU44" s="134"/>
      <c r="CV44" s="134"/>
      <c r="CW44" s="134"/>
      <c r="CX44" s="134"/>
      <c r="CY44" s="134"/>
      <c r="CZ44" s="134"/>
      <c r="DA44" s="134"/>
      <c r="DB44" s="134"/>
      <c r="DC44" s="134"/>
      <c r="DD44" s="134"/>
      <c r="DE44" s="134"/>
      <c r="DF44" s="134"/>
      <c r="DG44" s="134"/>
      <c r="DH44" s="134"/>
      <c r="DI44" s="134"/>
      <c r="DJ44" s="134"/>
      <c r="DK44" s="134"/>
      <c r="DL44" s="134"/>
      <c r="DM44" s="134"/>
      <c r="DN44" s="134"/>
      <c r="DO44" s="134"/>
      <c r="DP44" s="134"/>
      <c r="DQ44" s="134"/>
      <c r="DR44" s="134"/>
      <c r="DS44" s="134"/>
      <c r="DT44" s="134"/>
      <c r="DU44" s="134"/>
      <c r="DV44" s="134"/>
      <c r="DW44" s="134"/>
      <c r="DX44" s="134"/>
      <c r="DY44" s="134"/>
      <c r="DZ44" s="134"/>
      <c r="EA44" s="134"/>
      <c r="EB44" s="134"/>
    </row>
    <row r="45" spans="1:132" s="38" customFormat="1" ht="13.8" x14ac:dyDescent="0.3">
      <c r="A45" s="262" t="s">
        <v>190</v>
      </c>
      <c r="B45" s="282"/>
      <c r="C45" s="11"/>
      <c r="D45" s="10"/>
      <c r="E45" s="10" t="e">
        <f>IF(D3&lt;=Inputs!$C$16,IF(D37-D38&lt;0,D37-D38,0),0)</f>
        <v>#DIV/0!</v>
      </c>
      <c r="F45" s="10" t="e">
        <f>IF(E3&lt;=Inputs!$C$16,IF(E37-E38&lt;0,E37-E38,0),0)</f>
        <v>#DIV/0!</v>
      </c>
      <c r="G45" s="10" t="e">
        <f>IF(F3&lt;=Inputs!$C$16,IF(F37-F38&lt;0,F37-F38,0),0)</f>
        <v>#DIV/0!</v>
      </c>
      <c r="H45" s="10" t="e">
        <f>IF(G3&lt;=Inputs!$C$16,IF(G37-G38&lt;0,G37-G38,0),0)</f>
        <v>#DIV/0!</v>
      </c>
      <c r="I45" s="10" t="e">
        <f>IF(H3&lt;=Inputs!$C$16,IF(H37-H38&lt;0,H37-H38,0),0)</f>
        <v>#DIV/0!</v>
      </c>
      <c r="J45" s="10" t="e">
        <f>IF(I3&lt;=Inputs!$C$16,IF(I37-I38&lt;0,I37-I38,0),0)</f>
        <v>#DIV/0!</v>
      </c>
      <c r="K45" s="10" t="e">
        <f>IF(J3&lt;=Inputs!$C$16,IF(J37-J38&lt;0,J37-J38,0),0)</f>
        <v>#DIV/0!</v>
      </c>
      <c r="L45" s="10" t="e">
        <f>IF(K3&lt;=Inputs!$C$16,IF(K37-K38&lt;0,K37-K38,0),0)</f>
        <v>#DIV/0!</v>
      </c>
      <c r="M45" s="10" t="e">
        <f>IF(L3&lt;=Inputs!$C$16,IF(L37-L38&lt;0,L37-L38,0),0)</f>
        <v>#DIV/0!</v>
      </c>
      <c r="N45" s="10" t="e">
        <f>IF(M3&lt;=Inputs!$C$16,IF(M37-M38&lt;0,M37-M38,0),0)</f>
        <v>#DIV/0!</v>
      </c>
      <c r="O45" s="10" t="e">
        <f>IF(N3&lt;=Inputs!$C$16,IF(N37-N38&lt;0,N37-N38,0),0)</f>
        <v>#DIV/0!</v>
      </c>
      <c r="P45" s="10" t="e">
        <f>IF(O3&lt;=Inputs!$C$16,IF(O37-O38&lt;0,O37-O38,0),0)</f>
        <v>#DIV/0!</v>
      </c>
      <c r="Q45" s="10" t="e">
        <f>IF(P3&lt;=Inputs!$C$16,IF(P37-P38&lt;0,P37-P38,0),0)</f>
        <v>#DIV/0!</v>
      </c>
      <c r="R45" s="10" t="e">
        <f>IF(Q3&lt;=Inputs!$C$16,IF(Q37-Q38&lt;0,Q37-Q38,0),0)</f>
        <v>#DIV/0!</v>
      </c>
      <c r="S45" s="10" t="e">
        <f>IF(R3&lt;=Inputs!$C$16,IF(R37-R38&lt;0,R37-R38,0),0)</f>
        <v>#DIV/0!</v>
      </c>
      <c r="T45" s="10" t="e">
        <f>IF(S3&lt;=Inputs!$C$16,IF(S37-S38&lt;0,S37-S38,0),0)</f>
        <v>#DIV/0!</v>
      </c>
      <c r="U45" s="10" t="e">
        <f>IF(T3&lt;=Inputs!$C$16,IF(T37-T38&lt;0,T37-T38,0),0)</f>
        <v>#DIV/0!</v>
      </c>
      <c r="V45" s="10" t="e">
        <f>IF(U3&lt;=Inputs!$C$16,IF(U37-U38&lt;0,U37-U38,0),0)</f>
        <v>#DIV/0!</v>
      </c>
      <c r="W45" s="10" t="e">
        <f>IF(V3&lt;=Inputs!$C$16,IF(V37-V38&lt;0,V37-V38,0),0)</f>
        <v>#DIV/0!</v>
      </c>
      <c r="X45" s="10" t="e">
        <f>IF(W3&lt;=Inputs!$C$16,IF(W37-W38&lt;0,W37-W38,0),0)</f>
        <v>#DIV/0!</v>
      </c>
      <c r="Y45" s="10" t="e">
        <f>IF(X3&lt;=Inputs!$C$16,IF(X37-X38&lt;0,X37-X38,0),0)</f>
        <v>#DIV/0!</v>
      </c>
      <c r="Z45" s="10" t="e">
        <f>IF(Y3&lt;=Inputs!$C$16,IF(Y37-Y38&lt;0,Y37-Y38,0),0)</f>
        <v>#DIV/0!</v>
      </c>
      <c r="AA45" s="10" t="e">
        <f>IF(Z3&lt;=Inputs!$C$16,IF(Z37-Z38&lt;0,Z37-Z38,0),0)</f>
        <v>#DIV/0!</v>
      </c>
      <c r="AB45" s="10" t="e">
        <f>IF(AA3&lt;=Inputs!$C$16,IF(AA37-AA38&lt;0,AA37-AA38,0),0)</f>
        <v>#DIV/0!</v>
      </c>
      <c r="AC45" s="134"/>
      <c r="AD45" s="134"/>
      <c r="AE45" s="134"/>
      <c r="AF45" s="134"/>
      <c r="AG45" s="134"/>
      <c r="AH45" s="134"/>
      <c r="AI45" s="134"/>
      <c r="AJ45" s="134"/>
      <c r="AK45" s="134"/>
      <c r="AL45" s="134"/>
      <c r="AM45" s="134"/>
      <c r="AN45" s="134"/>
      <c r="AO45" s="134"/>
      <c r="AP45" s="134"/>
      <c r="AQ45" s="134"/>
      <c r="AR45" s="134"/>
      <c r="AS45" s="134"/>
      <c r="AT45" s="134"/>
      <c r="AU45" s="134"/>
      <c r="AV45" s="134"/>
      <c r="AW45" s="134"/>
      <c r="AX45" s="134"/>
      <c r="AY45" s="134"/>
      <c r="AZ45" s="134"/>
      <c r="BA45" s="134"/>
      <c r="BB45" s="134"/>
      <c r="BC45" s="134"/>
      <c r="BD45" s="134"/>
      <c r="BE45" s="134"/>
      <c r="BF45" s="134"/>
      <c r="BG45" s="134"/>
      <c r="BH45" s="134"/>
      <c r="BI45" s="134"/>
      <c r="BJ45" s="134"/>
      <c r="BK45" s="134"/>
      <c r="BL45" s="134"/>
      <c r="BM45" s="134"/>
      <c r="BN45" s="134"/>
      <c r="BO45" s="134"/>
      <c r="BP45" s="134"/>
      <c r="BQ45" s="134"/>
      <c r="BR45" s="134"/>
      <c r="BS45" s="134"/>
      <c r="BT45" s="134"/>
      <c r="BU45" s="134"/>
      <c r="BV45" s="134"/>
      <c r="BW45" s="134"/>
      <c r="BX45" s="134"/>
      <c r="BY45" s="134"/>
      <c r="BZ45" s="134"/>
      <c r="CA45" s="134"/>
      <c r="CB45" s="134"/>
      <c r="CC45" s="134"/>
      <c r="CD45" s="134"/>
      <c r="CE45" s="134"/>
      <c r="CF45" s="134"/>
      <c r="CG45" s="134"/>
      <c r="CH45" s="134"/>
      <c r="CI45" s="134"/>
      <c r="CJ45" s="134"/>
      <c r="CK45" s="134"/>
      <c r="CL45" s="134"/>
      <c r="CM45" s="134"/>
      <c r="CN45" s="134"/>
      <c r="CO45" s="134"/>
      <c r="CP45" s="134"/>
      <c r="CQ45" s="134"/>
      <c r="CR45" s="134"/>
      <c r="CS45" s="134"/>
      <c r="CT45" s="134"/>
      <c r="CU45" s="134"/>
      <c r="CV45" s="134"/>
      <c r="CW45" s="134"/>
      <c r="CX45" s="134"/>
      <c r="CY45" s="134"/>
      <c r="CZ45" s="134"/>
      <c r="DA45" s="134"/>
      <c r="DB45" s="134"/>
      <c r="DC45" s="134"/>
      <c r="DD45" s="134"/>
      <c r="DE45" s="134"/>
      <c r="DF45" s="134"/>
      <c r="DG45" s="134"/>
      <c r="DH45" s="134"/>
      <c r="DI45" s="134"/>
      <c r="DJ45" s="134"/>
      <c r="DK45" s="134"/>
      <c r="DL45" s="134"/>
      <c r="DM45" s="134"/>
      <c r="DN45" s="134"/>
      <c r="DO45" s="134"/>
      <c r="DP45" s="134"/>
      <c r="DQ45" s="134"/>
      <c r="DR45" s="134"/>
      <c r="DS45" s="134"/>
      <c r="DT45" s="134"/>
      <c r="DU45" s="134"/>
      <c r="DV45" s="134"/>
      <c r="DW45" s="134"/>
      <c r="DX45" s="134"/>
      <c r="DY45" s="134"/>
      <c r="DZ45" s="134"/>
      <c r="EA45" s="134"/>
      <c r="EB45" s="134"/>
    </row>
    <row r="46" spans="1:132" s="38" customFormat="1" ht="13.8" x14ac:dyDescent="0.3">
      <c r="A46" s="300" t="s">
        <v>201</v>
      </c>
      <c r="B46" s="257"/>
      <c r="C46" s="227"/>
      <c r="D46" s="228">
        <f>IF(D3&lt;=Inputs!$C$16,D44+D45,"")</f>
        <v>0</v>
      </c>
      <c r="E46" s="228" t="e">
        <f>IF(E3&lt;=Inputs!$C$16,D46+E44+E45,"")</f>
        <v>#DIV/0!</v>
      </c>
      <c r="F46" s="228" t="e">
        <f>IF(F3&lt;=Inputs!$C$16,E46+F44+F45,"")</f>
        <v>#DIV/0!</v>
      </c>
      <c r="G46" s="228" t="e">
        <f>IF(G3&lt;=Inputs!$C$16,F46+G44+G45,"")</f>
        <v>#DIV/0!</v>
      </c>
      <c r="H46" s="228" t="e">
        <f>IF(H3&lt;=Inputs!$C$16,G46+H44+H45,"")</f>
        <v>#DIV/0!</v>
      </c>
      <c r="I46" s="228" t="e">
        <f>IF(I3&lt;=Inputs!$C$16,H46+I44+I45,"")</f>
        <v>#DIV/0!</v>
      </c>
      <c r="J46" s="228" t="e">
        <f>IF(J3&lt;=Inputs!$C$16,I46+J44+J45,"")</f>
        <v>#DIV/0!</v>
      </c>
      <c r="K46" s="228" t="e">
        <f>IF(K3&lt;=Inputs!$C$16,J46+K44+K45,"")</f>
        <v>#DIV/0!</v>
      </c>
      <c r="L46" s="228" t="e">
        <f>IF(L3&lt;=Inputs!$C$16,K46+L44+L45,"")</f>
        <v>#DIV/0!</v>
      </c>
      <c r="M46" s="228" t="e">
        <f>IF(M3&lt;=Inputs!$C$16,L46+M44+M45,"")</f>
        <v>#DIV/0!</v>
      </c>
      <c r="N46" s="228" t="e">
        <f>IF(N3&lt;=Inputs!$C$16,M46+N44+N45,"")</f>
        <v>#DIV/0!</v>
      </c>
      <c r="O46" s="228" t="e">
        <f>IF(O3&lt;=Inputs!$C$16,N46+O44+O45,"")</f>
        <v>#DIV/0!</v>
      </c>
      <c r="P46" s="228" t="e">
        <f>IF(P3&lt;=Inputs!$C$16,O46+P44+P45,"")</f>
        <v>#DIV/0!</v>
      </c>
      <c r="Q46" s="228" t="e">
        <f>IF(Q3&lt;=Inputs!$C$16,P46+Q44+Q45,"")</f>
        <v>#DIV/0!</v>
      </c>
      <c r="R46" s="228" t="e">
        <f>IF(R3&lt;=Inputs!$C$16,Q46+R44+R45,"")</f>
        <v>#DIV/0!</v>
      </c>
      <c r="S46" s="228" t="e">
        <f>IF(S3&lt;=Inputs!$C$16,R46+S44+S45,"")</f>
        <v>#DIV/0!</v>
      </c>
      <c r="T46" s="228" t="e">
        <f>IF(T3&lt;=Inputs!$C$16,S46+T44+T45,"")</f>
        <v>#DIV/0!</v>
      </c>
      <c r="U46" s="228" t="e">
        <f>IF(U3&lt;=Inputs!$C$16,T46+U44+U45,"")</f>
        <v>#DIV/0!</v>
      </c>
      <c r="V46" s="228" t="e">
        <f>IF(V3&lt;=Inputs!$C$16,U46+V44+V45,"")</f>
        <v>#DIV/0!</v>
      </c>
      <c r="W46" s="228" t="e">
        <f>IF(W3&lt;=Inputs!$C$16,V46+W44+W45,"")</f>
        <v>#DIV/0!</v>
      </c>
      <c r="X46" s="228" t="e">
        <f>IF(X3&lt;=Inputs!$C$16,W46+X44+X45,"")</f>
        <v>#DIV/0!</v>
      </c>
      <c r="Y46" s="228" t="e">
        <f>IF(Y3&lt;=Inputs!$C$16,X46+Y44+Y45,"")</f>
        <v>#DIV/0!</v>
      </c>
      <c r="Z46" s="228" t="e">
        <f>IF(Z3&lt;=Inputs!$C$16,Y46+Z44+Z45,"")</f>
        <v>#DIV/0!</v>
      </c>
      <c r="AA46" s="228" t="e">
        <f>IF(AA3&lt;=Inputs!$C$16,Z46+AA44+AA45,"")</f>
        <v>#DIV/0!</v>
      </c>
      <c r="AB46" s="228" t="e">
        <f>IF(AB3&lt;=Inputs!$C$16,AA46+AB44+AB45,"")</f>
        <v>#DIV/0!</v>
      </c>
      <c r="AC46" s="134"/>
      <c r="AD46" s="134"/>
      <c r="AE46" s="134"/>
      <c r="AF46" s="134"/>
      <c r="AG46" s="134"/>
      <c r="AH46" s="134"/>
      <c r="AI46" s="134"/>
      <c r="AJ46" s="134"/>
      <c r="AK46" s="134"/>
      <c r="AL46" s="134"/>
      <c r="AM46" s="134"/>
      <c r="AN46" s="134"/>
      <c r="AO46" s="134"/>
      <c r="AP46" s="134"/>
      <c r="AQ46" s="134"/>
      <c r="AR46" s="134"/>
      <c r="AS46" s="134"/>
      <c r="AT46" s="134"/>
      <c r="AU46" s="134"/>
      <c r="AV46" s="134"/>
      <c r="AW46" s="134"/>
      <c r="AX46" s="134"/>
      <c r="AY46" s="134"/>
      <c r="AZ46" s="134"/>
      <c r="BA46" s="134"/>
      <c r="BB46" s="134"/>
      <c r="BC46" s="134"/>
      <c r="BD46" s="134"/>
      <c r="BE46" s="134"/>
      <c r="BF46" s="134"/>
      <c r="BG46" s="134"/>
      <c r="BH46" s="134"/>
      <c r="BI46" s="134"/>
      <c r="BJ46" s="134"/>
      <c r="BK46" s="134"/>
      <c r="BL46" s="134"/>
      <c r="BM46" s="134"/>
      <c r="BN46" s="134"/>
      <c r="BO46" s="134"/>
      <c r="BP46" s="134"/>
      <c r="BQ46" s="134"/>
      <c r="BR46" s="134"/>
      <c r="BS46" s="134"/>
      <c r="BT46" s="134"/>
      <c r="BU46" s="134"/>
      <c r="BV46" s="134"/>
      <c r="BW46" s="134"/>
      <c r="BX46" s="134"/>
      <c r="BY46" s="134"/>
      <c r="BZ46" s="134"/>
      <c r="CA46" s="134"/>
      <c r="CB46" s="134"/>
      <c r="CC46" s="134"/>
      <c r="CD46" s="134"/>
      <c r="CE46" s="134"/>
      <c r="CF46" s="134"/>
      <c r="CG46" s="134"/>
      <c r="CH46" s="134"/>
      <c r="CI46" s="134"/>
      <c r="CJ46" s="134"/>
      <c r="CK46" s="134"/>
      <c r="CL46" s="134"/>
      <c r="CM46" s="134"/>
      <c r="CN46" s="134"/>
      <c r="CO46" s="134"/>
      <c r="CP46" s="134"/>
      <c r="CQ46" s="134"/>
      <c r="CR46" s="134"/>
      <c r="CS46" s="134"/>
      <c r="CT46" s="134"/>
      <c r="CU46" s="134"/>
      <c r="CV46" s="134"/>
      <c r="CW46" s="134"/>
      <c r="CX46" s="134"/>
      <c r="CY46" s="134"/>
      <c r="CZ46" s="134"/>
      <c r="DA46" s="134"/>
      <c r="DB46" s="134"/>
      <c r="DC46" s="134"/>
      <c r="DD46" s="134"/>
      <c r="DE46" s="134"/>
      <c r="DF46" s="134"/>
      <c r="DG46" s="134"/>
      <c r="DH46" s="134"/>
      <c r="DI46" s="134"/>
      <c r="DJ46" s="134"/>
      <c r="DK46" s="134"/>
      <c r="DL46" s="134"/>
      <c r="DM46" s="134"/>
      <c r="DN46" s="134"/>
      <c r="DO46" s="134"/>
      <c r="DP46" s="134"/>
      <c r="DQ46" s="134"/>
      <c r="DR46" s="134"/>
      <c r="DS46" s="134"/>
      <c r="DT46" s="134"/>
      <c r="DU46" s="134"/>
      <c r="DV46" s="134"/>
      <c r="DW46" s="134"/>
      <c r="DX46" s="134"/>
      <c r="DY46" s="134"/>
      <c r="DZ46" s="134"/>
      <c r="EA46" s="134"/>
      <c r="EB46" s="134"/>
    </row>
    <row r="48" spans="1:132" s="38" customFormat="1" x14ac:dyDescent="0.3">
      <c r="A48" s="34"/>
      <c r="C48" s="132" t="s">
        <v>152</v>
      </c>
      <c r="D48" s="133">
        <v>1</v>
      </c>
      <c r="E48" s="133">
        <f>D48+1</f>
        <v>2</v>
      </c>
      <c r="F48" s="133">
        <f t="shared" ref="F48" si="28">E48+1</f>
        <v>3</v>
      </c>
      <c r="G48" s="133">
        <f t="shared" ref="G48" si="29">F48+1</f>
        <v>4</v>
      </c>
      <c r="H48" s="133">
        <f t="shared" ref="H48" si="30">G48+1</f>
        <v>5</v>
      </c>
      <c r="I48" s="133">
        <f t="shared" ref="I48" si="31">H48+1</f>
        <v>6</v>
      </c>
      <c r="J48" s="133">
        <f t="shared" ref="J48" si="32">I48+1</f>
        <v>7</v>
      </c>
      <c r="K48" s="133">
        <f t="shared" ref="K48" si="33">J48+1</f>
        <v>8</v>
      </c>
      <c r="L48" s="133">
        <f t="shared" ref="L48" si="34">K48+1</f>
        <v>9</v>
      </c>
      <c r="M48" s="133">
        <f t="shared" ref="M48" si="35">L48+1</f>
        <v>10</v>
      </c>
      <c r="N48" s="133">
        <f t="shared" ref="N48" si="36">M48+1</f>
        <v>11</v>
      </c>
      <c r="O48" s="133">
        <f t="shared" ref="O48" si="37">N48+1</f>
        <v>12</v>
      </c>
      <c r="P48" s="133">
        <f t="shared" ref="P48" si="38">O48+1</f>
        <v>13</v>
      </c>
      <c r="Q48" s="133">
        <f t="shared" ref="Q48" si="39">P48+1</f>
        <v>14</v>
      </c>
      <c r="R48" s="133">
        <f t="shared" ref="R48" si="40">Q48+1</f>
        <v>15</v>
      </c>
      <c r="S48" s="133">
        <f t="shared" ref="S48" si="41">R48+1</f>
        <v>16</v>
      </c>
      <c r="T48" s="133">
        <f t="shared" ref="T48" si="42">S48+1</f>
        <v>17</v>
      </c>
      <c r="U48" s="133">
        <f t="shared" ref="U48" si="43">T48+1</f>
        <v>18</v>
      </c>
      <c r="V48" s="133">
        <f t="shared" ref="V48" si="44">U48+1</f>
        <v>19</v>
      </c>
      <c r="W48" s="133">
        <f t="shared" ref="W48" si="45">V48+1</f>
        <v>20</v>
      </c>
      <c r="X48" s="133">
        <f t="shared" ref="X48" si="46">W48+1</f>
        <v>21</v>
      </c>
      <c r="Y48" s="133">
        <f t="shared" ref="Y48" si="47">X48+1</f>
        <v>22</v>
      </c>
      <c r="Z48" s="133">
        <f t="shared" ref="Z48" si="48">Y48+1</f>
        <v>23</v>
      </c>
      <c r="AA48" s="133">
        <f t="shared" ref="AA48" si="49">Z48+1</f>
        <v>24</v>
      </c>
      <c r="AB48" s="133">
        <f t="shared" ref="AB48" si="50">AA48+1</f>
        <v>25</v>
      </c>
      <c r="AC48" s="134"/>
      <c r="AD48" s="134"/>
      <c r="AE48" s="134"/>
      <c r="AF48" s="134"/>
      <c r="AG48" s="134"/>
      <c r="AH48" s="134"/>
      <c r="AI48" s="134"/>
      <c r="AJ48" s="134"/>
      <c r="AK48" s="134"/>
      <c r="AL48" s="134"/>
      <c r="AM48" s="134"/>
      <c r="AN48" s="134"/>
      <c r="AO48" s="134"/>
      <c r="AP48" s="134"/>
      <c r="AQ48" s="134"/>
      <c r="AR48" s="134"/>
      <c r="AS48" s="134"/>
      <c r="AT48" s="134"/>
      <c r="AU48" s="134"/>
      <c r="AV48" s="134"/>
      <c r="AW48" s="134"/>
      <c r="AX48" s="134"/>
      <c r="AY48" s="134"/>
      <c r="AZ48" s="134"/>
      <c r="BA48" s="134"/>
      <c r="BB48" s="134"/>
      <c r="BC48" s="134"/>
      <c r="BD48" s="134"/>
      <c r="BE48" s="134"/>
      <c r="BF48" s="134"/>
      <c r="BG48" s="134"/>
      <c r="BH48" s="134"/>
      <c r="BI48" s="134"/>
      <c r="BJ48" s="134"/>
      <c r="BK48" s="134"/>
      <c r="BL48" s="134"/>
      <c r="BM48" s="134"/>
      <c r="BN48" s="134"/>
      <c r="BO48" s="134"/>
      <c r="BP48" s="134"/>
      <c r="BQ48" s="134"/>
      <c r="BR48" s="134"/>
      <c r="BS48" s="134"/>
      <c r="BT48" s="134"/>
      <c r="BU48" s="134"/>
      <c r="BV48" s="134"/>
      <c r="BW48" s="134"/>
      <c r="BX48" s="134"/>
      <c r="BY48" s="134"/>
      <c r="BZ48" s="134"/>
      <c r="CA48" s="134"/>
      <c r="CB48" s="134"/>
      <c r="CC48" s="134"/>
      <c r="CD48" s="134"/>
      <c r="CE48" s="134"/>
      <c r="CF48" s="134"/>
      <c r="CG48" s="134"/>
      <c r="CH48" s="134"/>
      <c r="CI48" s="134"/>
      <c r="CJ48" s="134"/>
      <c r="CK48" s="134"/>
      <c r="CL48" s="134"/>
      <c r="CM48" s="134"/>
      <c r="CN48" s="134"/>
      <c r="CO48" s="134"/>
      <c r="CP48" s="134"/>
      <c r="CQ48" s="134"/>
      <c r="CR48" s="134"/>
      <c r="CS48" s="134"/>
      <c r="CT48" s="134"/>
      <c r="CU48" s="134"/>
      <c r="CV48" s="134"/>
      <c r="CW48" s="134"/>
      <c r="CX48" s="134"/>
      <c r="CY48" s="134"/>
      <c r="CZ48" s="134"/>
      <c r="DA48" s="134"/>
      <c r="DB48" s="134"/>
      <c r="DC48" s="134"/>
      <c r="DD48" s="134"/>
      <c r="DE48" s="134"/>
      <c r="DF48" s="134"/>
      <c r="DG48" s="134"/>
      <c r="DH48" s="134"/>
      <c r="DI48" s="134"/>
      <c r="DJ48" s="134"/>
      <c r="DK48" s="134"/>
      <c r="DL48" s="134"/>
      <c r="DM48" s="134"/>
      <c r="DN48" s="134"/>
      <c r="DO48" s="134"/>
      <c r="DP48" s="134"/>
      <c r="DQ48" s="134"/>
      <c r="DR48" s="134"/>
      <c r="DS48" s="134"/>
      <c r="DT48" s="134"/>
      <c r="DU48" s="134"/>
      <c r="DV48" s="134"/>
      <c r="DW48" s="134"/>
      <c r="DX48" s="134"/>
      <c r="DY48" s="134"/>
      <c r="DZ48" s="134"/>
      <c r="EA48" s="134"/>
      <c r="EB48" s="134"/>
    </row>
    <row r="49" spans="1:171" x14ac:dyDescent="0.3">
      <c r="A49" s="255" t="s">
        <v>406</v>
      </c>
      <c r="B49" s="21" t="s">
        <v>251</v>
      </c>
    </row>
    <row r="50" spans="1:171" s="38" customFormat="1" ht="13.8" x14ac:dyDescent="0.3">
      <c r="A50" s="301" t="s">
        <v>280</v>
      </c>
      <c r="B50" s="302"/>
      <c r="C50" s="212"/>
      <c r="D50" s="212" t="e">
        <f>D27+D29</f>
        <v>#DIV/0!</v>
      </c>
      <c r="E50" s="212" t="e">
        <f t="shared" ref="E50:AB50" si="51">E27+E29</f>
        <v>#DIV/0!</v>
      </c>
      <c r="F50" s="212" t="e">
        <f t="shared" si="51"/>
        <v>#DIV/0!</v>
      </c>
      <c r="G50" s="212" t="e">
        <f t="shared" si="51"/>
        <v>#DIV/0!</v>
      </c>
      <c r="H50" s="212" t="e">
        <f t="shared" si="51"/>
        <v>#DIV/0!</v>
      </c>
      <c r="I50" s="212" t="e">
        <f t="shared" si="51"/>
        <v>#DIV/0!</v>
      </c>
      <c r="J50" s="212" t="e">
        <f t="shared" si="51"/>
        <v>#DIV/0!</v>
      </c>
      <c r="K50" s="212" t="e">
        <f t="shared" si="51"/>
        <v>#DIV/0!</v>
      </c>
      <c r="L50" s="212" t="e">
        <f t="shared" si="51"/>
        <v>#DIV/0!</v>
      </c>
      <c r="M50" s="212" t="e">
        <f t="shared" si="51"/>
        <v>#DIV/0!</v>
      </c>
      <c r="N50" s="212" t="e">
        <f>N27+N29</f>
        <v>#DIV/0!</v>
      </c>
      <c r="O50" s="212" t="e">
        <f t="shared" si="51"/>
        <v>#DIV/0!</v>
      </c>
      <c r="P50" s="212" t="e">
        <f t="shared" si="51"/>
        <v>#DIV/0!</v>
      </c>
      <c r="Q50" s="212" t="e">
        <f t="shared" si="51"/>
        <v>#DIV/0!</v>
      </c>
      <c r="R50" s="212" t="e">
        <f t="shared" si="51"/>
        <v>#DIV/0!</v>
      </c>
      <c r="S50" s="212" t="e">
        <f t="shared" si="51"/>
        <v>#DIV/0!</v>
      </c>
      <c r="T50" s="212" t="e">
        <f t="shared" si="51"/>
        <v>#DIV/0!</v>
      </c>
      <c r="U50" s="212" t="e">
        <f t="shared" si="51"/>
        <v>#DIV/0!</v>
      </c>
      <c r="V50" s="212" t="e">
        <f>V27+V29</f>
        <v>#DIV/0!</v>
      </c>
      <c r="W50" s="212" t="e">
        <f t="shared" si="51"/>
        <v>#DIV/0!</v>
      </c>
      <c r="X50" s="212" t="e">
        <f t="shared" si="51"/>
        <v>#DIV/0!</v>
      </c>
      <c r="Y50" s="212" t="e">
        <f t="shared" si="51"/>
        <v>#DIV/0!</v>
      </c>
      <c r="Z50" s="212" t="e">
        <f t="shared" si="51"/>
        <v>#DIV/0!</v>
      </c>
      <c r="AA50" s="212" t="e">
        <f t="shared" si="51"/>
        <v>#DIV/0!</v>
      </c>
      <c r="AB50" s="212" t="e">
        <f t="shared" si="51"/>
        <v>#DIV/0!</v>
      </c>
      <c r="AC50" s="134"/>
      <c r="AD50" s="134"/>
      <c r="AE50" s="134"/>
      <c r="AF50" s="134"/>
      <c r="AG50" s="134"/>
      <c r="AH50" s="134"/>
      <c r="AI50" s="134"/>
      <c r="AJ50" s="134"/>
      <c r="AK50" s="134"/>
      <c r="AL50" s="134"/>
      <c r="AM50" s="134"/>
      <c r="AN50" s="134"/>
      <c r="AO50" s="134"/>
      <c r="AP50" s="134"/>
      <c r="AQ50" s="134"/>
      <c r="AR50" s="134"/>
      <c r="AS50" s="134"/>
      <c r="AT50" s="134"/>
      <c r="AU50" s="134"/>
      <c r="AV50" s="134"/>
      <c r="AW50" s="134"/>
      <c r="AX50" s="134"/>
      <c r="AY50" s="134"/>
      <c r="AZ50" s="134"/>
      <c r="BA50" s="134"/>
      <c r="BB50" s="134"/>
      <c r="BC50" s="134"/>
      <c r="BD50" s="134"/>
      <c r="BE50" s="134"/>
      <c r="BF50" s="134"/>
      <c r="BG50" s="134"/>
      <c r="BH50" s="134"/>
      <c r="BI50" s="134"/>
      <c r="BJ50" s="134"/>
      <c r="BK50" s="134"/>
      <c r="BL50" s="134"/>
      <c r="BM50" s="134"/>
      <c r="BN50" s="134"/>
      <c r="BO50" s="134"/>
      <c r="BP50" s="134"/>
      <c r="BQ50" s="134"/>
      <c r="BR50" s="134"/>
      <c r="BS50" s="134"/>
      <c r="BT50" s="134"/>
      <c r="BU50" s="134"/>
      <c r="BV50" s="134"/>
      <c r="BW50" s="134"/>
      <c r="BX50" s="134"/>
      <c r="BY50" s="134"/>
      <c r="BZ50" s="134"/>
      <c r="CA50" s="134"/>
      <c r="CB50" s="134"/>
      <c r="CC50" s="134"/>
      <c r="CD50" s="134"/>
      <c r="CE50" s="134"/>
      <c r="CF50" s="134"/>
      <c r="CG50" s="134"/>
      <c r="CH50" s="134"/>
      <c r="CI50" s="134"/>
      <c r="CJ50" s="134"/>
      <c r="CK50" s="134"/>
      <c r="CL50" s="134"/>
      <c r="CM50" s="134"/>
      <c r="CN50" s="134"/>
      <c r="CO50" s="134"/>
      <c r="CP50" s="134"/>
      <c r="CQ50" s="134"/>
      <c r="CR50" s="134"/>
      <c r="CS50" s="134"/>
      <c r="CT50" s="134"/>
      <c r="CU50" s="134"/>
      <c r="CV50" s="134"/>
      <c r="CW50" s="134"/>
      <c r="CX50" s="134"/>
      <c r="CY50" s="134"/>
      <c r="CZ50" s="134"/>
      <c r="DA50" s="134"/>
      <c r="DB50" s="134"/>
      <c r="DC50" s="134"/>
      <c r="DD50" s="134"/>
      <c r="DE50" s="134"/>
      <c r="DF50" s="134"/>
      <c r="DG50" s="134"/>
      <c r="DH50" s="134"/>
      <c r="DI50" s="134"/>
      <c r="DJ50" s="134"/>
      <c r="DK50" s="134"/>
      <c r="DL50" s="134"/>
      <c r="DM50" s="134"/>
      <c r="DN50" s="134"/>
      <c r="DO50" s="134"/>
      <c r="DP50" s="134"/>
      <c r="DQ50" s="134"/>
      <c r="DR50" s="134"/>
      <c r="DS50" s="134"/>
      <c r="DT50" s="134"/>
      <c r="DU50" s="134"/>
      <c r="DV50" s="134"/>
      <c r="DW50" s="134"/>
      <c r="DX50" s="134"/>
      <c r="DY50" s="134"/>
      <c r="DZ50" s="134"/>
      <c r="EA50" s="134"/>
      <c r="EB50" s="134"/>
      <c r="EC50" s="134"/>
      <c r="ED50" s="134"/>
      <c r="EE50" s="134"/>
      <c r="EF50" s="134"/>
      <c r="EG50" s="134"/>
      <c r="EH50" s="134"/>
      <c r="EI50" s="134"/>
      <c r="EJ50" s="134"/>
      <c r="EK50" s="134"/>
      <c r="EL50" s="134"/>
      <c r="EM50" s="134"/>
      <c r="EN50" s="134"/>
      <c r="EO50" s="134"/>
      <c r="EP50" s="134"/>
      <c r="EQ50" s="134"/>
      <c r="ER50" s="134"/>
      <c r="ES50" s="134"/>
      <c r="ET50" s="134"/>
      <c r="EU50" s="134"/>
      <c r="EV50" s="134"/>
      <c r="EW50" s="134"/>
      <c r="EX50" s="134"/>
      <c r="EY50" s="134"/>
      <c r="EZ50" s="134"/>
      <c r="FA50" s="134"/>
      <c r="FB50" s="134"/>
      <c r="FC50" s="134"/>
      <c r="FD50" s="134"/>
      <c r="FE50" s="134"/>
      <c r="FF50" s="134"/>
      <c r="FG50" s="134"/>
      <c r="FH50" s="134"/>
      <c r="FI50" s="134"/>
      <c r="FJ50" s="134"/>
      <c r="FK50" s="134"/>
      <c r="FL50" s="134"/>
      <c r="FM50" s="134"/>
      <c r="FN50" s="134"/>
      <c r="FO50" s="134"/>
    </row>
    <row r="51" spans="1:171" s="38" customFormat="1" ht="13.8" x14ac:dyDescent="0.3">
      <c r="A51" s="301" t="s">
        <v>279</v>
      </c>
      <c r="B51" s="303"/>
      <c r="C51" s="10"/>
      <c r="D51" s="10">
        <f>D46</f>
        <v>0</v>
      </c>
      <c r="E51" s="10" t="e">
        <f t="shared" ref="E51:AB51" si="52">E46</f>
        <v>#DIV/0!</v>
      </c>
      <c r="F51" s="10" t="e">
        <f t="shared" si="52"/>
        <v>#DIV/0!</v>
      </c>
      <c r="G51" s="10" t="e">
        <f t="shared" si="52"/>
        <v>#DIV/0!</v>
      </c>
      <c r="H51" s="10" t="e">
        <f t="shared" si="52"/>
        <v>#DIV/0!</v>
      </c>
      <c r="I51" s="10" t="e">
        <f t="shared" si="52"/>
        <v>#DIV/0!</v>
      </c>
      <c r="J51" s="10" t="e">
        <f t="shared" si="52"/>
        <v>#DIV/0!</v>
      </c>
      <c r="K51" s="10" t="e">
        <f t="shared" si="52"/>
        <v>#DIV/0!</v>
      </c>
      <c r="L51" s="10" t="e">
        <f t="shared" si="52"/>
        <v>#DIV/0!</v>
      </c>
      <c r="M51" s="10" t="e">
        <f t="shared" si="52"/>
        <v>#DIV/0!</v>
      </c>
      <c r="N51" s="10" t="e">
        <f t="shared" si="52"/>
        <v>#DIV/0!</v>
      </c>
      <c r="O51" s="10" t="e">
        <f t="shared" si="52"/>
        <v>#DIV/0!</v>
      </c>
      <c r="P51" s="10" t="e">
        <f t="shared" si="52"/>
        <v>#DIV/0!</v>
      </c>
      <c r="Q51" s="10" t="e">
        <f t="shared" si="52"/>
        <v>#DIV/0!</v>
      </c>
      <c r="R51" s="10" t="e">
        <f t="shared" si="52"/>
        <v>#DIV/0!</v>
      </c>
      <c r="S51" s="10" t="e">
        <f t="shared" si="52"/>
        <v>#DIV/0!</v>
      </c>
      <c r="T51" s="10" t="e">
        <f t="shared" si="52"/>
        <v>#DIV/0!</v>
      </c>
      <c r="U51" s="10" t="e">
        <f t="shared" si="52"/>
        <v>#DIV/0!</v>
      </c>
      <c r="V51" s="10" t="e">
        <f t="shared" si="52"/>
        <v>#DIV/0!</v>
      </c>
      <c r="W51" s="10" t="e">
        <f t="shared" si="52"/>
        <v>#DIV/0!</v>
      </c>
      <c r="X51" s="10" t="e">
        <f t="shared" si="52"/>
        <v>#DIV/0!</v>
      </c>
      <c r="Y51" s="10" t="e">
        <f t="shared" si="52"/>
        <v>#DIV/0!</v>
      </c>
      <c r="Z51" s="10" t="e">
        <f t="shared" si="52"/>
        <v>#DIV/0!</v>
      </c>
      <c r="AA51" s="10" t="e">
        <f t="shared" si="52"/>
        <v>#DIV/0!</v>
      </c>
      <c r="AB51" s="10" t="e">
        <f t="shared" si="52"/>
        <v>#DIV/0!</v>
      </c>
      <c r="AC51" s="134"/>
      <c r="AD51" s="134"/>
      <c r="AE51" s="134"/>
      <c r="AF51" s="134"/>
      <c r="AG51" s="134"/>
      <c r="AH51" s="134"/>
      <c r="AI51" s="134"/>
      <c r="AJ51" s="134"/>
      <c r="AK51" s="134"/>
      <c r="AL51" s="134"/>
      <c r="AM51" s="134"/>
      <c r="AN51" s="134"/>
      <c r="AO51" s="134"/>
      <c r="AP51" s="134"/>
      <c r="AQ51" s="134"/>
      <c r="AR51" s="134"/>
      <c r="AS51" s="134"/>
      <c r="AT51" s="134"/>
      <c r="AU51" s="134"/>
      <c r="AV51" s="134"/>
      <c r="AW51" s="134"/>
      <c r="AX51" s="134"/>
      <c r="AY51" s="134"/>
      <c r="AZ51" s="134"/>
      <c r="BA51" s="134"/>
      <c r="BB51" s="134"/>
      <c r="BC51" s="134"/>
      <c r="BD51" s="134"/>
      <c r="BE51" s="134"/>
      <c r="BF51" s="134"/>
      <c r="BG51" s="134"/>
      <c r="BH51" s="134"/>
      <c r="BI51" s="134"/>
      <c r="BJ51" s="134"/>
      <c r="BK51" s="134"/>
      <c r="BL51" s="134"/>
      <c r="BM51" s="134"/>
      <c r="BN51" s="134"/>
      <c r="BO51" s="134"/>
      <c r="BP51" s="134"/>
      <c r="BQ51" s="134"/>
      <c r="BR51" s="134"/>
      <c r="BS51" s="134"/>
      <c r="BT51" s="134"/>
      <c r="BU51" s="134"/>
      <c r="BV51" s="134"/>
      <c r="BW51" s="134"/>
      <c r="BX51" s="134"/>
      <c r="BY51" s="134"/>
      <c r="BZ51" s="134"/>
      <c r="CA51" s="134"/>
      <c r="CB51" s="134"/>
      <c r="CC51" s="134"/>
      <c r="CD51" s="134"/>
      <c r="CE51" s="134"/>
      <c r="CF51" s="134"/>
      <c r="CG51" s="134"/>
      <c r="CH51" s="134"/>
      <c r="CI51" s="134"/>
      <c r="CJ51" s="134"/>
      <c r="CK51" s="134"/>
      <c r="CL51" s="134"/>
      <c r="CM51" s="134"/>
      <c r="CN51" s="134"/>
      <c r="CO51" s="134"/>
      <c r="CP51" s="134"/>
      <c r="CQ51" s="134"/>
      <c r="CR51" s="134"/>
      <c r="CS51" s="134"/>
      <c r="CT51" s="134"/>
      <c r="CU51" s="134"/>
      <c r="CV51" s="134"/>
      <c r="CW51" s="134"/>
      <c r="CX51" s="134"/>
      <c r="CY51" s="134"/>
      <c r="CZ51" s="134"/>
      <c r="DA51" s="134"/>
      <c r="DB51" s="134"/>
      <c r="DC51" s="134"/>
      <c r="DD51" s="134"/>
      <c r="DE51" s="134"/>
      <c r="DF51" s="134"/>
      <c r="DG51" s="134"/>
      <c r="DH51" s="134"/>
      <c r="DI51" s="134"/>
      <c r="DJ51" s="134"/>
      <c r="DK51" s="134"/>
      <c r="DL51" s="134"/>
      <c r="DM51" s="134"/>
      <c r="DN51" s="134"/>
      <c r="DO51" s="134"/>
      <c r="DP51" s="134"/>
      <c r="DQ51" s="134"/>
      <c r="DR51" s="134"/>
      <c r="DS51" s="134"/>
      <c r="DT51" s="134"/>
      <c r="DU51" s="134"/>
      <c r="DV51" s="134"/>
      <c r="DW51" s="134"/>
      <c r="DX51" s="134"/>
      <c r="DY51" s="134"/>
      <c r="DZ51" s="134"/>
      <c r="EA51" s="134"/>
      <c r="EB51" s="134"/>
      <c r="EC51" s="134"/>
      <c r="ED51" s="134"/>
      <c r="EE51" s="134"/>
      <c r="EF51" s="134"/>
      <c r="EG51" s="134"/>
      <c r="EH51" s="134"/>
      <c r="EI51" s="134"/>
      <c r="EJ51" s="134"/>
      <c r="EK51" s="134"/>
      <c r="EL51" s="134"/>
      <c r="EM51" s="134"/>
      <c r="EN51" s="134"/>
      <c r="EO51" s="134"/>
      <c r="EP51" s="134"/>
      <c r="EQ51" s="134"/>
      <c r="ER51" s="134"/>
      <c r="ES51" s="134"/>
      <c r="ET51" s="134"/>
      <c r="EU51" s="134"/>
      <c r="EV51" s="134"/>
      <c r="EW51" s="134"/>
      <c r="EX51" s="134"/>
      <c r="EY51" s="134"/>
      <c r="EZ51" s="134"/>
      <c r="FA51" s="134"/>
      <c r="FB51" s="134"/>
      <c r="FC51" s="134"/>
      <c r="FD51" s="134"/>
      <c r="FE51" s="134"/>
      <c r="FF51" s="134"/>
      <c r="FG51" s="134"/>
      <c r="FH51" s="134"/>
      <c r="FI51" s="134"/>
      <c r="FJ51" s="134"/>
      <c r="FK51" s="134"/>
      <c r="FL51" s="134"/>
      <c r="FM51" s="134"/>
      <c r="FN51" s="134"/>
      <c r="FO51" s="134"/>
    </row>
    <row r="52" spans="1:171" s="38" customFormat="1" ht="13.8" x14ac:dyDescent="0.3">
      <c r="AC52" s="134"/>
      <c r="AD52" s="134"/>
      <c r="AE52" s="134"/>
      <c r="AF52" s="134"/>
      <c r="AG52" s="134"/>
      <c r="AH52" s="134"/>
      <c r="AI52" s="134"/>
      <c r="AJ52" s="134"/>
      <c r="AK52" s="134"/>
      <c r="AL52" s="134"/>
      <c r="AM52" s="134"/>
      <c r="AN52" s="134"/>
      <c r="AO52" s="134"/>
      <c r="AP52" s="134"/>
      <c r="AQ52" s="134"/>
      <c r="AR52" s="134"/>
      <c r="AS52" s="134"/>
      <c r="AT52" s="134"/>
      <c r="AU52" s="134"/>
      <c r="AV52" s="134"/>
      <c r="AW52" s="134"/>
      <c r="AX52" s="134"/>
      <c r="AY52" s="134"/>
      <c r="AZ52" s="134"/>
      <c r="BA52" s="134"/>
      <c r="BB52" s="134"/>
      <c r="BC52" s="134"/>
      <c r="BD52" s="134"/>
      <c r="BE52" s="134"/>
      <c r="BF52" s="134"/>
      <c r="BG52" s="134"/>
      <c r="BH52" s="134"/>
      <c r="BI52" s="134"/>
      <c r="BJ52" s="134"/>
      <c r="BK52" s="134"/>
      <c r="BL52" s="134"/>
      <c r="BM52" s="134"/>
      <c r="BN52" s="134"/>
      <c r="BO52" s="134"/>
      <c r="BP52" s="134"/>
      <c r="BQ52" s="134"/>
      <c r="BR52" s="134"/>
      <c r="BS52" s="134"/>
      <c r="BT52" s="134"/>
      <c r="BU52" s="134"/>
      <c r="BV52" s="134"/>
      <c r="BW52" s="134"/>
      <c r="BX52" s="134"/>
      <c r="BY52" s="134"/>
      <c r="BZ52" s="134"/>
      <c r="CA52" s="134"/>
      <c r="CB52" s="134"/>
      <c r="CC52" s="134"/>
      <c r="CD52" s="134"/>
      <c r="CE52" s="134"/>
      <c r="CF52" s="134"/>
      <c r="CG52" s="134"/>
      <c r="CH52" s="134"/>
      <c r="CI52" s="134"/>
      <c r="CJ52" s="134"/>
      <c r="CK52" s="134"/>
      <c r="CL52" s="134"/>
      <c r="CM52" s="134"/>
      <c r="CN52" s="134"/>
      <c r="CO52" s="134"/>
      <c r="CP52" s="134"/>
      <c r="CQ52" s="134"/>
      <c r="CR52" s="134"/>
      <c r="CS52" s="134"/>
      <c r="CT52" s="134"/>
      <c r="CU52" s="134"/>
      <c r="CV52" s="134"/>
      <c r="CW52" s="134"/>
      <c r="CX52" s="134"/>
      <c r="CY52" s="134"/>
      <c r="CZ52" s="134"/>
      <c r="DA52" s="134"/>
      <c r="DB52" s="134"/>
      <c r="DC52" s="134"/>
      <c r="DD52" s="134"/>
      <c r="DE52" s="134"/>
      <c r="DF52" s="134"/>
      <c r="DG52" s="134"/>
      <c r="DH52" s="134"/>
      <c r="DI52" s="134"/>
      <c r="DJ52" s="134"/>
      <c r="DK52" s="134"/>
      <c r="DL52" s="134"/>
      <c r="DM52" s="134"/>
      <c r="DN52" s="134"/>
      <c r="DO52" s="134"/>
      <c r="DP52" s="134"/>
      <c r="DQ52" s="134"/>
      <c r="DR52" s="134"/>
      <c r="DS52" s="134"/>
      <c r="DT52" s="134"/>
      <c r="DU52" s="134"/>
      <c r="DV52" s="134"/>
      <c r="DW52" s="134"/>
      <c r="DX52" s="134"/>
      <c r="DY52" s="134"/>
      <c r="DZ52" s="134"/>
      <c r="EA52" s="134"/>
      <c r="EB52" s="134"/>
      <c r="EC52" s="134"/>
      <c r="ED52" s="134"/>
      <c r="EE52" s="134"/>
      <c r="EF52" s="134"/>
      <c r="EG52" s="134"/>
      <c r="EH52" s="134"/>
      <c r="EI52" s="134"/>
      <c r="EJ52" s="134"/>
      <c r="EK52" s="134"/>
      <c r="EL52" s="134"/>
      <c r="EM52" s="134"/>
      <c r="EN52" s="134"/>
      <c r="EO52" s="134"/>
      <c r="EP52" s="134"/>
      <c r="EQ52" s="134"/>
      <c r="ER52" s="134"/>
      <c r="ES52" s="134"/>
      <c r="ET52" s="134"/>
      <c r="EU52" s="134"/>
      <c r="EV52" s="134"/>
      <c r="EW52" s="134"/>
      <c r="EX52" s="134"/>
      <c r="EY52" s="134"/>
      <c r="EZ52" s="134"/>
      <c r="FA52" s="134"/>
      <c r="FB52" s="134"/>
      <c r="FC52" s="134"/>
      <c r="FD52" s="134"/>
      <c r="FE52" s="134"/>
      <c r="FF52" s="134"/>
      <c r="FG52" s="134"/>
      <c r="FH52" s="134"/>
      <c r="FI52" s="134"/>
      <c r="FJ52" s="134"/>
      <c r="FK52" s="134"/>
      <c r="FL52" s="134"/>
      <c r="FM52" s="134"/>
      <c r="FN52" s="134"/>
      <c r="FO52" s="134"/>
    </row>
    <row r="53" spans="1:171" s="153" customFormat="1" x14ac:dyDescent="0.3">
      <c r="A53" s="304" t="s">
        <v>278</v>
      </c>
      <c r="B53" s="305" t="str">
        <f>Inputs!C20</f>
        <v>US$</v>
      </c>
      <c r="C53" s="127"/>
      <c r="D53" s="127" t="e">
        <f t="shared" ref="D53:AB53" si="53">SUM(D50:D52)</f>
        <v>#DIV/0!</v>
      </c>
      <c r="E53" s="127" t="e">
        <f t="shared" si="53"/>
        <v>#DIV/0!</v>
      </c>
      <c r="F53" s="127" t="e">
        <f t="shared" si="53"/>
        <v>#DIV/0!</v>
      </c>
      <c r="G53" s="127" t="e">
        <f t="shared" si="53"/>
        <v>#DIV/0!</v>
      </c>
      <c r="H53" s="127" t="e">
        <f t="shared" si="53"/>
        <v>#DIV/0!</v>
      </c>
      <c r="I53" s="127" t="e">
        <f t="shared" si="53"/>
        <v>#DIV/0!</v>
      </c>
      <c r="J53" s="127" t="e">
        <f t="shared" si="53"/>
        <v>#DIV/0!</v>
      </c>
      <c r="K53" s="127" t="e">
        <f t="shared" si="53"/>
        <v>#DIV/0!</v>
      </c>
      <c r="L53" s="127" t="e">
        <f t="shared" si="53"/>
        <v>#DIV/0!</v>
      </c>
      <c r="M53" s="127" t="e">
        <f t="shared" si="53"/>
        <v>#DIV/0!</v>
      </c>
      <c r="N53" s="127" t="e">
        <f t="shared" si="53"/>
        <v>#DIV/0!</v>
      </c>
      <c r="O53" s="127" t="e">
        <f t="shared" si="53"/>
        <v>#DIV/0!</v>
      </c>
      <c r="P53" s="127" t="e">
        <f t="shared" si="53"/>
        <v>#DIV/0!</v>
      </c>
      <c r="Q53" s="127" t="e">
        <f t="shared" si="53"/>
        <v>#DIV/0!</v>
      </c>
      <c r="R53" s="127" t="e">
        <f t="shared" si="53"/>
        <v>#DIV/0!</v>
      </c>
      <c r="S53" s="127" t="e">
        <f t="shared" si="53"/>
        <v>#DIV/0!</v>
      </c>
      <c r="T53" s="127" t="e">
        <f t="shared" si="53"/>
        <v>#DIV/0!</v>
      </c>
      <c r="U53" s="127" t="e">
        <f t="shared" si="53"/>
        <v>#DIV/0!</v>
      </c>
      <c r="V53" s="127" t="e">
        <f t="shared" si="53"/>
        <v>#DIV/0!</v>
      </c>
      <c r="W53" s="127" t="e">
        <f t="shared" si="53"/>
        <v>#DIV/0!</v>
      </c>
      <c r="X53" s="127" t="e">
        <f t="shared" si="53"/>
        <v>#DIV/0!</v>
      </c>
      <c r="Y53" s="127" t="e">
        <f t="shared" si="53"/>
        <v>#DIV/0!</v>
      </c>
      <c r="Z53" s="127" t="e">
        <f t="shared" si="53"/>
        <v>#DIV/0!</v>
      </c>
      <c r="AA53" s="127" t="e">
        <f t="shared" si="53"/>
        <v>#DIV/0!</v>
      </c>
      <c r="AB53" s="127" t="e">
        <f t="shared" si="53"/>
        <v>#DIV/0!</v>
      </c>
      <c r="AC53" s="295"/>
      <c r="AD53" s="295"/>
      <c r="AE53" s="295"/>
      <c r="AF53" s="295"/>
      <c r="AG53" s="295"/>
      <c r="AH53" s="295"/>
      <c r="AI53" s="295"/>
      <c r="AJ53" s="295"/>
      <c r="AK53" s="295"/>
      <c r="AL53" s="295"/>
      <c r="AM53" s="295"/>
      <c r="AN53" s="295"/>
      <c r="AO53" s="295"/>
      <c r="AP53" s="295"/>
      <c r="AQ53" s="295"/>
      <c r="AR53" s="295"/>
      <c r="AS53" s="295"/>
      <c r="AT53" s="295"/>
      <c r="AU53" s="295"/>
      <c r="AV53" s="295"/>
      <c r="AW53" s="295"/>
      <c r="AX53" s="295"/>
      <c r="AY53" s="295"/>
      <c r="AZ53" s="295"/>
      <c r="BA53" s="295"/>
      <c r="BB53" s="295"/>
      <c r="BC53" s="295"/>
      <c r="BD53" s="295"/>
      <c r="BE53" s="295"/>
      <c r="BF53" s="295"/>
      <c r="BG53" s="295"/>
      <c r="BH53" s="295"/>
      <c r="BI53" s="295"/>
      <c r="BJ53" s="295"/>
      <c r="BK53" s="295"/>
      <c r="BL53" s="295"/>
      <c r="BM53" s="295"/>
      <c r="BN53" s="295"/>
      <c r="BO53" s="295"/>
      <c r="BP53" s="295"/>
      <c r="BQ53" s="295"/>
      <c r="BR53" s="295"/>
      <c r="BS53" s="295"/>
      <c r="BT53" s="295"/>
      <c r="BU53" s="295"/>
      <c r="BV53" s="295"/>
      <c r="BW53" s="295"/>
      <c r="BX53" s="295"/>
      <c r="BY53" s="295"/>
      <c r="BZ53" s="295"/>
      <c r="CA53" s="295"/>
      <c r="CB53" s="295"/>
      <c r="CC53" s="295"/>
      <c r="CD53" s="295"/>
      <c r="CE53" s="295"/>
      <c r="CF53" s="295"/>
      <c r="CG53" s="295"/>
      <c r="CH53" s="295"/>
      <c r="CI53" s="295"/>
      <c r="CJ53" s="295"/>
      <c r="CK53" s="295"/>
      <c r="CL53" s="295"/>
      <c r="CM53" s="295"/>
      <c r="CN53" s="295"/>
      <c r="CO53" s="295"/>
      <c r="CP53" s="295"/>
      <c r="CQ53" s="295"/>
      <c r="CR53" s="295"/>
      <c r="CS53" s="295"/>
      <c r="CT53" s="295"/>
      <c r="CU53" s="295"/>
      <c r="CV53" s="295"/>
      <c r="CW53" s="295"/>
      <c r="CX53" s="295"/>
      <c r="CY53" s="295"/>
      <c r="CZ53" s="295"/>
      <c r="DA53" s="295"/>
      <c r="DB53" s="295"/>
      <c r="DC53" s="295"/>
      <c r="DD53" s="295"/>
      <c r="DE53" s="295"/>
      <c r="DF53" s="295"/>
      <c r="DG53" s="295"/>
      <c r="DH53" s="295"/>
      <c r="DI53" s="295"/>
      <c r="DJ53" s="295"/>
      <c r="DK53" s="295"/>
      <c r="DL53" s="295"/>
      <c r="DM53" s="295"/>
      <c r="DN53" s="295"/>
      <c r="DO53" s="295"/>
      <c r="DP53" s="295"/>
      <c r="DQ53" s="295"/>
      <c r="DR53" s="295"/>
      <c r="DS53" s="295"/>
      <c r="DT53" s="295"/>
      <c r="DU53" s="295"/>
      <c r="DV53" s="295"/>
      <c r="DW53" s="295"/>
      <c r="DX53" s="295"/>
      <c r="DY53" s="295"/>
      <c r="DZ53" s="295"/>
      <c r="EA53" s="295"/>
      <c r="EB53" s="295"/>
      <c r="EC53" s="295"/>
      <c r="ED53" s="295"/>
      <c r="EE53" s="295"/>
      <c r="EF53" s="295"/>
      <c r="EG53" s="295"/>
      <c r="EH53" s="295"/>
      <c r="EI53" s="295"/>
      <c r="EJ53" s="295"/>
      <c r="EK53" s="295"/>
      <c r="EL53" s="295"/>
      <c r="EM53" s="295"/>
      <c r="EN53" s="295"/>
      <c r="EO53" s="295"/>
      <c r="EP53" s="295"/>
      <c r="EQ53" s="295"/>
      <c r="ER53" s="295"/>
      <c r="ES53" s="295"/>
      <c r="ET53" s="295"/>
      <c r="EU53" s="295"/>
      <c r="EV53" s="295"/>
      <c r="EW53" s="295"/>
      <c r="EX53" s="295"/>
      <c r="EY53" s="295"/>
      <c r="EZ53" s="295"/>
      <c r="FA53" s="295"/>
      <c r="FB53" s="295"/>
      <c r="FC53" s="295"/>
      <c r="FD53" s="295"/>
      <c r="FE53" s="295"/>
      <c r="FF53" s="295"/>
      <c r="FG53" s="295"/>
      <c r="FH53" s="295"/>
      <c r="FI53" s="295"/>
      <c r="FJ53" s="295"/>
      <c r="FK53" s="295"/>
      <c r="FL53" s="295"/>
      <c r="FM53" s="295"/>
      <c r="FN53" s="295"/>
      <c r="FO53" s="295"/>
    </row>
    <row r="54" spans="1:171" s="38" customFormat="1" ht="13.8" x14ac:dyDescent="0.3">
      <c r="A54" s="306" t="s">
        <v>281</v>
      </c>
      <c r="B54" s="261"/>
      <c r="C54" s="212"/>
      <c r="D54" s="128">
        <f>(Inputs!AG126/Inputs!AG126)-D55-D56</f>
        <v>0.9226855217075266</v>
      </c>
      <c r="E54" s="128">
        <f>D54</f>
        <v>0.9226855217075266</v>
      </c>
      <c r="F54" s="128">
        <f t="shared" ref="F54:AB56" si="54">E54</f>
        <v>0.9226855217075266</v>
      </c>
      <c r="G54" s="128">
        <f t="shared" si="54"/>
        <v>0.9226855217075266</v>
      </c>
      <c r="H54" s="128">
        <f t="shared" si="54"/>
        <v>0.9226855217075266</v>
      </c>
      <c r="I54" s="128">
        <f t="shared" si="54"/>
        <v>0.9226855217075266</v>
      </c>
      <c r="J54" s="128">
        <f t="shared" si="54"/>
        <v>0.9226855217075266</v>
      </c>
      <c r="K54" s="128">
        <f t="shared" si="54"/>
        <v>0.9226855217075266</v>
      </c>
      <c r="L54" s="128">
        <f t="shared" si="54"/>
        <v>0.9226855217075266</v>
      </c>
      <c r="M54" s="128">
        <f t="shared" si="54"/>
        <v>0.9226855217075266</v>
      </c>
      <c r="N54" s="128">
        <f t="shared" si="54"/>
        <v>0.9226855217075266</v>
      </c>
      <c r="O54" s="128">
        <f t="shared" si="54"/>
        <v>0.9226855217075266</v>
      </c>
      <c r="P54" s="128">
        <f t="shared" si="54"/>
        <v>0.9226855217075266</v>
      </c>
      <c r="Q54" s="128">
        <f t="shared" si="54"/>
        <v>0.9226855217075266</v>
      </c>
      <c r="R54" s="128">
        <f t="shared" si="54"/>
        <v>0.9226855217075266</v>
      </c>
      <c r="S54" s="128">
        <f t="shared" si="54"/>
        <v>0.9226855217075266</v>
      </c>
      <c r="T54" s="128">
        <f t="shared" si="54"/>
        <v>0.9226855217075266</v>
      </c>
      <c r="U54" s="128">
        <f t="shared" si="54"/>
        <v>0.9226855217075266</v>
      </c>
      <c r="V54" s="128">
        <f t="shared" si="54"/>
        <v>0.9226855217075266</v>
      </c>
      <c r="W54" s="128">
        <f t="shared" si="54"/>
        <v>0.9226855217075266</v>
      </c>
      <c r="X54" s="128">
        <f t="shared" si="54"/>
        <v>0.9226855217075266</v>
      </c>
      <c r="Y54" s="128">
        <f t="shared" si="54"/>
        <v>0.9226855217075266</v>
      </c>
      <c r="Z54" s="128">
        <f t="shared" si="54"/>
        <v>0.9226855217075266</v>
      </c>
      <c r="AA54" s="128">
        <f t="shared" si="54"/>
        <v>0.9226855217075266</v>
      </c>
      <c r="AB54" s="128">
        <f t="shared" si="54"/>
        <v>0.9226855217075266</v>
      </c>
      <c r="AC54" s="134"/>
      <c r="AD54" s="134"/>
      <c r="AE54" s="134"/>
      <c r="AF54" s="134"/>
      <c r="AG54" s="134"/>
      <c r="AH54" s="134"/>
      <c r="AI54" s="134"/>
      <c r="AJ54" s="134"/>
      <c r="AK54" s="134"/>
      <c r="AL54" s="134"/>
      <c r="AM54" s="134"/>
      <c r="AN54" s="134"/>
      <c r="AO54" s="134"/>
      <c r="AP54" s="134"/>
      <c r="AQ54" s="134"/>
      <c r="AR54" s="134"/>
      <c r="AS54" s="134"/>
      <c r="AT54" s="134"/>
      <c r="AU54" s="134"/>
      <c r="AV54" s="134"/>
      <c r="AW54" s="134"/>
      <c r="AX54" s="134"/>
      <c r="AY54" s="134"/>
      <c r="AZ54" s="134"/>
      <c r="BA54" s="134"/>
      <c r="BB54" s="134"/>
      <c r="BC54" s="134"/>
      <c r="BD54" s="134"/>
      <c r="BE54" s="134"/>
      <c r="BF54" s="134"/>
      <c r="BG54" s="134"/>
      <c r="BH54" s="134"/>
      <c r="BI54" s="134"/>
      <c r="BJ54" s="134"/>
      <c r="BK54" s="134"/>
      <c r="BL54" s="134"/>
      <c r="BM54" s="134"/>
      <c r="BN54" s="134"/>
      <c r="BO54" s="134"/>
      <c r="BP54" s="134"/>
      <c r="BQ54" s="134"/>
      <c r="BR54" s="134"/>
      <c r="BS54" s="134"/>
      <c r="BT54" s="134"/>
      <c r="BU54" s="134"/>
      <c r="BV54" s="134"/>
      <c r="BW54" s="134"/>
      <c r="BX54" s="134"/>
      <c r="BY54" s="134"/>
      <c r="BZ54" s="134"/>
      <c r="CA54" s="134"/>
      <c r="CB54" s="134"/>
      <c r="CC54" s="134"/>
      <c r="CD54" s="134"/>
      <c r="CE54" s="134"/>
      <c r="CF54" s="134"/>
      <c r="CG54" s="134"/>
      <c r="CH54" s="134"/>
      <c r="CI54" s="134"/>
      <c r="CJ54" s="134"/>
      <c r="CK54" s="134"/>
      <c r="CL54" s="134"/>
      <c r="CM54" s="134"/>
      <c r="CN54" s="134"/>
      <c r="CO54" s="134"/>
      <c r="CP54" s="134"/>
      <c r="CQ54" s="134"/>
      <c r="CR54" s="134"/>
      <c r="CS54" s="134"/>
      <c r="CT54" s="134"/>
      <c r="CU54" s="134"/>
      <c r="CV54" s="134"/>
      <c r="CW54" s="134"/>
      <c r="CX54" s="134"/>
      <c r="CY54" s="134"/>
      <c r="CZ54" s="134"/>
      <c r="DA54" s="134"/>
      <c r="DB54" s="134"/>
      <c r="DC54" s="134"/>
      <c r="DD54" s="134"/>
      <c r="DE54" s="134"/>
      <c r="DF54" s="134"/>
      <c r="DG54" s="134"/>
      <c r="DH54" s="134"/>
      <c r="DI54" s="134"/>
      <c r="DJ54" s="134"/>
      <c r="DK54" s="134"/>
      <c r="DL54" s="134"/>
      <c r="DM54" s="134"/>
      <c r="DN54" s="134"/>
      <c r="DO54" s="134"/>
      <c r="DP54" s="134"/>
      <c r="DQ54" s="134"/>
      <c r="DR54" s="134"/>
      <c r="DS54" s="134"/>
      <c r="DT54" s="134"/>
      <c r="DU54" s="134"/>
      <c r="DV54" s="134"/>
      <c r="DW54" s="134"/>
      <c r="DX54" s="134"/>
      <c r="DY54" s="134"/>
      <c r="DZ54" s="134"/>
      <c r="EA54" s="134"/>
      <c r="EB54" s="134"/>
    </row>
    <row r="55" spans="1:171" s="38" customFormat="1" ht="13.8" x14ac:dyDescent="0.3">
      <c r="A55" s="307" t="s">
        <v>282</v>
      </c>
      <c r="C55" s="10"/>
      <c r="D55" s="129">
        <f>(Inputs!AG38+Inputs!AG39+Inputs!AG57+Inputs!AG58+Inputs!AG75+Inputs!AG76+Inputs!AG93+Inputs!AG94)/Inputs!AG126</f>
        <v>5.1542985528315606E-2</v>
      </c>
      <c r="E55" s="129">
        <f t="shared" ref="E55:T56" si="55">D55</f>
        <v>5.1542985528315606E-2</v>
      </c>
      <c r="F55" s="129">
        <f t="shared" si="55"/>
        <v>5.1542985528315606E-2</v>
      </c>
      <c r="G55" s="129">
        <f t="shared" si="55"/>
        <v>5.1542985528315606E-2</v>
      </c>
      <c r="H55" s="129">
        <f t="shared" si="55"/>
        <v>5.1542985528315606E-2</v>
      </c>
      <c r="I55" s="129">
        <f t="shared" si="55"/>
        <v>5.1542985528315606E-2</v>
      </c>
      <c r="J55" s="129">
        <f t="shared" si="55"/>
        <v>5.1542985528315606E-2</v>
      </c>
      <c r="K55" s="129">
        <f t="shared" si="55"/>
        <v>5.1542985528315606E-2</v>
      </c>
      <c r="L55" s="129">
        <f t="shared" si="55"/>
        <v>5.1542985528315606E-2</v>
      </c>
      <c r="M55" s="129">
        <f t="shared" si="55"/>
        <v>5.1542985528315606E-2</v>
      </c>
      <c r="N55" s="129">
        <f t="shared" si="55"/>
        <v>5.1542985528315606E-2</v>
      </c>
      <c r="O55" s="129">
        <f t="shared" si="55"/>
        <v>5.1542985528315606E-2</v>
      </c>
      <c r="P55" s="129">
        <f t="shared" si="55"/>
        <v>5.1542985528315606E-2</v>
      </c>
      <c r="Q55" s="129">
        <f t="shared" si="55"/>
        <v>5.1542985528315606E-2</v>
      </c>
      <c r="R55" s="129">
        <f t="shared" si="55"/>
        <v>5.1542985528315606E-2</v>
      </c>
      <c r="S55" s="129">
        <f t="shared" si="55"/>
        <v>5.1542985528315606E-2</v>
      </c>
      <c r="T55" s="129">
        <f t="shared" si="55"/>
        <v>5.1542985528315606E-2</v>
      </c>
      <c r="U55" s="129">
        <f t="shared" si="54"/>
        <v>5.1542985528315606E-2</v>
      </c>
      <c r="V55" s="129">
        <f t="shared" si="54"/>
        <v>5.1542985528315606E-2</v>
      </c>
      <c r="W55" s="129">
        <f t="shared" si="54"/>
        <v>5.1542985528315606E-2</v>
      </c>
      <c r="X55" s="129">
        <f t="shared" si="54"/>
        <v>5.1542985528315606E-2</v>
      </c>
      <c r="Y55" s="129">
        <f t="shared" si="54"/>
        <v>5.1542985528315606E-2</v>
      </c>
      <c r="Z55" s="129">
        <f t="shared" si="54"/>
        <v>5.1542985528315606E-2</v>
      </c>
      <c r="AA55" s="129">
        <f t="shared" si="54"/>
        <v>5.1542985528315606E-2</v>
      </c>
      <c r="AB55" s="129">
        <f t="shared" si="54"/>
        <v>5.1542985528315606E-2</v>
      </c>
      <c r="AC55" s="134"/>
      <c r="AD55" s="134"/>
      <c r="AE55" s="134"/>
      <c r="AF55" s="134"/>
      <c r="AG55" s="134"/>
      <c r="AH55" s="134"/>
      <c r="AI55" s="134"/>
      <c r="AJ55" s="134"/>
      <c r="AK55" s="134"/>
      <c r="AL55" s="134"/>
      <c r="AM55" s="134"/>
      <c r="AN55" s="134"/>
      <c r="AO55" s="134"/>
      <c r="AP55" s="134"/>
      <c r="AQ55" s="134"/>
      <c r="AR55" s="134"/>
      <c r="AS55" s="134"/>
      <c r="AT55" s="134"/>
      <c r="AU55" s="134"/>
      <c r="AV55" s="134"/>
      <c r="AW55" s="134"/>
      <c r="AX55" s="134"/>
      <c r="AY55" s="134"/>
      <c r="AZ55" s="134"/>
      <c r="BA55" s="134"/>
      <c r="BB55" s="134"/>
      <c r="BC55" s="134"/>
      <c r="BD55" s="134"/>
      <c r="BE55" s="134"/>
      <c r="BF55" s="134"/>
      <c r="BG55" s="134"/>
      <c r="BH55" s="134"/>
      <c r="BI55" s="134"/>
      <c r="BJ55" s="134"/>
      <c r="BK55" s="134"/>
      <c r="BL55" s="134"/>
      <c r="BM55" s="134"/>
      <c r="BN55" s="134"/>
      <c r="BO55" s="134"/>
      <c r="BP55" s="134"/>
      <c r="BQ55" s="134"/>
      <c r="BR55" s="134"/>
      <c r="BS55" s="134"/>
      <c r="BT55" s="134"/>
      <c r="BU55" s="134"/>
      <c r="BV55" s="134"/>
      <c r="BW55" s="134"/>
      <c r="BX55" s="134"/>
      <c r="BY55" s="134"/>
      <c r="BZ55" s="134"/>
      <c r="CA55" s="134"/>
      <c r="CB55" s="134"/>
      <c r="CC55" s="134"/>
      <c r="CD55" s="134"/>
      <c r="CE55" s="134"/>
      <c r="CF55" s="134"/>
      <c r="CG55" s="134"/>
      <c r="CH55" s="134"/>
      <c r="CI55" s="134"/>
      <c r="CJ55" s="134"/>
      <c r="CK55" s="134"/>
      <c r="CL55" s="134"/>
      <c r="CM55" s="134"/>
      <c r="CN55" s="134"/>
      <c r="CO55" s="134"/>
      <c r="CP55" s="134"/>
      <c r="CQ55" s="134"/>
      <c r="CR55" s="134"/>
      <c r="CS55" s="134"/>
      <c r="CT55" s="134"/>
      <c r="CU55" s="134"/>
      <c r="CV55" s="134"/>
      <c r="CW55" s="134"/>
      <c r="CX55" s="134"/>
      <c r="CY55" s="134"/>
      <c r="CZ55" s="134"/>
      <c r="DA55" s="134"/>
      <c r="DB55" s="134"/>
      <c r="DC55" s="134"/>
      <c r="DD55" s="134"/>
      <c r="DE55" s="134"/>
      <c r="DF55" s="134"/>
      <c r="DG55" s="134"/>
      <c r="DH55" s="134"/>
      <c r="DI55" s="134"/>
      <c r="DJ55" s="134"/>
      <c r="DK55" s="134"/>
      <c r="DL55" s="134"/>
      <c r="DM55" s="134"/>
      <c r="DN55" s="134"/>
      <c r="DO55" s="134"/>
      <c r="DP55" s="134"/>
      <c r="DQ55" s="134"/>
      <c r="DR55" s="134"/>
      <c r="DS55" s="134"/>
      <c r="DT55" s="134"/>
      <c r="DU55" s="134"/>
      <c r="DV55" s="134"/>
      <c r="DW55" s="134"/>
      <c r="DX55" s="134"/>
      <c r="DY55" s="134"/>
      <c r="DZ55" s="134"/>
      <c r="EA55" s="134"/>
      <c r="EB55" s="134"/>
    </row>
    <row r="56" spans="1:171" s="38" customFormat="1" ht="13.8" x14ac:dyDescent="0.3">
      <c r="A56" s="308" t="s">
        <v>283</v>
      </c>
      <c r="B56" s="268"/>
      <c r="C56" s="215"/>
      <c r="D56" s="130">
        <f>(Inputs!AG40+Inputs!AG59+Inputs!AG77+Inputs!AG95)/Inputs!AG126</f>
        <v>2.5771492764157803E-2</v>
      </c>
      <c r="E56" s="130">
        <f t="shared" si="55"/>
        <v>2.5771492764157803E-2</v>
      </c>
      <c r="F56" s="130">
        <f t="shared" si="54"/>
        <v>2.5771492764157803E-2</v>
      </c>
      <c r="G56" s="130">
        <f t="shared" si="54"/>
        <v>2.5771492764157803E-2</v>
      </c>
      <c r="H56" s="130">
        <f t="shared" si="54"/>
        <v>2.5771492764157803E-2</v>
      </c>
      <c r="I56" s="130">
        <f t="shared" si="54"/>
        <v>2.5771492764157803E-2</v>
      </c>
      <c r="J56" s="130">
        <f t="shared" si="54"/>
        <v>2.5771492764157803E-2</v>
      </c>
      <c r="K56" s="130">
        <f t="shared" si="54"/>
        <v>2.5771492764157803E-2</v>
      </c>
      <c r="L56" s="130">
        <f t="shared" si="54"/>
        <v>2.5771492764157803E-2</v>
      </c>
      <c r="M56" s="130">
        <f t="shared" si="54"/>
        <v>2.5771492764157803E-2</v>
      </c>
      <c r="N56" s="130">
        <f t="shared" si="54"/>
        <v>2.5771492764157803E-2</v>
      </c>
      <c r="O56" s="130">
        <f t="shared" si="54"/>
        <v>2.5771492764157803E-2</v>
      </c>
      <c r="P56" s="130">
        <f t="shared" si="54"/>
        <v>2.5771492764157803E-2</v>
      </c>
      <c r="Q56" s="130">
        <f t="shared" si="54"/>
        <v>2.5771492764157803E-2</v>
      </c>
      <c r="R56" s="130">
        <f t="shared" si="54"/>
        <v>2.5771492764157803E-2</v>
      </c>
      <c r="S56" s="130">
        <f t="shared" si="54"/>
        <v>2.5771492764157803E-2</v>
      </c>
      <c r="T56" s="130">
        <f t="shared" si="54"/>
        <v>2.5771492764157803E-2</v>
      </c>
      <c r="U56" s="130">
        <f t="shared" si="54"/>
        <v>2.5771492764157803E-2</v>
      </c>
      <c r="V56" s="130">
        <f t="shared" si="54"/>
        <v>2.5771492764157803E-2</v>
      </c>
      <c r="W56" s="130">
        <f t="shared" si="54"/>
        <v>2.5771492764157803E-2</v>
      </c>
      <c r="X56" s="130">
        <f t="shared" si="54"/>
        <v>2.5771492764157803E-2</v>
      </c>
      <c r="Y56" s="130">
        <f t="shared" si="54"/>
        <v>2.5771492764157803E-2</v>
      </c>
      <c r="Z56" s="130">
        <f t="shared" si="54"/>
        <v>2.5771492764157803E-2</v>
      </c>
      <c r="AA56" s="130">
        <f t="shared" si="54"/>
        <v>2.5771492764157803E-2</v>
      </c>
      <c r="AB56" s="130">
        <f t="shared" si="54"/>
        <v>2.5771492764157803E-2</v>
      </c>
      <c r="AC56" s="134"/>
      <c r="AD56" s="134"/>
      <c r="AE56" s="134"/>
      <c r="AF56" s="134"/>
      <c r="AG56" s="134"/>
      <c r="AH56" s="134"/>
      <c r="AI56" s="134"/>
      <c r="AJ56" s="134"/>
      <c r="AK56" s="134"/>
      <c r="AL56" s="134"/>
      <c r="AM56" s="134"/>
      <c r="AN56" s="134"/>
      <c r="AO56" s="134"/>
      <c r="AP56" s="134"/>
      <c r="AQ56" s="134"/>
      <c r="AR56" s="134"/>
      <c r="AS56" s="134"/>
      <c r="AT56" s="134"/>
      <c r="AU56" s="134"/>
      <c r="AV56" s="134"/>
      <c r="AW56" s="134"/>
      <c r="AX56" s="134"/>
      <c r="AY56" s="134"/>
      <c r="AZ56" s="134"/>
      <c r="BA56" s="134"/>
      <c r="BB56" s="134"/>
      <c r="BC56" s="134"/>
      <c r="BD56" s="134"/>
      <c r="BE56" s="134"/>
      <c r="BF56" s="134"/>
      <c r="BG56" s="134"/>
      <c r="BH56" s="134"/>
      <c r="BI56" s="134"/>
      <c r="BJ56" s="134"/>
      <c r="BK56" s="134"/>
      <c r="BL56" s="134"/>
      <c r="BM56" s="134"/>
      <c r="BN56" s="134"/>
      <c r="BO56" s="134"/>
      <c r="BP56" s="134"/>
      <c r="BQ56" s="134"/>
      <c r="BR56" s="134"/>
      <c r="BS56" s="134"/>
      <c r="BT56" s="134"/>
      <c r="BU56" s="134"/>
      <c r="BV56" s="134"/>
      <c r="BW56" s="134"/>
      <c r="BX56" s="134"/>
      <c r="BY56" s="134"/>
      <c r="BZ56" s="134"/>
      <c r="CA56" s="134"/>
      <c r="CB56" s="134"/>
      <c r="CC56" s="134"/>
      <c r="CD56" s="134"/>
      <c r="CE56" s="134"/>
      <c r="CF56" s="134"/>
      <c r="CG56" s="134"/>
      <c r="CH56" s="134"/>
      <c r="CI56" s="134"/>
      <c r="CJ56" s="134"/>
      <c r="CK56" s="134"/>
      <c r="CL56" s="134"/>
      <c r="CM56" s="134"/>
      <c r="CN56" s="134"/>
      <c r="CO56" s="134"/>
      <c r="CP56" s="134"/>
      <c r="CQ56" s="134"/>
      <c r="CR56" s="134"/>
      <c r="CS56" s="134"/>
      <c r="CT56" s="134"/>
      <c r="CU56" s="134"/>
      <c r="CV56" s="134"/>
      <c r="CW56" s="134"/>
      <c r="CX56" s="134"/>
      <c r="CY56" s="134"/>
      <c r="CZ56" s="134"/>
      <c r="DA56" s="134"/>
      <c r="DB56" s="134"/>
      <c r="DC56" s="134"/>
      <c r="DD56" s="134"/>
      <c r="DE56" s="134"/>
      <c r="DF56" s="134"/>
      <c r="DG56" s="134"/>
      <c r="DH56" s="134"/>
      <c r="DI56" s="134"/>
      <c r="DJ56" s="134"/>
      <c r="DK56" s="134"/>
      <c r="DL56" s="134"/>
      <c r="DM56" s="134"/>
      <c r="DN56" s="134"/>
      <c r="DO56" s="134"/>
      <c r="DP56" s="134"/>
      <c r="DQ56" s="134"/>
      <c r="DR56" s="134"/>
      <c r="DS56" s="134"/>
      <c r="DT56" s="134"/>
      <c r="DU56" s="134"/>
      <c r="DV56" s="134"/>
      <c r="DW56" s="134"/>
      <c r="DX56" s="134"/>
      <c r="DY56" s="134"/>
      <c r="DZ56" s="134"/>
      <c r="EA56" s="134"/>
      <c r="EB56" s="134"/>
    </row>
    <row r="57" spans="1:171" s="38" customFormat="1" ht="13.8" x14ac:dyDescent="0.3">
      <c r="A57" s="37"/>
      <c r="C57" s="37"/>
      <c r="AC57" s="134"/>
      <c r="AD57" s="134"/>
      <c r="AE57" s="134"/>
      <c r="AF57" s="134"/>
      <c r="AG57" s="134"/>
      <c r="AH57" s="134"/>
      <c r="AI57" s="134"/>
      <c r="AJ57" s="134"/>
      <c r="AK57" s="134"/>
      <c r="AL57" s="134"/>
      <c r="AM57" s="134"/>
      <c r="AN57" s="134"/>
      <c r="AO57" s="134"/>
      <c r="AP57" s="134"/>
      <c r="AQ57" s="134"/>
      <c r="AR57" s="134"/>
      <c r="AS57" s="134"/>
      <c r="AT57" s="134"/>
      <c r="AU57" s="134"/>
      <c r="AV57" s="134"/>
      <c r="AW57" s="134"/>
      <c r="AX57" s="134"/>
      <c r="AY57" s="134"/>
      <c r="AZ57" s="134"/>
      <c r="BA57" s="134"/>
      <c r="BB57" s="134"/>
      <c r="BC57" s="134"/>
      <c r="BD57" s="134"/>
      <c r="BE57" s="134"/>
      <c r="BF57" s="134"/>
      <c r="BG57" s="134"/>
      <c r="BH57" s="134"/>
      <c r="BI57" s="134"/>
      <c r="BJ57" s="134"/>
      <c r="BK57" s="134"/>
      <c r="BL57" s="134"/>
      <c r="BM57" s="134"/>
      <c r="BN57" s="134"/>
      <c r="BO57" s="134"/>
      <c r="BP57" s="134"/>
      <c r="BQ57" s="134"/>
      <c r="BR57" s="134"/>
      <c r="BS57" s="134"/>
      <c r="BT57" s="134"/>
      <c r="BU57" s="134"/>
      <c r="BV57" s="134"/>
      <c r="BW57" s="134"/>
      <c r="BX57" s="134"/>
      <c r="BY57" s="134"/>
      <c r="BZ57" s="134"/>
      <c r="CA57" s="134"/>
      <c r="CB57" s="134"/>
      <c r="CC57" s="134"/>
      <c r="CD57" s="134"/>
      <c r="CE57" s="134"/>
      <c r="CF57" s="134"/>
      <c r="CG57" s="134"/>
      <c r="CH57" s="134"/>
      <c r="CI57" s="134"/>
      <c r="CJ57" s="134"/>
      <c r="CK57" s="134"/>
      <c r="CL57" s="134"/>
      <c r="CM57" s="134"/>
      <c r="CN57" s="134"/>
      <c r="CO57" s="134"/>
      <c r="CP57" s="134"/>
      <c r="CQ57" s="134"/>
      <c r="CR57" s="134"/>
      <c r="CS57" s="134"/>
      <c r="CT57" s="134"/>
      <c r="CU57" s="134"/>
      <c r="CV57" s="134"/>
      <c r="CW57" s="134"/>
      <c r="CX57" s="134"/>
      <c r="CY57" s="134"/>
      <c r="CZ57" s="134"/>
      <c r="DA57" s="134"/>
      <c r="DB57" s="134"/>
      <c r="DC57" s="134"/>
      <c r="DD57" s="134"/>
      <c r="DE57" s="134"/>
      <c r="DF57" s="134"/>
      <c r="DG57" s="134"/>
      <c r="DH57" s="134"/>
      <c r="DI57" s="134"/>
      <c r="DJ57" s="134"/>
      <c r="DK57" s="134"/>
      <c r="DL57" s="134"/>
      <c r="DM57" s="134"/>
      <c r="DN57" s="134"/>
      <c r="DO57" s="134"/>
      <c r="DP57" s="134"/>
      <c r="DQ57" s="134"/>
      <c r="DR57" s="134"/>
      <c r="DS57" s="134"/>
      <c r="DT57" s="134"/>
      <c r="DU57" s="134"/>
      <c r="DV57" s="134"/>
      <c r="DW57" s="134"/>
      <c r="DX57" s="134"/>
      <c r="DY57" s="134"/>
      <c r="DZ57" s="134"/>
      <c r="EA57" s="134"/>
      <c r="EB57" s="134"/>
    </row>
    <row r="59" spans="1:171" x14ac:dyDescent="0.3">
      <c r="A59" s="255" t="s">
        <v>407</v>
      </c>
    </row>
    <row r="60" spans="1:171" s="38" customFormat="1" x14ac:dyDescent="0.3">
      <c r="A60" s="34"/>
      <c r="C60" s="132" t="s">
        <v>152</v>
      </c>
      <c r="D60" s="133">
        <v>1</v>
      </c>
      <c r="E60" s="133">
        <f>D60+1</f>
        <v>2</v>
      </c>
      <c r="F60" s="133">
        <f t="shared" ref="F60" si="56">E60+1</f>
        <v>3</v>
      </c>
      <c r="G60" s="133">
        <f t="shared" ref="G60" si="57">F60+1</f>
        <v>4</v>
      </c>
      <c r="H60" s="133">
        <f t="shared" ref="H60" si="58">G60+1</f>
        <v>5</v>
      </c>
      <c r="I60" s="133">
        <f t="shared" ref="I60" si="59">H60+1</f>
        <v>6</v>
      </c>
      <c r="J60" s="133">
        <f t="shared" ref="J60" si="60">I60+1</f>
        <v>7</v>
      </c>
      <c r="K60" s="133">
        <f t="shared" ref="K60" si="61">J60+1</f>
        <v>8</v>
      </c>
      <c r="L60" s="133">
        <f t="shared" ref="L60" si="62">K60+1</f>
        <v>9</v>
      </c>
      <c r="M60" s="133">
        <f t="shared" ref="M60" si="63">L60+1</f>
        <v>10</v>
      </c>
      <c r="N60" s="133">
        <f t="shared" ref="N60" si="64">M60+1</f>
        <v>11</v>
      </c>
      <c r="O60" s="133">
        <f t="shared" ref="O60" si="65">N60+1</f>
        <v>12</v>
      </c>
      <c r="P60" s="133">
        <f t="shared" ref="P60" si="66">O60+1</f>
        <v>13</v>
      </c>
      <c r="Q60" s="133">
        <f t="shared" ref="Q60" si="67">P60+1</f>
        <v>14</v>
      </c>
      <c r="R60" s="133">
        <f t="shared" ref="R60" si="68">Q60+1</f>
        <v>15</v>
      </c>
      <c r="S60" s="133">
        <f t="shared" ref="S60" si="69">R60+1</f>
        <v>16</v>
      </c>
      <c r="T60" s="133">
        <f t="shared" ref="T60" si="70">S60+1</f>
        <v>17</v>
      </c>
      <c r="U60" s="133">
        <f t="shared" ref="U60" si="71">T60+1</f>
        <v>18</v>
      </c>
      <c r="V60" s="133">
        <f t="shared" ref="V60" si="72">U60+1</f>
        <v>19</v>
      </c>
      <c r="W60" s="133">
        <f t="shared" ref="W60" si="73">V60+1</f>
        <v>20</v>
      </c>
      <c r="X60" s="133">
        <f t="shared" ref="X60" si="74">W60+1</f>
        <v>21</v>
      </c>
      <c r="Y60" s="133">
        <f t="shared" ref="Y60" si="75">X60+1</f>
        <v>22</v>
      </c>
      <c r="Z60" s="133">
        <f t="shared" ref="Z60" si="76">Y60+1</f>
        <v>23</v>
      </c>
      <c r="AA60" s="133">
        <f t="shared" ref="AA60" si="77">Z60+1</f>
        <v>24</v>
      </c>
      <c r="AB60" s="133">
        <f t="shared" ref="AB60" si="78">AA60+1</f>
        <v>25</v>
      </c>
      <c r="AC60" s="134"/>
      <c r="AD60" s="134"/>
      <c r="AE60" s="134"/>
      <c r="AF60" s="134"/>
      <c r="AG60" s="134"/>
      <c r="AH60" s="134"/>
      <c r="AI60" s="134"/>
      <c r="AJ60" s="134"/>
      <c r="AK60" s="134"/>
      <c r="AL60" s="134"/>
      <c r="AM60" s="134"/>
      <c r="AN60" s="134"/>
      <c r="AO60" s="134"/>
      <c r="AP60" s="134"/>
      <c r="AQ60" s="134"/>
      <c r="AR60" s="134"/>
      <c r="AS60" s="134"/>
      <c r="AT60" s="134"/>
      <c r="AU60" s="134"/>
      <c r="AV60" s="134"/>
      <c r="AW60" s="134"/>
      <c r="AX60" s="134"/>
      <c r="AY60" s="134"/>
      <c r="AZ60" s="134"/>
      <c r="BA60" s="134"/>
      <c r="BB60" s="134"/>
      <c r="BC60" s="134"/>
      <c r="BD60" s="134"/>
      <c r="BE60" s="134"/>
      <c r="BF60" s="134"/>
      <c r="BG60" s="134"/>
      <c r="BH60" s="134"/>
      <c r="BI60" s="134"/>
      <c r="BJ60" s="134"/>
      <c r="BK60" s="134"/>
      <c r="BL60" s="134"/>
      <c r="BM60" s="134"/>
      <c r="BN60" s="134"/>
      <c r="BO60" s="134"/>
      <c r="BP60" s="134"/>
      <c r="BQ60" s="134"/>
      <c r="BR60" s="134"/>
      <c r="BS60" s="134"/>
      <c r="BT60" s="134"/>
      <c r="BU60" s="134"/>
      <c r="BV60" s="134"/>
      <c r="BW60" s="134"/>
      <c r="BX60" s="134"/>
      <c r="BY60" s="134"/>
      <c r="BZ60" s="134"/>
      <c r="CA60" s="134"/>
      <c r="CB60" s="134"/>
      <c r="CC60" s="134"/>
      <c r="CD60" s="134"/>
      <c r="CE60" s="134"/>
      <c r="CF60" s="134"/>
      <c r="CG60" s="134"/>
      <c r="CH60" s="134"/>
      <c r="CI60" s="134"/>
      <c r="CJ60" s="134"/>
      <c r="CK60" s="134"/>
      <c r="CL60" s="134"/>
      <c r="CM60" s="134"/>
      <c r="CN60" s="134"/>
      <c r="CO60" s="134"/>
      <c r="CP60" s="134"/>
      <c r="CQ60" s="134"/>
      <c r="CR60" s="134"/>
      <c r="CS60" s="134"/>
      <c r="CT60" s="134"/>
      <c r="CU60" s="134"/>
      <c r="CV60" s="134"/>
      <c r="CW60" s="134"/>
      <c r="CX60" s="134"/>
      <c r="CY60" s="134"/>
      <c r="CZ60" s="134"/>
      <c r="DA60" s="134"/>
      <c r="DB60" s="134"/>
      <c r="DC60" s="134"/>
      <c r="DD60" s="134"/>
      <c r="DE60" s="134"/>
      <c r="DF60" s="134"/>
      <c r="DG60" s="134"/>
      <c r="DH60" s="134"/>
      <c r="DI60" s="134"/>
      <c r="DJ60" s="134"/>
      <c r="DK60" s="134"/>
      <c r="DL60" s="134"/>
      <c r="DM60" s="134"/>
      <c r="DN60" s="134"/>
      <c r="DO60" s="134"/>
      <c r="DP60" s="134"/>
      <c r="DQ60" s="134"/>
      <c r="DR60" s="134"/>
      <c r="DS60" s="134"/>
      <c r="DT60" s="134"/>
      <c r="DU60" s="134"/>
      <c r="DV60" s="134"/>
      <c r="DW60" s="134"/>
      <c r="DX60" s="134"/>
      <c r="DY60" s="134"/>
      <c r="DZ60" s="134"/>
      <c r="EA60" s="134"/>
      <c r="EB60" s="134"/>
    </row>
    <row r="61" spans="1:171" s="38" customFormat="1" ht="13.8" x14ac:dyDescent="0.3">
      <c r="A61" s="309" t="s">
        <v>363</v>
      </c>
      <c r="B61" s="37"/>
      <c r="C61" s="37"/>
      <c r="AC61" s="134"/>
      <c r="AD61" s="134"/>
      <c r="AE61" s="134"/>
      <c r="AF61" s="134"/>
      <c r="AG61" s="134"/>
      <c r="AH61" s="134"/>
      <c r="AI61" s="134"/>
      <c r="AJ61" s="134"/>
      <c r="AK61" s="134"/>
      <c r="AL61" s="134"/>
      <c r="AM61" s="134"/>
      <c r="AN61" s="134"/>
      <c r="AO61" s="134"/>
      <c r="AP61" s="134"/>
      <c r="AQ61" s="134"/>
      <c r="AR61" s="134"/>
      <c r="AS61" s="134"/>
      <c r="AT61" s="134"/>
      <c r="AU61" s="134"/>
      <c r="AV61" s="134"/>
      <c r="AW61" s="134"/>
      <c r="AX61" s="134"/>
      <c r="AY61" s="134"/>
      <c r="AZ61" s="134"/>
      <c r="BA61" s="134"/>
      <c r="BB61" s="134"/>
      <c r="BC61" s="134"/>
      <c r="BD61" s="134"/>
      <c r="BE61" s="134"/>
      <c r="BF61" s="134"/>
      <c r="BG61" s="134"/>
      <c r="BH61" s="134"/>
      <c r="BI61" s="134"/>
      <c r="BJ61" s="134"/>
      <c r="BK61" s="134"/>
      <c r="BL61" s="134"/>
      <c r="BM61" s="134"/>
      <c r="BN61" s="134"/>
      <c r="BO61" s="134"/>
      <c r="BP61" s="134"/>
      <c r="BQ61" s="134"/>
      <c r="BR61" s="134"/>
      <c r="BS61" s="134"/>
      <c r="BT61" s="134"/>
      <c r="BU61" s="134"/>
      <c r="BV61" s="134"/>
      <c r="BW61" s="134"/>
      <c r="BX61" s="134"/>
      <c r="BY61" s="134"/>
      <c r="BZ61" s="134"/>
      <c r="CA61" s="134"/>
      <c r="CB61" s="134"/>
      <c r="CC61" s="134"/>
      <c r="CD61" s="134"/>
      <c r="CE61" s="134"/>
      <c r="CF61" s="134"/>
      <c r="CG61" s="134"/>
      <c r="CH61" s="134"/>
      <c r="CI61" s="134"/>
      <c r="CJ61" s="134"/>
      <c r="CK61" s="134"/>
      <c r="CL61" s="134"/>
      <c r="CM61" s="134"/>
      <c r="CN61" s="134"/>
      <c r="CO61" s="134"/>
      <c r="CP61" s="134"/>
      <c r="CQ61" s="134"/>
      <c r="CR61" s="134"/>
      <c r="CS61" s="134"/>
      <c r="CT61" s="134"/>
      <c r="CU61" s="134"/>
      <c r="CV61" s="134"/>
      <c r="CW61" s="134"/>
      <c r="CX61" s="134"/>
      <c r="CY61" s="134"/>
      <c r="CZ61" s="134"/>
      <c r="DA61" s="134"/>
      <c r="DB61" s="134"/>
      <c r="DC61" s="134"/>
      <c r="DD61" s="134"/>
      <c r="DE61" s="134"/>
      <c r="DF61" s="134"/>
      <c r="DG61" s="134"/>
      <c r="DH61" s="134"/>
      <c r="DI61" s="134"/>
      <c r="DJ61" s="134"/>
      <c r="DK61" s="134"/>
      <c r="DL61" s="134"/>
      <c r="DM61" s="134"/>
      <c r="DN61" s="134"/>
      <c r="DO61" s="134"/>
      <c r="DP61" s="134"/>
      <c r="DQ61" s="134"/>
      <c r="DR61" s="134"/>
      <c r="DS61" s="134"/>
      <c r="DT61" s="134"/>
      <c r="DU61" s="134"/>
      <c r="DV61" s="134"/>
      <c r="DW61" s="134"/>
      <c r="DX61" s="134"/>
      <c r="DY61" s="134"/>
      <c r="DZ61" s="134"/>
      <c r="EA61" s="134"/>
      <c r="EB61" s="134"/>
    </row>
    <row r="62" spans="1:171" s="38" customFormat="1" ht="13.8" x14ac:dyDescent="0.3">
      <c r="A62" s="258" t="s">
        <v>163</v>
      </c>
      <c r="B62" s="259"/>
      <c r="C62" s="260"/>
      <c r="D62" s="212">
        <f>IF(D3&lt;=Inputs!$C$16,D22+D23+D24+D25+D26+D30,"")</f>
        <v>267500</v>
      </c>
      <c r="E62" s="212">
        <f>IF(E3&lt;=Inputs!$C$16,E22+E23+E24+E25+E26+(E30-D30),"")</f>
        <v>0</v>
      </c>
      <c r="F62" s="212">
        <f>IF(F3&lt;=Inputs!$C$16,F22+F23+F24+F25+F26+(F30-E30),"")</f>
        <v>0</v>
      </c>
      <c r="G62" s="212">
        <f>IF(G3&lt;=Inputs!$C$16,G22+G23+G24+G25+G26+(G30-F30),"")</f>
        <v>0</v>
      </c>
      <c r="H62" s="212">
        <f>IF(H3&lt;=Inputs!$C$16,H22+H23+H24+H25+H26+(H30-G30),"")</f>
        <v>19500</v>
      </c>
      <c r="I62" s="212">
        <f>IF(I3&lt;=Inputs!$C$16,I22+I23+I24+I25+I26+(I30-H30),"")</f>
        <v>0</v>
      </c>
      <c r="J62" s="212">
        <f>IF(J3&lt;=Inputs!$C$16,J22+J23+J24+J25+J26+(J30-I30),"")</f>
        <v>0</v>
      </c>
      <c r="K62" s="212">
        <f>IF(K3&lt;=Inputs!$C$16,K22+K23+K24+K25+K26+(K30-J30),"")</f>
        <v>0</v>
      </c>
      <c r="L62" s="212">
        <f>IF(L3&lt;=Inputs!$C$16,L22+L23+L24+L25+L26+(L30-K30),"")</f>
        <v>0</v>
      </c>
      <c r="M62" s="212">
        <f>IF(M3&lt;=Inputs!$C$16,M22+M23+M24+M25+M26+(M30-L30),"")</f>
        <v>24500</v>
      </c>
      <c r="N62" s="212">
        <f>IF(N3&lt;=Inputs!$C$16,N22+N23+N24+N25+N26+(N30-M30),"")</f>
        <v>0</v>
      </c>
      <c r="O62" s="212">
        <f>IF(O3&lt;=Inputs!$C$16,O22+O23+O24+O25+O26+(O30-N30),"")</f>
        <v>0</v>
      </c>
      <c r="P62" s="212">
        <f>IF(P3&lt;=Inputs!$C$16,P22+P23+P24+P25+P26+(P30-O30),"")</f>
        <v>30000</v>
      </c>
      <c r="Q62" s="212">
        <f>IF(Q3&lt;=Inputs!$C$16,Q22+Q23+Q24+Q25+Q26+(Q30-P30),"")</f>
        <v>0</v>
      </c>
      <c r="R62" s="212">
        <f>IF(R3&lt;=Inputs!$C$16,R22+R23+R24+R25+R26+(R30-Q30),"")</f>
        <v>24500</v>
      </c>
      <c r="S62" s="212">
        <f>IF(S3&lt;=Inputs!$C$16,S22+S23+S24+S25+S26+(S30-R30),"")</f>
        <v>0</v>
      </c>
      <c r="T62" s="212">
        <f>IF(T3&lt;=Inputs!$C$16,T22+T23+T24+T25+T26+(T30-S30),"")</f>
        <v>0</v>
      </c>
      <c r="U62" s="212">
        <f>IF(U3&lt;=Inputs!$C$16,U22+U23+U24+U25+U26+(U30-T30),"")</f>
        <v>0</v>
      </c>
      <c r="V62" s="212">
        <f>IF(V3&lt;=Inputs!$C$16,V22+V23+V24+V25+V26+(V30-U30),"")</f>
        <v>0</v>
      </c>
      <c r="W62" s="212">
        <f>IF(W3&lt;=Inputs!$C$16,W22+W23+W24+W25+W26+(W30-V30),"")</f>
        <v>24500</v>
      </c>
      <c r="X62" s="212">
        <f>IF(X3&lt;=Inputs!$C$16,X22+X23+X24+X25+X26+(X30-W30),"")</f>
        <v>0</v>
      </c>
      <c r="Y62" s="212">
        <f>IF(Y3&lt;=Inputs!$C$16,Y22+Y23+Y24+Y25+Y26+(Y30-X30),"")</f>
        <v>0</v>
      </c>
      <c r="Z62" s="212">
        <f>IF(Z3&lt;=Inputs!$C$16,Z22+Z23+Z24+Z25+Z26+(Z30-Y30),"")</f>
        <v>0</v>
      </c>
      <c r="AA62" s="212">
        <f>IF(AA3&lt;=Inputs!$C$16,AA22+AA23+AA24+AA25+AA26+(AA30-Z30),"")</f>
        <v>0</v>
      </c>
      <c r="AB62" s="212">
        <f>IF(AB3&lt;=Inputs!$C$16,AB22+AB23+AB24+AB25+AB26+(AB30-AA30),"")</f>
        <v>0</v>
      </c>
      <c r="AC62" s="134"/>
      <c r="AD62" s="134"/>
      <c r="AE62" s="134"/>
      <c r="AF62" s="134"/>
      <c r="AG62" s="134"/>
      <c r="AH62" s="134"/>
      <c r="AI62" s="134"/>
      <c r="AJ62" s="134"/>
      <c r="AK62" s="134"/>
      <c r="AL62" s="134"/>
      <c r="AM62" s="134"/>
      <c r="AN62" s="134"/>
      <c r="AO62" s="134"/>
      <c r="AP62" s="134"/>
      <c r="AQ62" s="134"/>
      <c r="AR62" s="134"/>
      <c r="AS62" s="134"/>
      <c r="AT62" s="134"/>
      <c r="AU62" s="134"/>
      <c r="AV62" s="134"/>
      <c r="AW62" s="134"/>
      <c r="AX62" s="134"/>
      <c r="AY62" s="134"/>
      <c r="AZ62" s="134"/>
      <c r="BA62" s="134"/>
      <c r="BB62" s="134"/>
      <c r="BC62" s="134"/>
      <c r="BD62" s="134"/>
      <c r="BE62" s="134"/>
      <c r="BF62" s="134"/>
      <c r="BG62" s="134"/>
      <c r="BH62" s="134"/>
      <c r="BI62" s="134"/>
      <c r="BJ62" s="134"/>
      <c r="BK62" s="134"/>
      <c r="BL62" s="134"/>
      <c r="BM62" s="134"/>
      <c r="BN62" s="134"/>
      <c r="BO62" s="134"/>
      <c r="BP62" s="134"/>
      <c r="BQ62" s="134"/>
      <c r="BR62" s="134"/>
      <c r="BS62" s="134"/>
      <c r="BT62" s="134"/>
      <c r="BU62" s="134"/>
      <c r="BV62" s="134"/>
      <c r="BW62" s="134"/>
      <c r="BX62" s="134"/>
      <c r="BY62" s="134"/>
      <c r="BZ62" s="134"/>
      <c r="CA62" s="134"/>
      <c r="CB62" s="134"/>
      <c r="CC62" s="134"/>
      <c r="CD62" s="134"/>
      <c r="CE62" s="134"/>
      <c r="CF62" s="134"/>
      <c r="CG62" s="134"/>
      <c r="CH62" s="134"/>
      <c r="CI62" s="134"/>
      <c r="CJ62" s="134"/>
      <c r="CK62" s="134"/>
      <c r="CL62" s="134"/>
      <c r="CM62" s="134"/>
      <c r="CN62" s="134"/>
      <c r="CO62" s="134"/>
      <c r="CP62" s="134"/>
      <c r="CQ62" s="134"/>
      <c r="CR62" s="134"/>
      <c r="CS62" s="134"/>
      <c r="CT62" s="134"/>
      <c r="CU62" s="134"/>
      <c r="CV62" s="134"/>
      <c r="CW62" s="134"/>
      <c r="CX62" s="134"/>
      <c r="CY62" s="134"/>
      <c r="CZ62" s="134"/>
      <c r="DA62" s="134"/>
      <c r="DB62" s="134"/>
      <c r="DC62" s="134"/>
      <c r="DD62" s="134"/>
      <c r="DE62" s="134"/>
      <c r="DF62" s="134"/>
      <c r="DG62" s="134"/>
      <c r="DH62" s="134"/>
      <c r="DI62" s="134"/>
      <c r="DJ62" s="134"/>
      <c r="DK62" s="134"/>
      <c r="DL62" s="134"/>
      <c r="DM62" s="134"/>
      <c r="DN62" s="134"/>
      <c r="DO62" s="134"/>
      <c r="DP62" s="134"/>
      <c r="DQ62" s="134"/>
      <c r="DR62" s="134"/>
      <c r="DS62" s="134"/>
      <c r="DT62" s="134"/>
      <c r="DU62" s="134"/>
      <c r="DV62" s="134"/>
      <c r="DW62" s="134"/>
      <c r="DX62" s="134"/>
      <c r="DY62" s="134"/>
      <c r="DZ62" s="134"/>
      <c r="EA62" s="134"/>
      <c r="EB62" s="134"/>
    </row>
    <row r="63" spans="1:171" s="38" customFormat="1" ht="13.8" x14ac:dyDescent="0.3">
      <c r="A63" s="262" t="s">
        <v>164</v>
      </c>
      <c r="B63" s="282"/>
      <c r="C63" s="37"/>
      <c r="D63" s="229">
        <f>IF(D3&lt;=Inputs!$C$16,1/(1+D32)^D3,"")</f>
        <v>1</v>
      </c>
      <c r="E63" s="229">
        <f>IF(E3&lt;=Inputs!$C$16,1/(1+E32)^E3,"")</f>
        <v>1</v>
      </c>
      <c r="F63" s="229">
        <f>IF(F3&lt;=Inputs!$C$16,1/(1+F32)^F3,"")</f>
        <v>1</v>
      </c>
      <c r="G63" s="229">
        <f>IF(G3&lt;=Inputs!$C$16,1/(1+G32)^G3,"")</f>
        <v>1</v>
      </c>
      <c r="H63" s="229">
        <f>IF(H3&lt;=Inputs!$C$16,1/(1+H32)^H3,"")</f>
        <v>1</v>
      </c>
      <c r="I63" s="229">
        <f>IF(I3&lt;=Inputs!$C$16,1/(1+I32)^I3,"")</f>
        <v>1</v>
      </c>
      <c r="J63" s="229">
        <f>IF(J3&lt;=Inputs!$C$16,1/(1+J32)^J3,"")</f>
        <v>1</v>
      </c>
      <c r="K63" s="229">
        <f>IF(K3&lt;=Inputs!$C$16,1/(1+K32)^K3,"")</f>
        <v>1</v>
      </c>
      <c r="L63" s="229">
        <f>IF(L3&lt;=Inputs!$C$16,1/(1+L32)^L3,"")</f>
        <v>1</v>
      </c>
      <c r="M63" s="229">
        <f>IF(M3&lt;=Inputs!$C$16,1/(1+M32)^M3,"")</f>
        <v>1</v>
      </c>
      <c r="N63" s="229">
        <f>IF(N3&lt;=Inputs!$C$16,1/(1+N32)^N3,"")</f>
        <v>1</v>
      </c>
      <c r="O63" s="229">
        <f>IF(O3&lt;=Inputs!$C$16,1/(1+O32)^O3,"")</f>
        <v>1</v>
      </c>
      <c r="P63" s="229">
        <f>IF(P3&lt;=Inputs!$C$16,1/(1+P32)^P3,"")</f>
        <v>1</v>
      </c>
      <c r="Q63" s="229">
        <f>IF(Q3&lt;=Inputs!$C$16,1/(1+Q32)^Q3,"")</f>
        <v>1</v>
      </c>
      <c r="R63" s="229">
        <f>IF(R3&lt;=Inputs!$C$16,1/(1+R32)^R3,"")</f>
        <v>1</v>
      </c>
      <c r="S63" s="229">
        <f>IF(S3&lt;=Inputs!$C$16,1/(1+S32)^S3,"")</f>
        <v>1</v>
      </c>
      <c r="T63" s="229">
        <f>IF(T3&lt;=Inputs!$C$16,1/(1+T32)^T3,"")</f>
        <v>1</v>
      </c>
      <c r="U63" s="229">
        <f>IF(U3&lt;=Inputs!$C$16,1/(1+U32)^U3,"")</f>
        <v>1</v>
      </c>
      <c r="V63" s="229">
        <f>IF(V3&lt;=Inputs!$C$16,1/(1+V32)^V3,"")</f>
        <v>1</v>
      </c>
      <c r="W63" s="229">
        <f>IF(W3&lt;=Inputs!$C$16,1/(1+W32)^W3,"")</f>
        <v>1</v>
      </c>
      <c r="X63" s="229">
        <f>IF(X3&lt;=Inputs!$C$16,1/(1+X32)^X3,"")</f>
        <v>1</v>
      </c>
      <c r="Y63" s="229">
        <f>IF(Y3&lt;=Inputs!$C$16,1/(1+Y32)^Y3,"")</f>
        <v>1</v>
      </c>
      <c r="Z63" s="229">
        <f>IF(Z3&lt;=Inputs!$C$16,1/(1+Z32)^Z3,"")</f>
        <v>1</v>
      </c>
      <c r="AA63" s="229">
        <f>IF(AA3&lt;=Inputs!$C$16,1/(1+AA32)^AA3,"")</f>
        <v>1</v>
      </c>
      <c r="AB63" s="229">
        <f>IF(AB3&lt;=Inputs!$C$16,1/(1+AB32)^AB3,"")</f>
        <v>1</v>
      </c>
      <c r="AC63" s="134"/>
      <c r="AD63" s="134"/>
      <c r="AE63" s="134"/>
      <c r="AF63" s="134"/>
      <c r="AG63" s="134"/>
      <c r="AH63" s="134"/>
      <c r="AI63" s="134"/>
      <c r="AJ63" s="134"/>
      <c r="AK63" s="134"/>
      <c r="AL63" s="134"/>
      <c r="AM63" s="134"/>
      <c r="AN63" s="134"/>
      <c r="AO63" s="134"/>
      <c r="AP63" s="134"/>
      <c r="AQ63" s="134"/>
      <c r="AR63" s="134"/>
      <c r="AS63" s="134"/>
      <c r="AT63" s="134"/>
      <c r="AU63" s="134"/>
      <c r="AV63" s="134"/>
      <c r="AW63" s="134"/>
      <c r="AX63" s="134"/>
      <c r="AY63" s="134"/>
      <c r="AZ63" s="134"/>
      <c r="BA63" s="134"/>
      <c r="BB63" s="134"/>
      <c r="BC63" s="134"/>
      <c r="BD63" s="134"/>
      <c r="BE63" s="134"/>
      <c r="BF63" s="134"/>
      <c r="BG63" s="134"/>
      <c r="BH63" s="134"/>
      <c r="BI63" s="134"/>
      <c r="BJ63" s="134"/>
      <c r="BK63" s="134"/>
      <c r="BL63" s="134"/>
      <c r="BM63" s="134"/>
      <c r="BN63" s="134"/>
      <c r="BO63" s="134"/>
      <c r="BP63" s="134"/>
      <c r="BQ63" s="134"/>
      <c r="BR63" s="134"/>
      <c r="BS63" s="134"/>
      <c r="BT63" s="134"/>
      <c r="BU63" s="134"/>
      <c r="BV63" s="134"/>
      <c r="BW63" s="134"/>
      <c r="BX63" s="134"/>
      <c r="BY63" s="134"/>
      <c r="BZ63" s="134"/>
      <c r="CA63" s="134"/>
      <c r="CB63" s="134"/>
      <c r="CC63" s="134"/>
      <c r="CD63" s="134"/>
      <c r="CE63" s="134"/>
      <c r="CF63" s="134"/>
      <c r="CG63" s="134"/>
      <c r="CH63" s="134"/>
      <c r="CI63" s="134"/>
      <c r="CJ63" s="134"/>
      <c r="CK63" s="134"/>
      <c r="CL63" s="134"/>
      <c r="CM63" s="134"/>
      <c r="CN63" s="134"/>
      <c r="CO63" s="134"/>
      <c r="CP63" s="134"/>
      <c r="CQ63" s="134"/>
      <c r="CR63" s="134"/>
      <c r="CS63" s="134"/>
      <c r="CT63" s="134"/>
      <c r="CU63" s="134"/>
      <c r="CV63" s="134"/>
      <c r="CW63" s="134"/>
      <c r="CX63" s="134"/>
      <c r="CY63" s="134"/>
      <c r="CZ63" s="134"/>
      <c r="DA63" s="134"/>
      <c r="DB63" s="134"/>
      <c r="DC63" s="134"/>
      <c r="DD63" s="134"/>
      <c r="DE63" s="134"/>
      <c r="DF63" s="134"/>
      <c r="DG63" s="134"/>
      <c r="DH63" s="134"/>
      <c r="DI63" s="134"/>
      <c r="DJ63" s="134"/>
      <c r="DK63" s="134"/>
      <c r="DL63" s="134"/>
      <c r="DM63" s="134"/>
      <c r="DN63" s="134"/>
      <c r="DO63" s="134"/>
      <c r="DP63" s="134"/>
      <c r="DQ63" s="134"/>
      <c r="DR63" s="134"/>
      <c r="DS63" s="134"/>
      <c r="DT63" s="134"/>
      <c r="DU63" s="134"/>
      <c r="DV63" s="134"/>
      <c r="DW63" s="134"/>
      <c r="DX63" s="134"/>
      <c r="DY63" s="134"/>
      <c r="DZ63" s="134"/>
      <c r="EA63" s="134"/>
      <c r="EB63" s="134"/>
    </row>
    <row r="64" spans="1:171" s="38" customFormat="1" ht="13.8" x14ac:dyDescent="0.3">
      <c r="A64" s="262" t="s">
        <v>165</v>
      </c>
      <c r="B64" s="282"/>
      <c r="C64" s="37"/>
      <c r="D64" s="10">
        <f>IF(D3&lt;=Inputs!$C$16,D62*D63,"")</f>
        <v>267500</v>
      </c>
      <c r="E64" s="10">
        <f>IF(E3&lt;=Inputs!$C$16,E62*E63,"")</f>
        <v>0</v>
      </c>
      <c r="F64" s="10">
        <f>IF(F3&lt;=Inputs!$C$16,F62*F63,"")</f>
        <v>0</v>
      </c>
      <c r="G64" s="10">
        <f>IF(G3&lt;=Inputs!$C$16,G62*G63,"")</f>
        <v>0</v>
      </c>
      <c r="H64" s="10">
        <f>IF(H3&lt;=Inputs!$C$16,H62*H63,"")</f>
        <v>19500</v>
      </c>
      <c r="I64" s="10">
        <f>IF(I3&lt;=Inputs!$C$16,I62*I63,"")</f>
        <v>0</v>
      </c>
      <c r="J64" s="10">
        <f>IF(J3&lt;=Inputs!$C$16,J62*J63,"")</f>
        <v>0</v>
      </c>
      <c r="K64" s="10">
        <f>IF(K3&lt;=Inputs!$C$16,K62*K63,"")</f>
        <v>0</v>
      </c>
      <c r="L64" s="10">
        <f>IF(L3&lt;=Inputs!$C$16,L62*L63,"")</f>
        <v>0</v>
      </c>
      <c r="M64" s="10">
        <f>IF(M3&lt;=Inputs!$C$16,M62*M63,"")</f>
        <v>24500</v>
      </c>
      <c r="N64" s="10">
        <f>IF(N3&lt;=Inputs!$C$16,N62*N63,"")</f>
        <v>0</v>
      </c>
      <c r="O64" s="10">
        <f>IF(O3&lt;=Inputs!$C$16,O62*O63,"")</f>
        <v>0</v>
      </c>
      <c r="P64" s="10">
        <f>IF(P3&lt;=Inputs!$C$16,P62*P63,"")</f>
        <v>30000</v>
      </c>
      <c r="Q64" s="10">
        <f>IF(Q3&lt;=Inputs!$C$16,Q62*Q63,"")</f>
        <v>0</v>
      </c>
      <c r="R64" s="10">
        <f>IF(R3&lt;=Inputs!$C$16,R62*R63,"")</f>
        <v>24500</v>
      </c>
      <c r="S64" s="10">
        <f>IF(S3&lt;=Inputs!$C$16,S62*S63,"")</f>
        <v>0</v>
      </c>
      <c r="T64" s="10">
        <f>IF(T3&lt;=Inputs!$C$16,T62*T63,"")</f>
        <v>0</v>
      </c>
      <c r="U64" s="10">
        <f>IF(U3&lt;=Inputs!$C$16,U62*U63,"")</f>
        <v>0</v>
      </c>
      <c r="V64" s="10">
        <f>IF(V3&lt;=Inputs!$C$16,V62*V63,"")</f>
        <v>0</v>
      </c>
      <c r="W64" s="10">
        <f>IF(W3&lt;=Inputs!$C$16,W62*W63,"")</f>
        <v>24500</v>
      </c>
      <c r="X64" s="10">
        <f>IF(X3&lt;=Inputs!$C$16,X62*X63,"")</f>
        <v>0</v>
      </c>
      <c r="Y64" s="10">
        <f>IF(Y3&lt;=Inputs!$C$16,Y62*Y63,"")</f>
        <v>0</v>
      </c>
      <c r="Z64" s="10">
        <f>IF(Z3&lt;=Inputs!$C$16,Z62*Z63,"")</f>
        <v>0</v>
      </c>
      <c r="AA64" s="10">
        <f>IF(AA3&lt;=Inputs!$C$16,AA62*AA63,"")</f>
        <v>0</v>
      </c>
      <c r="AB64" s="10">
        <f>IF(AB3&lt;=Inputs!$C$16,AB62*AB63,"")</f>
        <v>0</v>
      </c>
      <c r="AC64" s="134"/>
      <c r="AD64" s="134"/>
      <c r="AE64" s="134"/>
      <c r="AF64" s="134"/>
      <c r="AG64" s="134"/>
      <c r="AH64" s="134"/>
      <c r="AI64" s="134"/>
      <c r="AJ64" s="134"/>
      <c r="AK64" s="134"/>
      <c r="AL64" s="134"/>
      <c r="AM64" s="134"/>
      <c r="AN64" s="134"/>
      <c r="AO64" s="134"/>
      <c r="AP64" s="134"/>
      <c r="AQ64" s="134"/>
      <c r="AR64" s="134"/>
      <c r="AS64" s="134"/>
      <c r="AT64" s="134"/>
      <c r="AU64" s="134"/>
      <c r="AV64" s="134"/>
      <c r="AW64" s="134"/>
      <c r="AX64" s="134"/>
      <c r="AY64" s="134"/>
      <c r="AZ64" s="134"/>
      <c r="BA64" s="134"/>
      <c r="BB64" s="134"/>
      <c r="BC64" s="134"/>
      <c r="BD64" s="134"/>
      <c r="BE64" s="134"/>
      <c r="BF64" s="134"/>
      <c r="BG64" s="134"/>
      <c r="BH64" s="134"/>
      <c r="BI64" s="134"/>
      <c r="BJ64" s="134"/>
      <c r="BK64" s="134"/>
      <c r="BL64" s="134"/>
      <c r="BM64" s="134"/>
      <c r="BN64" s="134"/>
      <c r="BO64" s="134"/>
      <c r="BP64" s="134"/>
      <c r="BQ64" s="134"/>
      <c r="BR64" s="134"/>
      <c r="BS64" s="134"/>
      <c r="BT64" s="134"/>
      <c r="BU64" s="134"/>
      <c r="BV64" s="134"/>
      <c r="BW64" s="134"/>
      <c r="BX64" s="134"/>
      <c r="BY64" s="134"/>
      <c r="BZ64" s="134"/>
      <c r="CA64" s="134"/>
      <c r="CB64" s="134"/>
      <c r="CC64" s="134"/>
      <c r="CD64" s="134"/>
      <c r="CE64" s="134"/>
      <c r="CF64" s="134"/>
      <c r="CG64" s="134"/>
      <c r="CH64" s="134"/>
      <c r="CI64" s="134"/>
      <c r="CJ64" s="134"/>
      <c r="CK64" s="134"/>
      <c r="CL64" s="134"/>
      <c r="CM64" s="134"/>
      <c r="CN64" s="134"/>
      <c r="CO64" s="134"/>
      <c r="CP64" s="134"/>
      <c r="CQ64" s="134"/>
      <c r="CR64" s="134"/>
      <c r="CS64" s="134"/>
      <c r="CT64" s="134"/>
      <c r="CU64" s="134"/>
      <c r="CV64" s="134"/>
      <c r="CW64" s="134"/>
      <c r="CX64" s="134"/>
      <c r="CY64" s="134"/>
      <c r="CZ64" s="134"/>
      <c r="DA64" s="134"/>
      <c r="DB64" s="134"/>
      <c r="DC64" s="134"/>
      <c r="DD64" s="134"/>
      <c r="DE64" s="134"/>
      <c r="DF64" s="134"/>
      <c r="DG64" s="134"/>
      <c r="DH64" s="134"/>
      <c r="DI64" s="134"/>
      <c r="DJ64" s="134"/>
      <c r="DK64" s="134"/>
      <c r="DL64" s="134"/>
      <c r="DM64" s="134"/>
      <c r="DN64" s="134"/>
      <c r="DO64" s="134"/>
      <c r="DP64" s="134"/>
      <c r="DQ64" s="134"/>
      <c r="DR64" s="134"/>
      <c r="DS64" s="134"/>
      <c r="DT64" s="134"/>
      <c r="DU64" s="134"/>
      <c r="DV64" s="134"/>
      <c r="DW64" s="134"/>
      <c r="DX64" s="134"/>
      <c r="DY64" s="134"/>
      <c r="DZ64" s="134"/>
      <c r="EA64" s="134"/>
      <c r="EB64" s="134"/>
    </row>
    <row r="65" spans="1:132" s="38" customFormat="1" ht="13.8" x14ac:dyDescent="0.3">
      <c r="A65" s="266" t="s">
        <v>243</v>
      </c>
      <c r="B65" s="263"/>
      <c r="C65" s="267"/>
      <c r="D65" s="215">
        <f>IF(D3&lt;=Inputs!$C$16,D12*D63,"")</f>
        <v>375688.36800000002</v>
      </c>
      <c r="E65" s="215">
        <f>IF(E3&lt;=Inputs!$C$16,E12*E63,"")</f>
        <v>374748.36800000002</v>
      </c>
      <c r="F65" s="215">
        <f>IF(F3&lt;=Inputs!$C$16,F12*F63,"")</f>
        <v>373811.36800000002</v>
      </c>
      <c r="G65" s="215">
        <f>IF(G3&lt;=Inputs!$C$16,G12*G63,"")</f>
        <v>372876.36800000002</v>
      </c>
      <c r="H65" s="215">
        <f>IF(H3&lt;=Inputs!$C$16,H12*H63,"")</f>
        <v>371943.36800000002</v>
      </c>
      <c r="I65" s="215">
        <f>IF(I3&lt;=Inputs!$C$16,I12*I63,"")</f>
        <v>371013.36800000002</v>
      </c>
      <c r="J65" s="215">
        <f>IF(J3&lt;=Inputs!$C$16,J12*J63,"")</f>
        <v>370085.36800000002</v>
      </c>
      <c r="K65" s="215">
        <f>IF(K3&lt;=Inputs!$C$16,K12*K63,"")</f>
        <v>369159.36800000002</v>
      </c>
      <c r="L65" s="215">
        <f>IF(L3&lt;=Inputs!$C$16,L12*L63,"")</f>
        <v>368236.36800000002</v>
      </c>
      <c r="M65" s="215">
        <f>IF(M3&lt;=Inputs!$C$16,M12*M63,"")</f>
        <v>367315.36800000002</v>
      </c>
      <c r="N65" s="215">
        <f>IF(N3&lt;=Inputs!$C$16,N12*N63,"")</f>
        <v>366396.36800000002</v>
      </c>
      <c r="O65" s="215">
        <f>IF(O3&lt;=Inputs!$C$16,O12*O63,"")</f>
        <v>365480.36800000002</v>
      </c>
      <c r="P65" s="215">
        <f>IF(P3&lt;=Inputs!$C$16,P12*P63,"")</f>
        <v>364566.36800000002</v>
      </c>
      <c r="Q65" s="215">
        <f>IF(Q3&lt;=Inputs!$C$16,Q12*Q63,"")</f>
        <v>363654.36800000002</v>
      </c>
      <c r="R65" s="215">
        <f>IF(R3&lt;=Inputs!$C$16,R12*R63,"")</f>
        <v>362744.36800000002</v>
      </c>
      <c r="S65" s="215">
        <f>IF(S3&lt;=Inputs!$C$16,S12*S63,"")</f>
        <v>361837.36800000002</v>
      </c>
      <c r="T65" s="215">
        <f>IF(T3&lt;=Inputs!$C$16,T12*T63,"")</f>
        <v>360932.36800000002</v>
      </c>
      <c r="U65" s="215">
        <f>IF(U3&lt;=Inputs!$C$16,U12*U63,"")</f>
        <v>360029.36800000002</v>
      </c>
      <c r="V65" s="215">
        <f>IF(V3&lt;=Inputs!$C$16,V12*V63,"")</f>
        <v>359128.36800000002</v>
      </c>
      <c r="W65" s="215">
        <f>IF(W3&lt;=Inputs!$C$16,W12*W63,"")</f>
        <v>358230.36800000002</v>
      </c>
      <c r="X65" s="215">
        <f>IF(X3&lt;=Inputs!$C$16,X12*X63,"")</f>
        <v>357334.36800000002</v>
      </c>
      <c r="Y65" s="215">
        <f>IF(Y3&lt;=Inputs!$C$16,Y12*Y63,"")</f>
        <v>356440.36800000002</v>
      </c>
      <c r="Z65" s="215">
        <f>IF(Z3&lt;=Inputs!$C$16,Z12*Z63,"")</f>
        <v>355548.36800000002</v>
      </c>
      <c r="AA65" s="215">
        <f>IF(AA3&lt;=Inputs!$C$16,AA12*AA63,"")</f>
        <v>354659.36800000002</v>
      </c>
      <c r="AB65" s="215">
        <f>IF(AB3&lt;=Inputs!$C$16,AB12*AB63,"")</f>
        <v>353772.36800000002</v>
      </c>
      <c r="AC65" s="134"/>
      <c r="AD65" s="134"/>
      <c r="AE65" s="134"/>
      <c r="AF65" s="134"/>
      <c r="AG65" s="134"/>
      <c r="AH65" s="134"/>
      <c r="AI65" s="134"/>
      <c r="AJ65" s="134"/>
      <c r="AK65" s="134"/>
      <c r="AL65" s="134"/>
      <c r="AM65" s="134"/>
      <c r="AN65" s="134"/>
      <c r="AO65" s="134"/>
      <c r="AP65" s="134"/>
      <c r="AQ65" s="134"/>
      <c r="AR65" s="134"/>
      <c r="AS65" s="134"/>
      <c r="AT65" s="134"/>
      <c r="AU65" s="134"/>
      <c r="AV65" s="134"/>
      <c r="AW65" s="134"/>
      <c r="AX65" s="134"/>
      <c r="AY65" s="134"/>
      <c r="AZ65" s="134"/>
      <c r="BA65" s="134"/>
      <c r="BB65" s="134"/>
      <c r="BC65" s="134"/>
      <c r="BD65" s="134"/>
      <c r="BE65" s="134"/>
      <c r="BF65" s="134"/>
      <c r="BG65" s="134"/>
      <c r="BH65" s="134"/>
      <c r="BI65" s="134"/>
      <c r="BJ65" s="134"/>
      <c r="BK65" s="134"/>
      <c r="BL65" s="134"/>
      <c r="BM65" s="134"/>
      <c r="BN65" s="134"/>
      <c r="BO65" s="134"/>
      <c r="BP65" s="134"/>
      <c r="BQ65" s="134"/>
      <c r="BR65" s="134"/>
      <c r="BS65" s="134"/>
      <c r="BT65" s="134"/>
      <c r="BU65" s="134"/>
      <c r="BV65" s="134"/>
      <c r="BW65" s="134"/>
      <c r="BX65" s="134"/>
      <c r="BY65" s="134"/>
      <c r="BZ65" s="134"/>
      <c r="CA65" s="134"/>
      <c r="CB65" s="134"/>
      <c r="CC65" s="134"/>
      <c r="CD65" s="134"/>
      <c r="CE65" s="134"/>
      <c r="CF65" s="134"/>
      <c r="CG65" s="134"/>
      <c r="CH65" s="134"/>
      <c r="CI65" s="134"/>
      <c r="CJ65" s="134"/>
      <c r="CK65" s="134"/>
      <c r="CL65" s="134"/>
      <c r="CM65" s="134"/>
      <c r="CN65" s="134"/>
      <c r="CO65" s="134"/>
      <c r="CP65" s="134"/>
      <c r="CQ65" s="134"/>
      <c r="CR65" s="134"/>
      <c r="CS65" s="134"/>
      <c r="CT65" s="134"/>
      <c r="CU65" s="134"/>
      <c r="CV65" s="134"/>
      <c r="CW65" s="134"/>
      <c r="CX65" s="134"/>
      <c r="CY65" s="134"/>
      <c r="CZ65" s="134"/>
      <c r="DA65" s="134"/>
      <c r="DB65" s="134"/>
      <c r="DC65" s="134"/>
      <c r="DD65" s="134"/>
      <c r="DE65" s="134"/>
      <c r="DF65" s="134"/>
      <c r="DG65" s="134"/>
      <c r="DH65" s="134"/>
      <c r="DI65" s="134"/>
      <c r="DJ65" s="134"/>
      <c r="DK65" s="134"/>
      <c r="DL65" s="134"/>
      <c r="DM65" s="134"/>
      <c r="DN65" s="134"/>
      <c r="DO65" s="134"/>
      <c r="DP65" s="134"/>
      <c r="DQ65" s="134"/>
      <c r="DR65" s="134"/>
      <c r="DS65" s="134"/>
      <c r="DT65" s="134"/>
      <c r="DU65" s="134"/>
      <c r="DV65" s="134"/>
      <c r="DW65" s="134"/>
      <c r="DX65" s="134"/>
      <c r="DY65" s="134"/>
      <c r="DZ65" s="134"/>
      <c r="EA65" s="134"/>
      <c r="EB65" s="134"/>
    </row>
    <row r="66" spans="1:132" s="313" customFormat="1" ht="13.8" x14ac:dyDescent="0.3">
      <c r="A66" s="310" t="s">
        <v>364</v>
      </c>
      <c r="B66" s="311" t="str">
        <f>IF(Inputs!C20="currency","currency/kWh",IF(Inputs!C20="DZD","DZD/kWh",IF(Inputs!C20="AOA","AOA/kWh",IF(Inputs!C20="BWP","BWP/kWh",IF(Inputs!C20="BIF","BIF/kWh",IF(Inputs!C20="CVE","CVE/kWh",IF(Inputs!C20="XAF","XAF/kWh",IF(Inputs!C20="XOF","XOF/kWh",IF(Inputs!C20="KMF","KMF/kWh",IF(Inputs!C20="CDF","CDF/kWh",IF(Inputs!C20="GMD","GMD/kWh",IF(Inputs!C20="DJF","DJF/kWh",IF(Inputs!C20="EGP","EGP/kWh",IF(Inputs!C20="ERN","ERN/kWh",IF(Inputs!C20="ETB","ETB/kWh",IF(Inputs!C20="GHS","GHS/kWh",IF(Inputs!C20="GNF","GNF/kWh",IF(Inputs!C20="KES","KES/kWh",IF(Inputs!C20="LSL","LSL/kWh",IF(Inputs!C20="LRD","LRD/kWh",IF(Inputs!C20="LYD","LYD/kWh",IF(Inputs!C20="SZL","SZL/kWh",IF(Inputs!C20="MGA","MGA/kWh",IF(Inputs!C20="MWK","MWK/kWh",IF(Inputs!C20="MUR","MUR/kWh",IF(Inputs!C20="MAD","MAD/kWh",IF(Inputs!C20="MZN","MZN/kWh",IF(Inputs!C20="NAD","NAD/kWh",IF(Inputs!C20="NGN","NGN/kWh",IF(Inputs!C20="MRU","MRU/kWh",IF(Inputs!C20="ZWD","ZWD/kWh",IF(Inputs!C20="RWF","RWF/kWh",IF(Inputs!C20="STN","STN/kWh",IF(Inputs!C20="SCR","SCR/kWh",IF(Inputs!C20="SLL","SLL/kWh",IF(Inputs!C20="SOS","SOS/kWh",IF(Inputs!C20="ZAR","ZAR/kWh",IF(Inputs!C20="SSP","SSP/kWh",IF(Inputs!C20="SDG","SDG/kWh",IF(Inputs!C20="TZS","TZS/kWh",IF(Inputs!C20="TND","TND/kWh",IF(Inputs!C20="UGX","UGX/kWh",IF(Inputs!C20="ZMW","ZMW/kWh",IF(Inputs!C20="US$","US$/kWh",IF(Inputs!C20="Euro","Euro/kWh",IF(Inputs!C20="GBP","GBP/kWh",IF(Inputs!C20="CFA","CFA/kWh","")))))))))))))))))))))))))))))))))))))))))))))))</f>
        <v>US$/kWh</v>
      </c>
      <c r="C66" s="312"/>
      <c r="D66" s="230">
        <f>IF(SUM(D65:AB65)&gt;0,SUM(D64:AB64)/SUM(D65:AB65),0)</f>
        <v>4.2838498903016296E-2</v>
      </c>
      <c r="E66" s="231"/>
      <c r="F66" s="231"/>
      <c r="G66" s="231"/>
      <c r="H66" s="231"/>
      <c r="I66" s="231"/>
      <c r="J66" s="231"/>
      <c r="K66" s="231"/>
      <c r="L66" s="231"/>
      <c r="M66" s="231"/>
      <c r="N66" s="231"/>
      <c r="O66" s="231"/>
      <c r="P66" s="231"/>
      <c r="Q66" s="231"/>
      <c r="R66" s="231"/>
      <c r="S66" s="231"/>
      <c r="T66" s="231"/>
      <c r="U66" s="231"/>
      <c r="V66" s="231"/>
      <c r="W66" s="231"/>
      <c r="X66" s="231"/>
      <c r="Y66" s="231"/>
      <c r="Z66" s="231"/>
      <c r="AA66" s="231"/>
      <c r="AB66" s="231"/>
      <c r="AC66" s="134"/>
      <c r="AD66" s="134"/>
      <c r="AE66" s="134"/>
      <c r="AF66" s="134"/>
      <c r="AG66" s="134"/>
      <c r="AH66" s="134"/>
      <c r="AI66" s="134"/>
      <c r="AJ66" s="134"/>
      <c r="AK66" s="134"/>
      <c r="AL66" s="134"/>
    </row>
    <row r="68" spans="1:132" s="140" customFormat="1" x14ac:dyDescent="0.3">
      <c r="A68" s="298" t="s">
        <v>259</v>
      </c>
      <c r="B68" s="314" t="str">
        <f>IF(Inputs!C20="currency","currency/kWh",IF(Inputs!C20="DZD","DZD/kWh",IF(Inputs!C20="AOA","AOA/kWh",IF(Inputs!C20="BWP","BWP/kWh",IF(Inputs!C20="BIF","BIF/kWh",IF(Inputs!C20="CVE","CVE/kWh",IF(Inputs!C20="XAF","XAF/kWh",IF(Inputs!C20="XOF","XOF/kWh",IF(Inputs!C20="KMF","KMF/kWh",IF(Inputs!C20="CDF","CDF/kWh",IF(Inputs!C20="GMD","GMD/kWh",IF(Inputs!C20="DJF","DJF/kWh",IF(Inputs!C20="EGP","EGP/kWh",IF(Inputs!C20="ERN","ERN/kWh",IF(Inputs!C20="ETB","ETB/kWh",IF(Inputs!C20="GHS","GHS/kWh",IF(Inputs!C20="GNF","GNF/kWh",IF(Inputs!C20="KES","KES/kWh",IF(Inputs!C20="LSL","LSL/kWh",IF(Inputs!C20="LRD","LRD/kWh",IF(Inputs!C20="LYD","LYD/kWh",IF(Inputs!C20="SZL","SZL/kWh",IF(Inputs!C20="MGA","MGA/kWh",IF(Inputs!C20="MWK","MWK/kWh",IF(Inputs!C20="MUR","MUR/kWh",IF(Inputs!C20="MAD","MAD/kWh",IF(Inputs!C20="MZN","MZN/kWh",IF(Inputs!C20="NAD","NAD/kWh",IF(Inputs!C20="NGN","NGN/kWh",IF(Inputs!C20="MRU","MRU/kWh",IF(Inputs!C20="ZWD","ZWD/kWh",IF(Inputs!C20="RWF","RWF/kWh",IF(Inputs!C20="STN","STN/kWh",IF(Inputs!C20="SCR","SCR/kWh",IF(Inputs!C20="SLL","SLL/kWh",IF(Inputs!C20="SOS","SOS/kWh",IF(Inputs!C20="ZAR","ZAR/kWh",IF(Inputs!C20="SSP","SSP/kWh",IF(Inputs!C20="SDG","SDG/kWh",IF(Inputs!C20="TZS","TZS/kWh",IF(Inputs!C20="TND","TND/kWh",IF(Inputs!C20="UGX","UGX/kWh",IF(Inputs!C20="ZMW","ZMW/kWh",IF(Inputs!C20="US$","US$/kWh",IF(Inputs!C20="Euro","Euro/kWh",IF(Inputs!C20="GBP","GBP/kWh",IF(Inputs!C20="CFA","CFA/kWh","")))))))))))))))))))))))))))))))))))))))))))))))</f>
        <v>US$/kWh</v>
      </c>
      <c r="C68" s="315"/>
      <c r="D68" s="232" t="e">
        <f t="shared" ref="D68:AB68" si="79">D40</f>
        <v>#DIV/0!</v>
      </c>
      <c r="E68" s="232" t="e">
        <f t="shared" si="79"/>
        <v>#DIV/0!</v>
      </c>
      <c r="F68" s="232" t="e">
        <f t="shared" si="79"/>
        <v>#DIV/0!</v>
      </c>
      <c r="G68" s="232" t="e">
        <f t="shared" si="79"/>
        <v>#DIV/0!</v>
      </c>
      <c r="H68" s="232" t="e">
        <f t="shared" si="79"/>
        <v>#DIV/0!</v>
      </c>
      <c r="I68" s="232" t="e">
        <f t="shared" si="79"/>
        <v>#DIV/0!</v>
      </c>
      <c r="J68" s="232" t="e">
        <f t="shared" si="79"/>
        <v>#DIV/0!</v>
      </c>
      <c r="K68" s="232" t="e">
        <f t="shared" si="79"/>
        <v>#DIV/0!</v>
      </c>
      <c r="L68" s="232" t="e">
        <f t="shared" si="79"/>
        <v>#DIV/0!</v>
      </c>
      <c r="M68" s="232" t="e">
        <f t="shared" si="79"/>
        <v>#DIV/0!</v>
      </c>
      <c r="N68" s="232" t="e">
        <f t="shared" si="79"/>
        <v>#DIV/0!</v>
      </c>
      <c r="O68" s="232" t="e">
        <f t="shared" si="79"/>
        <v>#DIV/0!</v>
      </c>
      <c r="P68" s="232" t="e">
        <f t="shared" si="79"/>
        <v>#DIV/0!</v>
      </c>
      <c r="Q68" s="232" t="e">
        <f t="shared" si="79"/>
        <v>#DIV/0!</v>
      </c>
      <c r="R68" s="232" t="e">
        <f t="shared" si="79"/>
        <v>#DIV/0!</v>
      </c>
      <c r="S68" s="232" t="e">
        <f t="shared" si="79"/>
        <v>#DIV/0!</v>
      </c>
      <c r="T68" s="232" t="e">
        <f t="shared" si="79"/>
        <v>#DIV/0!</v>
      </c>
      <c r="U68" s="232" t="e">
        <f t="shared" si="79"/>
        <v>#DIV/0!</v>
      </c>
      <c r="V68" s="232" t="e">
        <f t="shared" si="79"/>
        <v>#DIV/0!</v>
      </c>
      <c r="W68" s="232" t="e">
        <f t="shared" si="79"/>
        <v>#DIV/0!</v>
      </c>
      <c r="X68" s="232" t="e">
        <f t="shared" si="79"/>
        <v>#DIV/0!</v>
      </c>
      <c r="Y68" s="232" t="e">
        <f t="shared" si="79"/>
        <v>#DIV/0!</v>
      </c>
      <c r="Z68" s="232" t="e">
        <f t="shared" si="79"/>
        <v>#DIV/0!</v>
      </c>
      <c r="AA68" s="232" t="e">
        <f t="shared" si="79"/>
        <v>#DIV/0!</v>
      </c>
      <c r="AB68" s="233" t="e">
        <f t="shared" si="79"/>
        <v>#DIV/0!</v>
      </c>
    </row>
    <row r="69" spans="1:132" s="140" customFormat="1" x14ac:dyDescent="0.3">
      <c r="A69" s="34"/>
      <c r="B69" s="83"/>
    </row>
    <row r="70" spans="1:132" s="140" customFormat="1" x14ac:dyDescent="0.3">
      <c r="A70" s="316" t="s">
        <v>260</v>
      </c>
      <c r="B70" s="314" t="s">
        <v>266</v>
      </c>
      <c r="C70" s="315"/>
      <c r="D70" s="448" t="e">
        <f>D37/Inputs!$B$205/12</f>
        <v>#DIV/0!</v>
      </c>
      <c r="E70" s="232" t="e">
        <f>E37/Inputs!$B$205/12</f>
        <v>#DIV/0!</v>
      </c>
      <c r="F70" s="232" t="e">
        <f>F37/Inputs!$B$205/12</f>
        <v>#DIV/0!</v>
      </c>
      <c r="G70" s="232" t="e">
        <f>G37/Inputs!$B$205/12</f>
        <v>#DIV/0!</v>
      </c>
      <c r="H70" s="232" t="e">
        <f>H37/Inputs!$B$205/12</f>
        <v>#DIV/0!</v>
      </c>
      <c r="I70" s="232" t="e">
        <f>I37/Inputs!$B$205/12</f>
        <v>#DIV/0!</v>
      </c>
      <c r="J70" s="232" t="e">
        <f>J37/Inputs!$B$205/12</f>
        <v>#DIV/0!</v>
      </c>
      <c r="K70" s="232" t="e">
        <f>K37/Inputs!$B$205/12</f>
        <v>#DIV/0!</v>
      </c>
      <c r="L70" s="232" t="e">
        <f>L37/Inputs!$B$205/12</f>
        <v>#DIV/0!</v>
      </c>
      <c r="M70" s="232" t="e">
        <f>M37/Inputs!$B$205/12</f>
        <v>#DIV/0!</v>
      </c>
      <c r="N70" s="232" t="e">
        <f>N37/Inputs!$B$205/12</f>
        <v>#DIV/0!</v>
      </c>
      <c r="O70" s="232" t="e">
        <f>O37/Inputs!$B$205/12</f>
        <v>#DIV/0!</v>
      </c>
      <c r="P70" s="232" t="e">
        <f>P37/Inputs!$B$205/12</f>
        <v>#DIV/0!</v>
      </c>
      <c r="Q70" s="232" t="e">
        <f>Q37/Inputs!$B$205/12</f>
        <v>#DIV/0!</v>
      </c>
      <c r="R70" s="232" t="e">
        <f>R37/Inputs!$B$205/12</f>
        <v>#DIV/0!</v>
      </c>
      <c r="S70" s="232" t="e">
        <f>S37/Inputs!$B$205/12</f>
        <v>#DIV/0!</v>
      </c>
      <c r="T70" s="232" t="e">
        <f>T37/Inputs!$B$205/12</f>
        <v>#DIV/0!</v>
      </c>
      <c r="U70" s="232" t="e">
        <f>U37/Inputs!$B$205/12</f>
        <v>#DIV/0!</v>
      </c>
      <c r="V70" s="232" t="e">
        <f>V37/Inputs!$B$205/12</f>
        <v>#DIV/0!</v>
      </c>
      <c r="W70" s="232" t="e">
        <f>W37/Inputs!$B$205/12</f>
        <v>#DIV/0!</v>
      </c>
      <c r="X70" s="232" t="e">
        <f>X37/Inputs!$B$205/12</f>
        <v>#DIV/0!</v>
      </c>
      <c r="Y70" s="232" t="e">
        <f>Y37/Inputs!$B$205/12</f>
        <v>#DIV/0!</v>
      </c>
      <c r="Z70" s="232" t="e">
        <f>Z37/Inputs!$B$205/12</f>
        <v>#DIV/0!</v>
      </c>
      <c r="AA70" s="232" t="e">
        <f>AA37/Inputs!$B$205/12</f>
        <v>#DIV/0!</v>
      </c>
      <c r="AB70" s="233" t="e">
        <f>AB37/Inputs!$B$205/12</f>
        <v>#DIV/0!</v>
      </c>
    </row>
    <row r="71" spans="1:132" s="140" customFormat="1" x14ac:dyDescent="0.3">
      <c r="B71" s="83"/>
    </row>
    <row r="72" spans="1:132" s="163" customFormat="1" x14ac:dyDescent="0.3">
      <c r="A72" s="537" t="s">
        <v>258</v>
      </c>
      <c r="B72" s="317" t="s">
        <v>263</v>
      </c>
      <c r="C72" s="317" t="s">
        <v>266</v>
      </c>
      <c r="D72" s="235" t="e">
        <f>-(-D34-Inputs!$C$139-Inputs!$C$140)/Inputs!$B$205/12</f>
        <v>#DIV/0!</v>
      </c>
      <c r="E72" s="235" t="e">
        <f>-(-E34-Inputs!$C$139-Inputs!$C$140)/Inputs!$B$205/12</f>
        <v>#DIV/0!</v>
      </c>
      <c r="F72" s="235" t="e">
        <f>-(-F34-Inputs!$C$139-Inputs!$C$140)/Inputs!$B$205/12</f>
        <v>#DIV/0!</v>
      </c>
      <c r="G72" s="235" t="e">
        <f>-(-G34-Inputs!$C$139-Inputs!$C$140)/Inputs!$B$205/12</f>
        <v>#DIV/0!</v>
      </c>
      <c r="H72" s="235" t="e">
        <f>-(-H34-Inputs!$C$139-Inputs!$C$140)/Inputs!$B$205/12</f>
        <v>#DIV/0!</v>
      </c>
      <c r="I72" s="235" t="e">
        <f>-(-I34-Inputs!$C$139-Inputs!$C$140)/Inputs!$B$205/12</f>
        <v>#DIV/0!</v>
      </c>
      <c r="J72" s="235" t="e">
        <f>-(-J34-Inputs!$C$139-Inputs!$C$140)/Inputs!$B$205/12</f>
        <v>#DIV/0!</v>
      </c>
      <c r="K72" s="235" t="e">
        <f>-(-K34-Inputs!$C$139-Inputs!$C$140)/Inputs!$B$205/12</f>
        <v>#DIV/0!</v>
      </c>
      <c r="L72" s="235" t="e">
        <f>-(-L34-Inputs!$C$139-Inputs!$C$140)/Inputs!$B$205/12</f>
        <v>#DIV/0!</v>
      </c>
      <c r="M72" s="235" t="e">
        <f>-(-M34-Inputs!$C$139-Inputs!$C$140)/Inputs!$B$205/12</f>
        <v>#DIV/0!</v>
      </c>
      <c r="N72" s="235" t="e">
        <f>-(-N34-Inputs!$C$139-Inputs!$C$140)/Inputs!$B$205/12</f>
        <v>#DIV/0!</v>
      </c>
      <c r="O72" s="235" t="e">
        <f>-(-O34-Inputs!$C$139-Inputs!$C$140)/Inputs!$B$205/12</f>
        <v>#DIV/0!</v>
      </c>
      <c r="P72" s="235" t="e">
        <f>-(-P34-Inputs!$C$139-Inputs!$C$140)/Inputs!$B$205/12</f>
        <v>#DIV/0!</v>
      </c>
      <c r="Q72" s="235" t="e">
        <f>-(-Q34-Inputs!$C$139-Inputs!$C$140)/Inputs!$B$205/12</f>
        <v>#DIV/0!</v>
      </c>
      <c r="R72" s="235" t="e">
        <f>-(-R34-Inputs!$C$139-Inputs!$C$140)/Inputs!$B$205/12</f>
        <v>#DIV/0!</v>
      </c>
      <c r="S72" s="235" t="e">
        <f>-(-S34-Inputs!$C$139-Inputs!$C$140)/Inputs!$B$205/12</f>
        <v>#DIV/0!</v>
      </c>
      <c r="T72" s="235" t="e">
        <f>-(-T34-Inputs!$C$139-Inputs!$C$140)/Inputs!$B$205/12</f>
        <v>#DIV/0!</v>
      </c>
      <c r="U72" s="235" t="e">
        <f>-(-U34-Inputs!$C$139-Inputs!$C$140)/Inputs!$B$205/12</f>
        <v>#DIV/0!</v>
      </c>
      <c r="V72" s="235" t="e">
        <f>-(-V34-Inputs!$C$139-Inputs!$C$140)/Inputs!$B$205/12</f>
        <v>#DIV/0!</v>
      </c>
      <c r="W72" s="235" t="e">
        <f>-(-W34-Inputs!$C$139-Inputs!$C$140)/Inputs!$B$205/12</f>
        <v>#DIV/0!</v>
      </c>
      <c r="X72" s="235" t="e">
        <f>-(-X34-Inputs!$C$139-Inputs!$C$140)/Inputs!$B$205/12</f>
        <v>#DIV/0!</v>
      </c>
      <c r="Y72" s="235" t="e">
        <f>-(-Y34-Inputs!$C$139-Inputs!$C$140)/Inputs!$B$205/12</f>
        <v>#DIV/0!</v>
      </c>
      <c r="Z72" s="235" t="e">
        <f>-(-Z34-Inputs!$C$139-Inputs!$C$140)/Inputs!$B$205/12</f>
        <v>#DIV/0!</v>
      </c>
      <c r="AA72" s="235" t="e">
        <f>-(-AA34-Inputs!$C$139-Inputs!$C$140)/Inputs!$B$205/12</f>
        <v>#DIV/0!</v>
      </c>
      <c r="AB72" s="236" t="e">
        <f>-(-AB34-Inputs!$C$139-Inputs!$C$140)/Inputs!$B$205/12</f>
        <v>#DIV/0!</v>
      </c>
    </row>
    <row r="73" spans="1:132" s="319" customFormat="1" x14ac:dyDescent="0.3">
      <c r="A73" s="538"/>
      <c r="B73" s="318" t="s">
        <v>267</v>
      </c>
      <c r="C73" s="318" t="str">
        <f>IF(Inputs!C20="currency","currency/kWh",IF(Inputs!C20="DZD","DZD/kWh",IF(Inputs!C20="AOA","AOA/kWh",IF(Inputs!C20="BWP","BWP/kWh",IF(Inputs!C20="BIF","BIF/kWh",IF(Inputs!C20="CVE","CVE/kWh",IF(Inputs!C20="XAF","XAF/kWh",IF(Inputs!C20="XOF","XOF/kWh",IF(Inputs!C20="KMF","KMF/kWh",IF(Inputs!C20="CDF","CDF/kWh",IF(Inputs!C20="GMD","GMD/kWh",IF(Inputs!C20="DJF","DJF/kWh",IF(Inputs!C20="EGP","EGP/kWh",IF(Inputs!C20="ERN","ERN/kWh",IF(Inputs!C20="ETB","ETB/kWh",IF(Inputs!C20="GHS","GHS/kWh",IF(Inputs!C20="GNF","GNF/kWh",IF(Inputs!C20="KES","KES/kWh",IF(Inputs!C20="LSL","LSL/kWh",IF(Inputs!C20="LRD","LRD/kWh",IF(Inputs!C20="LYD","LYD/kWh",IF(Inputs!C20="SZL","SZL/kWh",IF(Inputs!C20="MGA","MGA/kWh",IF(Inputs!C20="MWK","MWK/kWh",IF(Inputs!C20="MUR","MUR/kWh",IF(Inputs!C20="MAD","MAD/kWh",IF(Inputs!C20="MZN","MZN/kWh",IF(Inputs!C20="NAD","NAD/kWh",IF(Inputs!C20="NGN","NGN/kWh",IF(Inputs!C20="MRU","MRU/kWh",IF(Inputs!C20="ZWD","ZWD/kWh",IF(Inputs!C20="RWF","RWF/kWh",IF(Inputs!C20="STN","STN/kWh",IF(Inputs!C20="SCR","SCR/kWh",IF(Inputs!C20="SLL","SLL/kWh",IF(Inputs!C20="SOS","SOS/kWh",IF(Inputs!C20="ZAR","ZAR/kWh",IF(Inputs!C20="SSP","SSP/kWh",IF(Inputs!C20="SDG","SDG/kWh",IF(Inputs!C20="TZS","TZS/kWh",IF(Inputs!C20="TND","TND/kWh",IF(Inputs!C20="UGX","UGX/kWh",IF(Inputs!C20="ZMW","ZMW/kWh",IF(Inputs!C20="US$","US$/kWh",IF(Inputs!C20="Euro","Euro/kWh",IF(Inputs!C20="GBP","GBP/kWh",IF(Inputs!C20="CFA","CFA/kWh","")))))))))))))))))))))))))))))))))))))))))))))))</f>
        <v>US$/kWh</v>
      </c>
      <c r="D73" s="237" t="e">
        <f>(Calculations!D37-D34-Inputs!$C$139-Inputs!$C$140)/D12</f>
        <v>#DIV/0!</v>
      </c>
      <c r="E73" s="237" t="e">
        <f>(Calculations!E37-E34-Inputs!$C$139-Inputs!$C$140)/E12</f>
        <v>#DIV/0!</v>
      </c>
      <c r="F73" s="237" t="e">
        <f>(Calculations!F37-F34-Inputs!$C$139-Inputs!$C$140)/F12</f>
        <v>#DIV/0!</v>
      </c>
      <c r="G73" s="237" t="e">
        <f>(Calculations!G37-G34-Inputs!$C$139-Inputs!$C$140)/G12</f>
        <v>#DIV/0!</v>
      </c>
      <c r="H73" s="237" t="e">
        <f>(Calculations!H37-H34-Inputs!$C$139-Inputs!$C$140)/H12</f>
        <v>#DIV/0!</v>
      </c>
      <c r="I73" s="237" t="e">
        <f>(Calculations!I37-I34-Inputs!$C$139-Inputs!$C$140)/I12</f>
        <v>#DIV/0!</v>
      </c>
      <c r="J73" s="237" t="e">
        <f>(Calculations!J37-J34-Inputs!$C$139-Inputs!$C$140)/J12</f>
        <v>#DIV/0!</v>
      </c>
      <c r="K73" s="237" t="e">
        <f>(Calculations!K37-K34-Inputs!$C$139-Inputs!$C$140)/K12</f>
        <v>#DIV/0!</v>
      </c>
      <c r="L73" s="237" t="e">
        <f>(Calculations!L37-L34-Inputs!$C$139-Inputs!$C$140)/L12</f>
        <v>#DIV/0!</v>
      </c>
      <c r="M73" s="237" t="e">
        <f>(Calculations!M37-M34-Inputs!$C$139-Inputs!$C$140)/M12</f>
        <v>#DIV/0!</v>
      </c>
      <c r="N73" s="237" t="e">
        <f>(Calculations!N37-N34-Inputs!$C$139-Inputs!$C$140)/N12</f>
        <v>#DIV/0!</v>
      </c>
      <c r="O73" s="237" t="e">
        <f>(Calculations!O37-O34-Inputs!$C$139-Inputs!$C$140)/O12</f>
        <v>#DIV/0!</v>
      </c>
      <c r="P73" s="237" t="e">
        <f>(Calculations!P37-P34-Inputs!$C$139-Inputs!$C$140)/P12</f>
        <v>#DIV/0!</v>
      </c>
      <c r="Q73" s="237" t="e">
        <f>(Calculations!Q37-Q34-Inputs!$C$139-Inputs!$C$140)/Q12</f>
        <v>#DIV/0!</v>
      </c>
      <c r="R73" s="237" t="e">
        <f>(Calculations!R37-R34-Inputs!$C$139-Inputs!$C$140)/R12</f>
        <v>#DIV/0!</v>
      </c>
      <c r="S73" s="237" t="e">
        <f>(Calculations!S37-S34-Inputs!$C$139-Inputs!$C$140)/S12</f>
        <v>#DIV/0!</v>
      </c>
      <c r="T73" s="237" t="e">
        <f>(Calculations!T37-T34-Inputs!$C$139-Inputs!$C$140)/T12</f>
        <v>#DIV/0!</v>
      </c>
      <c r="U73" s="237" t="e">
        <f>(Calculations!U37-U34-Inputs!$C$139-Inputs!$C$140)/U12</f>
        <v>#DIV/0!</v>
      </c>
      <c r="V73" s="237" t="e">
        <f>(Calculations!V37-V34-Inputs!$C$139-Inputs!$C$140)/V12</f>
        <v>#DIV/0!</v>
      </c>
      <c r="W73" s="237" t="e">
        <f>(Calculations!W37-W34-Inputs!$C$139-Inputs!$C$140)/W12</f>
        <v>#DIV/0!</v>
      </c>
      <c r="X73" s="237" t="e">
        <f>(Calculations!X37-X34-Inputs!$C$139-Inputs!$C$140)/X12</f>
        <v>#DIV/0!</v>
      </c>
      <c r="Y73" s="237" t="e">
        <f>(Calculations!Y37-Y34-Inputs!$C$139-Inputs!$C$140)/Y12</f>
        <v>#DIV/0!</v>
      </c>
      <c r="Z73" s="237" t="e">
        <f>(Calculations!Z37-Z34-Inputs!$C$139-Inputs!$C$140)/Z12</f>
        <v>#DIV/0!</v>
      </c>
      <c r="AA73" s="237" t="e">
        <f>(Calculations!AA37-AA34-Inputs!$C$139-Inputs!$C$140)/AA12</f>
        <v>#DIV/0!</v>
      </c>
      <c r="AB73" s="238" t="e">
        <f>(Calculations!AB37-AB34-Inputs!$C$139-Inputs!$C$140)/AB12</f>
        <v>#DIV/0!</v>
      </c>
    </row>
    <row r="74" spans="1:132" s="319" customFormat="1" x14ac:dyDescent="0.3">
      <c r="A74" s="320"/>
      <c r="B74" s="83"/>
      <c r="C74" s="83"/>
    </row>
    <row r="75" spans="1:132" x14ac:dyDescent="0.3">
      <c r="A75" s="316" t="s">
        <v>264</v>
      </c>
      <c r="B75" s="316"/>
      <c r="C75" s="316"/>
      <c r="D75" s="316"/>
      <c r="E75" s="321"/>
      <c r="F75" s="321"/>
      <c r="G75" s="321"/>
      <c r="H75" s="321"/>
      <c r="I75" s="321"/>
      <c r="J75" s="321"/>
      <c r="K75" s="321"/>
      <c r="L75" s="321"/>
      <c r="M75" s="321"/>
      <c r="N75" s="321"/>
      <c r="O75" s="321"/>
      <c r="P75" s="321"/>
      <c r="Q75" s="321"/>
      <c r="R75" s="321"/>
      <c r="S75" s="321"/>
      <c r="T75" s="321"/>
      <c r="U75" s="321"/>
      <c r="V75" s="321"/>
      <c r="W75" s="321"/>
      <c r="X75" s="321"/>
      <c r="Y75" s="321"/>
      <c r="Z75" s="321"/>
      <c r="AA75" s="321"/>
      <c r="AB75" s="322"/>
    </row>
    <row r="76" spans="1:132" x14ac:dyDescent="0.3">
      <c r="A76" s="323" t="str">
        <f>Inputs!A198</f>
        <v>placeholder1 (Lifeline)</v>
      </c>
      <c r="B76" s="83" t="str">
        <f>IF(Inputs!C20="currency","currency/kWh",IF(Inputs!C20="DZD","DZD/kWh",IF(Inputs!C20="AOA","AOA/kWh",IF(Inputs!C20="BWP","BWP/kWh",IF(Inputs!C20="BIF","BIF/kWh",IF(Inputs!C20="CVE","CVE/kWh",IF(Inputs!C20="XAF","XAF/kWh",IF(Inputs!C20="XOF","XOF/kWh",IF(Inputs!C20="KMF","KMF/kWh",IF(Inputs!C20="CDF","CDF/kWh",IF(Inputs!C20="GMD","GMD/kWh",IF(Inputs!C20="DJF","DJF/kWh",IF(Inputs!C20="EGP","EGP/kWh",IF(Inputs!C20="ERN","ERN/kWh",IF(Inputs!C20="ETB","ETB/kWh",IF(Inputs!C20="GHS","GHS/kWh",IF(Inputs!C20="GNF","GNF/kWh",IF(Inputs!C20="KES","KES/kWh",IF(Inputs!C20="LSL","LSL/kWh",IF(Inputs!C20="LRD","LRD/kWh",IF(Inputs!C20="LYD","LYD/kWh",IF(Inputs!C20="SZL","SZL/kWh",IF(Inputs!C20="MGA","MGA/kWh",IF(Inputs!C20="MWK","MWK/kWh",IF(Inputs!C20="MUR","MUR/kWh",IF(Inputs!C20="MAD","MAD/kWh",IF(Inputs!C20="MZN","MZN/kWh",IF(Inputs!C20="NAD","NAD/kWh",IF(Inputs!C20="NGN","NGN/kWh",IF(Inputs!C20="MRU","MRU/kWh",IF(Inputs!C20="ZWD","ZWD/kWh",IF(Inputs!C20="RWF","RWF/kWh",IF(Inputs!C20="STN","STN/kWh",IF(Inputs!C20="SCR","SCR/kWh",IF(Inputs!C20="SLL","SLL/kWh",IF(Inputs!C20="SOS","SOS/kWh",IF(Inputs!C20="ZAR","ZAR/kWh",IF(Inputs!C20="SSP","SSP/kWh",IF(Inputs!C20="SDG","SDG/kWh",IF(Inputs!C20="TZS","TZS/kWh",IF(Inputs!C20="TND","TND/kWh",IF(Inputs!C20="UGX","UGX/kWh",IF(Inputs!C20="ZMW","ZMW/kWh",IF(Inputs!C20="US$","US$/kWh",IF(Inputs!C20="Euro","Euro/kWh",IF(Inputs!C20="GBP","GBP/kWh",IF(Inputs!C20="CFA","CFA/kWh","")))))))))))))))))))))))))))))))))))))))))))))))</f>
        <v>US$/kWh</v>
      </c>
      <c r="D76" s="234" t="e">
        <f>D$68*Inputs!$G198</f>
        <v>#DIV/0!</v>
      </c>
      <c r="E76" s="234" t="e">
        <f>E$68*Inputs!$G198</f>
        <v>#DIV/0!</v>
      </c>
      <c r="F76" s="234" t="e">
        <f>F$68*Inputs!$G198</f>
        <v>#DIV/0!</v>
      </c>
      <c r="G76" s="234" t="e">
        <f>G$68*Inputs!$G198</f>
        <v>#DIV/0!</v>
      </c>
      <c r="H76" s="234" t="e">
        <f>H$68*Inputs!$G198</f>
        <v>#DIV/0!</v>
      </c>
      <c r="I76" s="234" t="e">
        <f>I$68*Inputs!$G198</f>
        <v>#DIV/0!</v>
      </c>
      <c r="J76" s="234" t="e">
        <f>J$68*Inputs!$G198</f>
        <v>#DIV/0!</v>
      </c>
      <c r="K76" s="234" t="e">
        <f>K$68*Inputs!$G198</f>
        <v>#DIV/0!</v>
      </c>
      <c r="L76" s="234" t="e">
        <f>L$68*Inputs!$G198</f>
        <v>#DIV/0!</v>
      </c>
      <c r="M76" s="234" t="e">
        <f>M$68*Inputs!$G198</f>
        <v>#DIV/0!</v>
      </c>
      <c r="N76" s="234" t="e">
        <f>N$68*Inputs!$G198</f>
        <v>#DIV/0!</v>
      </c>
      <c r="O76" s="234" t="e">
        <f>O$68*Inputs!$G198</f>
        <v>#DIV/0!</v>
      </c>
      <c r="P76" s="234" t="e">
        <f>P$68*Inputs!$G198</f>
        <v>#DIV/0!</v>
      </c>
      <c r="Q76" s="234" t="e">
        <f>Q$68*Inputs!$G198</f>
        <v>#DIV/0!</v>
      </c>
      <c r="R76" s="234" t="e">
        <f>R$68*Inputs!$G198</f>
        <v>#DIV/0!</v>
      </c>
      <c r="S76" s="234" t="e">
        <f>S$68*Inputs!$G198</f>
        <v>#DIV/0!</v>
      </c>
      <c r="T76" s="234" t="e">
        <f>T$68*Inputs!$G198</f>
        <v>#DIV/0!</v>
      </c>
      <c r="U76" s="234" t="e">
        <f>U$68*Inputs!$G198</f>
        <v>#DIV/0!</v>
      </c>
      <c r="V76" s="234" t="e">
        <f>V$68*Inputs!$G198</f>
        <v>#DIV/0!</v>
      </c>
      <c r="W76" s="234" t="e">
        <f>W$68*Inputs!$G198</f>
        <v>#DIV/0!</v>
      </c>
      <c r="X76" s="234" t="e">
        <f>X$68*Inputs!$G198</f>
        <v>#DIV/0!</v>
      </c>
      <c r="Y76" s="234" t="e">
        <f>Y$68*Inputs!$G198</f>
        <v>#DIV/0!</v>
      </c>
      <c r="Z76" s="234" t="e">
        <f>Z$68*Inputs!$G198</f>
        <v>#DIV/0!</v>
      </c>
      <c r="AA76" s="234" t="e">
        <f>AA$68*Inputs!$G198</f>
        <v>#DIV/0!</v>
      </c>
      <c r="AB76" s="239" t="e">
        <f>AB$68*Inputs!$G198</f>
        <v>#DIV/0!</v>
      </c>
    </row>
    <row r="77" spans="1:132" x14ac:dyDescent="0.3">
      <c r="A77" s="323" t="str">
        <f>Inputs!A199</f>
        <v>placeholder2 (Households)</v>
      </c>
      <c r="B77" s="83" t="str">
        <f>IF(Inputs!C20="currency","currency/kWh",IF(Inputs!C20="DZD","DZD/kWh",IF(Inputs!C20="AOA","AOA/kWh",IF(Inputs!C20="BWP","BWP/kWh",IF(Inputs!C20="BIF","BIF/kWh",IF(Inputs!C20="CVE","CVE/kWh",IF(Inputs!C20="XAF","XAF/kWh",IF(Inputs!C20="XOF","XOF/kWh",IF(Inputs!C20="KMF","KMF/kWh",IF(Inputs!C20="CDF","CDF/kWh",IF(Inputs!C20="GMD","GMD/kWh",IF(Inputs!C20="DJF","DJF/kWh",IF(Inputs!C20="EGP","EGP/kWh",IF(Inputs!C20="ERN","ERN/kWh",IF(Inputs!C20="ETB","ETB/kWh",IF(Inputs!C20="GHS","GHS/kWh",IF(Inputs!C20="GNF","GNF/kWh",IF(Inputs!C20="KES","KES/kWh",IF(Inputs!C20="LSL","LSL/kWh",IF(Inputs!C20="LRD","LRD/kWh",IF(Inputs!C20="LYD","LYD/kWh",IF(Inputs!C20="SZL","SZL/kWh",IF(Inputs!C20="MGA","MGA/kWh",IF(Inputs!C20="MWK","MWK/kWh",IF(Inputs!C20="MUR","MUR/kWh",IF(Inputs!C20="MAD","MAD/kWh",IF(Inputs!C20="MZN","MZN/kWh",IF(Inputs!C20="NAD","NAD/kWh",IF(Inputs!C20="NGN","NGN/kWh",IF(Inputs!C20="MRU","MRU/kWh",IF(Inputs!C20="ZWD","ZWD/kWh",IF(Inputs!C20="RWF","RWF/kWh",IF(Inputs!C20="STN","STN/kWh",IF(Inputs!C20="SCR","SCR/kWh",IF(Inputs!C20="SLL","SLL/kWh",IF(Inputs!C20="SOS","SOS/kWh",IF(Inputs!C20="ZAR","ZAR/kWh",IF(Inputs!C20="SSP","SSP/kWh",IF(Inputs!C20="SDG","SDG/kWh",IF(Inputs!C20="TZS","TZS/kWh",IF(Inputs!C20="TND","TND/kWh",IF(Inputs!C20="UGX","UGX/kWh",IF(Inputs!C20="ZMW","ZMW/kWh",IF(Inputs!C20="US$","US$/kWh",IF(Inputs!C20="Euro","Euro/kWh",IF(Inputs!C20="GBP","GBP/kWh",IF(Inputs!C20="CFA","CFA/kWh","")))))))))))))))))))))))))))))))))))))))))))))))</f>
        <v>US$/kWh</v>
      </c>
      <c r="D77" s="234" t="e">
        <f>D$68*Inputs!$G199</f>
        <v>#DIV/0!</v>
      </c>
      <c r="E77" s="234" t="e">
        <f>E$68*Inputs!$G199</f>
        <v>#DIV/0!</v>
      </c>
      <c r="F77" s="234" t="e">
        <f>F$68*Inputs!$G199</f>
        <v>#DIV/0!</v>
      </c>
      <c r="G77" s="234" t="e">
        <f>G$68*Inputs!$G199</f>
        <v>#DIV/0!</v>
      </c>
      <c r="H77" s="234" t="e">
        <f>H$68*Inputs!$G199</f>
        <v>#DIV/0!</v>
      </c>
      <c r="I77" s="234" t="e">
        <f>I$68*Inputs!$G199</f>
        <v>#DIV/0!</v>
      </c>
      <c r="J77" s="234" t="e">
        <f>J$68*Inputs!$G199</f>
        <v>#DIV/0!</v>
      </c>
      <c r="K77" s="234" t="e">
        <f>K$68*Inputs!$G199</f>
        <v>#DIV/0!</v>
      </c>
      <c r="L77" s="234" t="e">
        <f>L$68*Inputs!$G199</f>
        <v>#DIV/0!</v>
      </c>
      <c r="M77" s="234" t="e">
        <f>M$68*Inputs!$G199</f>
        <v>#DIV/0!</v>
      </c>
      <c r="N77" s="234" t="e">
        <f>N$68*Inputs!$G199</f>
        <v>#DIV/0!</v>
      </c>
      <c r="O77" s="234" t="e">
        <f>O$68*Inputs!$G199</f>
        <v>#DIV/0!</v>
      </c>
      <c r="P77" s="234" t="e">
        <f>P$68*Inputs!$G199</f>
        <v>#DIV/0!</v>
      </c>
      <c r="Q77" s="234" t="e">
        <f>Q$68*Inputs!$G199</f>
        <v>#DIV/0!</v>
      </c>
      <c r="R77" s="234" t="e">
        <f>R$68*Inputs!$G199</f>
        <v>#DIV/0!</v>
      </c>
      <c r="S77" s="234" t="e">
        <f>S$68*Inputs!$G199</f>
        <v>#DIV/0!</v>
      </c>
      <c r="T77" s="234" t="e">
        <f>T$68*Inputs!$G199</f>
        <v>#DIV/0!</v>
      </c>
      <c r="U77" s="234" t="e">
        <f>U$68*Inputs!$G199</f>
        <v>#DIV/0!</v>
      </c>
      <c r="V77" s="234" t="e">
        <f>V$68*Inputs!$G199</f>
        <v>#DIV/0!</v>
      </c>
      <c r="W77" s="234" t="e">
        <f>W$68*Inputs!$G199</f>
        <v>#DIV/0!</v>
      </c>
      <c r="X77" s="234" t="e">
        <f>X$68*Inputs!$G199</f>
        <v>#DIV/0!</v>
      </c>
      <c r="Y77" s="234" t="e">
        <f>Y$68*Inputs!$G199</f>
        <v>#DIV/0!</v>
      </c>
      <c r="Z77" s="234" t="e">
        <f>Z$68*Inputs!$G199</f>
        <v>#DIV/0!</v>
      </c>
      <c r="AA77" s="234" t="e">
        <f>AA$68*Inputs!$G199</f>
        <v>#DIV/0!</v>
      </c>
      <c r="AB77" s="239" t="e">
        <f>AB$68*Inputs!$G199</f>
        <v>#DIV/0!</v>
      </c>
    </row>
    <row r="78" spans="1:132" x14ac:dyDescent="0.3">
      <c r="A78" s="323" t="str">
        <f>Inputs!A200</f>
        <v>placeholder3 (Business basic shops for lighting)</v>
      </c>
      <c r="B78" s="83" t="str">
        <f>IF(Inputs!C20="currency","currency/kWh",IF(Inputs!C20="DZD","DZD/kWh",IF(Inputs!C20="AOA","AOA/kWh",IF(Inputs!C20="BWP","BWP/kWh",IF(Inputs!C20="BIF","BIF/kWh",IF(Inputs!C20="CVE","CVE/kWh",IF(Inputs!C20="XAF","XAF/kWh",IF(Inputs!C20="XOF","XOF/kWh",IF(Inputs!C20="KMF","KMF/kWh",IF(Inputs!C20="CDF","CDF/kWh",IF(Inputs!C20="GMD","GMD/kWh",IF(Inputs!C20="DJF","DJF/kWh",IF(Inputs!C20="EGP","EGP/kWh",IF(Inputs!C20="ERN","ERN/kWh",IF(Inputs!C20="ETB","ETB/kWh",IF(Inputs!C20="GHS","GHS/kWh",IF(Inputs!C20="GNF","GNF/kWh",IF(Inputs!C20="KES","KES/kWh",IF(Inputs!C20="LSL","LSL/kWh",IF(Inputs!C20="LRD","LRD/kWh",IF(Inputs!C20="LYD","LYD/kWh",IF(Inputs!C20="SZL","SZL/kWh",IF(Inputs!C20="MGA","MGA/kWh",IF(Inputs!C20="MWK","MWK/kWh",IF(Inputs!C20="MUR","MUR/kWh",IF(Inputs!C20="MAD","MAD/kWh",IF(Inputs!C20="MZN","MZN/kWh",IF(Inputs!C20="NAD","NAD/kWh",IF(Inputs!C20="NGN","NGN/kWh",IF(Inputs!C20="MRU","MRU/kWh",IF(Inputs!C20="ZWD","ZWD/kWh",IF(Inputs!C20="RWF","RWF/kWh",IF(Inputs!C20="STN","STN/kWh",IF(Inputs!C20="SCR","SCR/kWh",IF(Inputs!C20="SLL","SLL/kWh",IF(Inputs!C20="SOS","SOS/kWh",IF(Inputs!C20="ZAR","ZAR/kWh",IF(Inputs!C20="SSP","SSP/kWh",IF(Inputs!C20="SDG","SDG/kWh",IF(Inputs!C20="TZS","TZS/kWh",IF(Inputs!C20="TND","TND/kWh",IF(Inputs!C20="UGX","UGX/kWh",IF(Inputs!C20="ZMW","ZMW/kWh",IF(Inputs!C20="US$","US$/kWh",IF(Inputs!C20="Euro","Euro/kWh",IF(Inputs!C20="GBP","GBP/kWh",IF(Inputs!C20="CFA","CFA/kWh","")))))))))))))))))))))))))))))))))))))))))))))))</f>
        <v>US$/kWh</v>
      </c>
      <c r="D78" s="234" t="e">
        <f>D$68*Inputs!$G200</f>
        <v>#DIV/0!</v>
      </c>
      <c r="E78" s="234" t="e">
        <f>E$68*Inputs!$G200</f>
        <v>#DIV/0!</v>
      </c>
      <c r="F78" s="234" t="e">
        <f>F$68*Inputs!$G200</f>
        <v>#DIV/0!</v>
      </c>
      <c r="G78" s="234" t="e">
        <f>G$68*Inputs!$G200</f>
        <v>#DIV/0!</v>
      </c>
      <c r="H78" s="234" t="e">
        <f>H$68*Inputs!$G200</f>
        <v>#DIV/0!</v>
      </c>
      <c r="I78" s="234" t="e">
        <f>I$68*Inputs!$G200</f>
        <v>#DIV/0!</v>
      </c>
      <c r="J78" s="234" t="e">
        <f>J$68*Inputs!$G200</f>
        <v>#DIV/0!</v>
      </c>
      <c r="K78" s="234" t="e">
        <f>K$68*Inputs!$G200</f>
        <v>#DIV/0!</v>
      </c>
      <c r="L78" s="234" t="e">
        <f>L$68*Inputs!$G200</f>
        <v>#DIV/0!</v>
      </c>
      <c r="M78" s="234" t="e">
        <f>M$68*Inputs!$G200</f>
        <v>#DIV/0!</v>
      </c>
      <c r="N78" s="234" t="e">
        <f>N$68*Inputs!$G200</f>
        <v>#DIV/0!</v>
      </c>
      <c r="O78" s="234" t="e">
        <f>O$68*Inputs!$G200</f>
        <v>#DIV/0!</v>
      </c>
      <c r="P78" s="234" t="e">
        <f>P$68*Inputs!$G200</f>
        <v>#DIV/0!</v>
      </c>
      <c r="Q78" s="234" t="e">
        <f>Q$68*Inputs!$G200</f>
        <v>#DIV/0!</v>
      </c>
      <c r="R78" s="234" t="e">
        <f>R$68*Inputs!$G200</f>
        <v>#DIV/0!</v>
      </c>
      <c r="S78" s="234" t="e">
        <f>S$68*Inputs!$G200</f>
        <v>#DIV/0!</v>
      </c>
      <c r="T78" s="234" t="e">
        <f>T$68*Inputs!$G200</f>
        <v>#DIV/0!</v>
      </c>
      <c r="U78" s="234" t="e">
        <f>U$68*Inputs!$G200</f>
        <v>#DIV/0!</v>
      </c>
      <c r="V78" s="234" t="e">
        <f>V$68*Inputs!$G200</f>
        <v>#DIV/0!</v>
      </c>
      <c r="W78" s="234" t="e">
        <f>W$68*Inputs!$G200</f>
        <v>#DIV/0!</v>
      </c>
      <c r="X78" s="234" t="e">
        <f>X$68*Inputs!$G200</f>
        <v>#DIV/0!</v>
      </c>
      <c r="Y78" s="234" t="e">
        <f>Y$68*Inputs!$G200</f>
        <v>#DIV/0!</v>
      </c>
      <c r="Z78" s="234" t="e">
        <f>Z$68*Inputs!$G200</f>
        <v>#DIV/0!</v>
      </c>
      <c r="AA78" s="234" t="e">
        <f>AA$68*Inputs!$G200</f>
        <v>#DIV/0!</v>
      </c>
      <c r="AB78" s="239" t="e">
        <f>AB$68*Inputs!$G200</f>
        <v>#DIV/0!</v>
      </c>
    </row>
    <row r="79" spans="1:132" x14ac:dyDescent="0.3">
      <c r="A79" s="323" t="str">
        <f>Inputs!A201</f>
        <v>placeholder4 (Business with appliances like fridges, freezers, etc)</v>
      </c>
      <c r="B79" s="83" t="str">
        <f>IF(Inputs!C20="currency","currency/kWh",IF(Inputs!C20="DZD","DZD/kWh",IF(Inputs!C20="AOA","AOA/kWh",IF(Inputs!C20="BWP","BWP/kWh",IF(Inputs!C20="BIF","BIF/kWh",IF(Inputs!C20="CVE","CVE/kWh",IF(Inputs!C20="XAF","XAF/kWh",IF(Inputs!C20="XOF","XOF/kWh",IF(Inputs!C20="KMF","KMF/kWh",IF(Inputs!C20="CDF","CDF/kWh",IF(Inputs!C20="GMD","GMD/kWh",IF(Inputs!C20="DJF","DJF/kWh",IF(Inputs!C20="EGP","EGP/kWh",IF(Inputs!C20="ERN","ERN/kWh",IF(Inputs!C20="ETB","ETB/kWh",IF(Inputs!C20="GHS","GHS/kWh",IF(Inputs!C20="GNF","GNF/kWh",IF(Inputs!C20="KES","KES/kWh",IF(Inputs!C20="LSL","LSL/kWh",IF(Inputs!C20="LRD","LRD/kWh",IF(Inputs!C20="LYD","LYD/kWh",IF(Inputs!C20="SZL","SZL/kWh",IF(Inputs!C20="MGA","MGA/kWh",IF(Inputs!C20="MWK","MWK/kWh",IF(Inputs!C20="MUR","MUR/kWh",IF(Inputs!C20="MAD","MAD/kWh",IF(Inputs!C20="MZN","MZN/kWh",IF(Inputs!C20="NAD","NAD/kWh",IF(Inputs!C20="NGN","NGN/kWh",IF(Inputs!C20="MRU","MRU/kWh",IF(Inputs!C20="ZWD","ZWD/kWh",IF(Inputs!C20="RWF","RWF/kWh",IF(Inputs!C20="STN","STN/kWh",IF(Inputs!C20="SCR","SCR/kWh",IF(Inputs!C20="SLL","SLL/kWh",IF(Inputs!C20="SOS","SOS/kWh",IF(Inputs!C20="ZAR","ZAR/kWh",IF(Inputs!C20="SSP","SSP/kWh",IF(Inputs!C20="SDG","SDG/kWh",IF(Inputs!C20="TZS","TZS/kWh",IF(Inputs!C20="TND","TND/kWh",IF(Inputs!C20="UGX","UGX/kWh",IF(Inputs!C20="ZMW","ZMW/kWh",IF(Inputs!C20="US$","US$/kWh",IF(Inputs!C20="Euro","Euro/kWh",IF(Inputs!C20="GBP","GBP/kWh",IF(Inputs!C20="CFA","CFA/kWh","")))))))))))))))))))))))))))))))))))))))))))))))</f>
        <v>US$/kWh</v>
      </c>
      <c r="D79" s="234" t="e">
        <f>D$68*Inputs!$G201</f>
        <v>#DIV/0!</v>
      </c>
      <c r="E79" s="234" t="e">
        <f>E$68*Inputs!$G201</f>
        <v>#DIV/0!</v>
      </c>
      <c r="F79" s="234" t="e">
        <f>F$68*Inputs!$G201</f>
        <v>#DIV/0!</v>
      </c>
      <c r="G79" s="234" t="e">
        <f>G$68*Inputs!$G201</f>
        <v>#DIV/0!</v>
      </c>
      <c r="H79" s="234" t="e">
        <f>H$68*Inputs!$G201</f>
        <v>#DIV/0!</v>
      </c>
      <c r="I79" s="234" t="e">
        <f>I$68*Inputs!$G201</f>
        <v>#DIV/0!</v>
      </c>
      <c r="J79" s="234" t="e">
        <f>J$68*Inputs!$G201</f>
        <v>#DIV/0!</v>
      </c>
      <c r="K79" s="234" t="e">
        <f>K$68*Inputs!$G201</f>
        <v>#DIV/0!</v>
      </c>
      <c r="L79" s="234" t="e">
        <f>L$68*Inputs!$G201</f>
        <v>#DIV/0!</v>
      </c>
      <c r="M79" s="234" t="e">
        <f>M$68*Inputs!$G201</f>
        <v>#DIV/0!</v>
      </c>
      <c r="N79" s="234" t="e">
        <f>N$68*Inputs!$G201</f>
        <v>#DIV/0!</v>
      </c>
      <c r="O79" s="234" t="e">
        <f>O$68*Inputs!$G201</f>
        <v>#DIV/0!</v>
      </c>
      <c r="P79" s="234" t="e">
        <f>P$68*Inputs!$G201</f>
        <v>#DIV/0!</v>
      </c>
      <c r="Q79" s="234" t="e">
        <f>Q$68*Inputs!$G201</f>
        <v>#DIV/0!</v>
      </c>
      <c r="R79" s="234" t="e">
        <f>R$68*Inputs!$G201</f>
        <v>#DIV/0!</v>
      </c>
      <c r="S79" s="234" t="e">
        <f>S$68*Inputs!$G201</f>
        <v>#DIV/0!</v>
      </c>
      <c r="T79" s="234" t="e">
        <f>T$68*Inputs!$G201</f>
        <v>#DIV/0!</v>
      </c>
      <c r="U79" s="234" t="e">
        <f>U$68*Inputs!$G201</f>
        <v>#DIV/0!</v>
      </c>
      <c r="V79" s="234" t="e">
        <f>V$68*Inputs!$G201</f>
        <v>#DIV/0!</v>
      </c>
      <c r="W79" s="234" t="e">
        <f>W$68*Inputs!$G201</f>
        <v>#DIV/0!</v>
      </c>
      <c r="X79" s="234" t="e">
        <f>X$68*Inputs!$G201</f>
        <v>#DIV/0!</v>
      </c>
      <c r="Y79" s="234" t="e">
        <f>Y$68*Inputs!$G201</f>
        <v>#DIV/0!</v>
      </c>
      <c r="Z79" s="234" t="e">
        <f>Z$68*Inputs!$G201</f>
        <v>#DIV/0!</v>
      </c>
      <c r="AA79" s="234" t="e">
        <f>AA$68*Inputs!$G201</f>
        <v>#DIV/0!</v>
      </c>
      <c r="AB79" s="239" t="e">
        <f>AB$68*Inputs!$G201</f>
        <v>#DIV/0!</v>
      </c>
    </row>
    <row r="80" spans="1:132" x14ac:dyDescent="0.3">
      <c r="A80" s="323" t="str">
        <f>Inputs!A202</f>
        <v>placeholder5 (Anchor-Mines/Timber Mills/Procesors, Bank, etc)</v>
      </c>
      <c r="B80" s="83" t="str">
        <f>IF(Inputs!C20="currency","currency/kWh",IF(Inputs!C20="DZD","DZD/kWh",IF(Inputs!C20="AOA","AOA/kWh",IF(Inputs!C20="BWP","BWP/kWh",IF(Inputs!C20="BIF","BIF/kWh",IF(Inputs!C20="CVE","CVE/kWh",IF(Inputs!C20="XAF","XAF/kWh",IF(Inputs!C20="XOF","XOF/kWh",IF(Inputs!C20="KMF","KMF/kWh",IF(Inputs!C20="CDF","CDF/kWh",IF(Inputs!C20="GMD","GMD/kWh",IF(Inputs!C20="DJF","DJF/kWh",IF(Inputs!C20="EGP","EGP/kWh",IF(Inputs!C20="ERN","ERN/kWh",IF(Inputs!C20="ETB","ETB/kWh",IF(Inputs!C20="GHS","GHS/kWh",IF(Inputs!C20="GNF","GNF/kWh",IF(Inputs!C20="KES","KES/kWh",IF(Inputs!C20="LSL","LSL/kWh",IF(Inputs!C20="LRD","LRD/kWh",IF(Inputs!C20="LYD","LYD/kWh",IF(Inputs!C20="SZL","SZL/kWh",IF(Inputs!C20="MGA","MGA/kWh",IF(Inputs!C20="MWK","MWK/kWh",IF(Inputs!C20="MUR","MUR/kWh",IF(Inputs!C20="MAD","MAD/kWh",IF(Inputs!C20="MZN","MZN/kWh",IF(Inputs!C20="NAD","NAD/kWh",IF(Inputs!C20="NGN","NGN/kWh",IF(Inputs!C20="MRU","MRU/kWh",IF(Inputs!C20="ZWD","ZWD/kWh",IF(Inputs!C20="RWF","RWF/kWh",IF(Inputs!C20="STN","STN/kWh",IF(Inputs!C20="SCR","SCR/kWh",IF(Inputs!C20="SLL","SLL/kWh",IF(Inputs!C20="SOS","SOS/kWh",IF(Inputs!C20="ZAR","ZAR/kWh",IF(Inputs!C20="SSP","SSP/kWh",IF(Inputs!C20="SDG","SDG/kWh",IF(Inputs!C20="TZS","TZS/kWh",IF(Inputs!C20="TND","TND/kWh",IF(Inputs!C20="UGX","UGX/kWh",IF(Inputs!C20="ZMW","ZMW/kWh",IF(Inputs!C20="US$","US$/kWh",IF(Inputs!C20="Euro","Euro/kWh",IF(Inputs!C20="GBP","GBP/kWh",IF(Inputs!C20="CFA","CFA/kWh","")))))))))))))))))))))))))))))))))))))))))))))))</f>
        <v>US$/kWh</v>
      </c>
      <c r="D80" s="234" t="e">
        <f>D$68*Inputs!$G202</f>
        <v>#DIV/0!</v>
      </c>
      <c r="E80" s="234" t="e">
        <f>E$68*Inputs!$G202</f>
        <v>#DIV/0!</v>
      </c>
      <c r="F80" s="234" t="e">
        <f>F$68*Inputs!$G202</f>
        <v>#DIV/0!</v>
      </c>
      <c r="G80" s="234" t="e">
        <f>G$68*Inputs!$G202</f>
        <v>#DIV/0!</v>
      </c>
      <c r="H80" s="234" t="e">
        <f>H$68*Inputs!$G202</f>
        <v>#DIV/0!</v>
      </c>
      <c r="I80" s="234" t="e">
        <f>I$68*Inputs!$G202</f>
        <v>#DIV/0!</v>
      </c>
      <c r="J80" s="234" t="e">
        <f>J$68*Inputs!$G202</f>
        <v>#DIV/0!</v>
      </c>
      <c r="K80" s="234" t="e">
        <f>K$68*Inputs!$G202</f>
        <v>#DIV/0!</v>
      </c>
      <c r="L80" s="234" t="e">
        <f>L$68*Inputs!$G202</f>
        <v>#DIV/0!</v>
      </c>
      <c r="M80" s="234" t="e">
        <f>M$68*Inputs!$G202</f>
        <v>#DIV/0!</v>
      </c>
      <c r="N80" s="234" t="e">
        <f>N$68*Inputs!$G202</f>
        <v>#DIV/0!</v>
      </c>
      <c r="O80" s="234" t="e">
        <f>O$68*Inputs!$G202</f>
        <v>#DIV/0!</v>
      </c>
      <c r="P80" s="234" t="e">
        <f>P$68*Inputs!$G202</f>
        <v>#DIV/0!</v>
      </c>
      <c r="Q80" s="234" t="e">
        <f>Q$68*Inputs!$G202</f>
        <v>#DIV/0!</v>
      </c>
      <c r="R80" s="234" t="e">
        <f>R$68*Inputs!$G202</f>
        <v>#DIV/0!</v>
      </c>
      <c r="S80" s="234" t="e">
        <f>S$68*Inputs!$G202</f>
        <v>#DIV/0!</v>
      </c>
      <c r="T80" s="234" t="e">
        <f>T$68*Inputs!$G202</f>
        <v>#DIV/0!</v>
      </c>
      <c r="U80" s="234" t="e">
        <f>U$68*Inputs!$G202</f>
        <v>#DIV/0!</v>
      </c>
      <c r="V80" s="234" t="e">
        <f>V$68*Inputs!$G202</f>
        <v>#DIV/0!</v>
      </c>
      <c r="W80" s="234" t="e">
        <f>W$68*Inputs!$G202</f>
        <v>#DIV/0!</v>
      </c>
      <c r="X80" s="234" t="e">
        <f>X$68*Inputs!$G202</f>
        <v>#DIV/0!</v>
      </c>
      <c r="Y80" s="234" t="e">
        <f>Y$68*Inputs!$G202</f>
        <v>#DIV/0!</v>
      </c>
      <c r="Z80" s="234" t="e">
        <f>Z$68*Inputs!$G202</f>
        <v>#DIV/0!</v>
      </c>
      <c r="AA80" s="234" t="e">
        <f>AA$68*Inputs!$G202</f>
        <v>#DIV/0!</v>
      </c>
      <c r="AB80" s="239" t="e">
        <f>AB$68*Inputs!$G202</f>
        <v>#DIV/0!</v>
      </c>
    </row>
    <row r="81" spans="1:28" x14ac:dyDescent="0.3">
      <c r="A81" s="323" t="str">
        <f>Inputs!A203</f>
        <v>placeholder6 (Institutions – schools, health centres, admin centres, etc)</v>
      </c>
      <c r="B81" s="83" t="str">
        <f>IF(Inputs!C20="currency","currency/kWh",IF(Inputs!C20="DZD","DZD/kWh",IF(Inputs!C20="AOA","AOA/kWh",IF(Inputs!C20="BWP","BWP/kWh",IF(Inputs!C20="BIF","BIF/kWh",IF(Inputs!C20="CVE","CVE/kWh",IF(Inputs!C20="XAF","XAF/kWh",IF(Inputs!C20="XOF","XOF/kWh",IF(Inputs!C20="KMF","KMF/kWh",IF(Inputs!C20="CDF","CDF/kWh",IF(Inputs!C20="GMD","GMD/kWh",IF(Inputs!C20="DJF","DJF/kWh",IF(Inputs!C20="EGP","EGP/kWh",IF(Inputs!C20="ERN","ERN/kWh",IF(Inputs!C20="ETB","ETB/kWh",IF(Inputs!C20="GHS","GHS/kWh",IF(Inputs!C20="GNF","GNF/kWh",IF(Inputs!C20="KES","KES/kWh",IF(Inputs!C20="LSL","LSL/kWh",IF(Inputs!C20="LRD","LRD/kWh",IF(Inputs!C20="LYD","LYD/kWh",IF(Inputs!C20="SZL","SZL/kWh",IF(Inputs!C20="MGA","MGA/kWh",IF(Inputs!C20="MWK","MWK/kWh",IF(Inputs!C20="MUR","MUR/kWh",IF(Inputs!C20="MAD","MAD/kWh",IF(Inputs!C20="MZN","MZN/kWh",IF(Inputs!C20="NAD","NAD/kWh",IF(Inputs!C20="NGN","NGN/kWh",IF(Inputs!C20="MRU","MRU/kWh",IF(Inputs!C20="ZWD","ZWD/kWh",IF(Inputs!C20="RWF","RWF/kWh",IF(Inputs!C20="STN","STN/kWh",IF(Inputs!C20="SCR","SCR/kWh",IF(Inputs!C20="SLL","SLL/kWh",IF(Inputs!C20="SOS","SOS/kWh",IF(Inputs!C20="ZAR","ZAR/kWh",IF(Inputs!C20="SSP","SSP/kWh",IF(Inputs!C20="SDG","SDG/kWh",IF(Inputs!C20="TZS","TZS/kWh",IF(Inputs!C20="TND","TND/kWh",IF(Inputs!C20="UGX","UGX/kWh",IF(Inputs!C20="ZMW","ZMW/kWh",IF(Inputs!C20="US$","US$/kWh",IF(Inputs!C20="Euro","Euro/kWh",IF(Inputs!C20="GBP","GBP/kWh",IF(Inputs!C20="CFA","CFA/kWh","")))))))))))))))))))))))))))))))))))))))))))))))</f>
        <v>US$/kWh</v>
      </c>
      <c r="D81" s="234" t="e">
        <f>D$68*Inputs!$G203</f>
        <v>#DIV/0!</v>
      </c>
      <c r="E81" s="234" t="e">
        <f>E$68*Inputs!$G203</f>
        <v>#DIV/0!</v>
      </c>
      <c r="F81" s="234" t="e">
        <f>F$68*Inputs!$G203</f>
        <v>#DIV/0!</v>
      </c>
      <c r="G81" s="234" t="e">
        <f>G$68*Inputs!$G203</f>
        <v>#DIV/0!</v>
      </c>
      <c r="H81" s="234" t="e">
        <f>H$68*Inputs!$G203</f>
        <v>#DIV/0!</v>
      </c>
      <c r="I81" s="234" t="e">
        <f>I$68*Inputs!$G203</f>
        <v>#DIV/0!</v>
      </c>
      <c r="J81" s="234" t="e">
        <f>J$68*Inputs!$G203</f>
        <v>#DIV/0!</v>
      </c>
      <c r="K81" s="234" t="e">
        <f>K$68*Inputs!$G203</f>
        <v>#DIV/0!</v>
      </c>
      <c r="L81" s="234" t="e">
        <f>L$68*Inputs!$G203</f>
        <v>#DIV/0!</v>
      </c>
      <c r="M81" s="234" t="e">
        <f>M$68*Inputs!$G203</f>
        <v>#DIV/0!</v>
      </c>
      <c r="N81" s="234" t="e">
        <f>N$68*Inputs!$G203</f>
        <v>#DIV/0!</v>
      </c>
      <c r="O81" s="234" t="e">
        <f>O$68*Inputs!$G203</f>
        <v>#DIV/0!</v>
      </c>
      <c r="P81" s="234" t="e">
        <f>P$68*Inputs!$G203</f>
        <v>#DIV/0!</v>
      </c>
      <c r="Q81" s="234" t="e">
        <f>Q$68*Inputs!$G203</f>
        <v>#DIV/0!</v>
      </c>
      <c r="R81" s="234" t="e">
        <f>R$68*Inputs!$G203</f>
        <v>#DIV/0!</v>
      </c>
      <c r="S81" s="234" t="e">
        <f>S$68*Inputs!$G203</f>
        <v>#DIV/0!</v>
      </c>
      <c r="T81" s="234" t="e">
        <f>T$68*Inputs!$G203</f>
        <v>#DIV/0!</v>
      </c>
      <c r="U81" s="234" t="e">
        <f>U$68*Inputs!$G203</f>
        <v>#DIV/0!</v>
      </c>
      <c r="V81" s="234" t="e">
        <f>V$68*Inputs!$G203</f>
        <v>#DIV/0!</v>
      </c>
      <c r="W81" s="234" t="e">
        <f>W$68*Inputs!$G203</f>
        <v>#DIV/0!</v>
      </c>
      <c r="X81" s="234" t="e">
        <f>X$68*Inputs!$G203</f>
        <v>#DIV/0!</v>
      </c>
      <c r="Y81" s="234" t="e">
        <f>Y$68*Inputs!$G203</f>
        <v>#DIV/0!</v>
      </c>
      <c r="Z81" s="234" t="e">
        <f>Z$68*Inputs!$G203</f>
        <v>#DIV/0!</v>
      </c>
      <c r="AA81" s="234" t="e">
        <f>AA$68*Inputs!$G203</f>
        <v>#DIV/0!</v>
      </c>
      <c r="AB81" s="239" t="e">
        <f>AB$68*Inputs!$G203</f>
        <v>#DIV/0!</v>
      </c>
    </row>
    <row r="82" spans="1:28" x14ac:dyDescent="0.3">
      <c r="A82" s="324" t="str">
        <f>Inputs!A204</f>
        <v>placeholder7 (Street lighting)</v>
      </c>
      <c r="B82" s="318" t="str">
        <f>IF(Inputs!C20="currency","currency/kWh",IF(Inputs!C20="DZD","DZD/kWh",IF(Inputs!C20="AOA","AOA/kWh",IF(Inputs!C20="BWP","BWP/kWh",IF(Inputs!C20="BIF","BIF/kWh",IF(Inputs!C20="CVE","CVE/kWh",IF(Inputs!C20="XAF","XAF/kWh",IF(Inputs!C20="XOF","XOF/kWh",IF(Inputs!C20="KMF","KMF/kWh",IF(Inputs!C20="CDF","CDF/kWh",IF(Inputs!C20="GMD","GMD/kWh",IF(Inputs!C20="DJF","DJF/kWh",IF(Inputs!C20="EGP","EGP/kWh",IF(Inputs!C20="ERN","ERN/kWh",IF(Inputs!C20="ETB","ETB/kWh",IF(Inputs!C20="GHS","GHS/kWh",IF(Inputs!C20="GNF","GNF/kWh",IF(Inputs!C20="KES","KES/kWh",IF(Inputs!C20="LSL","LSL/kWh",IF(Inputs!C20="LRD","LRD/kWh",IF(Inputs!C20="LYD","LYD/kWh",IF(Inputs!C20="SZL","SZL/kWh",IF(Inputs!C20="MGA","MGA/kWh",IF(Inputs!C20="MWK","MWK/kWh",IF(Inputs!C20="MUR","MUR/kWh",IF(Inputs!C20="MAD","MAD/kWh",IF(Inputs!C20="MZN","MZN/kWh",IF(Inputs!C20="NAD","NAD/kWh",IF(Inputs!C20="NGN","NGN/kWh",IF(Inputs!C20="MRU","MRU/kWh",IF(Inputs!C20="ZWD","ZWD/kWh",IF(Inputs!C20="RWF","RWF/kWh",IF(Inputs!C20="STN","STN/kWh",IF(Inputs!C20="SCR","SCR/kWh",IF(Inputs!C20="SLL","SLL/kWh",IF(Inputs!C20="SOS","SOS/kWh",IF(Inputs!C20="ZAR","ZAR/kWh",IF(Inputs!C20="SSP","SSP/kWh",IF(Inputs!C20="SDG","SDG/kWh",IF(Inputs!C20="TZS","TZS/kWh",IF(Inputs!C20="TND","TND/kWh",IF(Inputs!C20="UGX","UGX/kWh",IF(Inputs!C20="ZMW","ZMW/kWh",IF(Inputs!C20="US$","US$/kWh",IF(Inputs!C20="Euro","Euro/kWh",IF(Inputs!C20="GBP","GBP/kWh",IF(Inputs!C20="CFA","CFA/kWh","")))))))))))))))))))))))))))))))))))))))))))))))</f>
        <v>US$/kWh</v>
      </c>
      <c r="C82" s="325"/>
      <c r="D82" s="240" t="e">
        <f>D$68*Inputs!$G204</f>
        <v>#DIV/0!</v>
      </c>
      <c r="E82" s="240" t="e">
        <f>E$68*Inputs!$G204</f>
        <v>#DIV/0!</v>
      </c>
      <c r="F82" s="240" t="e">
        <f>F$68*Inputs!$G204</f>
        <v>#DIV/0!</v>
      </c>
      <c r="G82" s="240" t="e">
        <f>G$68*Inputs!$G204</f>
        <v>#DIV/0!</v>
      </c>
      <c r="H82" s="240" t="e">
        <f>H$68*Inputs!$G204</f>
        <v>#DIV/0!</v>
      </c>
      <c r="I82" s="240" t="e">
        <f>I$68*Inputs!$G204</f>
        <v>#DIV/0!</v>
      </c>
      <c r="J82" s="240" t="e">
        <f>J$68*Inputs!$G204</f>
        <v>#DIV/0!</v>
      </c>
      <c r="K82" s="240" t="e">
        <f>K$68*Inputs!$G204</f>
        <v>#DIV/0!</v>
      </c>
      <c r="L82" s="240" t="e">
        <f>L$68*Inputs!$G204</f>
        <v>#DIV/0!</v>
      </c>
      <c r="M82" s="240" t="e">
        <f>M$68*Inputs!$G204</f>
        <v>#DIV/0!</v>
      </c>
      <c r="N82" s="240" t="e">
        <f>N$68*Inputs!$G204</f>
        <v>#DIV/0!</v>
      </c>
      <c r="O82" s="240" t="e">
        <f>O$68*Inputs!$G204</f>
        <v>#DIV/0!</v>
      </c>
      <c r="P82" s="240" t="e">
        <f>P$68*Inputs!$G204</f>
        <v>#DIV/0!</v>
      </c>
      <c r="Q82" s="240" t="e">
        <f>Q$68*Inputs!$G204</f>
        <v>#DIV/0!</v>
      </c>
      <c r="R82" s="240" t="e">
        <f>R$68*Inputs!$G204</f>
        <v>#DIV/0!</v>
      </c>
      <c r="S82" s="240" t="e">
        <f>S$68*Inputs!$G204</f>
        <v>#DIV/0!</v>
      </c>
      <c r="T82" s="240" t="e">
        <f>T$68*Inputs!$G204</f>
        <v>#DIV/0!</v>
      </c>
      <c r="U82" s="240" t="e">
        <f>U$68*Inputs!$G204</f>
        <v>#DIV/0!</v>
      </c>
      <c r="V82" s="240" t="e">
        <f>V$68*Inputs!$G204</f>
        <v>#DIV/0!</v>
      </c>
      <c r="W82" s="240" t="e">
        <f>W$68*Inputs!$G204</f>
        <v>#DIV/0!</v>
      </c>
      <c r="X82" s="240" t="e">
        <f>X$68*Inputs!$G204</f>
        <v>#DIV/0!</v>
      </c>
      <c r="Y82" s="240" t="e">
        <f>Y$68*Inputs!$G204</f>
        <v>#DIV/0!</v>
      </c>
      <c r="Z82" s="240" t="e">
        <f>Z$68*Inputs!$G204</f>
        <v>#DIV/0!</v>
      </c>
      <c r="AA82" s="240" t="e">
        <f>AA$68*Inputs!$G204</f>
        <v>#DIV/0!</v>
      </c>
      <c r="AB82" s="241" t="e">
        <f>AB$68*Inputs!$G204</f>
        <v>#DIV/0!</v>
      </c>
    </row>
    <row r="84" spans="1:28" x14ac:dyDescent="0.3">
      <c r="A84" s="316" t="s">
        <v>264</v>
      </c>
      <c r="B84" s="316"/>
      <c r="C84" s="316"/>
      <c r="D84" s="316"/>
    </row>
    <row r="85" spans="1:28" x14ac:dyDescent="0.3">
      <c r="A85" s="535" t="str">
        <f>Inputs!A198</f>
        <v>placeholder1 (Lifeline)</v>
      </c>
      <c r="B85" s="158" t="s">
        <v>263</v>
      </c>
      <c r="C85" s="158" t="s">
        <v>266</v>
      </c>
      <c r="D85" s="234" t="e">
        <f>D$72*Inputs!$G198</f>
        <v>#DIV/0!</v>
      </c>
      <c r="E85" s="234" t="e">
        <f>E$72*Inputs!$G198</f>
        <v>#DIV/0!</v>
      </c>
      <c r="F85" s="234" t="e">
        <f>F$72*Inputs!$G198</f>
        <v>#DIV/0!</v>
      </c>
      <c r="G85" s="234" t="e">
        <f>G$72*Inputs!$G198</f>
        <v>#DIV/0!</v>
      </c>
      <c r="H85" s="234" t="e">
        <f>H$72*Inputs!$G198</f>
        <v>#DIV/0!</v>
      </c>
      <c r="I85" s="234" t="e">
        <f>I$72*Inputs!$G198</f>
        <v>#DIV/0!</v>
      </c>
      <c r="J85" s="234" t="e">
        <f>J$72*Inputs!$G198</f>
        <v>#DIV/0!</v>
      </c>
      <c r="K85" s="234" t="e">
        <f>K$72*Inputs!$G198</f>
        <v>#DIV/0!</v>
      </c>
      <c r="L85" s="234" t="e">
        <f>L$72*Inputs!$G198</f>
        <v>#DIV/0!</v>
      </c>
      <c r="M85" s="234" t="e">
        <f>M$72*Inputs!$G198</f>
        <v>#DIV/0!</v>
      </c>
      <c r="N85" s="234" t="e">
        <f>N$72*Inputs!$G198</f>
        <v>#DIV/0!</v>
      </c>
      <c r="O85" s="234" t="e">
        <f>O$72*Inputs!$G198</f>
        <v>#DIV/0!</v>
      </c>
      <c r="P85" s="234" t="e">
        <f>P$72*Inputs!$G198</f>
        <v>#DIV/0!</v>
      </c>
      <c r="Q85" s="234" t="e">
        <f>Q$72*Inputs!$G198</f>
        <v>#DIV/0!</v>
      </c>
      <c r="R85" s="234" t="e">
        <f>R$72*Inputs!$G198</f>
        <v>#DIV/0!</v>
      </c>
      <c r="S85" s="234" t="e">
        <f>S$72*Inputs!$G198</f>
        <v>#DIV/0!</v>
      </c>
      <c r="T85" s="234" t="e">
        <f>T$72*Inputs!$G198</f>
        <v>#DIV/0!</v>
      </c>
      <c r="U85" s="234" t="e">
        <f>U$72*Inputs!$G198</f>
        <v>#DIV/0!</v>
      </c>
      <c r="V85" s="234" t="e">
        <f>V$72*Inputs!$G198</f>
        <v>#DIV/0!</v>
      </c>
      <c r="W85" s="234" t="e">
        <f>W$72*Inputs!$G198</f>
        <v>#DIV/0!</v>
      </c>
      <c r="X85" s="234" t="e">
        <f>X$72*Inputs!$G198</f>
        <v>#DIV/0!</v>
      </c>
      <c r="Y85" s="234" t="e">
        <f>Y$72*Inputs!$G198</f>
        <v>#DIV/0!</v>
      </c>
      <c r="Z85" s="234" t="e">
        <f>Z$72*Inputs!$G198</f>
        <v>#DIV/0!</v>
      </c>
      <c r="AA85" s="234" t="e">
        <f>AA$72*Inputs!$G198</f>
        <v>#DIV/0!</v>
      </c>
      <c r="AB85" s="234" t="e">
        <f>AB$72*Inputs!$G198</f>
        <v>#DIV/0!</v>
      </c>
    </row>
    <row r="86" spans="1:28" x14ac:dyDescent="0.3">
      <c r="A86" s="536"/>
      <c r="B86" s="83" t="s">
        <v>267</v>
      </c>
      <c r="C86" s="83" t="str">
        <f>IF(Inputs!C20="currency","currency/kWh",IF(Inputs!C20="DZD","DZD/kWh",IF(Inputs!C20="AOA","AOA/kWh",IF(Inputs!C20="BWP","BWP/kWh",IF(Inputs!C20="BIF","BIF/kWh",IF(Inputs!C20="CVE","CVE/kWh",IF(Inputs!C20="XAF","XAF/kWh",IF(Inputs!C20="XOF","XOF/kWh",IF(Inputs!C20="KMF","KMF/kWh",IF(Inputs!C20="CDF","CDF/kWh",IF(Inputs!C20="GMD","GMD/kWh",IF(Inputs!C20="DJF","DJF/kWh",IF(Inputs!C20="EGP","EGP/kWh",IF(Inputs!C20="ERN","ERN/kWh",IF(Inputs!C20="ETB","ETB/kWh",IF(Inputs!C20="GHS","GHS/kWh",IF(Inputs!C20="GNF","GNF/kWh",IF(Inputs!C20="KES","KES/kWh",IF(Inputs!C20="LSL","LSL/kWh",IF(Inputs!C20="LRD","LRD/kWh",IF(Inputs!C20="LYD","LYD/kWh",IF(Inputs!C20="SZL","SZL/kWh",IF(Inputs!C20="MGA","MGA/kWh",IF(Inputs!C20="MWK","MWK/kWh",IF(Inputs!C20="MUR","MUR/kWh",IF(Inputs!C20="MAD","MAD/kWh",IF(Inputs!C20="MZN","MZN/kWh",IF(Inputs!C20="NAD","NAD/kWh",IF(Inputs!C20="NGN","NGN/kWh",IF(Inputs!C20="MRU","MRU/kWh",IF(Inputs!C20="ZWD","ZWD/kWh",IF(Inputs!C20="RWF","RWF/kWh",IF(Inputs!C20="STN","STN/kWh",IF(Inputs!C20="SCR","SCR/kWh",IF(Inputs!C20="SLL","SLL/kWh",IF(Inputs!C20="SOS","SOS/kWh",IF(Inputs!C20="ZAR","ZAR/kWh",IF(Inputs!C20="SSP","SSP/kWh",IF(Inputs!C20="SDG","SDG/kWh",IF(Inputs!C20="TZS","TZS/kWh",IF(Inputs!C20="TND","TND/kWh",IF(Inputs!C20="UGX","UGX/kWh",IF(Inputs!C20="ZMW","ZMW/kWh",IF(Inputs!C20="US$","US$/kWh",IF(Inputs!C20="Euro","Euro/kWh",IF(Inputs!C20="GBP","GBP/kWh",IF(Inputs!C20="CFA","CFA/kWh","")))))))))))))))))))))))))))))))))))))))))))))))</f>
        <v>US$/kWh</v>
      </c>
      <c r="D86" s="234" t="e">
        <f>D$73*Inputs!$G198</f>
        <v>#DIV/0!</v>
      </c>
      <c r="E86" s="234" t="e">
        <f>E$73*Inputs!$G198</f>
        <v>#DIV/0!</v>
      </c>
      <c r="F86" s="234" t="e">
        <f>F$73*Inputs!$G198</f>
        <v>#DIV/0!</v>
      </c>
      <c r="G86" s="234" t="e">
        <f>G$73*Inputs!$G198</f>
        <v>#DIV/0!</v>
      </c>
      <c r="H86" s="234" t="e">
        <f>H$73*Inputs!$G198</f>
        <v>#DIV/0!</v>
      </c>
      <c r="I86" s="234" t="e">
        <f>I$73*Inputs!$G198</f>
        <v>#DIV/0!</v>
      </c>
      <c r="J86" s="234" t="e">
        <f>J$73*Inputs!$G198</f>
        <v>#DIV/0!</v>
      </c>
      <c r="K86" s="234" t="e">
        <f>K$73*Inputs!$G198</f>
        <v>#DIV/0!</v>
      </c>
      <c r="L86" s="234" t="e">
        <f>L$73*Inputs!$G198</f>
        <v>#DIV/0!</v>
      </c>
      <c r="M86" s="234" t="e">
        <f>M$73*Inputs!$G198</f>
        <v>#DIV/0!</v>
      </c>
      <c r="N86" s="234" t="e">
        <f>N$73*Inputs!$G198</f>
        <v>#DIV/0!</v>
      </c>
      <c r="O86" s="234" t="e">
        <f>O$73*Inputs!$G198</f>
        <v>#DIV/0!</v>
      </c>
      <c r="P86" s="234" t="e">
        <f>P$73*Inputs!$G198</f>
        <v>#DIV/0!</v>
      </c>
      <c r="Q86" s="234" t="e">
        <f>Q$73*Inputs!$G198</f>
        <v>#DIV/0!</v>
      </c>
      <c r="R86" s="234" t="e">
        <f>R$73*Inputs!$G198</f>
        <v>#DIV/0!</v>
      </c>
      <c r="S86" s="234" t="e">
        <f>S$73*Inputs!$G198</f>
        <v>#DIV/0!</v>
      </c>
      <c r="T86" s="234" t="e">
        <f>T$73*Inputs!$G198</f>
        <v>#DIV/0!</v>
      </c>
      <c r="U86" s="234" t="e">
        <f>U$73*Inputs!$G198</f>
        <v>#DIV/0!</v>
      </c>
      <c r="V86" s="234" t="e">
        <f>V$73*Inputs!$G198</f>
        <v>#DIV/0!</v>
      </c>
      <c r="W86" s="234" t="e">
        <f>W$73*Inputs!$G198</f>
        <v>#DIV/0!</v>
      </c>
      <c r="X86" s="234" t="e">
        <f>X$73*Inputs!$G198</f>
        <v>#DIV/0!</v>
      </c>
      <c r="Y86" s="234" t="e">
        <f>Y$73*Inputs!$G198</f>
        <v>#DIV/0!</v>
      </c>
      <c r="Z86" s="234" t="e">
        <f>Z$73*Inputs!$G198</f>
        <v>#DIV/0!</v>
      </c>
      <c r="AA86" s="234" t="e">
        <f>AA$73*Inputs!$G198</f>
        <v>#DIV/0!</v>
      </c>
      <c r="AB86" s="234" t="e">
        <f>AB$73*Inputs!$G198</f>
        <v>#DIV/0!</v>
      </c>
    </row>
    <row r="87" spans="1:28" x14ac:dyDescent="0.3">
      <c r="A87" s="535" t="str">
        <f>Inputs!A199</f>
        <v>placeholder2 (Households)</v>
      </c>
      <c r="B87" s="158" t="s">
        <v>263</v>
      </c>
      <c r="C87" s="158" t="s">
        <v>266</v>
      </c>
      <c r="D87" s="234" t="e">
        <f>D$72*Inputs!$G199</f>
        <v>#DIV/0!</v>
      </c>
      <c r="E87" s="234" t="e">
        <f>E$72*Inputs!$G199</f>
        <v>#DIV/0!</v>
      </c>
      <c r="F87" s="234" t="e">
        <f>F$72*Inputs!$G199</f>
        <v>#DIV/0!</v>
      </c>
      <c r="G87" s="234" t="e">
        <f>G$72*Inputs!$G199</f>
        <v>#DIV/0!</v>
      </c>
      <c r="H87" s="234" t="e">
        <f>H$72*Inputs!$G199</f>
        <v>#DIV/0!</v>
      </c>
      <c r="I87" s="234" t="e">
        <f>I$72*Inputs!$G199</f>
        <v>#DIV/0!</v>
      </c>
      <c r="J87" s="234" t="e">
        <f>J$72*Inputs!$G199</f>
        <v>#DIV/0!</v>
      </c>
      <c r="K87" s="234" t="e">
        <f>K$72*Inputs!$G199</f>
        <v>#DIV/0!</v>
      </c>
      <c r="L87" s="234" t="e">
        <f>L$72*Inputs!$G199</f>
        <v>#DIV/0!</v>
      </c>
      <c r="M87" s="234" t="e">
        <f>M$72*Inputs!$G199</f>
        <v>#DIV/0!</v>
      </c>
      <c r="N87" s="234" t="e">
        <f>N$72*Inputs!$G199</f>
        <v>#DIV/0!</v>
      </c>
      <c r="O87" s="234" t="e">
        <f>O$72*Inputs!$G199</f>
        <v>#DIV/0!</v>
      </c>
      <c r="P87" s="234" t="e">
        <f>P$72*Inputs!$G199</f>
        <v>#DIV/0!</v>
      </c>
      <c r="Q87" s="234" t="e">
        <f>Q$72*Inputs!$G199</f>
        <v>#DIV/0!</v>
      </c>
      <c r="R87" s="234" t="e">
        <f>R$72*Inputs!$G199</f>
        <v>#DIV/0!</v>
      </c>
      <c r="S87" s="234" t="e">
        <f>S$72*Inputs!$G199</f>
        <v>#DIV/0!</v>
      </c>
      <c r="T87" s="234" t="e">
        <f>T$72*Inputs!$G199</f>
        <v>#DIV/0!</v>
      </c>
      <c r="U87" s="234" t="e">
        <f>U$72*Inputs!$G199</f>
        <v>#DIV/0!</v>
      </c>
      <c r="V87" s="234" t="e">
        <f>V$72*Inputs!$G199</f>
        <v>#DIV/0!</v>
      </c>
      <c r="W87" s="234" t="e">
        <f>W$72*Inputs!$G199</f>
        <v>#DIV/0!</v>
      </c>
      <c r="X87" s="234" t="e">
        <f>X$72*Inputs!$G199</f>
        <v>#DIV/0!</v>
      </c>
      <c r="Y87" s="234" t="e">
        <f>Y$72*Inputs!$G199</f>
        <v>#DIV/0!</v>
      </c>
      <c r="Z87" s="234" t="e">
        <f>Z$72*Inputs!$G199</f>
        <v>#DIV/0!</v>
      </c>
      <c r="AA87" s="234" t="e">
        <f>AA$72*Inputs!$G199</f>
        <v>#DIV/0!</v>
      </c>
      <c r="AB87" s="234" t="e">
        <f>AB$72*Inputs!$G199</f>
        <v>#DIV/0!</v>
      </c>
    </row>
    <row r="88" spans="1:28" x14ac:dyDescent="0.3">
      <c r="A88" s="536"/>
      <c r="B88" s="83" t="s">
        <v>267</v>
      </c>
      <c r="C88" s="83" t="str">
        <f>IF(Inputs!C20="currency","currency/kWh",IF(Inputs!C20="DZD","DZD/kWh",IF(Inputs!C20="AOA","AOA/kWh",IF(Inputs!C20="BWP","BWP/kWh",IF(Inputs!C20="BIF","BIF/kWh",IF(Inputs!C20="CVE","CVE/kWh",IF(Inputs!C20="XAF","XAF/kWh",IF(Inputs!C20="XOF","XOF/kWh",IF(Inputs!C20="KMF","KMF/kWh",IF(Inputs!C20="CDF","CDF/kWh",IF(Inputs!C20="GMD","GMD/kWh",IF(Inputs!C20="DJF","DJF/kWh",IF(Inputs!C20="EGP","EGP/kWh",IF(Inputs!C20="ERN","ERN/kWh",IF(Inputs!C20="ETB","ETB/kWh",IF(Inputs!C20="GHS","GHS/kWh",IF(Inputs!C20="GNF","GNF/kWh",IF(Inputs!C20="KES","KES/kWh",IF(Inputs!C20="LSL","LSL/kWh",IF(Inputs!C20="LRD","LRD/kWh",IF(Inputs!C20="LYD","LYD/kWh",IF(Inputs!C20="SZL","SZL/kWh",IF(Inputs!C20="MGA","MGA/kWh",IF(Inputs!C20="MWK","MWK/kWh",IF(Inputs!C20="MUR","MUR/kWh",IF(Inputs!C20="MAD","MAD/kWh",IF(Inputs!C20="MZN","MZN/kWh",IF(Inputs!C20="NAD","NAD/kWh",IF(Inputs!C20="NGN","NGN/kWh",IF(Inputs!C20="MRU","MRU/kWh",IF(Inputs!C20="ZWD","ZWD/kWh",IF(Inputs!C20="RWF","RWF/kWh",IF(Inputs!C20="STN","STN/kWh",IF(Inputs!C20="SCR","SCR/kWh",IF(Inputs!C20="SLL","SLL/kWh",IF(Inputs!C20="SOS","SOS/kWh",IF(Inputs!C20="ZAR","ZAR/kWh",IF(Inputs!C20="SSP","SSP/kWh",IF(Inputs!C20="SDG","SDG/kWh",IF(Inputs!C20="TZS","TZS/kWh",IF(Inputs!C20="TND","TND/kWh",IF(Inputs!C20="UGX","UGX/kWh",IF(Inputs!C20="ZMW","ZMW/kWh",IF(Inputs!C20="US$","US$/kWh",IF(Inputs!C20="Euro","Euro/kWh",IF(Inputs!C20="GBP","GBP/kWh",IF(Inputs!C20="CFA","CFA/kWh","")))))))))))))))))))))))))))))))))))))))))))))))</f>
        <v>US$/kWh</v>
      </c>
      <c r="D88" s="234" t="e">
        <f>D$73*Inputs!$G199</f>
        <v>#DIV/0!</v>
      </c>
      <c r="E88" s="234" t="e">
        <f>E$73*Inputs!$G199</f>
        <v>#DIV/0!</v>
      </c>
      <c r="F88" s="234" t="e">
        <f>F$73*Inputs!$G199</f>
        <v>#DIV/0!</v>
      </c>
      <c r="G88" s="234" t="e">
        <f>G$73*Inputs!$G199</f>
        <v>#DIV/0!</v>
      </c>
      <c r="H88" s="234" t="e">
        <f>H$73*Inputs!$G199</f>
        <v>#DIV/0!</v>
      </c>
      <c r="I88" s="234" t="e">
        <f>I$73*Inputs!$G199</f>
        <v>#DIV/0!</v>
      </c>
      <c r="J88" s="234" t="e">
        <f>J$73*Inputs!$G199</f>
        <v>#DIV/0!</v>
      </c>
      <c r="K88" s="234" t="e">
        <f>K$73*Inputs!$G199</f>
        <v>#DIV/0!</v>
      </c>
      <c r="L88" s="234" t="e">
        <f>L$73*Inputs!$G199</f>
        <v>#DIV/0!</v>
      </c>
      <c r="M88" s="234" t="e">
        <f>M$73*Inputs!$G199</f>
        <v>#DIV/0!</v>
      </c>
      <c r="N88" s="234" t="e">
        <f>N$73*Inputs!$G199</f>
        <v>#DIV/0!</v>
      </c>
      <c r="O88" s="234" t="e">
        <f>O$73*Inputs!$G199</f>
        <v>#DIV/0!</v>
      </c>
      <c r="P88" s="234" t="e">
        <f>P$73*Inputs!$G199</f>
        <v>#DIV/0!</v>
      </c>
      <c r="Q88" s="234" t="e">
        <f>Q$73*Inputs!$G199</f>
        <v>#DIV/0!</v>
      </c>
      <c r="R88" s="234" t="e">
        <f>R$73*Inputs!$G199</f>
        <v>#DIV/0!</v>
      </c>
      <c r="S88" s="234" t="e">
        <f>S$73*Inputs!$G199</f>
        <v>#DIV/0!</v>
      </c>
      <c r="T88" s="234" t="e">
        <f>T$73*Inputs!$G199</f>
        <v>#DIV/0!</v>
      </c>
      <c r="U88" s="234" t="e">
        <f>U$73*Inputs!$G199</f>
        <v>#DIV/0!</v>
      </c>
      <c r="V88" s="234" t="e">
        <f>V$73*Inputs!$G199</f>
        <v>#DIV/0!</v>
      </c>
      <c r="W88" s="234" t="e">
        <f>W$73*Inputs!$G199</f>
        <v>#DIV/0!</v>
      </c>
      <c r="X88" s="234" t="e">
        <f>X$73*Inputs!$G199</f>
        <v>#DIV/0!</v>
      </c>
      <c r="Y88" s="234" t="e">
        <f>Y$73*Inputs!$G199</f>
        <v>#DIV/0!</v>
      </c>
      <c r="Z88" s="234" t="e">
        <f>Z$73*Inputs!$G199</f>
        <v>#DIV/0!</v>
      </c>
      <c r="AA88" s="234" t="e">
        <f>AA$73*Inputs!$G199</f>
        <v>#DIV/0!</v>
      </c>
      <c r="AB88" s="234" t="e">
        <f>AB$73*Inputs!$G199</f>
        <v>#DIV/0!</v>
      </c>
    </row>
    <row r="89" spans="1:28" x14ac:dyDescent="0.3">
      <c r="A89" s="535" t="str">
        <f>Inputs!A200</f>
        <v>placeholder3 (Business basic shops for lighting)</v>
      </c>
      <c r="B89" s="158" t="s">
        <v>263</v>
      </c>
      <c r="C89" s="158" t="s">
        <v>266</v>
      </c>
      <c r="D89" s="234" t="e">
        <f>D$72*Inputs!$G200</f>
        <v>#DIV/0!</v>
      </c>
      <c r="E89" s="234" t="e">
        <f>E$72*Inputs!$G200</f>
        <v>#DIV/0!</v>
      </c>
      <c r="F89" s="234" t="e">
        <f>F$72*Inputs!$G200</f>
        <v>#DIV/0!</v>
      </c>
      <c r="G89" s="234" t="e">
        <f>G$72*Inputs!$G200</f>
        <v>#DIV/0!</v>
      </c>
      <c r="H89" s="234" t="e">
        <f>H$72*Inputs!$G200</f>
        <v>#DIV/0!</v>
      </c>
      <c r="I89" s="234" t="e">
        <f>I$72*Inputs!$G200</f>
        <v>#DIV/0!</v>
      </c>
      <c r="J89" s="234" t="e">
        <f>J$72*Inputs!$G200</f>
        <v>#DIV/0!</v>
      </c>
      <c r="K89" s="234" t="e">
        <f>K$72*Inputs!$G200</f>
        <v>#DIV/0!</v>
      </c>
      <c r="L89" s="234" t="e">
        <f>L$72*Inputs!$G200</f>
        <v>#DIV/0!</v>
      </c>
      <c r="M89" s="234" t="e">
        <f>M$72*Inputs!$G200</f>
        <v>#DIV/0!</v>
      </c>
      <c r="N89" s="234" t="e">
        <f>N$72*Inputs!$G200</f>
        <v>#DIV/0!</v>
      </c>
      <c r="O89" s="234" t="e">
        <f>O$72*Inputs!$G200</f>
        <v>#DIV/0!</v>
      </c>
      <c r="P89" s="234" t="e">
        <f>P$72*Inputs!$G200</f>
        <v>#DIV/0!</v>
      </c>
      <c r="Q89" s="234" t="e">
        <f>Q$72*Inputs!$G200</f>
        <v>#DIV/0!</v>
      </c>
      <c r="R89" s="234" t="e">
        <f>R$72*Inputs!$G200</f>
        <v>#DIV/0!</v>
      </c>
      <c r="S89" s="234" t="e">
        <f>S$72*Inputs!$G200</f>
        <v>#DIV/0!</v>
      </c>
      <c r="T89" s="234" t="e">
        <f>T$72*Inputs!$G200</f>
        <v>#DIV/0!</v>
      </c>
      <c r="U89" s="234" t="e">
        <f>U$72*Inputs!$G200</f>
        <v>#DIV/0!</v>
      </c>
      <c r="V89" s="234" t="e">
        <f>V$72*Inputs!$G200</f>
        <v>#DIV/0!</v>
      </c>
      <c r="W89" s="234" t="e">
        <f>W$72*Inputs!$G200</f>
        <v>#DIV/0!</v>
      </c>
      <c r="X89" s="234" t="e">
        <f>X$72*Inputs!$G200</f>
        <v>#DIV/0!</v>
      </c>
      <c r="Y89" s="234" t="e">
        <f>Y$72*Inputs!$G200</f>
        <v>#DIV/0!</v>
      </c>
      <c r="Z89" s="234" t="e">
        <f>Z$72*Inputs!$G200</f>
        <v>#DIV/0!</v>
      </c>
      <c r="AA89" s="234" t="e">
        <f>AA$72*Inputs!$G200</f>
        <v>#DIV/0!</v>
      </c>
      <c r="AB89" s="234" t="e">
        <f>AB$72*Inputs!$G200</f>
        <v>#DIV/0!</v>
      </c>
    </row>
    <row r="90" spans="1:28" x14ac:dyDescent="0.3">
      <c r="A90" s="536"/>
      <c r="B90" s="83" t="s">
        <v>267</v>
      </c>
      <c r="C90" s="83" t="str">
        <f>IF(Inputs!C20="currency","currency/kWh",IF(Inputs!C20="DZD","DZD/kWh",IF(Inputs!C20="AOA","AOA/kWh",IF(Inputs!C20="BWP","BWP/kWh",IF(Inputs!C20="BIF","BIF/kWh",IF(Inputs!C20="CVE","CVE/kWh",IF(Inputs!C20="XAF","XAF/kWh",IF(Inputs!C20="XOF","XOF/kWh",IF(Inputs!C20="KMF","KMF/kWh",IF(Inputs!C20="CDF","CDF/kWh",IF(Inputs!C20="GMD","GMD/kWh",IF(Inputs!C20="DJF","DJF/kWh",IF(Inputs!C20="EGP","EGP/kWh",IF(Inputs!C20="ERN","ERN/kWh",IF(Inputs!C20="ETB","ETB/kWh",IF(Inputs!C20="GHS","GHS/kWh",IF(Inputs!C20="GNF","GNF/kWh",IF(Inputs!C20="KES","KES/kWh",IF(Inputs!C20="LSL","LSL/kWh",IF(Inputs!C20="LRD","LRD/kWh",IF(Inputs!C20="LYD","LYD/kWh",IF(Inputs!C20="SZL","SZL/kWh",IF(Inputs!C20="MGA","MGA/kWh",IF(Inputs!C20="MWK","MWK/kWh",IF(Inputs!C20="MUR","MUR/kWh",IF(Inputs!C20="MAD","MAD/kWh",IF(Inputs!C20="MZN","MZN/kWh",IF(Inputs!C20="NAD","NAD/kWh",IF(Inputs!C20="NGN","NGN/kWh",IF(Inputs!C20="MRU","MRU/kWh",IF(Inputs!C20="ZWD","ZWD/kWh",IF(Inputs!C20="RWF","RWF/kWh",IF(Inputs!C20="STN","STN/kWh",IF(Inputs!C20="SCR","SCR/kWh",IF(Inputs!C20="SLL","SLL/kWh",IF(Inputs!C20="SOS","SOS/kWh",IF(Inputs!C20="ZAR","ZAR/kWh",IF(Inputs!C20="SSP","SSP/kWh",IF(Inputs!C20="SDG","SDG/kWh",IF(Inputs!C20="TZS","TZS/kWh",IF(Inputs!C20="TND","TND/kWh",IF(Inputs!C20="UGX","UGX/kWh",IF(Inputs!C20="ZMW","ZMW/kWh",IF(Inputs!C20="US$","US$/kWh",IF(Inputs!C20="Euro","Euro/kWh",IF(Inputs!C20="GBP","GBP/kWh",IF(Inputs!C20="CFA","CFA/kWh","")))))))))))))))))))))))))))))))))))))))))))))))</f>
        <v>US$/kWh</v>
      </c>
      <c r="D90" s="234" t="e">
        <f>D$73*Inputs!$G200</f>
        <v>#DIV/0!</v>
      </c>
      <c r="E90" s="234" t="e">
        <f>E$73*Inputs!$G200</f>
        <v>#DIV/0!</v>
      </c>
      <c r="F90" s="234" t="e">
        <f>F$73*Inputs!$G200</f>
        <v>#DIV/0!</v>
      </c>
      <c r="G90" s="234" t="e">
        <f>G$73*Inputs!$G200</f>
        <v>#DIV/0!</v>
      </c>
      <c r="H90" s="234" t="e">
        <f>H$73*Inputs!$G200</f>
        <v>#DIV/0!</v>
      </c>
      <c r="I90" s="234" t="e">
        <f>I$73*Inputs!$G200</f>
        <v>#DIV/0!</v>
      </c>
      <c r="J90" s="234" t="e">
        <f>J$73*Inputs!$G200</f>
        <v>#DIV/0!</v>
      </c>
      <c r="K90" s="234" t="e">
        <f>K$73*Inputs!$G200</f>
        <v>#DIV/0!</v>
      </c>
      <c r="L90" s="234" t="e">
        <f>L$73*Inputs!$G200</f>
        <v>#DIV/0!</v>
      </c>
      <c r="M90" s="234" t="e">
        <f>M$73*Inputs!$G200</f>
        <v>#DIV/0!</v>
      </c>
      <c r="N90" s="234" t="e">
        <f>N$73*Inputs!$G200</f>
        <v>#DIV/0!</v>
      </c>
      <c r="O90" s="234" t="e">
        <f>O$73*Inputs!$G200</f>
        <v>#DIV/0!</v>
      </c>
      <c r="P90" s="234" t="e">
        <f>P$73*Inputs!$G200</f>
        <v>#DIV/0!</v>
      </c>
      <c r="Q90" s="234" t="e">
        <f>Q$73*Inputs!$G200</f>
        <v>#DIV/0!</v>
      </c>
      <c r="R90" s="234" t="e">
        <f>R$73*Inputs!$G200</f>
        <v>#DIV/0!</v>
      </c>
      <c r="S90" s="234" t="e">
        <f>S$73*Inputs!$G200</f>
        <v>#DIV/0!</v>
      </c>
      <c r="T90" s="234" t="e">
        <f>T$73*Inputs!$G200</f>
        <v>#DIV/0!</v>
      </c>
      <c r="U90" s="234" t="e">
        <f>U$73*Inputs!$G200</f>
        <v>#DIV/0!</v>
      </c>
      <c r="V90" s="234" t="e">
        <f>V$73*Inputs!$G200</f>
        <v>#DIV/0!</v>
      </c>
      <c r="W90" s="234" t="e">
        <f>W$73*Inputs!$G200</f>
        <v>#DIV/0!</v>
      </c>
      <c r="X90" s="234" t="e">
        <f>X$73*Inputs!$G200</f>
        <v>#DIV/0!</v>
      </c>
      <c r="Y90" s="234" t="e">
        <f>Y$73*Inputs!$G200</f>
        <v>#DIV/0!</v>
      </c>
      <c r="Z90" s="234" t="e">
        <f>Z$73*Inputs!$G200</f>
        <v>#DIV/0!</v>
      </c>
      <c r="AA90" s="234" t="e">
        <f>AA$73*Inputs!$G200</f>
        <v>#DIV/0!</v>
      </c>
      <c r="AB90" s="234" t="e">
        <f>AB$73*Inputs!$G200</f>
        <v>#DIV/0!</v>
      </c>
    </row>
    <row r="91" spans="1:28" x14ac:dyDescent="0.3">
      <c r="A91" s="535" t="str">
        <f>Inputs!A201</f>
        <v>placeholder4 (Business with appliances like fridges, freezers, etc)</v>
      </c>
      <c r="B91" s="158" t="s">
        <v>263</v>
      </c>
      <c r="C91" s="158" t="s">
        <v>266</v>
      </c>
      <c r="D91" s="234" t="e">
        <f>D$72*Inputs!$G201</f>
        <v>#DIV/0!</v>
      </c>
      <c r="E91" s="234" t="e">
        <f>E$72*Inputs!$G201</f>
        <v>#DIV/0!</v>
      </c>
      <c r="F91" s="234" t="e">
        <f>F$72*Inputs!$G201</f>
        <v>#DIV/0!</v>
      </c>
      <c r="G91" s="234" t="e">
        <f>G$72*Inputs!$G201</f>
        <v>#DIV/0!</v>
      </c>
      <c r="H91" s="234" t="e">
        <f>H$72*Inputs!$G201</f>
        <v>#DIV/0!</v>
      </c>
      <c r="I91" s="234" t="e">
        <f>I$72*Inputs!$G201</f>
        <v>#DIV/0!</v>
      </c>
      <c r="J91" s="234" t="e">
        <f>J$72*Inputs!$G201</f>
        <v>#DIV/0!</v>
      </c>
      <c r="K91" s="234" t="e">
        <f>K$72*Inputs!$G201</f>
        <v>#DIV/0!</v>
      </c>
      <c r="L91" s="234" t="e">
        <f>L$72*Inputs!$G201</f>
        <v>#DIV/0!</v>
      </c>
      <c r="M91" s="234" t="e">
        <f>M$72*Inputs!$G201</f>
        <v>#DIV/0!</v>
      </c>
      <c r="N91" s="234" t="e">
        <f>N$72*Inputs!$G201</f>
        <v>#DIV/0!</v>
      </c>
      <c r="O91" s="234" t="e">
        <f>O$72*Inputs!$G201</f>
        <v>#DIV/0!</v>
      </c>
      <c r="P91" s="234" t="e">
        <f>P$72*Inputs!$G201</f>
        <v>#DIV/0!</v>
      </c>
      <c r="Q91" s="234" t="e">
        <f>Q$72*Inputs!$G201</f>
        <v>#DIV/0!</v>
      </c>
      <c r="R91" s="234" t="e">
        <f>R$72*Inputs!$G201</f>
        <v>#DIV/0!</v>
      </c>
      <c r="S91" s="234" t="e">
        <f>S$72*Inputs!$G201</f>
        <v>#DIV/0!</v>
      </c>
      <c r="T91" s="234" t="e">
        <f>T$72*Inputs!$G201</f>
        <v>#DIV/0!</v>
      </c>
      <c r="U91" s="234" t="e">
        <f>U$72*Inputs!$G201</f>
        <v>#DIV/0!</v>
      </c>
      <c r="V91" s="234" t="e">
        <f>V$72*Inputs!$G201</f>
        <v>#DIV/0!</v>
      </c>
      <c r="W91" s="234" t="e">
        <f>W$72*Inputs!$G201</f>
        <v>#DIV/0!</v>
      </c>
      <c r="X91" s="234" t="e">
        <f>X$72*Inputs!$G201</f>
        <v>#DIV/0!</v>
      </c>
      <c r="Y91" s="234" t="e">
        <f>Y$72*Inputs!$G201</f>
        <v>#DIV/0!</v>
      </c>
      <c r="Z91" s="234" t="e">
        <f>Z$72*Inputs!$G201</f>
        <v>#DIV/0!</v>
      </c>
      <c r="AA91" s="234" t="e">
        <f>AA$72*Inputs!$G201</f>
        <v>#DIV/0!</v>
      </c>
      <c r="AB91" s="234" t="e">
        <f>AB$72*Inputs!$G201</f>
        <v>#DIV/0!</v>
      </c>
    </row>
    <row r="92" spans="1:28" x14ac:dyDescent="0.3">
      <c r="A92" s="536"/>
      <c r="B92" s="83" t="s">
        <v>267</v>
      </c>
      <c r="C92" s="83" t="str">
        <f>IF(Inputs!C20="currency","currency/kWh",IF(Inputs!C20="DZD","DZD/kWh",IF(Inputs!C20="AOA","AOA/kWh",IF(Inputs!C20="BWP","BWP/kWh",IF(Inputs!C20="BIF","BIF/kWh",IF(Inputs!C20="CVE","CVE/kWh",IF(Inputs!C20="XAF","XAF/kWh",IF(Inputs!C20="XOF","XOF/kWh",IF(Inputs!C20="KMF","KMF/kWh",IF(Inputs!C20="CDF","CDF/kWh",IF(Inputs!C20="GMD","GMD/kWh",IF(Inputs!C20="DJF","DJF/kWh",IF(Inputs!C20="EGP","EGP/kWh",IF(Inputs!C20="ERN","ERN/kWh",IF(Inputs!C20="ETB","ETB/kWh",IF(Inputs!C20="GHS","GHS/kWh",IF(Inputs!C20="GNF","GNF/kWh",IF(Inputs!C20="KES","KES/kWh",IF(Inputs!C20="LSL","LSL/kWh",IF(Inputs!C20="LRD","LRD/kWh",IF(Inputs!C20="LYD","LYD/kWh",IF(Inputs!C20="SZL","SZL/kWh",IF(Inputs!C20="MGA","MGA/kWh",IF(Inputs!C20="MWK","MWK/kWh",IF(Inputs!C20="MUR","MUR/kWh",IF(Inputs!C20="MAD","MAD/kWh",IF(Inputs!C20="MZN","MZN/kWh",IF(Inputs!C20="NAD","NAD/kWh",IF(Inputs!C20="NGN","NGN/kWh",IF(Inputs!C20="MRU","MRU/kWh",IF(Inputs!C20="ZWD","ZWD/kWh",IF(Inputs!C20="RWF","RWF/kWh",IF(Inputs!C20="STN","STN/kWh",IF(Inputs!C20="SCR","SCR/kWh",IF(Inputs!C20="SLL","SLL/kWh",IF(Inputs!C20="SOS","SOS/kWh",IF(Inputs!C20="ZAR","ZAR/kWh",IF(Inputs!C20="SSP","SSP/kWh",IF(Inputs!C20="SDG","SDG/kWh",IF(Inputs!C20="TZS","TZS/kWh",IF(Inputs!C20="TND","TND/kWh",IF(Inputs!C20="UGX","UGX/kWh",IF(Inputs!C20="ZMW","ZMW/kWh",IF(Inputs!C20="US$","US$/kWh",IF(Inputs!C20="Euro","Euro/kWh",IF(Inputs!C20="GBP","GBP/kWh",IF(Inputs!C20="CFA","CFA/kWh","")))))))))))))))))))))))))))))))))))))))))))))))</f>
        <v>US$/kWh</v>
      </c>
      <c r="D92" s="234" t="e">
        <f>D$73*Inputs!$G201</f>
        <v>#DIV/0!</v>
      </c>
      <c r="E92" s="234" t="e">
        <f>E$73*Inputs!$G201</f>
        <v>#DIV/0!</v>
      </c>
      <c r="F92" s="234" t="e">
        <f>F$73*Inputs!$G201</f>
        <v>#DIV/0!</v>
      </c>
      <c r="G92" s="234" t="e">
        <f>G$73*Inputs!$G201</f>
        <v>#DIV/0!</v>
      </c>
      <c r="H92" s="234" t="e">
        <f>H$73*Inputs!$G201</f>
        <v>#DIV/0!</v>
      </c>
      <c r="I92" s="234" t="e">
        <f>I$73*Inputs!$G201</f>
        <v>#DIV/0!</v>
      </c>
      <c r="J92" s="234" t="e">
        <f>J$73*Inputs!$G201</f>
        <v>#DIV/0!</v>
      </c>
      <c r="K92" s="234" t="e">
        <f>K$73*Inputs!$G201</f>
        <v>#DIV/0!</v>
      </c>
      <c r="L92" s="234" t="e">
        <f>L$73*Inputs!$G201</f>
        <v>#DIV/0!</v>
      </c>
      <c r="M92" s="234" t="e">
        <f>M$73*Inputs!$G201</f>
        <v>#DIV/0!</v>
      </c>
      <c r="N92" s="234" t="e">
        <f>N$73*Inputs!$G201</f>
        <v>#DIV/0!</v>
      </c>
      <c r="O92" s="234" t="e">
        <f>O$73*Inputs!$G201</f>
        <v>#DIV/0!</v>
      </c>
      <c r="P92" s="234" t="e">
        <f>P$73*Inputs!$G201</f>
        <v>#DIV/0!</v>
      </c>
      <c r="Q92" s="234" t="e">
        <f>Q$73*Inputs!$G201</f>
        <v>#DIV/0!</v>
      </c>
      <c r="R92" s="234" t="e">
        <f>R$73*Inputs!$G201</f>
        <v>#DIV/0!</v>
      </c>
      <c r="S92" s="234" t="e">
        <f>S$73*Inputs!$G201</f>
        <v>#DIV/0!</v>
      </c>
      <c r="T92" s="234" t="e">
        <f>T$73*Inputs!$G201</f>
        <v>#DIV/0!</v>
      </c>
      <c r="U92" s="234" t="e">
        <f>U$73*Inputs!$G201</f>
        <v>#DIV/0!</v>
      </c>
      <c r="V92" s="234" t="e">
        <f>V$73*Inputs!$G201</f>
        <v>#DIV/0!</v>
      </c>
      <c r="W92" s="234" t="e">
        <f>W$73*Inputs!$G201</f>
        <v>#DIV/0!</v>
      </c>
      <c r="X92" s="234" t="e">
        <f>X$73*Inputs!$G201</f>
        <v>#DIV/0!</v>
      </c>
      <c r="Y92" s="234" t="e">
        <f>Y$73*Inputs!$G201</f>
        <v>#DIV/0!</v>
      </c>
      <c r="Z92" s="234" t="e">
        <f>Z$73*Inputs!$G201</f>
        <v>#DIV/0!</v>
      </c>
      <c r="AA92" s="234" t="e">
        <f>AA$73*Inputs!$G201</f>
        <v>#DIV/0!</v>
      </c>
      <c r="AB92" s="234" t="e">
        <f>AB$73*Inputs!$G201</f>
        <v>#DIV/0!</v>
      </c>
    </row>
    <row r="93" spans="1:28" x14ac:dyDescent="0.3">
      <c r="A93" s="535" t="str">
        <f>Inputs!A202</f>
        <v>placeholder5 (Anchor-Mines/Timber Mills/Procesors, Bank, etc)</v>
      </c>
      <c r="B93" s="158" t="s">
        <v>263</v>
      </c>
      <c r="C93" s="158" t="s">
        <v>266</v>
      </c>
      <c r="D93" s="234" t="e">
        <f>D$72*Inputs!$G202</f>
        <v>#DIV/0!</v>
      </c>
      <c r="E93" s="234" t="e">
        <f>E$72*Inputs!$G202</f>
        <v>#DIV/0!</v>
      </c>
      <c r="F93" s="234" t="e">
        <f>F$72*Inputs!$G202</f>
        <v>#DIV/0!</v>
      </c>
      <c r="G93" s="234" t="e">
        <f>G$72*Inputs!$G202</f>
        <v>#DIV/0!</v>
      </c>
      <c r="H93" s="234" t="e">
        <f>H$72*Inputs!$G202</f>
        <v>#DIV/0!</v>
      </c>
      <c r="I93" s="234" t="e">
        <f>I$72*Inputs!$G202</f>
        <v>#DIV/0!</v>
      </c>
      <c r="J93" s="234" t="e">
        <f>J$72*Inputs!$G202</f>
        <v>#DIV/0!</v>
      </c>
      <c r="K93" s="234" t="e">
        <f>K$72*Inputs!$G202</f>
        <v>#DIV/0!</v>
      </c>
      <c r="L93" s="234" t="e">
        <f>L$72*Inputs!$G202</f>
        <v>#DIV/0!</v>
      </c>
      <c r="M93" s="234" t="e">
        <f>M$72*Inputs!$G202</f>
        <v>#DIV/0!</v>
      </c>
      <c r="N93" s="234" t="e">
        <f>N$72*Inputs!$G202</f>
        <v>#DIV/0!</v>
      </c>
      <c r="O93" s="234" t="e">
        <f>O$72*Inputs!$G202</f>
        <v>#DIV/0!</v>
      </c>
      <c r="P93" s="234" t="e">
        <f>P$72*Inputs!$G202</f>
        <v>#DIV/0!</v>
      </c>
      <c r="Q93" s="234" t="e">
        <f>Q$72*Inputs!$G202</f>
        <v>#DIV/0!</v>
      </c>
      <c r="R93" s="234" t="e">
        <f>R$72*Inputs!$G202</f>
        <v>#DIV/0!</v>
      </c>
      <c r="S93" s="234" t="e">
        <f>S$72*Inputs!$G202</f>
        <v>#DIV/0!</v>
      </c>
      <c r="T93" s="234" t="e">
        <f>T$72*Inputs!$G202</f>
        <v>#DIV/0!</v>
      </c>
      <c r="U93" s="234" t="e">
        <f>U$72*Inputs!$G202</f>
        <v>#DIV/0!</v>
      </c>
      <c r="V93" s="234" t="e">
        <f>V$72*Inputs!$G202</f>
        <v>#DIV/0!</v>
      </c>
      <c r="W93" s="234" t="e">
        <f>W$72*Inputs!$G202</f>
        <v>#DIV/0!</v>
      </c>
      <c r="X93" s="234" t="e">
        <f>X$72*Inputs!$G202</f>
        <v>#DIV/0!</v>
      </c>
      <c r="Y93" s="234" t="e">
        <f>Y$72*Inputs!$G202</f>
        <v>#DIV/0!</v>
      </c>
      <c r="Z93" s="234" t="e">
        <f>Z$72*Inputs!$G202</f>
        <v>#DIV/0!</v>
      </c>
      <c r="AA93" s="234" t="e">
        <f>AA$72*Inputs!$G202</f>
        <v>#DIV/0!</v>
      </c>
      <c r="AB93" s="234" t="e">
        <f>AB$72*Inputs!$G202</f>
        <v>#DIV/0!</v>
      </c>
    </row>
    <row r="94" spans="1:28" x14ac:dyDescent="0.3">
      <c r="A94" s="536"/>
      <c r="B94" s="83" t="s">
        <v>267</v>
      </c>
      <c r="C94" s="83" t="str">
        <f>IF(Inputs!C20="currency","currency/kWh",IF(Inputs!C20="DZD","DZD/kWh",IF(Inputs!C20="AOA","AOA/kWh",IF(Inputs!C20="BWP","BWP/kWh",IF(Inputs!C20="BIF","BIF/kWh",IF(Inputs!C20="CVE","CVE/kWh",IF(Inputs!C20="XAF","XAF/kWh",IF(Inputs!C20="XOF","XOF/kWh",IF(Inputs!C20="KMF","KMF/kWh",IF(Inputs!C20="CDF","CDF/kWh",IF(Inputs!C20="GMD","GMD/kWh",IF(Inputs!C20="DJF","DJF/kWh",IF(Inputs!C20="EGP","EGP/kWh",IF(Inputs!C20="ERN","ERN/kWh",IF(Inputs!C20="ETB","ETB/kWh",IF(Inputs!C20="GHS","GHS/kWh",IF(Inputs!C20="GNF","GNF/kWh",IF(Inputs!C20="KES","KES/kWh",IF(Inputs!C20="LSL","LSL/kWh",IF(Inputs!C20="LRD","LRD/kWh",IF(Inputs!C20="LYD","LYD/kWh",IF(Inputs!C20="SZL","SZL/kWh",IF(Inputs!C20="MGA","MGA/kWh",IF(Inputs!C20="MWK","MWK/kWh",IF(Inputs!C20="MUR","MUR/kWh",IF(Inputs!C20="MAD","MAD/kWh",IF(Inputs!C20="MZN","MZN/kWh",IF(Inputs!C20="NAD","NAD/kWh",IF(Inputs!C20="NGN","NGN/kWh",IF(Inputs!C20="MRU","MRU/kWh",IF(Inputs!C20="ZWD","ZWD/kWh",IF(Inputs!C20="RWF","RWF/kWh",IF(Inputs!C20="STN","STN/kWh",IF(Inputs!C20="SCR","SCR/kWh",IF(Inputs!C20="SLL","SLL/kWh",IF(Inputs!C20="SOS","SOS/kWh",IF(Inputs!C20="ZAR","ZAR/kWh",IF(Inputs!C20="SSP","SSP/kWh",IF(Inputs!C20="SDG","SDG/kWh",IF(Inputs!C20="TZS","TZS/kWh",IF(Inputs!C20="TND","TND/kWh",IF(Inputs!C20="UGX","UGX/kWh",IF(Inputs!C20="ZMW","ZMW/kWh",IF(Inputs!C20="US$","US$/kWh",IF(Inputs!C20="Euro","Euro/kWh",IF(Inputs!C20="GBP","GBP/kWh",IF(Inputs!C20="CFA","CFA/kWh","")))))))))))))))))))))))))))))))))))))))))))))))</f>
        <v>US$/kWh</v>
      </c>
      <c r="D94" s="234" t="e">
        <f>D$73*Inputs!$G202</f>
        <v>#DIV/0!</v>
      </c>
      <c r="E94" s="234" t="e">
        <f>E$73*Inputs!$G202</f>
        <v>#DIV/0!</v>
      </c>
      <c r="F94" s="234" t="e">
        <f>F$73*Inputs!$G202</f>
        <v>#DIV/0!</v>
      </c>
      <c r="G94" s="234" t="e">
        <f>G$73*Inputs!$G202</f>
        <v>#DIV/0!</v>
      </c>
      <c r="H94" s="234" t="e">
        <f>H$73*Inputs!$G202</f>
        <v>#DIV/0!</v>
      </c>
      <c r="I94" s="234" t="e">
        <f>I$73*Inputs!$G202</f>
        <v>#DIV/0!</v>
      </c>
      <c r="J94" s="234" t="e">
        <f>J$73*Inputs!$G202</f>
        <v>#DIV/0!</v>
      </c>
      <c r="K94" s="234" t="e">
        <f>K$73*Inputs!$G202</f>
        <v>#DIV/0!</v>
      </c>
      <c r="L94" s="234" t="e">
        <f>L$73*Inputs!$G202</f>
        <v>#DIV/0!</v>
      </c>
      <c r="M94" s="234" t="e">
        <f>M$73*Inputs!$G202</f>
        <v>#DIV/0!</v>
      </c>
      <c r="N94" s="234" t="e">
        <f>N$73*Inputs!$G202</f>
        <v>#DIV/0!</v>
      </c>
      <c r="O94" s="234" t="e">
        <f>O$73*Inputs!$G202</f>
        <v>#DIV/0!</v>
      </c>
      <c r="P94" s="234" t="e">
        <f>P$73*Inputs!$G202</f>
        <v>#DIV/0!</v>
      </c>
      <c r="Q94" s="234" t="e">
        <f>Q$73*Inputs!$G202</f>
        <v>#DIV/0!</v>
      </c>
      <c r="R94" s="234" t="e">
        <f>R$73*Inputs!$G202</f>
        <v>#DIV/0!</v>
      </c>
      <c r="S94" s="234" t="e">
        <f>S$73*Inputs!$G202</f>
        <v>#DIV/0!</v>
      </c>
      <c r="T94" s="234" t="e">
        <f>T$73*Inputs!$G202</f>
        <v>#DIV/0!</v>
      </c>
      <c r="U94" s="234" t="e">
        <f>U$73*Inputs!$G202</f>
        <v>#DIV/0!</v>
      </c>
      <c r="V94" s="234" t="e">
        <f>V$73*Inputs!$G202</f>
        <v>#DIV/0!</v>
      </c>
      <c r="W94" s="234" t="e">
        <f>W$73*Inputs!$G202</f>
        <v>#DIV/0!</v>
      </c>
      <c r="X94" s="234" t="e">
        <f>X$73*Inputs!$G202</f>
        <v>#DIV/0!</v>
      </c>
      <c r="Y94" s="234" t="e">
        <f>Y$73*Inputs!$G202</f>
        <v>#DIV/0!</v>
      </c>
      <c r="Z94" s="234" t="e">
        <f>Z$73*Inputs!$G202</f>
        <v>#DIV/0!</v>
      </c>
      <c r="AA94" s="234" t="e">
        <f>AA$73*Inputs!$G202</f>
        <v>#DIV/0!</v>
      </c>
      <c r="AB94" s="234" t="e">
        <f>AB$73*Inputs!$G202</f>
        <v>#DIV/0!</v>
      </c>
    </row>
    <row r="95" spans="1:28" x14ac:dyDescent="0.3">
      <c r="A95" s="535" t="str">
        <f>Inputs!A203</f>
        <v>placeholder6 (Institutions – schools, health centres, admin centres, etc)</v>
      </c>
      <c r="B95" s="158" t="s">
        <v>263</v>
      </c>
      <c r="C95" s="158" t="s">
        <v>266</v>
      </c>
      <c r="D95" s="234" t="e">
        <f>D$72*Inputs!$G203</f>
        <v>#DIV/0!</v>
      </c>
      <c r="E95" s="234" t="e">
        <f>E$72*Inputs!$G203</f>
        <v>#DIV/0!</v>
      </c>
      <c r="F95" s="234" t="e">
        <f>F$72*Inputs!$G203</f>
        <v>#DIV/0!</v>
      </c>
      <c r="G95" s="234" t="e">
        <f>G$72*Inputs!$G203</f>
        <v>#DIV/0!</v>
      </c>
      <c r="H95" s="234" t="e">
        <f>H$72*Inputs!$G203</f>
        <v>#DIV/0!</v>
      </c>
      <c r="I95" s="234" t="e">
        <f>I$72*Inputs!$G203</f>
        <v>#DIV/0!</v>
      </c>
      <c r="J95" s="234" t="e">
        <f>J$72*Inputs!$G203</f>
        <v>#DIV/0!</v>
      </c>
      <c r="K95" s="234" t="e">
        <f>K$72*Inputs!$G203</f>
        <v>#DIV/0!</v>
      </c>
      <c r="L95" s="234" t="e">
        <f>L$72*Inputs!$G203</f>
        <v>#DIV/0!</v>
      </c>
      <c r="M95" s="234" t="e">
        <f>M$72*Inputs!$G203</f>
        <v>#DIV/0!</v>
      </c>
      <c r="N95" s="234" t="e">
        <f>N$72*Inputs!$G203</f>
        <v>#DIV/0!</v>
      </c>
      <c r="O95" s="234" t="e">
        <f>O$72*Inputs!$G203</f>
        <v>#DIV/0!</v>
      </c>
      <c r="P95" s="234" t="e">
        <f>P$72*Inputs!$G203</f>
        <v>#DIV/0!</v>
      </c>
      <c r="Q95" s="234" t="e">
        <f>Q$72*Inputs!$G203</f>
        <v>#DIV/0!</v>
      </c>
      <c r="R95" s="234" t="e">
        <f>R$72*Inputs!$G203</f>
        <v>#DIV/0!</v>
      </c>
      <c r="S95" s="234" t="e">
        <f>S$72*Inputs!$G203</f>
        <v>#DIV/0!</v>
      </c>
      <c r="T95" s="234" t="e">
        <f>T$72*Inputs!$G203</f>
        <v>#DIV/0!</v>
      </c>
      <c r="U95" s="234" t="e">
        <f>U$72*Inputs!$G203</f>
        <v>#DIV/0!</v>
      </c>
      <c r="V95" s="234" t="e">
        <f>V$72*Inputs!$G203</f>
        <v>#DIV/0!</v>
      </c>
      <c r="W95" s="234" t="e">
        <f>W$72*Inputs!$G203</f>
        <v>#DIV/0!</v>
      </c>
      <c r="X95" s="234" t="e">
        <f>X$72*Inputs!$G203</f>
        <v>#DIV/0!</v>
      </c>
      <c r="Y95" s="234" t="e">
        <f>Y$72*Inputs!$G203</f>
        <v>#DIV/0!</v>
      </c>
      <c r="Z95" s="234" t="e">
        <f>Z$72*Inputs!$G203</f>
        <v>#DIV/0!</v>
      </c>
      <c r="AA95" s="234" t="e">
        <f>AA$72*Inputs!$G203</f>
        <v>#DIV/0!</v>
      </c>
      <c r="AB95" s="234" t="e">
        <f>AB$72*Inputs!$G203</f>
        <v>#DIV/0!</v>
      </c>
    </row>
    <row r="96" spans="1:28" x14ac:dyDescent="0.3">
      <c r="A96" s="536"/>
      <c r="B96" s="83" t="s">
        <v>267</v>
      </c>
      <c r="C96" s="83" t="str">
        <f>IF(Inputs!C20="currency","currency/kWh",IF(Inputs!C20="DZD","DZD/kWh",IF(Inputs!C20="AOA","AOA/kWh",IF(Inputs!C20="BWP","BWP/kWh",IF(Inputs!C20="BIF","BIF/kWh",IF(Inputs!C20="CVE","CVE/kWh",IF(Inputs!C20="XAF","XAF/kWh",IF(Inputs!C20="XOF","XOF/kWh",IF(Inputs!C20="KMF","KMF/kWh",IF(Inputs!C20="CDF","CDF/kWh",IF(Inputs!C20="GMD","GMD/kWh",IF(Inputs!C20="DJF","DJF/kWh",IF(Inputs!C20="EGP","EGP/kWh",IF(Inputs!C20="ERN","ERN/kWh",IF(Inputs!C20="ETB","ETB/kWh",IF(Inputs!C20="GHS","GHS/kWh",IF(Inputs!C20="GNF","GNF/kWh",IF(Inputs!C20="KES","KES/kWh",IF(Inputs!C20="LSL","LSL/kWh",IF(Inputs!C20="LRD","LRD/kWh",IF(Inputs!C20="LYD","LYD/kWh",IF(Inputs!C20="SZL","SZL/kWh",IF(Inputs!C20="MGA","MGA/kWh",IF(Inputs!C20="MWK","MWK/kWh",IF(Inputs!C20="MUR","MUR/kWh",IF(Inputs!C20="MAD","MAD/kWh",IF(Inputs!C20="MZN","MZN/kWh",IF(Inputs!C20="NAD","NAD/kWh",IF(Inputs!C20="NGN","NGN/kWh",IF(Inputs!C20="MRU","MRU/kWh",IF(Inputs!C20="ZWD","ZWD/kWh",IF(Inputs!C20="RWF","RWF/kWh",IF(Inputs!C20="STN","STN/kWh",IF(Inputs!C20="SCR","SCR/kWh",IF(Inputs!C20="SLL","SLL/kWh",IF(Inputs!C20="SOS","SOS/kWh",IF(Inputs!C20="ZAR","ZAR/kWh",IF(Inputs!C20="SSP","SSP/kWh",IF(Inputs!C20="SDG","SDG/kWh",IF(Inputs!C20="TZS","TZS/kWh",IF(Inputs!C20="TND","TND/kWh",IF(Inputs!C20="UGX","UGX/kWh",IF(Inputs!C20="ZMW","ZMW/kWh",IF(Inputs!C20="US$","US$/kWh",IF(Inputs!C20="Euro","Euro/kWh",IF(Inputs!C20="GBP","GBP/kWh",IF(Inputs!C20="CFA","CFA/kWh","")))))))))))))))))))))))))))))))))))))))))))))))</f>
        <v>US$/kWh</v>
      </c>
      <c r="D96" s="234" t="e">
        <f>D$73*Inputs!$G203</f>
        <v>#DIV/0!</v>
      </c>
      <c r="E96" s="234" t="e">
        <f>E$73*Inputs!$G203</f>
        <v>#DIV/0!</v>
      </c>
      <c r="F96" s="234" t="e">
        <f>F$73*Inputs!$G203</f>
        <v>#DIV/0!</v>
      </c>
      <c r="G96" s="234" t="e">
        <f>G$73*Inputs!$G203</f>
        <v>#DIV/0!</v>
      </c>
      <c r="H96" s="234" t="e">
        <f>H$73*Inputs!$G203</f>
        <v>#DIV/0!</v>
      </c>
      <c r="I96" s="234" t="e">
        <f>I$73*Inputs!$G203</f>
        <v>#DIV/0!</v>
      </c>
      <c r="J96" s="234" t="e">
        <f>J$73*Inputs!$G203</f>
        <v>#DIV/0!</v>
      </c>
      <c r="K96" s="234" t="e">
        <f>K$73*Inputs!$G203</f>
        <v>#DIV/0!</v>
      </c>
      <c r="L96" s="234" t="e">
        <f>L$73*Inputs!$G203</f>
        <v>#DIV/0!</v>
      </c>
      <c r="M96" s="234" t="e">
        <f>M$73*Inputs!$G203</f>
        <v>#DIV/0!</v>
      </c>
      <c r="N96" s="234" t="e">
        <f>N$73*Inputs!$G203</f>
        <v>#DIV/0!</v>
      </c>
      <c r="O96" s="234" t="e">
        <f>O$73*Inputs!$G203</f>
        <v>#DIV/0!</v>
      </c>
      <c r="P96" s="234" t="e">
        <f>P$73*Inputs!$G203</f>
        <v>#DIV/0!</v>
      </c>
      <c r="Q96" s="234" t="e">
        <f>Q$73*Inputs!$G203</f>
        <v>#DIV/0!</v>
      </c>
      <c r="R96" s="234" t="e">
        <f>R$73*Inputs!$G203</f>
        <v>#DIV/0!</v>
      </c>
      <c r="S96" s="234" t="e">
        <f>S$73*Inputs!$G203</f>
        <v>#DIV/0!</v>
      </c>
      <c r="T96" s="234" t="e">
        <f>T$73*Inputs!$G203</f>
        <v>#DIV/0!</v>
      </c>
      <c r="U96" s="234" t="e">
        <f>U$73*Inputs!$G203</f>
        <v>#DIV/0!</v>
      </c>
      <c r="V96" s="234" t="e">
        <f>V$73*Inputs!$G203</f>
        <v>#DIV/0!</v>
      </c>
      <c r="W96" s="234" t="e">
        <f>W$73*Inputs!$G203</f>
        <v>#DIV/0!</v>
      </c>
      <c r="X96" s="234" t="e">
        <f>X$73*Inputs!$G203</f>
        <v>#DIV/0!</v>
      </c>
      <c r="Y96" s="234" t="e">
        <f>Y$73*Inputs!$G203</f>
        <v>#DIV/0!</v>
      </c>
      <c r="Z96" s="234" t="e">
        <f>Z$73*Inputs!$G203</f>
        <v>#DIV/0!</v>
      </c>
      <c r="AA96" s="234" t="e">
        <f>AA$73*Inputs!$G203</f>
        <v>#DIV/0!</v>
      </c>
      <c r="AB96" s="234" t="e">
        <f>AB$73*Inputs!$G203</f>
        <v>#DIV/0!</v>
      </c>
    </row>
    <row r="97" spans="1:117" x14ac:dyDescent="0.3">
      <c r="A97" s="535" t="str">
        <f>Inputs!A204</f>
        <v>placeholder7 (Street lighting)</v>
      </c>
      <c r="B97" s="158" t="s">
        <v>263</v>
      </c>
      <c r="C97" s="158" t="s">
        <v>266</v>
      </c>
      <c r="D97" s="234" t="e">
        <f>D$72*Inputs!$G204</f>
        <v>#DIV/0!</v>
      </c>
      <c r="E97" s="234" t="e">
        <f>E$72*Inputs!$G204</f>
        <v>#DIV/0!</v>
      </c>
      <c r="F97" s="234" t="e">
        <f>F$72*Inputs!$G204</f>
        <v>#DIV/0!</v>
      </c>
      <c r="G97" s="234" t="e">
        <f>G$72*Inputs!$G204</f>
        <v>#DIV/0!</v>
      </c>
      <c r="H97" s="234" t="e">
        <f>H$72*Inputs!$G204</f>
        <v>#DIV/0!</v>
      </c>
      <c r="I97" s="234" t="e">
        <f>I$72*Inputs!$G204</f>
        <v>#DIV/0!</v>
      </c>
      <c r="J97" s="234" t="e">
        <f>J$72*Inputs!$G204</f>
        <v>#DIV/0!</v>
      </c>
      <c r="K97" s="234" t="e">
        <f>K$72*Inputs!$G204</f>
        <v>#DIV/0!</v>
      </c>
      <c r="L97" s="234" t="e">
        <f>L$72*Inputs!$G204</f>
        <v>#DIV/0!</v>
      </c>
      <c r="M97" s="234" t="e">
        <f>M$72*Inputs!$G204</f>
        <v>#DIV/0!</v>
      </c>
      <c r="N97" s="234" t="e">
        <f>N$72*Inputs!$G204</f>
        <v>#DIV/0!</v>
      </c>
      <c r="O97" s="234" t="e">
        <f>O$72*Inputs!$G204</f>
        <v>#DIV/0!</v>
      </c>
      <c r="P97" s="234" t="e">
        <f>P$72*Inputs!$G204</f>
        <v>#DIV/0!</v>
      </c>
      <c r="Q97" s="234" t="e">
        <f>Q$72*Inputs!$G204</f>
        <v>#DIV/0!</v>
      </c>
      <c r="R97" s="234" t="e">
        <f>R$72*Inputs!$G204</f>
        <v>#DIV/0!</v>
      </c>
      <c r="S97" s="234" t="e">
        <f>S$72*Inputs!$G204</f>
        <v>#DIV/0!</v>
      </c>
      <c r="T97" s="234" t="e">
        <f>T$72*Inputs!$G204</f>
        <v>#DIV/0!</v>
      </c>
      <c r="U97" s="234" t="e">
        <f>U$72*Inputs!$G204</f>
        <v>#DIV/0!</v>
      </c>
      <c r="V97" s="234" t="e">
        <f>V$72*Inputs!$G204</f>
        <v>#DIV/0!</v>
      </c>
      <c r="W97" s="234" t="e">
        <f>W$72*Inputs!$G204</f>
        <v>#DIV/0!</v>
      </c>
      <c r="X97" s="234" t="e">
        <f>X$72*Inputs!$G204</f>
        <v>#DIV/0!</v>
      </c>
      <c r="Y97" s="234" t="e">
        <f>Y$72*Inputs!$G204</f>
        <v>#DIV/0!</v>
      </c>
      <c r="Z97" s="234" t="e">
        <f>Z$72*Inputs!$G204</f>
        <v>#DIV/0!</v>
      </c>
      <c r="AA97" s="234" t="e">
        <f>AA$72*Inputs!$G204</f>
        <v>#DIV/0!</v>
      </c>
      <c r="AB97" s="234" t="e">
        <f>AB$72*Inputs!$G204</f>
        <v>#DIV/0!</v>
      </c>
    </row>
    <row r="98" spans="1:117" x14ac:dyDescent="0.3">
      <c r="A98" s="536"/>
      <c r="B98" s="83" t="s">
        <v>267</v>
      </c>
      <c r="C98" s="83" t="str">
        <f>IF(Inputs!C20="currency","currency/kWh",IF(Inputs!C20="DZD","DZD/kWh",IF(Inputs!C20="AOA","AOA/kWh",IF(Inputs!C20="BWP","BWP/kWh",IF(Inputs!C20="BIF","BIF/kWh",IF(Inputs!C20="CVE","CVE/kWh",IF(Inputs!C20="XAF","XAF/kWh",IF(Inputs!C20="XOF","XOF/kWh",IF(Inputs!C20="KMF","KMF/kWh",IF(Inputs!C20="CDF","CDF/kWh",IF(Inputs!C20="GMD","GMD/kWh",IF(Inputs!C20="DJF","DJF/kWh",IF(Inputs!C20="EGP","EGP/kWh",IF(Inputs!C20="ERN","ERN/kWh",IF(Inputs!C20="ETB","ETB/kWh",IF(Inputs!C20="GHS","GHS/kWh",IF(Inputs!C20="GNF","GNF/kWh",IF(Inputs!C20="KES","KES/kWh",IF(Inputs!C20="LSL","LSL/kWh",IF(Inputs!C20="LRD","LRD/kWh",IF(Inputs!C20="LYD","LYD/kWh",IF(Inputs!C20="SZL","SZL/kWh",IF(Inputs!C20="MGA","MGA/kWh",IF(Inputs!C20="MWK","MWK/kWh",IF(Inputs!C20="MUR","MUR/kWh",IF(Inputs!C20="MAD","MAD/kWh",IF(Inputs!C20="MZN","MZN/kWh",IF(Inputs!C20="NAD","NAD/kWh",IF(Inputs!C20="NGN","NGN/kWh",IF(Inputs!C20="MRU","MRU/kWh",IF(Inputs!C20="ZWD","ZWD/kWh",IF(Inputs!C20="RWF","RWF/kWh",IF(Inputs!C20="STN","STN/kWh",IF(Inputs!C20="SCR","SCR/kWh",IF(Inputs!C20="SLL","SLL/kWh",IF(Inputs!C20="SOS","SOS/kWh",IF(Inputs!C20="ZAR","ZAR/kWh",IF(Inputs!C20="SSP","SSP/kWh",IF(Inputs!C20="SDG","SDG/kWh",IF(Inputs!C20="TZS","TZS/kWh",IF(Inputs!C20="TND","TND/kWh",IF(Inputs!C20="UGX","UGX/kWh",IF(Inputs!C20="ZMW","ZMW/kWh",IF(Inputs!C20="US$","US$/kWh",IF(Inputs!C20="Euro","Euro/kWh",IF(Inputs!C20="GBP","GBP/kWh",IF(Inputs!C20="CFA","CFA/kWh","")))))))))))))))))))))))))))))))))))))))))))))))</f>
        <v>US$/kWh</v>
      </c>
      <c r="D98" s="234" t="e">
        <f>D$73*Inputs!$G204</f>
        <v>#DIV/0!</v>
      </c>
      <c r="E98" s="234" t="e">
        <f>E$73*Inputs!$G204</f>
        <v>#DIV/0!</v>
      </c>
      <c r="F98" s="234" t="e">
        <f>F$73*Inputs!$G204</f>
        <v>#DIV/0!</v>
      </c>
      <c r="G98" s="234" t="e">
        <f>G$73*Inputs!$G204</f>
        <v>#DIV/0!</v>
      </c>
      <c r="H98" s="234" t="e">
        <f>H$73*Inputs!$G204</f>
        <v>#DIV/0!</v>
      </c>
      <c r="I98" s="234" t="e">
        <f>I$73*Inputs!$G204</f>
        <v>#DIV/0!</v>
      </c>
      <c r="J98" s="234" t="e">
        <f>J$73*Inputs!$G204</f>
        <v>#DIV/0!</v>
      </c>
      <c r="K98" s="234" t="e">
        <f>K$73*Inputs!$G204</f>
        <v>#DIV/0!</v>
      </c>
      <c r="L98" s="234" t="e">
        <f>L$73*Inputs!$G204</f>
        <v>#DIV/0!</v>
      </c>
      <c r="M98" s="234" t="e">
        <f>M$73*Inputs!$G204</f>
        <v>#DIV/0!</v>
      </c>
      <c r="N98" s="234" t="e">
        <f>N$73*Inputs!$G204</f>
        <v>#DIV/0!</v>
      </c>
      <c r="O98" s="234" t="e">
        <f>O$73*Inputs!$G204</f>
        <v>#DIV/0!</v>
      </c>
      <c r="P98" s="234" t="e">
        <f>P$73*Inputs!$G204</f>
        <v>#DIV/0!</v>
      </c>
      <c r="Q98" s="234" t="e">
        <f>Q$73*Inputs!$G204</f>
        <v>#DIV/0!</v>
      </c>
      <c r="R98" s="234" t="e">
        <f>R$73*Inputs!$G204</f>
        <v>#DIV/0!</v>
      </c>
      <c r="S98" s="234" t="e">
        <f>S$73*Inputs!$G204</f>
        <v>#DIV/0!</v>
      </c>
      <c r="T98" s="234" t="e">
        <f>T$73*Inputs!$G204</f>
        <v>#DIV/0!</v>
      </c>
      <c r="U98" s="234" t="e">
        <f>U$73*Inputs!$G204</f>
        <v>#DIV/0!</v>
      </c>
      <c r="V98" s="234" t="e">
        <f>V$73*Inputs!$G204</f>
        <v>#DIV/0!</v>
      </c>
      <c r="W98" s="234" t="e">
        <f>W$73*Inputs!$G204</f>
        <v>#DIV/0!</v>
      </c>
      <c r="X98" s="234" t="e">
        <f>X$73*Inputs!$G204</f>
        <v>#DIV/0!</v>
      </c>
      <c r="Y98" s="234" t="e">
        <f>Y$73*Inputs!$G204</f>
        <v>#DIV/0!</v>
      </c>
      <c r="Z98" s="234" t="e">
        <f>Z$73*Inputs!$G204</f>
        <v>#DIV/0!</v>
      </c>
      <c r="AA98" s="234" t="e">
        <f>AA$73*Inputs!$G204</f>
        <v>#DIV/0!</v>
      </c>
      <c r="AB98" s="234" t="e">
        <f>AB$73*Inputs!$G204</f>
        <v>#DIV/0!</v>
      </c>
    </row>
    <row r="99" spans="1:117" x14ac:dyDescent="0.3">
      <c r="A99" s="324"/>
      <c r="B99" s="318"/>
      <c r="C99" s="325"/>
      <c r="D99" s="326"/>
      <c r="E99" s="326"/>
      <c r="F99" s="326"/>
      <c r="G99" s="326"/>
      <c r="H99" s="326"/>
      <c r="I99" s="326"/>
      <c r="J99" s="326"/>
      <c r="K99" s="326"/>
      <c r="L99" s="326"/>
      <c r="M99" s="326"/>
      <c r="N99" s="326"/>
      <c r="O99" s="326"/>
      <c r="P99" s="326"/>
      <c r="Q99" s="326"/>
      <c r="R99" s="326"/>
      <c r="S99" s="326"/>
      <c r="T99" s="326"/>
      <c r="U99" s="326"/>
      <c r="V99" s="326"/>
      <c r="W99" s="326"/>
      <c r="X99" s="326"/>
      <c r="Y99" s="326"/>
      <c r="Z99" s="326"/>
      <c r="AA99" s="326"/>
      <c r="AB99" s="327"/>
    </row>
    <row r="100" spans="1:117" s="140" customFormat="1" x14ac:dyDescent="0.3">
      <c r="A100" s="316" t="s">
        <v>365</v>
      </c>
      <c r="B100" s="314" t="str">
        <f>IF(Inputs!C20="currency","currency/kWh",IF(Inputs!C20="DZD","DZD/kWh",IF(Inputs!C20="AOA","AOA/kWh",IF(Inputs!C20="BWP","BWP/kWh",IF(Inputs!C20="BIF","BIF/kWh",IF(Inputs!C20="CVE","CVE/kWh",IF(Inputs!C20="XAF","XAF/kWh",IF(Inputs!C20="XOF","XOF/kWh",IF(Inputs!C20="KMF","KMF/kWh",IF(Inputs!C20="CDF","CDF/kWh",IF(Inputs!C20="GMD","GMD/kWh",IF(Inputs!C20="DJF","DJF/kWh",IF(Inputs!C20="EGP","EGP/kWh",IF(Inputs!C20="ERN","ERN/kWh",IF(Inputs!C20="ETB","ETB/kWh",IF(Inputs!C20="GHS","GHS/kWh",IF(Inputs!C20="GNF","GNF/kWh",IF(Inputs!C20="KES","KES/kWh",IF(Inputs!C20="LSL","LSL/kWh",IF(Inputs!C20="LRD","LRD/kWh",IF(Inputs!C20="LYD","LYD/kWh",IF(Inputs!C20="SZL","SZL/kWh",IF(Inputs!C20="MGA","MGA/kWh",IF(Inputs!C20="MWK","MWK/kWh",IF(Inputs!C20="MUR","MUR/kWh",IF(Inputs!C20="MAD","MAD/kWh",IF(Inputs!C20="MZN","MZN/kWh",IF(Inputs!C20="NAD","NAD/kWh",IF(Inputs!C20="NGN","NGN/kWh",IF(Inputs!C20="MRU","MRU/kWh",IF(Inputs!C20="ZWD","ZWD/kWh",IF(Inputs!C20="RWF","RWF/kWh",IF(Inputs!C20="STN","STN/kWh",IF(Inputs!C20="SCR","SCR/kWh",IF(Inputs!C20="SLL","SLL/kWh",IF(Inputs!C20="SOS","SOS/kWh",IF(Inputs!C20="ZAR","ZAR/kWh",IF(Inputs!C20="SSP","SSP/kWh",IF(Inputs!C20="SDG","SDG/kWh",IF(Inputs!C20="TZS","TZS/kWh",IF(Inputs!C20="TND","TND/kWh",IF(Inputs!C20="UGX","UGX/kWh",IF(Inputs!C20="ZMW","ZMW/kWh",IF(Inputs!C20="US$","US$/kWh",IF(Inputs!C20="Euro","Euro/kWh",IF(Inputs!C20="GBP","GBP/kWh",IF(Inputs!C20="CFA","CFA/kWh","")))))))))))))))))))))))))))))))))))))))))))))))</f>
        <v>US$/kWh</v>
      </c>
      <c r="C100" s="315"/>
      <c r="D100" s="232">
        <f>D66</f>
        <v>4.2838498903016296E-2</v>
      </c>
      <c r="E100" s="232">
        <f>D100*(1+Inputs!$C$214)</f>
        <v>4.2838498903016296E-2</v>
      </c>
      <c r="F100" s="232">
        <f>E100*(1+Inputs!$C$214)</f>
        <v>4.2838498903016296E-2</v>
      </c>
      <c r="G100" s="232">
        <f>F100*(1+Inputs!$C$214)</f>
        <v>4.2838498903016296E-2</v>
      </c>
      <c r="H100" s="232">
        <f>G100*(1+Inputs!$C$214)</f>
        <v>4.2838498903016296E-2</v>
      </c>
      <c r="I100" s="232">
        <f>H100*(1+Inputs!$C$214)</f>
        <v>4.2838498903016296E-2</v>
      </c>
      <c r="J100" s="232">
        <f>I100*(1+Inputs!$C$214)</f>
        <v>4.2838498903016296E-2</v>
      </c>
      <c r="K100" s="232">
        <f>J100*(1+Inputs!$C$214)</f>
        <v>4.2838498903016296E-2</v>
      </c>
      <c r="L100" s="232">
        <f>K100*(1+Inputs!$C$214)</f>
        <v>4.2838498903016296E-2</v>
      </c>
      <c r="M100" s="232">
        <f>L100*(1+Inputs!$C$214)</f>
        <v>4.2838498903016296E-2</v>
      </c>
      <c r="N100" s="232">
        <f>M100*(1+Inputs!$C$214)</f>
        <v>4.2838498903016296E-2</v>
      </c>
      <c r="O100" s="232">
        <f>N100*(1+Inputs!$C$214)</f>
        <v>4.2838498903016296E-2</v>
      </c>
      <c r="P100" s="232">
        <f>O100*(1+Inputs!$C$214)</f>
        <v>4.2838498903016296E-2</v>
      </c>
      <c r="Q100" s="232">
        <f>P100*(1+Inputs!$C$214)</f>
        <v>4.2838498903016296E-2</v>
      </c>
      <c r="R100" s="232">
        <f>Q100*(1+Inputs!$C$214)</f>
        <v>4.2838498903016296E-2</v>
      </c>
      <c r="S100" s="232">
        <f>R100*(1+Inputs!$C$214)</f>
        <v>4.2838498903016296E-2</v>
      </c>
      <c r="T100" s="232">
        <f>S100*(1+Inputs!$C$214)</f>
        <v>4.2838498903016296E-2</v>
      </c>
      <c r="U100" s="232">
        <f>T100*(1+Inputs!$C$214)</f>
        <v>4.2838498903016296E-2</v>
      </c>
      <c r="V100" s="232">
        <f>U100*(1+Inputs!$C$214)</f>
        <v>4.2838498903016296E-2</v>
      </c>
      <c r="W100" s="232">
        <f>V100*(1+Inputs!$C$214)</f>
        <v>4.2838498903016296E-2</v>
      </c>
      <c r="X100" s="232">
        <f>W100*(1+Inputs!$C$214)</f>
        <v>4.2838498903016296E-2</v>
      </c>
      <c r="Y100" s="232">
        <f>X100*(1+Inputs!$C$214)</f>
        <v>4.2838498903016296E-2</v>
      </c>
      <c r="Z100" s="232">
        <f>Y100*(1+Inputs!$C$214)</f>
        <v>4.2838498903016296E-2</v>
      </c>
      <c r="AA100" s="232">
        <f>Z100*(1+Inputs!$C$214)</f>
        <v>4.2838498903016296E-2</v>
      </c>
      <c r="AB100" s="233">
        <f>AA100*(1+Inputs!$C$214)</f>
        <v>4.2838498903016296E-2</v>
      </c>
    </row>
    <row r="101" spans="1:117" s="140" customFormat="1" x14ac:dyDescent="0.3">
      <c r="B101" s="83"/>
    </row>
    <row r="102" spans="1:117" x14ac:dyDescent="0.3">
      <c r="A102" s="316" t="s">
        <v>261</v>
      </c>
      <c r="B102" s="328"/>
      <c r="C102" s="328"/>
      <c r="D102" s="328"/>
      <c r="E102" s="328"/>
      <c r="F102" s="328"/>
      <c r="G102" s="328"/>
      <c r="H102" s="328"/>
      <c r="I102" s="328"/>
      <c r="J102" s="328"/>
      <c r="K102" s="328"/>
      <c r="L102" s="328"/>
      <c r="M102" s="328"/>
      <c r="N102" s="328"/>
      <c r="O102" s="328"/>
      <c r="P102" s="328"/>
      <c r="Q102" s="328"/>
      <c r="R102" s="328"/>
      <c r="S102" s="328"/>
      <c r="T102" s="328"/>
      <c r="U102" s="328"/>
      <c r="V102" s="328"/>
      <c r="W102" s="328"/>
      <c r="X102" s="328"/>
      <c r="Y102" s="328"/>
      <c r="Z102" s="328"/>
      <c r="AA102" s="328"/>
      <c r="AB102" s="329"/>
    </row>
    <row r="103" spans="1:117" s="140" customFormat="1" x14ac:dyDescent="0.3">
      <c r="B103" s="83"/>
    </row>
    <row r="104" spans="1:117" x14ac:dyDescent="0.3">
      <c r="A104" s="316" t="s">
        <v>293</v>
      </c>
      <c r="B104" s="328"/>
      <c r="C104" s="328"/>
      <c r="D104" s="328"/>
      <c r="E104" s="328"/>
      <c r="F104" s="328"/>
      <c r="G104" s="328"/>
      <c r="H104" s="328"/>
      <c r="I104" s="328"/>
      <c r="J104" s="328"/>
      <c r="K104" s="328"/>
      <c r="L104" s="328"/>
      <c r="M104" s="328"/>
      <c r="N104" s="328"/>
      <c r="O104" s="328"/>
      <c r="P104" s="328"/>
      <c r="Q104" s="328"/>
      <c r="R104" s="328"/>
      <c r="S104" s="328"/>
      <c r="T104" s="328"/>
      <c r="U104" s="328"/>
      <c r="V104" s="328"/>
      <c r="W104" s="328"/>
      <c r="X104" s="328"/>
      <c r="Y104" s="328"/>
      <c r="Z104" s="328"/>
      <c r="AA104" s="328"/>
      <c r="AB104" s="329"/>
    </row>
    <row r="106" spans="1:117" x14ac:dyDescent="0.3">
      <c r="A106" s="316" t="s">
        <v>262</v>
      </c>
      <c r="B106" s="328"/>
      <c r="C106" s="328"/>
      <c r="D106" s="328"/>
      <c r="E106" s="328"/>
      <c r="F106" s="328"/>
      <c r="G106" s="328"/>
      <c r="H106" s="328"/>
      <c r="I106" s="328"/>
      <c r="J106" s="328"/>
      <c r="K106" s="328"/>
      <c r="L106" s="328"/>
      <c r="M106" s="328"/>
      <c r="N106" s="328"/>
      <c r="O106" s="328"/>
      <c r="P106" s="328"/>
      <c r="Q106" s="328"/>
      <c r="R106" s="328"/>
      <c r="S106" s="328"/>
      <c r="T106" s="328"/>
      <c r="U106" s="328"/>
      <c r="V106" s="328"/>
      <c r="W106" s="328"/>
      <c r="X106" s="328"/>
      <c r="Y106" s="328"/>
      <c r="Z106" s="328"/>
      <c r="AA106" s="328"/>
      <c r="AB106" s="329"/>
    </row>
    <row r="108" spans="1:117" x14ac:dyDescent="0.3">
      <c r="A108" s="271" t="s">
        <v>412</v>
      </c>
    </row>
    <row r="109" spans="1:117" s="38" customFormat="1" x14ac:dyDescent="0.3">
      <c r="A109" s="34"/>
      <c r="C109" s="132" t="s">
        <v>152</v>
      </c>
      <c r="D109" s="133">
        <v>1</v>
      </c>
      <c r="E109" s="133">
        <f>D109+1</f>
        <v>2</v>
      </c>
      <c r="F109" s="133">
        <f t="shared" ref="F109" si="80">E109+1</f>
        <v>3</v>
      </c>
      <c r="G109" s="133">
        <f t="shared" ref="G109" si="81">F109+1</f>
        <v>4</v>
      </c>
      <c r="H109" s="133">
        <f t="shared" ref="H109" si="82">G109+1</f>
        <v>5</v>
      </c>
      <c r="I109" s="133">
        <f t="shared" ref="I109" si="83">H109+1</f>
        <v>6</v>
      </c>
      <c r="J109" s="133">
        <f t="shared" ref="J109" si="84">I109+1</f>
        <v>7</v>
      </c>
      <c r="K109" s="133">
        <f t="shared" ref="K109" si="85">J109+1</f>
        <v>8</v>
      </c>
      <c r="L109" s="133">
        <f t="shared" ref="L109" si="86">K109+1</f>
        <v>9</v>
      </c>
      <c r="M109" s="133">
        <f t="shared" ref="M109" si="87">L109+1</f>
        <v>10</v>
      </c>
      <c r="N109" s="133">
        <f t="shared" ref="N109" si="88">M109+1</f>
        <v>11</v>
      </c>
      <c r="O109" s="133">
        <f t="shared" ref="O109" si="89">N109+1</f>
        <v>12</v>
      </c>
      <c r="P109" s="133">
        <f t="shared" ref="P109" si="90">O109+1</f>
        <v>13</v>
      </c>
      <c r="Q109" s="133">
        <f t="shared" ref="Q109" si="91">P109+1</f>
        <v>14</v>
      </c>
      <c r="R109" s="133">
        <f t="shared" ref="R109" si="92">Q109+1</f>
        <v>15</v>
      </c>
      <c r="S109" s="133">
        <f t="shared" ref="S109" si="93">R109+1</f>
        <v>16</v>
      </c>
      <c r="T109" s="133">
        <f t="shared" ref="T109" si="94">S109+1</f>
        <v>17</v>
      </c>
      <c r="U109" s="133">
        <f t="shared" ref="U109" si="95">T109+1</f>
        <v>18</v>
      </c>
      <c r="V109" s="133">
        <f t="shared" ref="V109" si="96">U109+1</f>
        <v>19</v>
      </c>
      <c r="W109" s="133">
        <f t="shared" ref="W109" si="97">V109+1</f>
        <v>20</v>
      </c>
      <c r="X109" s="133">
        <f t="shared" ref="X109" si="98">W109+1</f>
        <v>21</v>
      </c>
      <c r="Y109" s="133">
        <f t="shared" ref="Y109" si="99">X109+1</f>
        <v>22</v>
      </c>
      <c r="Z109" s="133">
        <f t="shared" ref="Z109" si="100">Y109+1</f>
        <v>23</v>
      </c>
      <c r="AA109" s="133">
        <f t="shared" ref="AA109" si="101">Z109+1</f>
        <v>24</v>
      </c>
      <c r="AB109" s="133">
        <f t="shared" ref="AB109" si="102">AA109+1</f>
        <v>25</v>
      </c>
      <c r="AC109" s="134"/>
      <c r="AD109" s="134"/>
      <c r="AE109" s="134"/>
      <c r="AF109" s="134"/>
      <c r="AG109" s="134"/>
      <c r="AH109" s="134"/>
      <c r="AI109" s="134"/>
      <c r="AJ109" s="134"/>
      <c r="AK109" s="134"/>
      <c r="AL109" s="134"/>
      <c r="AM109" s="134"/>
      <c r="AN109" s="134"/>
      <c r="AO109" s="134"/>
      <c r="AP109" s="134"/>
      <c r="AQ109" s="134"/>
      <c r="AR109" s="134"/>
      <c r="AS109" s="134"/>
      <c r="AT109" s="134"/>
      <c r="AU109" s="134"/>
      <c r="AV109" s="134"/>
      <c r="AW109" s="134"/>
      <c r="AX109" s="134"/>
      <c r="AY109" s="134"/>
      <c r="AZ109" s="134"/>
      <c r="BA109" s="134"/>
      <c r="BB109" s="134"/>
      <c r="BC109" s="134"/>
      <c r="BD109" s="134"/>
      <c r="BE109" s="134"/>
      <c r="BF109" s="134"/>
      <c r="BG109" s="134"/>
      <c r="BH109" s="134"/>
      <c r="BI109" s="134"/>
      <c r="BJ109" s="134"/>
      <c r="BK109" s="134"/>
      <c r="BL109" s="134"/>
      <c r="BM109" s="134"/>
      <c r="BN109" s="134"/>
      <c r="BO109" s="134"/>
      <c r="BP109" s="134"/>
      <c r="BQ109" s="134"/>
      <c r="BR109" s="134"/>
      <c r="BS109" s="134"/>
      <c r="BT109" s="134"/>
      <c r="BU109" s="134"/>
      <c r="BV109" s="134"/>
      <c r="BW109" s="134"/>
      <c r="BX109" s="134"/>
      <c r="BY109" s="134"/>
      <c r="BZ109" s="134"/>
      <c r="CA109" s="134"/>
      <c r="CB109" s="134"/>
      <c r="CC109" s="134"/>
      <c r="CD109" s="134"/>
      <c r="CE109" s="134"/>
      <c r="CF109" s="134"/>
      <c r="CG109" s="134"/>
      <c r="CH109" s="134"/>
      <c r="CI109" s="134"/>
      <c r="CJ109" s="134"/>
      <c r="CK109" s="134"/>
      <c r="CL109" s="134"/>
      <c r="CM109" s="134"/>
      <c r="CN109" s="134"/>
      <c r="CO109" s="134"/>
      <c r="CP109" s="134"/>
      <c r="CQ109" s="134"/>
      <c r="CR109" s="134"/>
      <c r="CS109" s="134"/>
      <c r="CT109" s="134"/>
      <c r="CU109" s="134"/>
      <c r="CV109" s="134"/>
      <c r="CW109" s="134"/>
      <c r="CX109" s="134"/>
      <c r="CY109" s="134"/>
      <c r="CZ109" s="134"/>
      <c r="DA109" s="134"/>
      <c r="DB109" s="134"/>
      <c r="DC109" s="134"/>
      <c r="DD109" s="134"/>
      <c r="DE109" s="134"/>
      <c r="DF109" s="134"/>
      <c r="DG109" s="134"/>
      <c r="DH109" s="134"/>
      <c r="DI109" s="134"/>
      <c r="DJ109" s="134"/>
      <c r="DK109" s="134"/>
      <c r="DL109" s="134"/>
      <c r="DM109" s="134"/>
    </row>
    <row r="110" spans="1:117" s="134" customFormat="1" ht="13.8" x14ac:dyDescent="0.3">
      <c r="A110" s="330" t="s">
        <v>408</v>
      </c>
      <c r="B110" s="330"/>
      <c r="C110" s="330"/>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r="111" spans="1:117" s="91" customFormat="1" ht="13.8" x14ac:dyDescent="0.3">
      <c r="A111" s="331" t="s">
        <v>292</v>
      </c>
      <c r="B111" s="332"/>
      <c r="C111" s="212"/>
      <c r="D111" s="212" t="e">
        <f t="shared" ref="D111:AB111" si="103">D37</f>
        <v>#DIV/0!</v>
      </c>
      <c r="E111" s="212" t="e">
        <f t="shared" si="103"/>
        <v>#DIV/0!</v>
      </c>
      <c r="F111" s="212" t="e">
        <f t="shared" si="103"/>
        <v>#DIV/0!</v>
      </c>
      <c r="G111" s="212" t="e">
        <f t="shared" si="103"/>
        <v>#DIV/0!</v>
      </c>
      <c r="H111" s="212" t="e">
        <f t="shared" si="103"/>
        <v>#DIV/0!</v>
      </c>
      <c r="I111" s="212" t="e">
        <f t="shared" si="103"/>
        <v>#DIV/0!</v>
      </c>
      <c r="J111" s="212" t="e">
        <f t="shared" si="103"/>
        <v>#DIV/0!</v>
      </c>
      <c r="K111" s="212" t="e">
        <f t="shared" si="103"/>
        <v>#DIV/0!</v>
      </c>
      <c r="L111" s="212" t="e">
        <f t="shared" si="103"/>
        <v>#DIV/0!</v>
      </c>
      <c r="M111" s="212" t="e">
        <f t="shared" si="103"/>
        <v>#DIV/0!</v>
      </c>
      <c r="N111" s="212" t="e">
        <f t="shared" si="103"/>
        <v>#DIV/0!</v>
      </c>
      <c r="O111" s="212" t="e">
        <f t="shared" si="103"/>
        <v>#DIV/0!</v>
      </c>
      <c r="P111" s="212" t="e">
        <f t="shared" si="103"/>
        <v>#DIV/0!</v>
      </c>
      <c r="Q111" s="212" t="e">
        <f t="shared" si="103"/>
        <v>#DIV/0!</v>
      </c>
      <c r="R111" s="212" t="e">
        <f t="shared" si="103"/>
        <v>#DIV/0!</v>
      </c>
      <c r="S111" s="212" t="e">
        <f t="shared" si="103"/>
        <v>#DIV/0!</v>
      </c>
      <c r="T111" s="212" t="e">
        <f t="shared" si="103"/>
        <v>#DIV/0!</v>
      </c>
      <c r="U111" s="212" t="e">
        <f t="shared" si="103"/>
        <v>#DIV/0!</v>
      </c>
      <c r="V111" s="212" t="e">
        <f t="shared" si="103"/>
        <v>#DIV/0!</v>
      </c>
      <c r="W111" s="212" t="e">
        <f t="shared" si="103"/>
        <v>#DIV/0!</v>
      </c>
      <c r="X111" s="212" t="e">
        <f t="shared" si="103"/>
        <v>#DIV/0!</v>
      </c>
      <c r="Y111" s="212" t="e">
        <f t="shared" si="103"/>
        <v>#DIV/0!</v>
      </c>
      <c r="Z111" s="212" t="e">
        <f t="shared" si="103"/>
        <v>#DIV/0!</v>
      </c>
      <c r="AA111" s="212" t="e">
        <f t="shared" si="103"/>
        <v>#DIV/0!</v>
      </c>
      <c r="AB111" s="212" t="e">
        <f t="shared" si="103"/>
        <v>#DIV/0!</v>
      </c>
    </row>
    <row r="112" spans="1:117" s="91" customFormat="1" ht="13.8" x14ac:dyDescent="0.3">
      <c r="A112" s="333" t="s">
        <v>268</v>
      </c>
      <c r="B112" s="24"/>
      <c r="C112" s="10"/>
      <c r="D112" s="10">
        <f>-D23</f>
        <v>0</v>
      </c>
      <c r="E112" s="10">
        <f t="shared" ref="E112:AB112" si="104">-E23-E25-E26</f>
        <v>0</v>
      </c>
      <c r="F112" s="10">
        <f t="shared" si="104"/>
        <v>0</v>
      </c>
      <c r="G112" s="10">
        <f t="shared" si="104"/>
        <v>0</v>
      </c>
      <c r="H112" s="10">
        <f t="shared" si="104"/>
        <v>0</v>
      </c>
      <c r="I112" s="10">
        <f t="shared" si="104"/>
        <v>0</v>
      </c>
      <c r="J112" s="10">
        <f t="shared" si="104"/>
        <v>0</v>
      </c>
      <c r="K112" s="10">
        <f t="shared" si="104"/>
        <v>0</v>
      </c>
      <c r="L112" s="10">
        <f t="shared" si="104"/>
        <v>0</v>
      </c>
      <c r="M112" s="10">
        <f t="shared" si="104"/>
        <v>0</v>
      </c>
      <c r="N112" s="10">
        <f t="shared" si="104"/>
        <v>0</v>
      </c>
      <c r="O112" s="10">
        <f t="shared" si="104"/>
        <v>0</v>
      </c>
      <c r="P112" s="10">
        <f t="shared" si="104"/>
        <v>0</v>
      </c>
      <c r="Q112" s="10">
        <f t="shared" si="104"/>
        <v>0</v>
      </c>
      <c r="R112" s="10">
        <f t="shared" si="104"/>
        <v>0</v>
      </c>
      <c r="S112" s="10">
        <f t="shared" si="104"/>
        <v>0</v>
      </c>
      <c r="T112" s="10">
        <f t="shared" si="104"/>
        <v>0</v>
      </c>
      <c r="U112" s="10">
        <f t="shared" si="104"/>
        <v>0</v>
      </c>
      <c r="V112" s="10">
        <f t="shared" si="104"/>
        <v>0</v>
      </c>
      <c r="W112" s="10">
        <f t="shared" si="104"/>
        <v>0</v>
      </c>
      <c r="X112" s="10">
        <f t="shared" si="104"/>
        <v>0</v>
      </c>
      <c r="Y112" s="10">
        <f t="shared" si="104"/>
        <v>0</v>
      </c>
      <c r="Z112" s="10">
        <f t="shared" si="104"/>
        <v>0</v>
      </c>
      <c r="AA112" s="10">
        <f t="shared" si="104"/>
        <v>0</v>
      </c>
      <c r="AB112" s="10">
        <f t="shared" si="104"/>
        <v>0</v>
      </c>
    </row>
    <row r="113" spans="1:28" s="91" customFormat="1" ht="13.8" x14ac:dyDescent="0.3">
      <c r="A113" s="333" t="s">
        <v>294</v>
      </c>
      <c r="B113" s="24"/>
      <c r="C113" s="10"/>
      <c r="D113" s="10">
        <f t="shared" ref="D113:AB113" si="105">-D22</f>
        <v>0</v>
      </c>
      <c r="E113" s="10">
        <f t="shared" si="105"/>
        <v>0</v>
      </c>
      <c r="F113" s="10">
        <f t="shared" si="105"/>
        <v>0</v>
      </c>
      <c r="G113" s="10">
        <f t="shared" si="105"/>
        <v>0</v>
      </c>
      <c r="H113" s="10">
        <f t="shared" si="105"/>
        <v>0</v>
      </c>
      <c r="I113" s="10">
        <f t="shared" si="105"/>
        <v>0</v>
      </c>
      <c r="J113" s="10">
        <f t="shared" si="105"/>
        <v>0</v>
      </c>
      <c r="K113" s="10">
        <f t="shared" si="105"/>
        <v>0</v>
      </c>
      <c r="L113" s="10">
        <f t="shared" si="105"/>
        <v>0</v>
      </c>
      <c r="M113" s="10">
        <f t="shared" si="105"/>
        <v>0</v>
      </c>
      <c r="N113" s="10">
        <f t="shared" si="105"/>
        <v>0</v>
      </c>
      <c r="O113" s="10">
        <f t="shared" si="105"/>
        <v>0</v>
      </c>
      <c r="P113" s="10">
        <f t="shared" si="105"/>
        <v>0</v>
      </c>
      <c r="Q113" s="10">
        <f t="shared" si="105"/>
        <v>0</v>
      </c>
      <c r="R113" s="10">
        <f t="shared" si="105"/>
        <v>0</v>
      </c>
      <c r="S113" s="10">
        <f t="shared" si="105"/>
        <v>0</v>
      </c>
      <c r="T113" s="10">
        <f t="shared" si="105"/>
        <v>0</v>
      </c>
      <c r="U113" s="10">
        <f t="shared" si="105"/>
        <v>0</v>
      </c>
      <c r="V113" s="10">
        <f t="shared" si="105"/>
        <v>0</v>
      </c>
      <c r="W113" s="10">
        <f t="shared" si="105"/>
        <v>0</v>
      </c>
      <c r="X113" s="10">
        <f t="shared" si="105"/>
        <v>0</v>
      </c>
      <c r="Y113" s="10">
        <f t="shared" si="105"/>
        <v>0</v>
      </c>
      <c r="Z113" s="10">
        <f t="shared" si="105"/>
        <v>0</v>
      </c>
      <c r="AA113" s="10">
        <f t="shared" si="105"/>
        <v>0</v>
      </c>
      <c r="AB113" s="10">
        <f t="shared" si="105"/>
        <v>0</v>
      </c>
    </row>
    <row r="114" spans="1:28" s="91" customFormat="1" ht="13.8" x14ac:dyDescent="0.3">
      <c r="A114" s="331" t="s">
        <v>269</v>
      </c>
      <c r="B114" s="332"/>
      <c r="C114" s="212"/>
      <c r="D114" s="212" t="e">
        <f>SUM(D111:D113)</f>
        <v>#DIV/0!</v>
      </c>
      <c r="E114" s="212" t="e">
        <f t="shared" ref="E114:AB114" si="106">SUM(E111:E113)</f>
        <v>#DIV/0!</v>
      </c>
      <c r="F114" s="212" t="e">
        <f t="shared" si="106"/>
        <v>#DIV/0!</v>
      </c>
      <c r="G114" s="212" t="e">
        <f t="shared" si="106"/>
        <v>#DIV/0!</v>
      </c>
      <c r="H114" s="212" t="e">
        <f t="shared" si="106"/>
        <v>#DIV/0!</v>
      </c>
      <c r="I114" s="212" t="e">
        <f t="shared" si="106"/>
        <v>#DIV/0!</v>
      </c>
      <c r="J114" s="212" t="e">
        <f t="shared" si="106"/>
        <v>#DIV/0!</v>
      </c>
      <c r="K114" s="212" t="e">
        <f t="shared" si="106"/>
        <v>#DIV/0!</v>
      </c>
      <c r="L114" s="212" t="e">
        <f t="shared" si="106"/>
        <v>#DIV/0!</v>
      </c>
      <c r="M114" s="212" t="e">
        <f t="shared" si="106"/>
        <v>#DIV/0!</v>
      </c>
      <c r="N114" s="212" t="e">
        <f t="shared" si="106"/>
        <v>#DIV/0!</v>
      </c>
      <c r="O114" s="212" t="e">
        <f t="shared" si="106"/>
        <v>#DIV/0!</v>
      </c>
      <c r="P114" s="212" t="e">
        <f t="shared" si="106"/>
        <v>#DIV/0!</v>
      </c>
      <c r="Q114" s="212" t="e">
        <f t="shared" si="106"/>
        <v>#DIV/0!</v>
      </c>
      <c r="R114" s="212" t="e">
        <f t="shared" si="106"/>
        <v>#DIV/0!</v>
      </c>
      <c r="S114" s="212" t="e">
        <f t="shared" si="106"/>
        <v>#DIV/0!</v>
      </c>
      <c r="T114" s="212" t="e">
        <f t="shared" si="106"/>
        <v>#DIV/0!</v>
      </c>
      <c r="U114" s="212" t="e">
        <f t="shared" si="106"/>
        <v>#DIV/0!</v>
      </c>
      <c r="V114" s="212" t="e">
        <f t="shared" si="106"/>
        <v>#DIV/0!</v>
      </c>
      <c r="W114" s="212" t="e">
        <f t="shared" si="106"/>
        <v>#DIV/0!</v>
      </c>
      <c r="X114" s="212" t="e">
        <f t="shared" si="106"/>
        <v>#DIV/0!</v>
      </c>
      <c r="Y114" s="212" t="e">
        <f t="shared" si="106"/>
        <v>#DIV/0!</v>
      </c>
      <c r="Z114" s="212" t="e">
        <f t="shared" si="106"/>
        <v>#DIV/0!</v>
      </c>
      <c r="AA114" s="212" t="e">
        <f t="shared" si="106"/>
        <v>#DIV/0!</v>
      </c>
      <c r="AB114" s="212" t="e">
        <f t="shared" si="106"/>
        <v>#DIV/0!</v>
      </c>
    </row>
    <row r="115" spans="1:28" s="91" customFormat="1" ht="13.8" x14ac:dyDescent="0.3">
      <c r="A115" s="333" t="s">
        <v>473</v>
      </c>
      <c r="B115" s="24"/>
      <c r="C115" s="10"/>
      <c r="D115" s="10" t="e">
        <f t="shared" ref="D115:AB115" si="107">D28</f>
        <v>#DIV/0!</v>
      </c>
      <c r="E115" s="10" t="e">
        <f t="shared" si="107"/>
        <v>#DIV/0!</v>
      </c>
      <c r="F115" s="10" t="e">
        <f t="shared" si="107"/>
        <v>#DIV/0!</v>
      </c>
      <c r="G115" s="10" t="e">
        <f t="shared" si="107"/>
        <v>#DIV/0!</v>
      </c>
      <c r="H115" s="10" t="e">
        <f t="shared" si="107"/>
        <v>#DIV/0!</v>
      </c>
      <c r="I115" s="10" t="e">
        <f t="shared" si="107"/>
        <v>#DIV/0!</v>
      </c>
      <c r="J115" s="10" t="e">
        <f t="shared" si="107"/>
        <v>#DIV/0!</v>
      </c>
      <c r="K115" s="10" t="e">
        <f t="shared" si="107"/>
        <v>#DIV/0!</v>
      </c>
      <c r="L115" s="10" t="e">
        <f t="shared" si="107"/>
        <v>#DIV/0!</v>
      </c>
      <c r="M115" s="10" t="e">
        <f t="shared" si="107"/>
        <v>#DIV/0!</v>
      </c>
      <c r="N115" s="10" t="e">
        <f t="shared" si="107"/>
        <v>#DIV/0!</v>
      </c>
      <c r="O115" s="10" t="e">
        <f t="shared" si="107"/>
        <v>#DIV/0!</v>
      </c>
      <c r="P115" s="10" t="e">
        <f t="shared" si="107"/>
        <v>#DIV/0!</v>
      </c>
      <c r="Q115" s="10" t="e">
        <f t="shared" si="107"/>
        <v>#DIV/0!</v>
      </c>
      <c r="R115" s="10" t="e">
        <f t="shared" si="107"/>
        <v>#DIV/0!</v>
      </c>
      <c r="S115" s="10" t="e">
        <f t="shared" si="107"/>
        <v>#DIV/0!</v>
      </c>
      <c r="T115" s="10" t="e">
        <f t="shared" si="107"/>
        <v>#DIV/0!</v>
      </c>
      <c r="U115" s="10" t="e">
        <f t="shared" si="107"/>
        <v>#DIV/0!</v>
      </c>
      <c r="V115" s="10" t="e">
        <f t="shared" si="107"/>
        <v>#DIV/0!</v>
      </c>
      <c r="W115" s="10" t="e">
        <f t="shared" si="107"/>
        <v>#DIV/0!</v>
      </c>
      <c r="X115" s="10" t="e">
        <f t="shared" si="107"/>
        <v>#DIV/0!</v>
      </c>
      <c r="Y115" s="10" t="e">
        <f t="shared" si="107"/>
        <v>#DIV/0!</v>
      </c>
      <c r="Z115" s="10" t="e">
        <f t="shared" si="107"/>
        <v>#DIV/0!</v>
      </c>
      <c r="AA115" s="10" t="e">
        <f t="shared" si="107"/>
        <v>#DIV/0!</v>
      </c>
      <c r="AB115" s="10" t="e">
        <f t="shared" si="107"/>
        <v>#DIV/0!</v>
      </c>
    </row>
    <row r="116" spans="1:28" s="91" customFormat="1" ht="13.8" x14ac:dyDescent="0.3">
      <c r="A116" s="331" t="s">
        <v>270</v>
      </c>
      <c r="B116" s="332"/>
      <c r="C116" s="212"/>
      <c r="D116" s="212" t="e">
        <f>SUM(D114:D115)</f>
        <v>#DIV/0!</v>
      </c>
      <c r="E116" s="212" t="e">
        <f t="shared" ref="E116:AB116" si="108">SUM(E114:E115)</f>
        <v>#DIV/0!</v>
      </c>
      <c r="F116" s="212" t="e">
        <f t="shared" si="108"/>
        <v>#DIV/0!</v>
      </c>
      <c r="G116" s="212" t="e">
        <f t="shared" si="108"/>
        <v>#DIV/0!</v>
      </c>
      <c r="H116" s="212" t="e">
        <f t="shared" si="108"/>
        <v>#DIV/0!</v>
      </c>
      <c r="I116" s="212" t="e">
        <f t="shared" si="108"/>
        <v>#DIV/0!</v>
      </c>
      <c r="J116" s="212" t="e">
        <f t="shared" si="108"/>
        <v>#DIV/0!</v>
      </c>
      <c r="K116" s="212" t="e">
        <f t="shared" si="108"/>
        <v>#DIV/0!</v>
      </c>
      <c r="L116" s="212" t="e">
        <f t="shared" si="108"/>
        <v>#DIV/0!</v>
      </c>
      <c r="M116" s="212" t="e">
        <f t="shared" si="108"/>
        <v>#DIV/0!</v>
      </c>
      <c r="N116" s="212" t="e">
        <f t="shared" si="108"/>
        <v>#DIV/0!</v>
      </c>
      <c r="O116" s="212" t="e">
        <f t="shared" si="108"/>
        <v>#DIV/0!</v>
      </c>
      <c r="P116" s="212" t="e">
        <f t="shared" si="108"/>
        <v>#DIV/0!</v>
      </c>
      <c r="Q116" s="212" t="e">
        <f t="shared" si="108"/>
        <v>#DIV/0!</v>
      </c>
      <c r="R116" s="212" t="e">
        <f t="shared" si="108"/>
        <v>#DIV/0!</v>
      </c>
      <c r="S116" s="212" t="e">
        <f t="shared" si="108"/>
        <v>#DIV/0!</v>
      </c>
      <c r="T116" s="212" t="e">
        <f t="shared" si="108"/>
        <v>#DIV/0!</v>
      </c>
      <c r="U116" s="212" t="e">
        <f t="shared" si="108"/>
        <v>#DIV/0!</v>
      </c>
      <c r="V116" s="212" t="e">
        <f t="shared" si="108"/>
        <v>#DIV/0!</v>
      </c>
      <c r="W116" s="212" t="e">
        <f t="shared" si="108"/>
        <v>#DIV/0!</v>
      </c>
      <c r="X116" s="212" t="e">
        <f t="shared" si="108"/>
        <v>#DIV/0!</v>
      </c>
      <c r="Y116" s="212" t="e">
        <f t="shared" si="108"/>
        <v>#DIV/0!</v>
      </c>
      <c r="Z116" s="212" t="e">
        <f t="shared" si="108"/>
        <v>#DIV/0!</v>
      </c>
      <c r="AA116" s="212" t="e">
        <f t="shared" si="108"/>
        <v>#DIV/0!</v>
      </c>
      <c r="AB116" s="212" t="e">
        <f t="shared" si="108"/>
        <v>#DIV/0!</v>
      </c>
    </row>
    <row r="117" spans="1:28" s="91" customFormat="1" ht="13.8" x14ac:dyDescent="0.3">
      <c r="A117" s="333" t="s">
        <v>271</v>
      </c>
      <c r="B117" s="24"/>
      <c r="C117" s="10"/>
      <c r="D117" s="10">
        <f t="shared" ref="D117:AB117" si="109">D155</f>
        <v>0</v>
      </c>
      <c r="E117" s="10">
        <f t="shared" si="109"/>
        <v>0</v>
      </c>
      <c r="F117" s="10">
        <f t="shared" si="109"/>
        <v>0</v>
      </c>
      <c r="G117" s="10">
        <f t="shared" si="109"/>
        <v>0</v>
      </c>
      <c r="H117" s="10">
        <f t="shared" si="109"/>
        <v>0</v>
      </c>
      <c r="I117" s="10">
        <f t="shared" si="109"/>
        <v>0</v>
      </c>
      <c r="J117" s="10">
        <f t="shared" si="109"/>
        <v>0</v>
      </c>
      <c r="K117" s="10">
        <f t="shared" si="109"/>
        <v>0</v>
      </c>
      <c r="L117" s="10">
        <f t="shared" si="109"/>
        <v>0</v>
      </c>
      <c r="M117" s="10">
        <f t="shared" si="109"/>
        <v>0</v>
      </c>
      <c r="N117" s="10">
        <f t="shared" si="109"/>
        <v>0</v>
      </c>
      <c r="O117" s="10">
        <f t="shared" si="109"/>
        <v>0</v>
      </c>
      <c r="P117" s="10">
        <f t="shared" si="109"/>
        <v>0</v>
      </c>
      <c r="Q117" s="10">
        <f t="shared" si="109"/>
        <v>0</v>
      </c>
      <c r="R117" s="10">
        <f t="shared" si="109"/>
        <v>0</v>
      </c>
      <c r="S117" s="10">
        <f t="shared" si="109"/>
        <v>0</v>
      </c>
      <c r="T117" s="10">
        <f t="shared" si="109"/>
        <v>0</v>
      </c>
      <c r="U117" s="10">
        <f t="shared" si="109"/>
        <v>0</v>
      </c>
      <c r="V117" s="10">
        <f t="shared" si="109"/>
        <v>0</v>
      </c>
      <c r="W117" s="10">
        <f t="shared" si="109"/>
        <v>0</v>
      </c>
      <c r="X117" s="10">
        <f t="shared" si="109"/>
        <v>0</v>
      </c>
      <c r="Y117" s="10">
        <f t="shared" si="109"/>
        <v>0</v>
      </c>
      <c r="Z117" s="10">
        <f t="shared" si="109"/>
        <v>0</v>
      </c>
      <c r="AA117" s="10">
        <f t="shared" si="109"/>
        <v>0</v>
      </c>
      <c r="AB117" s="10">
        <f t="shared" si="109"/>
        <v>0</v>
      </c>
    </row>
    <row r="118" spans="1:28" s="91" customFormat="1" ht="13.8" x14ac:dyDescent="0.3">
      <c r="A118" s="331" t="s">
        <v>272</v>
      </c>
      <c r="B118" s="332"/>
      <c r="C118" s="212"/>
      <c r="D118" s="212" t="e">
        <f>SUM(D116:D117)</f>
        <v>#DIV/0!</v>
      </c>
      <c r="E118" s="212" t="e">
        <f t="shared" ref="E118:AB118" si="110">SUM(E116:E117)</f>
        <v>#DIV/0!</v>
      </c>
      <c r="F118" s="212" t="e">
        <f t="shared" si="110"/>
        <v>#DIV/0!</v>
      </c>
      <c r="G118" s="212" t="e">
        <f t="shared" si="110"/>
        <v>#DIV/0!</v>
      </c>
      <c r="H118" s="212" t="e">
        <f t="shared" si="110"/>
        <v>#DIV/0!</v>
      </c>
      <c r="I118" s="212" t="e">
        <f t="shared" si="110"/>
        <v>#DIV/0!</v>
      </c>
      <c r="J118" s="212" t="e">
        <f t="shared" si="110"/>
        <v>#DIV/0!</v>
      </c>
      <c r="K118" s="212" t="e">
        <f t="shared" si="110"/>
        <v>#DIV/0!</v>
      </c>
      <c r="L118" s="212" t="e">
        <f t="shared" si="110"/>
        <v>#DIV/0!</v>
      </c>
      <c r="M118" s="212" t="e">
        <f t="shared" si="110"/>
        <v>#DIV/0!</v>
      </c>
      <c r="N118" s="212" t="e">
        <f t="shared" si="110"/>
        <v>#DIV/0!</v>
      </c>
      <c r="O118" s="212" t="e">
        <f t="shared" si="110"/>
        <v>#DIV/0!</v>
      </c>
      <c r="P118" s="212" t="e">
        <f t="shared" si="110"/>
        <v>#DIV/0!</v>
      </c>
      <c r="Q118" s="212" t="e">
        <f t="shared" si="110"/>
        <v>#DIV/0!</v>
      </c>
      <c r="R118" s="212" t="e">
        <f t="shared" si="110"/>
        <v>#DIV/0!</v>
      </c>
      <c r="S118" s="212" t="e">
        <f t="shared" si="110"/>
        <v>#DIV/0!</v>
      </c>
      <c r="T118" s="212" t="e">
        <f t="shared" si="110"/>
        <v>#DIV/0!</v>
      </c>
      <c r="U118" s="212" t="e">
        <f t="shared" si="110"/>
        <v>#DIV/0!</v>
      </c>
      <c r="V118" s="212" t="e">
        <f t="shared" si="110"/>
        <v>#DIV/0!</v>
      </c>
      <c r="W118" s="212" t="e">
        <f t="shared" si="110"/>
        <v>#DIV/0!</v>
      </c>
      <c r="X118" s="212" t="e">
        <f t="shared" si="110"/>
        <v>#DIV/0!</v>
      </c>
      <c r="Y118" s="212" t="e">
        <f t="shared" si="110"/>
        <v>#DIV/0!</v>
      </c>
      <c r="Z118" s="212" t="e">
        <f t="shared" si="110"/>
        <v>#DIV/0!</v>
      </c>
      <c r="AA118" s="212" t="e">
        <f t="shared" si="110"/>
        <v>#DIV/0!</v>
      </c>
      <c r="AB118" s="212" t="e">
        <f t="shared" si="110"/>
        <v>#DIV/0!</v>
      </c>
    </row>
    <row r="119" spans="1:28" s="91" customFormat="1" ht="13.8" x14ac:dyDescent="0.3">
      <c r="A119" s="333" t="s">
        <v>273</v>
      </c>
      <c r="B119" s="24"/>
      <c r="C119" s="10"/>
      <c r="D119" s="10" t="e">
        <f>IF(SUM($D$118:D118)&gt;0,-D118*Inputs!$C$213,0)</f>
        <v>#DIV/0!</v>
      </c>
      <c r="E119" s="10" t="e">
        <f>IF(SUM($D$118:E118)&gt;0,-E118*Inputs!$C$213,0)</f>
        <v>#DIV/0!</v>
      </c>
      <c r="F119" s="10" t="e">
        <f>IF(SUM($D$118:F118)&gt;0,-F118*Inputs!$C$213,0)</f>
        <v>#DIV/0!</v>
      </c>
      <c r="G119" s="10" t="e">
        <f>IF(SUM($D$118:G118)&gt;0,-G118*Inputs!$C$213,0)</f>
        <v>#DIV/0!</v>
      </c>
      <c r="H119" s="10" t="e">
        <f>IF(SUM($D$118:H118)&gt;0,-H118*Inputs!$C$213,0)</f>
        <v>#DIV/0!</v>
      </c>
      <c r="I119" s="10" t="e">
        <f>IF(SUM($D$118:I118)&gt;0,-I118*Inputs!$C$213,0)</f>
        <v>#DIV/0!</v>
      </c>
      <c r="J119" s="10" t="e">
        <f>IF(SUM($D$118:J118)&gt;0,-J118*Inputs!$C$213,0)</f>
        <v>#DIV/0!</v>
      </c>
      <c r="K119" s="10" t="e">
        <f>IF(SUM($D$118:K118)&gt;0,-K118*Inputs!$C$213,0)</f>
        <v>#DIV/0!</v>
      </c>
      <c r="L119" s="10" t="e">
        <f>IF(SUM($D$118:L118)&gt;0,-L118*Inputs!$C$213,0)</f>
        <v>#DIV/0!</v>
      </c>
      <c r="M119" s="10" t="e">
        <f>IF(SUM($D$118:M118)&gt;0,-M118*Inputs!$C$213,0)</f>
        <v>#DIV/0!</v>
      </c>
      <c r="N119" s="10" t="e">
        <f>IF(SUM($D$118:N118)&gt;0,-N118*Inputs!$C$213,0)</f>
        <v>#DIV/0!</v>
      </c>
      <c r="O119" s="10" t="e">
        <f>IF(SUM($D$118:O118)&gt;0,-O118*Inputs!$C$213,0)</f>
        <v>#DIV/0!</v>
      </c>
      <c r="P119" s="10" t="e">
        <f>IF(SUM($D$118:P118)&gt;0,-P118*Inputs!$C$213,0)</f>
        <v>#DIV/0!</v>
      </c>
      <c r="Q119" s="10" t="e">
        <f>IF(SUM($D$118:Q118)&gt;0,-Q118*Inputs!$C$213,0)</f>
        <v>#DIV/0!</v>
      </c>
      <c r="R119" s="10" t="e">
        <f>IF(SUM($D$118:R118)&gt;0,-R118*Inputs!$C$213,0)</f>
        <v>#DIV/0!</v>
      </c>
      <c r="S119" s="10" t="e">
        <f>IF(SUM($D$118:S118)&gt;0,-S118*Inputs!$C$213,0)</f>
        <v>#DIV/0!</v>
      </c>
      <c r="T119" s="10" t="e">
        <f>IF(SUM($D$118:T118)&gt;0,-T118*Inputs!$C$213,0)</f>
        <v>#DIV/0!</v>
      </c>
      <c r="U119" s="10" t="e">
        <f>IF(SUM($D$118:U118)&gt;0,-U118*Inputs!$C$213,0)</f>
        <v>#DIV/0!</v>
      </c>
      <c r="V119" s="10" t="e">
        <f>IF(SUM($D$118:V118)&gt;0,-V118*Inputs!$C$213,0)</f>
        <v>#DIV/0!</v>
      </c>
      <c r="W119" s="10" t="e">
        <f>IF(SUM($D$118:W118)&gt;0,-W118*Inputs!$C$213,0)</f>
        <v>#DIV/0!</v>
      </c>
      <c r="X119" s="10" t="e">
        <f>IF(SUM($D$118:X118)&gt;0,-X118*Inputs!$C$213,0)</f>
        <v>#DIV/0!</v>
      </c>
      <c r="Y119" s="10" t="e">
        <f>IF(SUM($D$118:Y118)&gt;0,-Y118*Inputs!$C$213,0)</f>
        <v>#DIV/0!</v>
      </c>
      <c r="Z119" s="10" t="e">
        <f>IF(SUM($D$118:Z118)&gt;0,-Z118*Inputs!$C$213,0)</f>
        <v>#DIV/0!</v>
      </c>
      <c r="AA119" s="10" t="e">
        <f>IF(SUM($D$118:AA118)&gt;0,-AA118*Inputs!$C$213,0)</f>
        <v>#DIV/0!</v>
      </c>
      <c r="AB119" s="10" t="e">
        <f>IF(SUM($D$118:AB118)&gt;0,-AB118*Inputs!$C$213,0)</f>
        <v>#DIV/0!</v>
      </c>
    </row>
    <row r="120" spans="1:28" s="91" customFormat="1" thickBot="1" x14ac:dyDescent="0.35">
      <c r="A120" s="334" t="s">
        <v>274</v>
      </c>
      <c r="B120" s="335"/>
      <c r="C120" s="213"/>
      <c r="D120" s="213" t="e">
        <f>SUM(D118:D119)</f>
        <v>#DIV/0!</v>
      </c>
      <c r="E120" s="213" t="e">
        <f t="shared" ref="E120:AB120" si="111">SUM(E118:E119)</f>
        <v>#DIV/0!</v>
      </c>
      <c r="F120" s="213" t="e">
        <f t="shared" si="111"/>
        <v>#DIV/0!</v>
      </c>
      <c r="G120" s="213" t="e">
        <f t="shared" si="111"/>
        <v>#DIV/0!</v>
      </c>
      <c r="H120" s="213" t="e">
        <f t="shared" si="111"/>
        <v>#DIV/0!</v>
      </c>
      <c r="I120" s="213" t="e">
        <f t="shared" si="111"/>
        <v>#DIV/0!</v>
      </c>
      <c r="J120" s="213" t="e">
        <f t="shared" si="111"/>
        <v>#DIV/0!</v>
      </c>
      <c r="K120" s="213" t="e">
        <f t="shared" si="111"/>
        <v>#DIV/0!</v>
      </c>
      <c r="L120" s="213" t="e">
        <f t="shared" si="111"/>
        <v>#DIV/0!</v>
      </c>
      <c r="M120" s="213" t="e">
        <f t="shared" si="111"/>
        <v>#DIV/0!</v>
      </c>
      <c r="N120" s="213" t="e">
        <f t="shared" si="111"/>
        <v>#DIV/0!</v>
      </c>
      <c r="O120" s="213" t="e">
        <f t="shared" si="111"/>
        <v>#DIV/0!</v>
      </c>
      <c r="P120" s="213" t="e">
        <f t="shared" si="111"/>
        <v>#DIV/0!</v>
      </c>
      <c r="Q120" s="213" t="e">
        <f t="shared" si="111"/>
        <v>#DIV/0!</v>
      </c>
      <c r="R120" s="213" t="e">
        <f t="shared" si="111"/>
        <v>#DIV/0!</v>
      </c>
      <c r="S120" s="213" t="e">
        <f t="shared" si="111"/>
        <v>#DIV/0!</v>
      </c>
      <c r="T120" s="213" t="e">
        <f t="shared" si="111"/>
        <v>#DIV/0!</v>
      </c>
      <c r="U120" s="213" t="e">
        <f t="shared" si="111"/>
        <v>#DIV/0!</v>
      </c>
      <c r="V120" s="213" t="e">
        <f t="shared" si="111"/>
        <v>#DIV/0!</v>
      </c>
      <c r="W120" s="213" t="e">
        <f t="shared" si="111"/>
        <v>#DIV/0!</v>
      </c>
      <c r="X120" s="213" t="e">
        <f t="shared" si="111"/>
        <v>#DIV/0!</v>
      </c>
      <c r="Y120" s="213" t="e">
        <f t="shared" si="111"/>
        <v>#DIV/0!</v>
      </c>
      <c r="Z120" s="213" t="e">
        <f t="shared" si="111"/>
        <v>#DIV/0!</v>
      </c>
      <c r="AA120" s="213" t="e">
        <f t="shared" si="111"/>
        <v>#DIV/0!</v>
      </c>
      <c r="AB120" s="213" t="e">
        <f t="shared" si="111"/>
        <v>#DIV/0!</v>
      </c>
    </row>
    <row r="121" spans="1:28" s="91" customFormat="1" thickTop="1" x14ac:dyDescent="0.3">
      <c r="A121" s="336"/>
      <c r="B121" s="336"/>
      <c r="C121" s="153"/>
      <c r="D121" s="153"/>
      <c r="E121" s="153"/>
      <c r="F121" s="153"/>
      <c r="G121" s="153"/>
      <c r="H121" s="153"/>
      <c r="I121" s="153"/>
      <c r="J121" s="153"/>
      <c r="K121" s="153"/>
      <c r="L121" s="153"/>
      <c r="M121" s="153"/>
      <c r="N121" s="153"/>
      <c r="O121" s="153"/>
      <c r="P121" s="153"/>
      <c r="Q121" s="153"/>
      <c r="R121" s="153"/>
      <c r="S121" s="153"/>
      <c r="T121" s="153"/>
      <c r="U121" s="153"/>
      <c r="V121" s="153"/>
      <c r="W121" s="153"/>
      <c r="X121" s="153"/>
      <c r="Y121" s="153"/>
      <c r="Z121" s="153"/>
      <c r="AA121" s="153"/>
      <c r="AB121" s="153"/>
    </row>
    <row r="122" spans="1:28" s="91" customFormat="1" ht="13.8" x14ac:dyDescent="0.3">
      <c r="A122" s="24"/>
      <c r="B122" s="24"/>
      <c r="C122" s="38"/>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row>
    <row r="123" spans="1:28" s="134" customFormat="1" ht="13.8" x14ac:dyDescent="0.3">
      <c r="A123" s="337" t="s">
        <v>409</v>
      </c>
      <c r="B123" s="338"/>
      <c r="C123" s="339"/>
      <c r="D123" s="338"/>
      <c r="E123" s="339"/>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r="124" spans="1:28" s="91" customFormat="1" ht="13.8" x14ac:dyDescent="0.3">
      <c r="A124" s="331" t="s">
        <v>275</v>
      </c>
      <c r="B124" s="332"/>
      <c r="C124" s="212"/>
      <c r="D124" s="212" t="e">
        <f>D114</f>
        <v>#DIV/0!</v>
      </c>
      <c r="E124" s="212" t="e">
        <f t="shared" ref="E124:AB124" si="112">E114</f>
        <v>#DIV/0!</v>
      </c>
      <c r="F124" s="212" t="e">
        <f t="shared" si="112"/>
        <v>#DIV/0!</v>
      </c>
      <c r="G124" s="212" t="e">
        <f t="shared" si="112"/>
        <v>#DIV/0!</v>
      </c>
      <c r="H124" s="212" t="e">
        <f t="shared" si="112"/>
        <v>#DIV/0!</v>
      </c>
      <c r="I124" s="212" t="e">
        <f t="shared" si="112"/>
        <v>#DIV/0!</v>
      </c>
      <c r="J124" s="212" t="e">
        <f t="shared" si="112"/>
        <v>#DIV/0!</v>
      </c>
      <c r="K124" s="212" t="e">
        <f t="shared" si="112"/>
        <v>#DIV/0!</v>
      </c>
      <c r="L124" s="212" t="e">
        <f t="shared" si="112"/>
        <v>#DIV/0!</v>
      </c>
      <c r="M124" s="212" t="e">
        <f t="shared" si="112"/>
        <v>#DIV/0!</v>
      </c>
      <c r="N124" s="212" t="e">
        <f t="shared" si="112"/>
        <v>#DIV/0!</v>
      </c>
      <c r="O124" s="212" t="e">
        <f t="shared" si="112"/>
        <v>#DIV/0!</v>
      </c>
      <c r="P124" s="212" t="e">
        <f t="shared" si="112"/>
        <v>#DIV/0!</v>
      </c>
      <c r="Q124" s="212" t="e">
        <f t="shared" si="112"/>
        <v>#DIV/0!</v>
      </c>
      <c r="R124" s="212" t="e">
        <f t="shared" si="112"/>
        <v>#DIV/0!</v>
      </c>
      <c r="S124" s="212" t="e">
        <f t="shared" si="112"/>
        <v>#DIV/0!</v>
      </c>
      <c r="T124" s="212" t="e">
        <f t="shared" si="112"/>
        <v>#DIV/0!</v>
      </c>
      <c r="U124" s="212" t="e">
        <f t="shared" si="112"/>
        <v>#DIV/0!</v>
      </c>
      <c r="V124" s="212" t="e">
        <f t="shared" si="112"/>
        <v>#DIV/0!</v>
      </c>
      <c r="W124" s="212" t="e">
        <f t="shared" si="112"/>
        <v>#DIV/0!</v>
      </c>
      <c r="X124" s="212" t="e">
        <f t="shared" si="112"/>
        <v>#DIV/0!</v>
      </c>
      <c r="Y124" s="212" t="e">
        <f t="shared" si="112"/>
        <v>#DIV/0!</v>
      </c>
      <c r="Z124" s="212" t="e">
        <f t="shared" si="112"/>
        <v>#DIV/0!</v>
      </c>
      <c r="AA124" s="212" t="e">
        <f t="shared" si="112"/>
        <v>#DIV/0!</v>
      </c>
      <c r="AB124" s="212" t="e">
        <f t="shared" si="112"/>
        <v>#DIV/0!</v>
      </c>
    </row>
    <row r="125" spans="1:28" s="91" customFormat="1" ht="13.8" x14ac:dyDescent="0.3">
      <c r="A125" s="333" t="s">
        <v>276</v>
      </c>
      <c r="B125" s="24"/>
      <c r="C125" s="10"/>
      <c r="D125" s="10" t="e">
        <f>D119</f>
        <v>#DIV/0!</v>
      </c>
      <c r="E125" s="10" t="e">
        <f t="shared" ref="E125:AB125" si="113">E119</f>
        <v>#DIV/0!</v>
      </c>
      <c r="F125" s="10" t="e">
        <f t="shared" si="113"/>
        <v>#DIV/0!</v>
      </c>
      <c r="G125" s="10" t="e">
        <f t="shared" si="113"/>
        <v>#DIV/0!</v>
      </c>
      <c r="H125" s="10" t="e">
        <f t="shared" si="113"/>
        <v>#DIV/0!</v>
      </c>
      <c r="I125" s="10" t="e">
        <f t="shared" si="113"/>
        <v>#DIV/0!</v>
      </c>
      <c r="J125" s="10" t="e">
        <f t="shared" si="113"/>
        <v>#DIV/0!</v>
      </c>
      <c r="K125" s="10" t="e">
        <f t="shared" si="113"/>
        <v>#DIV/0!</v>
      </c>
      <c r="L125" s="10" t="e">
        <f t="shared" si="113"/>
        <v>#DIV/0!</v>
      </c>
      <c r="M125" s="10" t="e">
        <f t="shared" si="113"/>
        <v>#DIV/0!</v>
      </c>
      <c r="N125" s="10" t="e">
        <f t="shared" si="113"/>
        <v>#DIV/0!</v>
      </c>
      <c r="O125" s="10" t="e">
        <f t="shared" si="113"/>
        <v>#DIV/0!</v>
      </c>
      <c r="P125" s="10" t="e">
        <f t="shared" si="113"/>
        <v>#DIV/0!</v>
      </c>
      <c r="Q125" s="10" t="e">
        <f t="shared" si="113"/>
        <v>#DIV/0!</v>
      </c>
      <c r="R125" s="10" t="e">
        <f t="shared" si="113"/>
        <v>#DIV/0!</v>
      </c>
      <c r="S125" s="10" t="e">
        <f t="shared" si="113"/>
        <v>#DIV/0!</v>
      </c>
      <c r="T125" s="10" t="e">
        <f t="shared" si="113"/>
        <v>#DIV/0!</v>
      </c>
      <c r="U125" s="10" t="e">
        <f t="shared" si="113"/>
        <v>#DIV/0!</v>
      </c>
      <c r="V125" s="10" t="e">
        <f t="shared" si="113"/>
        <v>#DIV/0!</v>
      </c>
      <c r="W125" s="10" t="e">
        <f t="shared" si="113"/>
        <v>#DIV/0!</v>
      </c>
      <c r="X125" s="10" t="e">
        <f t="shared" si="113"/>
        <v>#DIV/0!</v>
      </c>
      <c r="Y125" s="10" t="e">
        <f t="shared" si="113"/>
        <v>#DIV/0!</v>
      </c>
      <c r="Z125" s="10" t="e">
        <f t="shared" si="113"/>
        <v>#DIV/0!</v>
      </c>
      <c r="AA125" s="10" t="e">
        <f t="shared" si="113"/>
        <v>#DIV/0!</v>
      </c>
      <c r="AB125" s="10" t="e">
        <f t="shared" si="113"/>
        <v>#DIV/0!</v>
      </c>
    </row>
    <row r="126" spans="1:28" s="340" customFormat="1" thickBot="1" x14ac:dyDescent="0.35">
      <c r="A126" s="334" t="s">
        <v>277</v>
      </c>
      <c r="B126" s="335"/>
      <c r="C126" s="213">
        <f>-Inputs!C128</f>
        <v>-267500</v>
      </c>
      <c r="D126" s="213">
        <f>IFERROR(SUM(D124:D125),0)</f>
        <v>0</v>
      </c>
      <c r="E126" s="213">
        <f t="shared" ref="E126:AB126" si="114">IFERROR(SUM(E124:E125),0)</f>
        <v>0</v>
      </c>
      <c r="F126" s="213">
        <f t="shared" si="114"/>
        <v>0</v>
      </c>
      <c r="G126" s="213">
        <f t="shared" si="114"/>
        <v>0</v>
      </c>
      <c r="H126" s="213">
        <f t="shared" si="114"/>
        <v>0</v>
      </c>
      <c r="I126" s="213">
        <f t="shared" si="114"/>
        <v>0</v>
      </c>
      <c r="J126" s="213">
        <f t="shared" si="114"/>
        <v>0</v>
      </c>
      <c r="K126" s="213">
        <f t="shared" si="114"/>
        <v>0</v>
      </c>
      <c r="L126" s="213">
        <f t="shared" si="114"/>
        <v>0</v>
      </c>
      <c r="M126" s="213">
        <f t="shared" si="114"/>
        <v>0</v>
      </c>
      <c r="N126" s="213">
        <f t="shared" si="114"/>
        <v>0</v>
      </c>
      <c r="O126" s="213">
        <f t="shared" si="114"/>
        <v>0</v>
      </c>
      <c r="P126" s="213">
        <f t="shared" si="114"/>
        <v>0</v>
      </c>
      <c r="Q126" s="213">
        <f t="shared" si="114"/>
        <v>0</v>
      </c>
      <c r="R126" s="213">
        <f t="shared" si="114"/>
        <v>0</v>
      </c>
      <c r="S126" s="213">
        <f t="shared" si="114"/>
        <v>0</v>
      </c>
      <c r="T126" s="213">
        <f t="shared" si="114"/>
        <v>0</v>
      </c>
      <c r="U126" s="213">
        <f t="shared" si="114"/>
        <v>0</v>
      </c>
      <c r="V126" s="213">
        <f t="shared" si="114"/>
        <v>0</v>
      </c>
      <c r="W126" s="213">
        <f t="shared" si="114"/>
        <v>0</v>
      </c>
      <c r="X126" s="213">
        <f t="shared" si="114"/>
        <v>0</v>
      </c>
      <c r="Y126" s="213">
        <f t="shared" si="114"/>
        <v>0</v>
      </c>
      <c r="Z126" s="213">
        <f t="shared" si="114"/>
        <v>0</v>
      </c>
      <c r="AA126" s="213">
        <f t="shared" si="114"/>
        <v>0</v>
      </c>
      <c r="AB126" s="213">
        <f t="shared" si="114"/>
        <v>0</v>
      </c>
    </row>
    <row r="127" spans="1:28" s="91" customFormat="1" thickTop="1" x14ac:dyDescent="0.3">
      <c r="A127" s="333" t="s">
        <v>305</v>
      </c>
      <c r="B127" s="280"/>
      <c r="C127" s="212"/>
      <c r="D127" s="212">
        <f>D154</f>
        <v>0</v>
      </c>
      <c r="E127" s="212">
        <f t="shared" ref="E127:AB127" si="115">E154</f>
        <v>0</v>
      </c>
      <c r="F127" s="212">
        <f t="shared" si="115"/>
        <v>0</v>
      </c>
      <c r="G127" s="212">
        <f t="shared" si="115"/>
        <v>0</v>
      </c>
      <c r="H127" s="212">
        <f t="shared" si="115"/>
        <v>0</v>
      </c>
      <c r="I127" s="212">
        <f t="shared" si="115"/>
        <v>0</v>
      </c>
      <c r="J127" s="212">
        <f t="shared" si="115"/>
        <v>0</v>
      </c>
      <c r="K127" s="212">
        <f t="shared" si="115"/>
        <v>0</v>
      </c>
      <c r="L127" s="212">
        <f t="shared" si="115"/>
        <v>0</v>
      </c>
      <c r="M127" s="212">
        <f t="shared" si="115"/>
        <v>0</v>
      </c>
      <c r="N127" s="212">
        <f t="shared" si="115"/>
        <v>0</v>
      </c>
      <c r="O127" s="212">
        <f t="shared" si="115"/>
        <v>0</v>
      </c>
      <c r="P127" s="212">
        <f t="shared" si="115"/>
        <v>0</v>
      </c>
      <c r="Q127" s="212">
        <f t="shared" si="115"/>
        <v>0</v>
      </c>
      <c r="R127" s="212">
        <f t="shared" si="115"/>
        <v>0</v>
      </c>
      <c r="S127" s="212">
        <f t="shared" si="115"/>
        <v>0</v>
      </c>
      <c r="T127" s="212">
        <f t="shared" si="115"/>
        <v>0</v>
      </c>
      <c r="U127" s="212">
        <f t="shared" si="115"/>
        <v>0</v>
      </c>
      <c r="V127" s="212">
        <f t="shared" si="115"/>
        <v>0</v>
      </c>
      <c r="W127" s="212">
        <f t="shared" si="115"/>
        <v>0</v>
      </c>
      <c r="X127" s="212">
        <f t="shared" si="115"/>
        <v>0</v>
      </c>
      <c r="Y127" s="212">
        <f t="shared" si="115"/>
        <v>0</v>
      </c>
      <c r="Z127" s="212">
        <f t="shared" si="115"/>
        <v>0</v>
      </c>
      <c r="AA127" s="212">
        <f t="shared" si="115"/>
        <v>0</v>
      </c>
      <c r="AB127" s="212">
        <f t="shared" si="115"/>
        <v>0</v>
      </c>
    </row>
    <row r="128" spans="1:28" s="340" customFormat="1" thickBot="1" x14ac:dyDescent="0.35">
      <c r="A128" s="334" t="s">
        <v>304</v>
      </c>
      <c r="B128" s="335"/>
      <c r="C128" s="213">
        <f>-Inputs!C186*Inputs!C128</f>
        <v>-267500</v>
      </c>
      <c r="D128" s="213">
        <f>SUM(D126:D127)</f>
        <v>0</v>
      </c>
      <c r="E128" s="213">
        <f t="shared" ref="E128:AB128" si="116">SUM(E126:E127)</f>
        <v>0</v>
      </c>
      <c r="F128" s="213">
        <f t="shared" si="116"/>
        <v>0</v>
      </c>
      <c r="G128" s="213">
        <f t="shared" si="116"/>
        <v>0</v>
      </c>
      <c r="H128" s="213">
        <f t="shared" si="116"/>
        <v>0</v>
      </c>
      <c r="I128" s="213">
        <f t="shared" si="116"/>
        <v>0</v>
      </c>
      <c r="J128" s="213">
        <f t="shared" si="116"/>
        <v>0</v>
      </c>
      <c r="K128" s="213">
        <f t="shared" si="116"/>
        <v>0</v>
      </c>
      <c r="L128" s="213">
        <f t="shared" si="116"/>
        <v>0</v>
      </c>
      <c r="M128" s="213">
        <f t="shared" si="116"/>
        <v>0</v>
      </c>
      <c r="N128" s="213">
        <f t="shared" si="116"/>
        <v>0</v>
      </c>
      <c r="O128" s="213">
        <f t="shared" si="116"/>
        <v>0</v>
      </c>
      <c r="P128" s="213">
        <f t="shared" si="116"/>
        <v>0</v>
      </c>
      <c r="Q128" s="213">
        <f t="shared" si="116"/>
        <v>0</v>
      </c>
      <c r="R128" s="213">
        <f t="shared" si="116"/>
        <v>0</v>
      </c>
      <c r="S128" s="213">
        <f t="shared" si="116"/>
        <v>0</v>
      </c>
      <c r="T128" s="213">
        <f t="shared" si="116"/>
        <v>0</v>
      </c>
      <c r="U128" s="213">
        <f t="shared" si="116"/>
        <v>0</v>
      </c>
      <c r="V128" s="213">
        <f t="shared" si="116"/>
        <v>0</v>
      </c>
      <c r="W128" s="213">
        <f t="shared" si="116"/>
        <v>0</v>
      </c>
      <c r="X128" s="213">
        <f t="shared" si="116"/>
        <v>0</v>
      </c>
      <c r="Y128" s="213">
        <f t="shared" si="116"/>
        <v>0</v>
      </c>
      <c r="Z128" s="213">
        <f t="shared" si="116"/>
        <v>0</v>
      </c>
      <c r="AA128" s="213">
        <f t="shared" si="116"/>
        <v>0</v>
      </c>
      <c r="AB128" s="213">
        <f t="shared" si="116"/>
        <v>0</v>
      </c>
    </row>
    <row r="129" spans="1:28" s="340" customFormat="1" thickTop="1" x14ac:dyDescent="0.3">
      <c r="A129" s="336"/>
      <c r="B129" s="153"/>
      <c r="C129" s="153"/>
      <c r="D129" s="153"/>
      <c r="E129" s="153"/>
      <c r="F129" s="153"/>
      <c r="G129" s="153"/>
      <c r="H129" s="153"/>
      <c r="I129" s="153"/>
      <c r="J129" s="153"/>
      <c r="K129" s="153"/>
      <c r="L129" s="153"/>
      <c r="M129" s="153"/>
      <c r="N129" s="153"/>
      <c r="O129" s="153"/>
      <c r="P129" s="153"/>
      <c r="Q129" s="153"/>
      <c r="R129" s="153"/>
      <c r="S129" s="153"/>
      <c r="T129" s="153"/>
      <c r="U129" s="153"/>
      <c r="V129" s="153"/>
      <c r="W129" s="153"/>
      <c r="X129" s="153"/>
      <c r="Y129" s="153"/>
      <c r="Z129" s="153"/>
      <c r="AA129" s="153"/>
      <c r="AB129" s="153"/>
    </row>
    <row r="130" spans="1:28" s="340" customFormat="1" ht="13.8" x14ac:dyDescent="0.3">
      <c r="A130" s="336"/>
      <c r="B130" s="336"/>
      <c r="C130" s="153"/>
      <c r="D130" s="153"/>
      <c r="E130" s="153"/>
      <c r="F130" s="153"/>
      <c r="G130" s="153"/>
      <c r="H130" s="153"/>
      <c r="I130" s="153"/>
      <c r="J130" s="153"/>
      <c r="K130" s="153"/>
      <c r="L130" s="153"/>
      <c r="M130" s="153"/>
      <c r="N130" s="153"/>
      <c r="O130" s="153"/>
      <c r="P130" s="153"/>
      <c r="Q130" s="153"/>
      <c r="R130" s="153"/>
      <c r="S130" s="153"/>
      <c r="T130" s="153"/>
      <c r="U130" s="153"/>
      <c r="V130" s="153"/>
      <c r="W130" s="153"/>
      <c r="X130" s="153"/>
      <c r="Y130" s="153"/>
      <c r="Z130" s="153"/>
      <c r="AA130" s="153"/>
      <c r="AB130" s="153"/>
    </row>
    <row r="131" spans="1:28" s="91" customFormat="1" ht="13.8" x14ac:dyDescent="0.3">
      <c r="A131" s="341" t="s">
        <v>413</v>
      </c>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row>
    <row r="132" spans="1:28" s="344" customFormat="1" ht="13.8" x14ac:dyDescent="0.3">
      <c r="A132" s="342" t="s">
        <v>306</v>
      </c>
      <c r="B132" s="343" t="s">
        <v>22</v>
      </c>
      <c r="C132" s="242"/>
      <c r="D132" s="242">
        <f>IF(-D127&gt;0,D124/-D127,0)</f>
        <v>0</v>
      </c>
      <c r="E132" s="242">
        <f t="shared" ref="E132:AB132" si="117">IF(-E127&gt;0,E124/-E127,0)</f>
        <v>0</v>
      </c>
      <c r="F132" s="242">
        <f t="shared" si="117"/>
        <v>0</v>
      </c>
      <c r="G132" s="242">
        <f t="shared" si="117"/>
        <v>0</v>
      </c>
      <c r="H132" s="242">
        <f t="shared" si="117"/>
        <v>0</v>
      </c>
      <c r="I132" s="242">
        <f t="shared" si="117"/>
        <v>0</v>
      </c>
      <c r="J132" s="242">
        <f t="shared" si="117"/>
        <v>0</v>
      </c>
      <c r="K132" s="242">
        <f t="shared" si="117"/>
        <v>0</v>
      </c>
      <c r="L132" s="242">
        <f t="shared" si="117"/>
        <v>0</v>
      </c>
      <c r="M132" s="242">
        <f t="shared" si="117"/>
        <v>0</v>
      </c>
      <c r="N132" s="242">
        <f t="shared" si="117"/>
        <v>0</v>
      </c>
      <c r="O132" s="242">
        <f t="shared" si="117"/>
        <v>0</v>
      </c>
      <c r="P132" s="242">
        <f t="shared" si="117"/>
        <v>0</v>
      </c>
      <c r="Q132" s="242">
        <f t="shared" si="117"/>
        <v>0</v>
      </c>
      <c r="R132" s="242">
        <f t="shared" si="117"/>
        <v>0</v>
      </c>
      <c r="S132" s="242">
        <f t="shared" si="117"/>
        <v>0</v>
      </c>
      <c r="T132" s="242">
        <f t="shared" si="117"/>
        <v>0</v>
      </c>
      <c r="U132" s="242">
        <f t="shared" si="117"/>
        <v>0</v>
      </c>
      <c r="V132" s="242">
        <f t="shared" si="117"/>
        <v>0</v>
      </c>
      <c r="W132" s="242">
        <f t="shared" si="117"/>
        <v>0</v>
      </c>
      <c r="X132" s="242">
        <f t="shared" si="117"/>
        <v>0</v>
      </c>
      <c r="Y132" s="242">
        <f t="shared" si="117"/>
        <v>0</v>
      </c>
      <c r="Z132" s="242">
        <f t="shared" si="117"/>
        <v>0</v>
      </c>
      <c r="AA132" s="242">
        <f t="shared" si="117"/>
        <v>0</v>
      </c>
      <c r="AB132" s="242">
        <f t="shared" si="117"/>
        <v>0</v>
      </c>
    </row>
    <row r="133" spans="1:28" s="344" customFormat="1" ht="13.8" x14ac:dyDescent="0.3">
      <c r="A133" s="345" t="s">
        <v>307</v>
      </c>
      <c r="B133" s="346" t="s">
        <v>22</v>
      </c>
      <c r="C133" s="243"/>
      <c r="D133" s="243">
        <f>IF(-D117&gt;0,D124/-D117,0)</f>
        <v>0</v>
      </c>
      <c r="E133" s="243">
        <f t="shared" ref="E133:AB133" si="118">IF(-E117&gt;0,E124/-E117,0)</f>
        <v>0</v>
      </c>
      <c r="F133" s="243">
        <f t="shared" si="118"/>
        <v>0</v>
      </c>
      <c r="G133" s="243">
        <f t="shared" si="118"/>
        <v>0</v>
      </c>
      <c r="H133" s="243">
        <f t="shared" si="118"/>
        <v>0</v>
      </c>
      <c r="I133" s="243">
        <f t="shared" si="118"/>
        <v>0</v>
      </c>
      <c r="J133" s="243">
        <f t="shared" si="118"/>
        <v>0</v>
      </c>
      <c r="K133" s="243">
        <f t="shared" si="118"/>
        <v>0</v>
      </c>
      <c r="L133" s="243">
        <f t="shared" si="118"/>
        <v>0</v>
      </c>
      <c r="M133" s="243">
        <f t="shared" si="118"/>
        <v>0</v>
      </c>
      <c r="N133" s="243">
        <f t="shared" si="118"/>
        <v>0</v>
      </c>
      <c r="O133" s="243">
        <f t="shared" si="118"/>
        <v>0</v>
      </c>
      <c r="P133" s="243">
        <f t="shared" si="118"/>
        <v>0</v>
      </c>
      <c r="Q133" s="243">
        <f t="shared" si="118"/>
        <v>0</v>
      </c>
      <c r="R133" s="243">
        <f t="shared" si="118"/>
        <v>0</v>
      </c>
      <c r="S133" s="243">
        <f t="shared" si="118"/>
        <v>0</v>
      </c>
      <c r="T133" s="243">
        <f t="shared" si="118"/>
        <v>0</v>
      </c>
      <c r="U133" s="243">
        <f t="shared" si="118"/>
        <v>0</v>
      </c>
      <c r="V133" s="243">
        <f t="shared" si="118"/>
        <v>0</v>
      </c>
      <c r="W133" s="243">
        <f t="shared" si="118"/>
        <v>0</v>
      </c>
      <c r="X133" s="243">
        <f t="shared" si="118"/>
        <v>0</v>
      </c>
      <c r="Y133" s="243">
        <f t="shared" si="118"/>
        <v>0</v>
      </c>
      <c r="Z133" s="243">
        <f t="shared" si="118"/>
        <v>0</v>
      </c>
      <c r="AA133" s="243">
        <f t="shared" si="118"/>
        <v>0</v>
      </c>
      <c r="AB133" s="243">
        <f t="shared" si="118"/>
        <v>0</v>
      </c>
    </row>
    <row r="134" spans="1:28" s="344" customFormat="1" ht="13.8" x14ac:dyDescent="0.3">
      <c r="A134" s="347" t="s">
        <v>308</v>
      </c>
      <c r="B134" s="348" t="s">
        <v>22</v>
      </c>
      <c r="C134" s="244"/>
      <c r="D134" s="214">
        <f>IFERROR(D111+D112+D113+D119,0)</f>
        <v>0</v>
      </c>
      <c r="E134" s="214">
        <f>IFERROR(E111+E112+E113-E24+E119,0)</f>
        <v>0</v>
      </c>
      <c r="F134" s="214">
        <f t="shared" ref="F134:AB134" si="119">IFERROR(F111+F112+F113-F24+F119,0)</f>
        <v>0</v>
      </c>
      <c r="G134" s="214">
        <f t="shared" si="119"/>
        <v>0</v>
      </c>
      <c r="H134" s="214">
        <f t="shared" si="119"/>
        <v>0</v>
      </c>
      <c r="I134" s="214">
        <f t="shared" si="119"/>
        <v>0</v>
      </c>
      <c r="J134" s="214">
        <f t="shared" si="119"/>
        <v>0</v>
      </c>
      <c r="K134" s="214">
        <f t="shared" si="119"/>
        <v>0</v>
      </c>
      <c r="L134" s="214">
        <f t="shared" si="119"/>
        <v>0</v>
      </c>
      <c r="M134" s="214">
        <f t="shared" si="119"/>
        <v>0</v>
      </c>
      <c r="N134" s="214">
        <f t="shared" si="119"/>
        <v>0</v>
      </c>
      <c r="O134" s="214">
        <f t="shared" si="119"/>
        <v>0</v>
      </c>
      <c r="P134" s="214">
        <f t="shared" si="119"/>
        <v>0</v>
      </c>
      <c r="Q134" s="214">
        <f t="shared" si="119"/>
        <v>0</v>
      </c>
      <c r="R134" s="214">
        <f t="shared" si="119"/>
        <v>0</v>
      </c>
      <c r="S134" s="214">
        <f t="shared" si="119"/>
        <v>0</v>
      </c>
      <c r="T134" s="214">
        <f t="shared" si="119"/>
        <v>0</v>
      </c>
      <c r="U134" s="214">
        <f t="shared" si="119"/>
        <v>0</v>
      </c>
      <c r="V134" s="214">
        <f t="shared" si="119"/>
        <v>0</v>
      </c>
      <c r="W134" s="214">
        <f t="shared" si="119"/>
        <v>0</v>
      </c>
      <c r="X134" s="214">
        <f t="shared" si="119"/>
        <v>0</v>
      </c>
      <c r="Y134" s="214">
        <f t="shared" si="119"/>
        <v>0</v>
      </c>
      <c r="Z134" s="214">
        <f t="shared" si="119"/>
        <v>0</v>
      </c>
      <c r="AA134" s="214">
        <f t="shared" si="119"/>
        <v>0</v>
      </c>
      <c r="AB134" s="214">
        <f t="shared" si="119"/>
        <v>0</v>
      </c>
    </row>
    <row r="135" spans="1:28" s="134" customFormat="1" ht="13.8" x14ac:dyDescent="0.3">
      <c r="A135" s="153"/>
      <c r="B135" s="38"/>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c r="AA135" s="37"/>
      <c r="AB135" s="37"/>
    </row>
    <row r="136" spans="1:28" s="91" customFormat="1" ht="13.8" x14ac:dyDescent="0.3">
      <c r="A136" s="349"/>
      <c r="B136" s="24"/>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r="137" spans="1:28" s="91" customFormat="1" ht="13.8" x14ac:dyDescent="0.3">
      <c r="A137" s="350" t="s">
        <v>410</v>
      </c>
      <c r="B137" s="24"/>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r="138" spans="1:28" s="91" customFormat="1" ht="13.8" x14ac:dyDescent="0.3">
      <c r="A138" s="351" t="s">
        <v>310</v>
      </c>
      <c r="B138" s="217">
        <f>NPV(Inputs!D187,C126:AB126)</f>
        <v>-267500</v>
      </c>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row>
    <row r="139" spans="1:28" s="91" customFormat="1" ht="13.8" x14ac:dyDescent="0.3">
      <c r="A139" s="351" t="s">
        <v>312</v>
      </c>
      <c r="B139" s="245" t="e">
        <f>IRR(C126:AB126,Inputs!D187)</f>
        <v>#NUM!</v>
      </c>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row>
    <row r="140" spans="1:28" s="91" customFormat="1" ht="13.8" x14ac:dyDescent="0.3">
      <c r="A140" s="351" t="s">
        <v>204</v>
      </c>
      <c r="B140" s="245" t="e">
        <f>IRR(Calculations!C128:AB128,Inputs!C187)</f>
        <v>#NUM!</v>
      </c>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row>
    <row r="141" spans="1:28" s="91" customFormat="1" ht="13.8" x14ac:dyDescent="0.3">
      <c r="A141" s="352"/>
      <c r="B141" s="38"/>
      <c r="C141" s="353"/>
      <c r="D141" s="353"/>
      <c r="E141" s="353"/>
      <c r="F141" s="353"/>
      <c r="G141" s="353"/>
      <c r="H141" s="353"/>
      <c r="I141" s="353"/>
      <c r="J141" s="353"/>
      <c r="K141" s="353"/>
      <c r="L141" s="353"/>
      <c r="M141" s="353"/>
      <c r="N141" s="353"/>
      <c r="O141" s="353"/>
      <c r="P141" s="353"/>
      <c r="Q141" s="353"/>
      <c r="R141" s="353"/>
      <c r="S141" s="353"/>
      <c r="T141" s="353"/>
      <c r="U141" s="353"/>
      <c r="V141" s="353"/>
      <c r="W141" s="353"/>
      <c r="X141" s="353"/>
      <c r="Y141" s="353"/>
      <c r="Z141" s="353"/>
      <c r="AA141" s="353"/>
      <c r="AB141" s="353"/>
    </row>
    <row r="142" spans="1:28" s="91" customFormat="1" ht="13.8" x14ac:dyDescent="0.3">
      <c r="A142" s="24"/>
      <c r="B142" s="38"/>
      <c r="C142" s="353"/>
      <c r="D142" s="353"/>
      <c r="E142" s="353"/>
      <c r="F142" s="353"/>
      <c r="G142" s="353"/>
      <c r="H142" s="353"/>
      <c r="I142" s="353"/>
      <c r="J142" s="353"/>
      <c r="K142" s="353"/>
      <c r="L142" s="353"/>
      <c r="M142" s="353"/>
      <c r="N142" s="353"/>
      <c r="O142" s="353"/>
      <c r="P142" s="353"/>
      <c r="Q142" s="353"/>
      <c r="R142" s="353"/>
      <c r="S142" s="353"/>
      <c r="T142" s="353"/>
      <c r="U142" s="353"/>
      <c r="V142" s="353"/>
      <c r="W142" s="353"/>
      <c r="X142" s="353"/>
      <c r="Y142" s="353"/>
      <c r="Z142" s="353"/>
      <c r="AA142" s="353"/>
      <c r="AB142" s="353"/>
    </row>
    <row r="143" spans="1:28" x14ac:dyDescent="0.3">
      <c r="A143" s="350" t="s">
        <v>414</v>
      </c>
    </row>
    <row r="144" spans="1:28" s="91" customFormat="1" ht="13.8" x14ac:dyDescent="0.3">
      <c r="A144" s="336"/>
      <c r="B144" s="354"/>
      <c r="C144" s="354"/>
      <c r="D144" s="354"/>
      <c r="E144" s="24"/>
      <c r="F144" s="24"/>
      <c r="G144" s="24"/>
      <c r="H144" s="24"/>
      <c r="I144" s="24"/>
      <c r="J144" s="24"/>
      <c r="K144" s="24"/>
      <c r="L144" s="24"/>
      <c r="M144" s="24"/>
      <c r="N144" s="24"/>
      <c r="O144" s="24"/>
      <c r="P144" s="24"/>
      <c r="Q144" s="24"/>
      <c r="R144" s="24"/>
      <c r="S144" s="24"/>
      <c r="T144" s="24"/>
      <c r="U144" s="24"/>
      <c r="V144" s="24"/>
      <c r="W144" s="24"/>
      <c r="X144" s="24"/>
      <c r="Y144" s="24"/>
      <c r="Z144" s="24"/>
      <c r="AA144" s="24"/>
    </row>
    <row r="145" spans="1:117" s="91" customFormat="1" ht="13.8" x14ac:dyDescent="0.3">
      <c r="A145" s="355" t="s">
        <v>295</v>
      </c>
      <c r="B145" s="356"/>
      <c r="C145" s="37"/>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row>
    <row r="146" spans="1:117" s="91" customFormat="1" ht="13.8" x14ac:dyDescent="0.3">
      <c r="A146" s="357" t="s">
        <v>296</v>
      </c>
      <c r="B146" s="17">
        <f>Inputs!C169</f>
        <v>0</v>
      </c>
      <c r="C146" s="37"/>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row>
    <row r="147" spans="1:117" s="91" customFormat="1" ht="13.8" x14ac:dyDescent="0.3">
      <c r="A147" s="358" t="s">
        <v>297</v>
      </c>
      <c r="B147" s="17">
        <f>Inputs!C178*Inputs!C169</f>
        <v>0</v>
      </c>
      <c r="C147" s="37"/>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row>
    <row r="148" spans="1:117" s="91" customFormat="1" thickBot="1" x14ac:dyDescent="0.35">
      <c r="A148" s="359" t="s">
        <v>298</v>
      </c>
      <c r="B148" s="246">
        <f>SUM(B146:B147)</f>
        <v>0</v>
      </c>
      <c r="C148" s="37"/>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row>
    <row r="149" spans="1:117" s="91" customFormat="1" thickTop="1" x14ac:dyDescent="0.3">
      <c r="A149" s="357" t="s">
        <v>299</v>
      </c>
      <c r="B149" s="17">
        <f>Inputs!C177</f>
        <v>0</v>
      </c>
      <c r="C149" s="37"/>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row>
    <row r="150" spans="1:117" s="91" customFormat="1" ht="13.8" x14ac:dyDescent="0.3">
      <c r="A150" s="358" t="s">
        <v>300</v>
      </c>
      <c r="B150" s="131">
        <f>Inputs!C179</f>
        <v>0</v>
      </c>
      <c r="C150" s="360"/>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row>
    <row r="151" spans="1:117" s="91" customFormat="1" ht="13.8" x14ac:dyDescent="0.3">
      <c r="A151" s="24"/>
      <c r="B151" s="37"/>
      <c r="C151" s="37"/>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row>
    <row r="152" spans="1:117" s="38" customFormat="1" x14ac:dyDescent="0.3">
      <c r="A152" s="34"/>
      <c r="C152" s="132" t="s">
        <v>152</v>
      </c>
      <c r="D152" s="133">
        <v>1</v>
      </c>
      <c r="E152" s="133">
        <f>D152+1</f>
        <v>2</v>
      </c>
      <c r="F152" s="133">
        <f t="shared" ref="F152" si="120">E152+1</f>
        <v>3</v>
      </c>
      <c r="G152" s="133">
        <f t="shared" ref="G152" si="121">F152+1</f>
        <v>4</v>
      </c>
      <c r="H152" s="133">
        <f t="shared" ref="H152" si="122">G152+1</f>
        <v>5</v>
      </c>
      <c r="I152" s="133">
        <f t="shared" ref="I152" si="123">H152+1</f>
        <v>6</v>
      </c>
      <c r="J152" s="133">
        <f t="shared" ref="J152" si="124">I152+1</f>
        <v>7</v>
      </c>
      <c r="K152" s="133">
        <f t="shared" ref="K152" si="125">J152+1</f>
        <v>8</v>
      </c>
      <c r="L152" s="133">
        <f t="shared" ref="L152" si="126">K152+1</f>
        <v>9</v>
      </c>
      <c r="M152" s="133">
        <f t="shared" ref="M152" si="127">L152+1</f>
        <v>10</v>
      </c>
      <c r="N152" s="133">
        <f t="shared" ref="N152" si="128">M152+1</f>
        <v>11</v>
      </c>
      <c r="O152" s="133">
        <f t="shared" ref="O152" si="129">N152+1</f>
        <v>12</v>
      </c>
      <c r="P152" s="133">
        <f t="shared" ref="P152" si="130">O152+1</f>
        <v>13</v>
      </c>
      <c r="Q152" s="133">
        <f t="shared" ref="Q152" si="131">P152+1</f>
        <v>14</v>
      </c>
      <c r="R152" s="133">
        <f t="shared" ref="R152" si="132">Q152+1</f>
        <v>15</v>
      </c>
      <c r="S152" s="133">
        <f t="shared" ref="S152" si="133">R152+1</f>
        <v>16</v>
      </c>
      <c r="T152" s="133">
        <f t="shared" ref="T152" si="134">S152+1</f>
        <v>17</v>
      </c>
      <c r="U152" s="133">
        <f t="shared" ref="U152" si="135">T152+1</f>
        <v>18</v>
      </c>
      <c r="V152" s="133">
        <f t="shared" ref="V152" si="136">U152+1</f>
        <v>19</v>
      </c>
      <c r="W152" s="133">
        <f t="shared" ref="W152" si="137">V152+1</f>
        <v>20</v>
      </c>
      <c r="X152" s="133">
        <f t="shared" ref="X152" si="138">W152+1</f>
        <v>21</v>
      </c>
      <c r="Y152" s="133">
        <f t="shared" ref="Y152" si="139">X152+1</f>
        <v>22</v>
      </c>
      <c r="Z152" s="133">
        <f t="shared" ref="Z152" si="140">Y152+1</f>
        <v>23</v>
      </c>
      <c r="AA152" s="133">
        <f t="shared" ref="AA152" si="141">Z152+1</f>
        <v>24</v>
      </c>
      <c r="AB152" s="133">
        <f t="shared" ref="AB152" si="142">AA152+1</f>
        <v>25</v>
      </c>
      <c r="AC152" s="134"/>
      <c r="AD152" s="134"/>
      <c r="AE152" s="134"/>
      <c r="AF152" s="134"/>
      <c r="AG152" s="134"/>
      <c r="AH152" s="134"/>
      <c r="AI152" s="134"/>
      <c r="AJ152" s="134"/>
      <c r="AK152" s="134"/>
      <c r="AL152" s="134"/>
      <c r="AM152" s="134"/>
      <c r="AN152" s="134"/>
      <c r="AO152" s="134"/>
      <c r="AP152" s="134"/>
      <c r="AQ152" s="134"/>
      <c r="AR152" s="134"/>
      <c r="AS152" s="134"/>
      <c r="AT152" s="134"/>
      <c r="AU152" s="134"/>
      <c r="AV152" s="134"/>
      <c r="AW152" s="134"/>
      <c r="AX152" s="134"/>
      <c r="AY152" s="134"/>
      <c r="AZ152" s="134"/>
      <c r="BA152" s="134"/>
      <c r="BB152" s="134"/>
      <c r="BC152" s="134"/>
      <c r="BD152" s="134"/>
      <c r="BE152" s="134"/>
      <c r="BF152" s="134"/>
      <c r="BG152" s="134"/>
      <c r="BH152" s="134"/>
      <c r="BI152" s="134"/>
      <c r="BJ152" s="134"/>
      <c r="BK152" s="134"/>
      <c r="BL152" s="134"/>
      <c r="BM152" s="134"/>
      <c r="BN152" s="134"/>
      <c r="BO152" s="134"/>
      <c r="BP152" s="134"/>
      <c r="BQ152" s="134"/>
      <c r="BR152" s="134"/>
      <c r="BS152" s="134"/>
      <c r="BT152" s="134"/>
      <c r="BU152" s="134"/>
      <c r="BV152" s="134"/>
      <c r="BW152" s="134"/>
      <c r="BX152" s="134"/>
      <c r="BY152" s="134"/>
      <c r="BZ152" s="134"/>
      <c r="CA152" s="134"/>
      <c r="CB152" s="134"/>
      <c r="CC152" s="134"/>
      <c r="CD152" s="134"/>
      <c r="CE152" s="134"/>
      <c r="CF152" s="134"/>
      <c r="CG152" s="134"/>
      <c r="CH152" s="134"/>
      <c r="CI152" s="134"/>
      <c r="CJ152" s="134"/>
      <c r="CK152" s="134"/>
      <c r="CL152" s="134"/>
      <c r="CM152" s="134"/>
      <c r="CN152" s="134"/>
      <c r="CO152" s="134"/>
      <c r="CP152" s="134"/>
      <c r="CQ152" s="134"/>
      <c r="CR152" s="134"/>
      <c r="CS152" s="134"/>
      <c r="CT152" s="134"/>
      <c r="CU152" s="134"/>
      <c r="CV152" s="134"/>
      <c r="CW152" s="134"/>
      <c r="CX152" s="134"/>
      <c r="CY152" s="134"/>
      <c r="CZ152" s="134"/>
      <c r="DA152" s="134"/>
      <c r="DB152" s="134"/>
      <c r="DC152" s="134"/>
      <c r="DD152" s="134"/>
      <c r="DE152" s="134"/>
      <c r="DF152" s="134"/>
      <c r="DG152" s="134"/>
      <c r="DH152" s="134"/>
      <c r="DI152" s="134"/>
      <c r="DJ152" s="134"/>
      <c r="DK152" s="134"/>
      <c r="DL152" s="134"/>
      <c r="DM152" s="134"/>
    </row>
    <row r="153" spans="1:117" s="91" customFormat="1" ht="13.8" x14ac:dyDescent="0.3">
      <c r="A153" s="355" t="s">
        <v>301</v>
      </c>
      <c r="B153" s="356"/>
      <c r="C153" s="37"/>
      <c r="D153" s="37"/>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row>
    <row r="154" spans="1:117" s="91" customFormat="1" ht="13.8" x14ac:dyDescent="0.3">
      <c r="A154" s="361" t="s">
        <v>302</v>
      </c>
      <c r="B154" s="362"/>
      <c r="C154" s="247"/>
      <c r="D154" s="248">
        <f t="shared" ref="D154:AB154" si="143">IF(D152&gt;$B$149,0,PMT($B$150,$B$149,$B$148))</f>
        <v>0</v>
      </c>
      <c r="E154" s="248">
        <f t="shared" si="143"/>
        <v>0</v>
      </c>
      <c r="F154" s="248">
        <f t="shared" si="143"/>
        <v>0</v>
      </c>
      <c r="G154" s="248">
        <f t="shared" si="143"/>
        <v>0</v>
      </c>
      <c r="H154" s="248">
        <f t="shared" si="143"/>
        <v>0</v>
      </c>
      <c r="I154" s="248">
        <f t="shared" si="143"/>
        <v>0</v>
      </c>
      <c r="J154" s="248">
        <f t="shared" si="143"/>
        <v>0</v>
      </c>
      <c r="K154" s="248">
        <f t="shared" si="143"/>
        <v>0</v>
      </c>
      <c r="L154" s="248">
        <f t="shared" si="143"/>
        <v>0</v>
      </c>
      <c r="M154" s="248">
        <f t="shared" si="143"/>
        <v>0</v>
      </c>
      <c r="N154" s="248">
        <f t="shared" si="143"/>
        <v>0</v>
      </c>
      <c r="O154" s="248">
        <f t="shared" si="143"/>
        <v>0</v>
      </c>
      <c r="P154" s="248">
        <f t="shared" si="143"/>
        <v>0</v>
      </c>
      <c r="Q154" s="248">
        <f t="shared" si="143"/>
        <v>0</v>
      </c>
      <c r="R154" s="248">
        <f t="shared" si="143"/>
        <v>0</v>
      </c>
      <c r="S154" s="248">
        <f t="shared" si="143"/>
        <v>0</v>
      </c>
      <c r="T154" s="248">
        <f t="shared" si="143"/>
        <v>0</v>
      </c>
      <c r="U154" s="248">
        <f t="shared" si="143"/>
        <v>0</v>
      </c>
      <c r="V154" s="248">
        <f t="shared" si="143"/>
        <v>0</v>
      </c>
      <c r="W154" s="248">
        <f t="shared" si="143"/>
        <v>0</v>
      </c>
      <c r="X154" s="248">
        <f t="shared" si="143"/>
        <v>0</v>
      </c>
      <c r="Y154" s="248">
        <f t="shared" si="143"/>
        <v>0</v>
      </c>
      <c r="Z154" s="248">
        <f t="shared" si="143"/>
        <v>0</v>
      </c>
      <c r="AA154" s="248">
        <f t="shared" si="143"/>
        <v>0</v>
      </c>
      <c r="AB154" s="248">
        <f t="shared" si="143"/>
        <v>0</v>
      </c>
    </row>
    <row r="155" spans="1:117" s="91" customFormat="1" ht="13.8" x14ac:dyDescent="0.3">
      <c r="A155" s="364" t="s">
        <v>271</v>
      </c>
      <c r="B155" s="36"/>
      <c r="C155" s="11"/>
      <c r="D155" s="13">
        <f t="shared" ref="D155:AB155" si="144">IF(C157&gt;0,-$B$150*C157,0)</f>
        <v>0</v>
      </c>
      <c r="E155" s="13">
        <f t="shared" si="144"/>
        <v>0</v>
      </c>
      <c r="F155" s="13">
        <f t="shared" si="144"/>
        <v>0</v>
      </c>
      <c r="G155" s="13">
        <f t="shared" si="144"/>
        <v>0</v>
      </c>
      <c r="H155" s="13">
        <f t="shared" si="144"/>
        <v>0</v>
      </c>
      <c r="I155" s="13">
        <f t="shared" si="144"/>
        <v>0</v>
      </c>
      <c r="J155" s="13">
        <f t="shared" si="144"/>
        <v>0</v>
      </c>
      <c r="K155" s="13">
        <f t="shared" si="144"/>
        <v>0</v>
      </c>
      <c r="L155" s="13">
        <f t="shared" si="144"/>
        <v>0</v>
      </c>
      <c r="M155" s="13">
        <f t="shared" si="144"/>
        <v>0</v>
      </c>
      <c r="N155" s="13">
        <f t="shared" si="144"/>
        <v>0</v>
      </c>
      <c r="O155" s="13">
        <f t="shared" si="144"/>
        <v>0</v>
      </c>
      <c r="P155" s="13">
        <f t="shared" si="144"/>
        <v>0</v>
      </c>
      <c r="Q155" s="13">
        <f t="shared" si="144"/>
        <v>0</v>
      </c>
      <c r="R155" s="13">
        <f t="shared" si="144"/>
        <v>0</v>
      </c>
      <c r="S155" s="13">
        <f t="shared" si="144"/>
        <v>0</v>
      </c>
      <c r="T155" s="13">
        <f t="shared" si="144"/>
        <v>0</v>
      </c>
      <c r="U155" s="13">
        <f t="shared" si="144"/>
        <v>0</v>
      </c>
      <c r="V155" s="13">
        <f t="shared" si="144"/>
        <v>0</v>
      </c>
      <c r="W155" s="13">
        <f t="shared" si="144"/>
        <v>0</v>
      </c>
      <c r="X155" s="13">
        <f t="shared" si="144"/>
        <v>0</v>
      </c>
      <c r="Y155" s="13">
        <f t="shared" si="144"/>
        <v>0</v>
      </c>
      <c r="Z155" s="13">
        <f t="shared" si="144"/>
        <v>0</v>
      </c>
      <c r="AA155" s="13">
        <f t="shared" si="144"/>
        <v>0</v>
      </c>
      <c r="AB155" s="13">
        <f t="shared" si="144"/>
        <v>0</v>
      </c>
    </row>
    <row r="156" spans="1:117" s="91" customFormat="1" ht="13.8" x14ac:dyDescent="0.3">
      <c r="A156" s="365" t="s">
        <v>296</v>
      </c>
      <c r="B156" s="363"/>
      <c r="C156" s="247"/>
      <c r="D156" s="248">
        <f t="shared" ref="D156:AB156" si="145">IF(C157&gt;0,D154-D155,0)</f>
        <v>0</v>
      </c>
      <c r="E156" s="248">
        <f t="shared" si="145"/>
        <v>0</v>
      </c>
      <c r="F156" s="248">
        <f t="shared" si="145"/>
        <v>0</v>
      </c>
      <c r="G156" s="248">
        <f t="shared" si="145"/>
        <v>0</v>
      </c>
      <c r="H156" s="248">
        <f t="shared" si="145"/>
        <v>0</v>
      </c>
      <c r="I156" s="248">
        <f t="shared" si="145"/>
        <v>0</v>
      </c>
      <c r="J156" s="248">
        <f t="shared" si="145"/>
        <v>0</v>
      </c>
      <c r="K156" s="248">
        <f t="shared" si="145"/>
        <v>0</v>
      </c>
      <c r="L156" s="248">
        <f t="shared" si="145"/>
        <v>0</v>
      </c>
      <c r="M156" s="248">
        <f t="shared" si="145"/>
        <v>0</v>
      </c>
      <c r="N156" s="248">
        <f t="shared" si="145"/>
        <v>0</v>
      </c>
      <c r="O156" s="248">
        <f t="shared" si="145"/>
        <v>0</v>
      </c>
      <c r="P156" s="248">
        <f t="shared" si="145"/>
        <v>0</v>
      </c>
      <c r="Q156" s="248">
        <f t="shared" si="145"/>
        <v>0</v>
      </c>
      <c r="R156" s="248">
        <f t="shared" si="145"/>
        <v>0</v>
      </c>
      <c r="S156" s="248">
        <f t="shared" si="145"/>
        <v>0</v>
      </c>
      <c r="T156" s="248">
        <f t="shared" si="145"/>
        <v>0</v>
      </c>
      <c r="U156" s="248">
        <f t="shared" si="145"/>
        <v>0</v>
      </c>
      <c r="V156" s="248">
        <f t="shared" si="145"/>
        <v>0</v>
      </c>
      <c r="W156" s="248">
        <f t="shared" si="145"/>
        <v>0</v>
      </c>
      <c r="X156" s="248">
        <f t="shared" si="145"/>
        <v>0</v>
      </c>
      <c r="Y156" s="248">
        <f t="shared" si="145"/>
        <v>0</v>
      </c>
      <c r="Z156" s="248">
        <f t="shared" si="145"/>
        <v>0</v>
      </c>
      <c r="AA156" s="248">
        <f t="shared" si="145"/>
        <v>0</v>
      </c>
      <c r="AB156" s="248">
        <f t="shared" si="145"/>
        <v>0</v>
      </c>
    </row>
    <row r="157" spans="1:117" s="91" customFormat="1" ht="13.8" x14ac:dyDescent="0.3">
      <c r="A157" s="364" t="s">
        <v>303</v>
      </c>
      <c r="B157" s="36"/>
      <c r="C157" s="10">
        <f>B148</f>
        <v>0</v>
      </c>
      <c r="D157" s="13">
        <f t="shared" ref="D157:AB157" si="146">C157+D156</f>
        <v>0</v>
      </c>
      <c r="E157" s="13">
        <f t="shared" si="146"/>
        <v>0</v>
      </c>
      <c r="F157" s="13">
        <f t="shared" si="146"/>
        <v>0</v>
      </c>
      <c r="G157" s="13">
        <f t="shared" si="146"/>
        <v>0</v>
      </c>
      <c r="H157" s="13">
        <f t="shared" si="146"/>
        <v>0</v>
      </c>
      <c r="I157" s="13">
        <f t="shared" si="146"/>
        <v>0</v>
      </c>
      <c r="J157" s="13">
        <f t="shared" si="146"/>
        <v>0</v>
      </c>
      <c r="K157" s="13">
        <f t="shared" si="146"/>
        <v>0</v>
      </c>
      <c r="L157" s="13">
        <f t="shared" si="146"/>
        <v>0</v>
      </c>
      <c r="M157" s="13">
        <f t="shared" si="146"/>
        <v>0</v>
      </c>
      <c r="N157" s="13">
        <f t="shared" si="146"/>
        <v>0</v>
      </c>
      <c r="O157" s="13">
        <f t="shared" si="146"/>
        <v>0</v>
      </c>
      <c r="P157" s="13">
        <f t="shared" si="146"/>
        <v>0</v>
      </c>
      <c r="Q157" s="13">
        <f t="shared" si="146"/>
        <v>0</v>
      </c>
      <c r="R157" s="13">
        <f t="shared" si="146"/>
        <v>0</v>
      </c>
      <c r="S157" s="13">
        <f t="shared" si="146"/>
        <v>0</v>
      </c>
      <c r="T157" s="13">
        <f t="shared" si="146"/>
        <v>0</v>
      </c>
      <c r="U157" s="13">
        <f t="shared" si="146"/>
        <v>0</v>
      </c>
      <c r="V157" s="13">
        <f t="shared" si="146"/>
        <v>0</v>
      </c>
      <c r="W157" s="13">
        <f t="shared" si="146"/>
        <v>0</v>
      </c>
      <c r="X157" s="13">
        <f t="shared" si="146"/>
        <v>0</v>
      </c>
      <c r="Y157" s="13">
        <f t="shared" si="146"/>
        <v>0</v>
      </c>
      <c r="Z157" s="13">
        <f t="shared" si="146"/>
        <v>0</v>
      </c>
      <c r="AA157" s="13">
        <f t="shared" si="146"/>
        <v>0</v>
      </c>
      <c r="AB157" s="13">
        <f t="shared" si="146"/>
        <v>0</v>
      </c>
    </row>
    <row r="158" spans="1:117" s="91" customFormat="1" ht="13.8" x14ac:dyDescent="0.3">
      <c r="A158" s="366"/>
      <c r="B158" s="367"/>
      <c r="C158" s="367"/>
      <c r="D158" s="368"/>
      <c r="E158" s="367"/>
      <c r="F158" s="367"/>
      <c r="G158" s="367"/>
      <c r="H158" s="367"/>
      <c r="I158" s="367"/>
      <c r="J158" s="367"/>
      <c r="K158" s="367"/>
      <c r="L158" s="367"/>
      <c r="M158" s="367"/>
      <c r="N158" s="367"/>
      <c r="O158" s="367"/>
      <c r="P158" s="367"/>
      <c r="Q158" s="367"/>
      <c r="R158" s="367"/>
      <c r="S158" s="367"/>
      <c r="T158" s="367"/>
      <c r="U158" s="367"/>
      <c r="V158" s="367"/>
      <c r="W158" s="367"/>
      <c r="X158" s="367"/>
      <c r="Y158" s="367"/>
      <c r="Z158" s="367"/>
      <c r="AA158" s="367"/>
      <c r="AB158" s="367"/>
    </row>
    <row r="159" spans="1:117" s="91" customFormat="1" ht="13.8" x14ac:dyDescent="0.3">
      <c r="A159" s="24"/>
      <c r="B159" s="24"/>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r="161" spans="1:132" x14ac:dyDescent="0.3">
      <c r="A161" s="255" t="s">
        <v>411</v>
      </c>
    </row>
    <row r="162" spans="1:132" x14ac:dyDescent="0.3">
      <c r="A162" s="41"/>
      <c r="B162" s="41" t="s">
        <v>49</v>
      </c>
      <c r="C162" s="41" t="s">
        <v>188</v>
      </c>
    </row>
    <row r="163" spans="1:132" s="38" customFormat="1" ht="13.8" x14ac:dyDescent="0.3">
      <c r="A163" s="272" t="str">
        <f>Outputs!A137</f>
        <v>Avoided costs to the customer</v>
      </c>
      <c r="B163" s="369" t="str">
        <f>Inputs!B24</f>
        <v>US$</v>
      </c>
      <c r="C163" s="249" t="e">
        <f>Inputs!H205</f>
        <v>#DIV/0!</v>
      </c>
      <c r="AC163" s="134"/>
      <c r="AD163" s="134"/>
      <c r="AE163" s="134"/>
      <c r="AF163" s="134"/>
      <c r="AG163" s="134"/>
      <c r="AH163" s="134"/>
      <c r="AI163" s="134"/>
      <c r="AJ163" s="134"/>
      <c r="AK163" s="134"/>
      <c r="AL163" s="134"/>
      <c r="AM163" s="134"/>
      <c r="AN163" s="134"/>
      <c r="AO163" s="134"/>
      <c r="AP163" s="134"/>
      <c r="AQ163" s="134"/>
      <c r="AR163" s="134"/>
      <c r="AS163" s="134"/>
      <c r="AT163" s="134"/>
      <c r="AU163" s="134"/>
      <c r="AV163" s="134"/>
      <c r="AW163" s="134"/>
      <c r="AX163" s="134"/>
      <c r="AY163" s="134"/>
      <c r="AZ163" s="134"/>
      <c r="BA163" s="134"/>
      <c r="BB163" s="134"/>
      <c r="BC163" s="134"/>
      <c r="BD163" s="134"/>
      <c r="BE163" s="134"/>
      <c r="BF163" s="134"/>
      <c r="BG163" s="134"/>
      <c r="BH163" s="134"/>
      <c r="BI163" s="134"/>
      <c r="BJ163" s="134"/>
      <c r="BK163" s="134"/>
      <c r="BL163" s="134"/>
      <c r="BM163" s="134"/>
      <c r="BN163" s="134"/>
      <c r="BO163" s="134"/>
      <c r="BP163" s="134"/>
      <c r="BQ163" s="134"/>
      <c r="BR163" s="134"/>
      <c r="BS163" s="134"/>
      <c r="BT163" s="134"/>
      <c r="BU163" s="134"/>
      <c r="BV163" s="134"/>
      <c r="BW163" s="134"/>
      <c r="BX163" s="134"/>
      <c r="BY163" s="134"/>
      <c r="BZ163" s="134"/>
      <c r="CA163" s="134"/>
      <c r="CB163" s="134"/>
      <c r="CC163" s="134"/>
      <c r="CD163" s="134"/>
      <c r="CE163" s="134"/>
      <c r="CF163" s="134"/>
      <c r="CG163" s="134"/>
      <c r="CH163" s="134"/>
      <c r="CI163" s="134"/>
      <c r="CJ163" s="134"/>
      <c r="CK163" s="134"/>
      <c r="CL163" s="134"/>
      <c r="CM163" s="134"/>
      <c r="CN163" s="134"/>
      <c r="CO163" s="134"/>
      <c r="CP163" s="134"/>
      <c r="CQ163" s="134"/>
      <c r="CR163" s="134"/>
      <c r="CS163" s="134"/>
      <c r="CT163" s="134"/>
      <c r="CU163" s="134"/>
      <c r="CV163" s="134"/>
      <c r="CW163" s="134"/>
      <c r="CX163" s="134"/>
      <c r="CY163" s="134"/>
      <c r="CZ163" s="134"/>
      <c r="DA163" s="134"/>
      <c r="DB163" s="134"/>
      <c r="DC163" s="134"/>
      <c r="DD163" s="134"/>
      <c r="DE163" s="134"/>
      <c r="DF163" s="134"/>
      <c r="DG163" s="134"/>
      <c r="DH163" s="134"/>
      <c r="DI163" s="134"/>
      <c r="DJ163" s="134"/>
      <c r="DK163" s="134"/>
      <c r="DL163" s="134"/>
      <c r="DM163" s="134"/>
      <c r="DN163" s="134"/>
      <c r="DO163" s="134"/>
      <c r="DP163" s="134"/>
      <c r="DQ163" s="134"/>
      <c r="DR163" s="134"/>
      <c r="DS163" s="134"/>
      <c r="DT163" s="134"/>
      <c r="DU163" s="134"/>
      <c r="DV163" s="134"/>
      <c r="DW163" s="134"/>
      <c r="DX163" s="134"/>
      <c r="DY163" s="134"/>
      <c r="DZ163" s="134"/>
      <c r="EA163" s="134"/>
      <c r="EB163" s="134"/>
    </row>
    <row r="164" spans="1:132" s="38" customFormat="1" ht="13.8" x14ac:dyDescent="0.3">
      <c r="A164" s="272" t="str">
        <f>Outputs!A138</f>
        <v xml:space="preserve">Average cost per connection </v>
      </c>
      <c r="B164" s="369" t="str">
        <f>Inputs!B24</f>
        <v>US$</v>
      </c>
      <c r="C164" s="249" t="e">
        <f>SUM(Inputs!C40+Inputs!C59+Inputs!C77+Inputs!C95+Inputs!C113)/Inputs!B205</f>
        <v>#DIV/0!</v>
      </c>
      <c r="AC164" s="134"/>
      <c r="AD164" s="134"/>
      <c r="AE164" s="134"/>
      <c r="AF164" s="134"/>
      <c r="AG164" s="134"/>
      <c r="AH164" s="134"/>
      <c r="AI164" s="134"/>
      <c r="AJ164" s="134"/>
      <c r="AK164" s="134"/>
      <c r="AL164" s="134"/>
      <c r="AM164" s="134"/>
      <c r="AN164" s="134"/>
      <c r="AO164" s="134"/>
      <c r="AP164" s="134"/>
      <c r="AQ164" s="134"/>
      <c r="AR164" s="134"/>
      <c r="AS164" s="134"/>
      <c r="AT164" s="134"/>
      <c r="AU164" s="134"/>
      <c r="AV164" s="134"/>
      <c r="AW164" s="134"/>
      <c r="AX164" s="134"/>
      <c r="AY164" s="134"/>
      <c r="AZ164" s="134"/>
      <c r="BA164" s="134"/>
      <c r="BB164" s="134"/>
      <c r="BC164" s="134"/>
      <c r="BD164" s="134"/>
      <c r="BE164" s="134"/>
      <c r="BF164" s="134"/>
      <c r="BG164" s="134"/>
      <c r="BH164" s="134"/>
      <c r="BI164" s="134"/>
      <c r="BJ164" s="134"/>
      <c r="BK164" s="134"/>
      <c r="BL164" s="134"/>
      <c r="BM164" s="134"/>
      <c r="BN164" s="134"/>
      <c r="BO164" s="134"/>
      <c r="BP164" s="134"/>
      <c r="BQ164" s="134"/>
      <c r="BR164" s="134"/>
      <c r="BS164" s="134"/>
      <c r="BT164" s="134"/>
      <c r="BU164" s="134"/>
      <c r="BV164" s="134"/>
      <c r="BW164" s="134"/>
      <c r="BX164" s="134"/>
      <c r="BY164" s="134"/>
      <c r="BZ164" s="134"/>
      <c r="CA164" s="134"/>
      <c r="CB164" s="134"/>
      <c r="CC164" s="134"/>
      <c r="CD164" s="134"/>
      <c r="CE164" s="134"/>
      <c r="CF164" s="134"/>
      <c r="CG164" s="134"/>
      <c r="CH164" s="134"/>
      <c r="CI164" s="134"/>
      <c r="CJ164" s="134"/>
      <c r="CK164" s="134"/>
      <c r="CL164" s="134"/>
      <c r="CM164" s="134"/>
      <c r="CN164" s="134"/>
      <c r="CO164" s="134"/>
      <c r="CP164" s="134"/>
      <c r="CQ164" s="134"/>
      <c r="CR164" s="134"/>
      <c r="CS164" s="134"/>
      <c r="CT164" s="134"/>
      <c r="CU164" s="134"/>
      <c r="CV164" s="134"/>
      <c r="CW164" s="134"/>
      <c r="CX164" s="134"/>
      <c r="CY164" s="134"/>
      <c r="CZ164" s="134"/>
      <c r="DA164" s="134"/>
      <c r="DB164" s="134"/>
      <c r="DC164" s="134"/>
      <c r="DD164" s="134"/>
      <c r="DE164" s="134"/>
      <c r="DF164" s="134"/>
      <c r="DG164" s="134"/>
      <c r="DH164" s="134"/>
      <c r="DI164" s="134"/>
      <c r="DJ164" s="134"/>
      <c r="DK164" s="134"/>
      <c r="DL164" s="134"/>
      <c r="DM164" s="134"/>
      <c r="DN164" s="134"/>
      <c r="DO164" s="134"/>
      <c r="DP164" s="134"/>
      <c r="DQ164" s="134"/>
      <c r="DR164" s="134"/>
      <c r="DS164" s="134"/>
      <c r="DT164" s="134"/>
      <c r="DU164" s="134"/>
      <c r="DV164" s="134"/>
      <c r="DW164" s="134"/>
      <c r="DX164" s="134"/>
      <c r="DY164" s="134"/>
      <c r="DZ164" s="134"/>
      <c r="EA164" s="134"/>
      <c r="EB164" s="134"/>
    </row>
    <row r="165" spans="1:132" s="38" customFormat="1" ht="13.8" x14ac:dyDescent="0.3">
      <c r="A165" s="272" t="str">
        <f>Outputs!A139</f>
        <v>Avoided costs to the utility (cost of connection for the utility providing services)</v>
      </c>
      <c r="B165" s="369" t="str">
        <f>Inputs!B24</f>
        <v>US$</v>
      </c>
      <c r="C165" s="249"/>
      <c r="AC165" s="134"/>
      <c r="AD165" s="134"/>
      <c r="AE165" s="134"/>
      <c r="AF165" s="134"/>
      <c r="AG165" s="134"/>
      <c r="AH165" s="134"/>
      <c r="AI165" s="134"/>
      <c r="AJ165" s="134"/>
      <c r="AK165" s="134"/>
      <c r="AL165" s="134"/>
      <c r="AM165" s="134"/>
      <c r="AN165" s="134"/>
      <c r="AO165" s="134"/>
      <c r="AP165" s="134"/>
      <c r="AQ165" s="134"/>
      <c r="AR165" s="134"/>
      <c r="AS165" s="134"/>
      <c r="AT165" s="134"/>
      <c r="AU165" s="134"/>
      <c r="AV165" s="134"/>
      <c r="AW165" s="134"/>
      <c r="AX165" s="134"/>
      <c r="AY165" s="134"/>
      <c r="AZ165" s="134"/>
      <c r="BA165" s="134"/>
      <c r="BB165" s="134"/>
      <c r="BC165" s="134"/>
      <c r="BD165" s="134"/>
      <c r="BE165" s="134"/>
      <c r="BF165" s="134"/>
      <c r="BG165" s="134"/>
      <c r="BH165" s="134"/>
      <c r="BI165" s="134"/>
      <c r="BJ165" s="134"/>
      <c r="BK165" s="134"/>
      <c r="BL165" s="134"/>
      <c r="BM165" s="134"/>
      <c r="BN165" s="134"/>
      <c r="BO165" s="134"/>
      <c r="BP165" s="134"/>
      <c r="BQ165" s="134"/>
      <c r="BR165" s="134"/>
      <c r="BS165" s="134"/>
      <c r="BT165" s="134"/>
      <c r="BU165" s="134"/>
      <c r="BV165" s="134"/>
      <c r="BW165" s="134"/>
      <c r="BX165" s="134"/>
      <c r="BY165" s="134"/>
      <c r="BZ165" s="134"/>
      <c r="CA165" s="134"/>
      <c r="CB165" s="134"/>
      <c r="CC165" s="134"/>
      <c r="CD165" s="134"/>
      <c r="CE165" s="134"/>
      <c r="CF165" s="134"/>
      <c r="CG165" s="134"/>
      <c r="CH165" s="134"/>
      <c r="CI165" s="134"/>
      <c r="CJ165" s="134"/>
      <c r="CK165" s="134"/>
      <c r="CL165" s="134"/>
      <c r="CM165" s="134"/>
      <c r="CN165" s="134"/>
      <c r="CO165" s="134"/>
      <c r="CP165" s="134"/>
      <c r="CQ165" s="134"/>
      <c r="CR165" s="134"/>
      <c r="CS165" s="134"/>
      <c r="CT165" s="134"/>
      <c r="CU165" s="134"/>
      <c r="CV165" s="134"/>
      <c r="CW165" s="134"/>
      <c r="CX165" s="134"/>
      <c r="CY165" s="134"/>
      <c r="CZ165" s="134"/>
      <c r="DA165" s="134"/>
      <c r="DB165" s="134"/>
      <c r="DC165" s="134"/>
      <c r="DD165" s="134"/>
      <c r="DE165" s="134"/>
      <c r="DF165" s="134"/>
      <c r="DG165" s="134"/>
      <c r="DH165" s="134"/>
      <c r="DI165" s="134"/>
      <c r="DJ165" s="134"/>
      <c r="DK165" s="134"/>
      <c r="DL165" s="134"/>
      <c r="DM165" s="134"/>
      <c r="DN165" s="134"/>
      <c r="DO165" s="134"/>
      <c r="DP165" s="134"/>
      <c r="DQ165" s="134"/>
      <c r="DR165" s="134"/>
      <c r="DS165" s="134"/>
      <c r="DT165" s="134"/>
      <c r="DU165" s="134"/>
      <c r="DV165" s="134"/>
      <c r="DW165" s="134"/>
      <c r="DX165" s="134"/>
      <c r="DY165" s="134"/>
      <c r="DZ165" s="134"/>
      <c r="EA165" s="134"/>
      <c r="EB165" s="134"/>
    </row>
    <row r="166" spans="1:132" s="38" customFormat="1" ht="13.8" x14ac:dyDescent="0.3">
      <c r="A166" s="272" t="str">
        <f>Outputs!A140</f>
        <v>Total capex per kW</v>
      </c>
      <c r="B166" s="369" t="str">
        <f>Inputs!B24</f>
        <v>US$</v>
      </c>
      <c r="C166" s="249">
        <f>IF(Inputs!B5="kWp",Inputs!C126/Inputs!C5,Inputs!C126/(Inputs!C5*1000))</f>
        <v>5430</v>
      </c>
      <c r="AC166" s="134"/>
      <c r="AD166" s="134"/>
      <c r="AE166" s="134"/>
      <c r="AF166" s="134"/>
      <c r="AG166" s="134"/>
      <c r="AH166" s="134"/>
      <c r="AI166" s="134"/>
      <c r="AJ166" s="134"/>
      <c r="AK166" s="134"/>
      <c r="AL166" s="134"/>
      <c r="AM166" s="134"/>
      <c r="AN166" s="134"/>
      <c r="AO166" s="134"/>
      <c r="AP166" s="134"/>
      <c r="AQ166" s="134"/>
      <c r="AR166" s="134"/>
      <c r="AS166" s="134"/>
      <c r="AT166" s="134"/>
      <c r="AU166" s="134"/>
      <c r="AV166" s="134"/>
      <c r="AW166" s="134"/>
      <c r="AX166" s="134"/>
      <c r="AY166" s="134"/>
      <c r="AZ166" s="134"/>
      <c r="BA166" s="134"/>
      <c r="BB166" s="134"/>
      <c r="BC166" s="134"/>
      <c r="BD166" s="134"/>
      <c r="BE166" s="134"/>
      <c r="BF166" s="134"/>
      <c r="BG166" s="134"/>
      <c r="BH166" s="134"/>
      <c r="BI166" s="134"/>
      <c r="BJ166" s="134"/>
      <c r="BK166" s="134"/>
      <c r="BL166" s="134"/>
      <c r="BM166" s="134"/>
      <c r="BN166" s="134"/>
      <c r="BO166" s="134"/>
      <c r="BP166" s="134"/>
      <c r="BQ166" s="134"/>
      <c r="BR166" s="134"/>
      <c r="BS166" s="134"/>
      <c r="BT166" s="134"/>
      <c r="BU166" s="134"/>
      <c r="BV166" s="134"/>
      <c r="BW166" s="134"/>
      <c r="BX166" s="134"/>
      <c r="BY166" s="134"/>
      <c r="BZ166" s="134"/>
      <c r="CA166" s="134"/>
      <c r="CB166" s="134"/>
      <c r="CC166" s="134"/>
      <c r="CD166" s="134"/>
      <c r="CE166" s="134"/>
      <c r="CF166" s="134"/>
      <c r="CG166" s="134"/>
      <c r="CH166" s="134"/>
      <c r="CI166" s="134"/>
      <c r="CJ166" s="134"/>
      <c r="CK166" s="134"/>
      <c r="CL166" s="134"/>
      <c r="CM166" s="134"/>
      <c r="CN166" s="134"/>
      <c r="CO166" s="134"/>
      <c r="CP166" s="134"/>
      <c r="CQ166" s="134"/>
      <c r="CR166" s="134"/>
      <c r="CS166" s="134"/>
      <c r="CT166" s="134"/>
      <c r="CU166" s="134"/>
      <c r="CV166" s="134"/>
      <c r="CW166" s="134"/>
      <c r="CX166" s="134"/>
      <c r="CY166" s="134"/>
      <c r="CZ166" s="134"/>
      <c r="DA166" s="134"/>
      <c r="DB166" s="134"/>
      <c r="DC166" s="134"/>
      <c r="DD166" s="134"/>
      <c r="DE166" s="134"/>
      <c r="DF166" s="134"/>
      <c r="DG166" s="134"/>
      <c r="DH166" s="134"/>
      <c r="DI166" s="134"/>
      <c r="DJ166" s="134"/>
      <c r="DK166" s="134"/>
      <c r="DL166" s="134"/>
      <c r="DM166" s="134"/>
      <c r="DN166" s="134"/>
      <c r="DO166" s="134"/>
      <c r="DP166" s="134"/>
      <c r="DQ166" s="134"/>
      <c r="DR166" s="134"/>
      <c r="DS166" s="134"/>
      <c r="DT166" s="134"/>
      <c r="DU166" s="134"/>
      <c r="DV166" s="134"/>
      <c r="DW166" s="134"/>
      <c r="DX166" s="134"/>
      <c r="DY166" s="134"/>
      <c r="DZ166" s="134"/>
      <c r="EA166" s="134"/>
      <c r="EB166" s="134"/>
    </row>
    <row r="167" spans="1:132" s="38" customFormat="1" ht="13.8" x14ac:dyDescent="0.3">
      <c r="A167" s="272" t="str">
        <f>Outputs!A141</f>
        <v>Generation capex per kW</v>
      </c>
      <c r="B167" s="369" t="str">
        <f>Inputs!B25</f>
        <v>US$</v>
      </c>
      <c r="C167" s="249">
        <f>C166-C168-C169</f>
        <v>4830</v>
      </c>
      <c r="AC167" s="134"/>
      <c r="AD167" s="134"/>
      <c r="AE167" s="134"/>
      <c r="AF167" s="134"/>
      <c r="AG167" s="134"/>
      <c r="AH167" s="134"/>
      <c r="AI167" s="134"/>
      <c r="AJ167" s="134"/>
      <c r="AK167" s="134"/>
      <c r="AL167" s="134"/>
      <c r="AM167" s="134"/>
      <c r="AN167" s="134"/>
      <c r="AO167" s="134"/>
      <c r="AP167" s="134"/>
      <c r="AQ167" s="134"/>
      <c r="AR167" s="134"/>
      <c r="AS167" s="134"/>
      <c r="AT167" s="134"/>
      <c r="AU167" s="134"/>
      <c r="AV167" s="134"/>
      <c r="AW167" s="134"/>
      <c r="AX167" s="134"/>
      <c r="AY167" s="134"/>
      <c r="AZ167" s="134"/>
      <c r="BA167" s="134"/>
      <c r="BB167" s="134"/>
      <c r="BC167" s="134"/>
      <c r="BD167" s="134"/>
      <c r="BE167" s="134"/>
      <c r="BF167" s="134"/>
      <c r="BG167" s="134"/>
      <c r="BH167" s="134"/>
      <c r="BI167" s="134"/>
      <c r="BJ167" s="134"/>
      <c r="BK167" s="134"/>
      <c r="BL167" s="134"/>
      <c r="BM167" s="134"/>
      <c r="BN167" s="134"/>
      <c r="BO167" s="134"/>
      <c r="BP167" s="134"/>
      <c r="BQ167" s="134"/>
      <c r="BR167" s="134"/>
      <c r="BS167" s="134"/>
      <c r="BT167" s="134"/>
      <c r="BU167" s="134"/>
      <c r="BV167" s="134"/>
      <c r="BW167" s="134"/>
      <c r="BX167" s="134"/>
      <c r="BY167" s="134"/>
      <c r="BZ167" s="134"/>
      <c r="CA167" s="134"/>
      <c r="CB167" s="134"/>
      <c r="CC167" s="134"/>
      <c r="CD167" s="134"/>
      <c r="CE167" s="134"/>
      <c r="CF167" s="134"/>
      <c r="CG167" s="134"/>
      <c r="CH167" s="134"/>
      <c r="CI167" s="134"/>
      <c r="CJ167" s="134"/>
      <c r="CK167" s="134"/>
      <c r="CL167" s="134"/>
      <c r="CM167" s="134"/>
      <c r="CN167" s="134"/>
      <c r="CO167" s="134"/>
      <c r="CP167" s="134"/>
      <c r="CQ167" s="134"/>
      <c r="CR167" s="134"/>
      <c r="CS167" s="134"/>
      <c r="CT167" s="134"/>
      <c r="CU167" s="134"/>
      <c r="CV167" s="134"/>
      <c r="CW167" s="134"/>
      <c r="CX167" s="134"/>
      <c r="CY167" s="134"/>
      <c r="CZ167" s="134"/>
      <c r="DA167" s="134"/>
      <c r="DB167" s="134"/>
      <c r="DC167" s="134"/>
      <c r="DD167" s="134"/>
      <c r="DE167" s="134"/>
      <c r="DF167" s="134"/>
      <c r="DG167" s="134"/>
      <c r="DH167" s="134"/>
      <c r="DI167" s="134"/>
      <c r="DJ167" s="134"/>
      <c r="DK167" s="134"/>
      <c r="DL167" s="134"/>
      <c r="DM167" s="134"/>
      <c r="DN167" s="134"/>
      <c r="DO167" s="134"/>
      <c r="DP167" s="134"/>
      <c r="DQ167" s="134"/>
      <c r="DR167" s="134"/>
      <c r="DS167" s="134"/>
      <c r="DT167" s="134"/>
      <c r="DU167" s="134"/>
      <c r="DV167" s="134"/>
      <c r="DW167" s="134"/>
      <c r="DX167" s="134"/>
      <c r="DY167" s="134"/>
      <c r="DZ167" s="134"/>
      <c r="EA167" s="134"/>
      <c r="EB167" s="134"/>
    </row>
    <row r="168" spans="1:132" s="38" customFormat="1" ht="13.8" x14ac:dyDescent="0.3">
      <c r="A168" s="272" t="str">
        <f>Outputs!A142</f>
        <v>Distribution capex per kW</v>
      </c>
      <c r="B168" s="369" t="str">
        <f>Inputs!B26</f>
        <v>US$</v>
      </c>
      <c r="C168" s="249">
        <f>IF(Inputs!B5="kWp",SUM(Inputs!C38+Inputs!C39+Inputs!C57+Inputs!C58+Inputs!C75+Inputs!C76+Inputs!C93+Inputs!C94+Inputs!C111+Inputs!C112)/Inputs!C5,SUM(Inputs!C38+Inputs!C39+Inputs!C57+Inputs!C58+Inputs!C75+Inputs!C76+Inputs!C93+Inputs!C94+Inputs!C111+Inputs!C112)/Inputs!C5*1000)</f>
        <v>400</v>
      </c>
      <c r="AC168" s="134"/>
      <c r="AD168" s="134"/>
      <c r="AE168" s="134"/>
      <c r="AF168" s="134"/>
      <c r="AG168" s="134"/>
      <c r="AH168" s="134"/>
      <c r="AI168" s="134"/>
      <c r="AJ168" s="134"/>
      <c r="AK168" s="134"/>
      <c r="AL168" s="134"/>
      <c r="AM168" s="134"/>
      <c r="AN168" s="134"/>
      <c r="AO168" s="134"/>
      <c r="AP168" s="134"/>
      <c r="AQ168" s="134"/>
      <c r="AR168" s="134"/>
      <c r="AS168" s="134"/>
      <c r="AT168" s="134"/>
      <c r="AU168" s="134"/>
      <c r="AV168" s="134"/>
      <c r="AW168" s="134"/>
      <c r="AX168" s="134"/>
      <c r="AY168" s="134"/>
      <c r="AZ168" s="134"/>
      <c r="BA168" s="134"/>
      <c r="BB168" s="134"/>
      <c r="BC168" s="134"/>
      <c r="BD168" s="134"/>
      <c r="BE168" s="134"/>
      <c r="BF168" s="134"/>
      <c r="BG168" s="134"/>
      <c r="BH168" s="134"/>
      <c r="BI168" s="134"/>
      <c r="BJ168" s="134"/>
      <c r="BK168" s="134"/>
      <c r="BL168" s="134"/>
      <c r="BM168" s="134"/>
      <c r="BN168" s="134"/>
      <c r="BO168" s="134"/>
      <c r="BP168" s="134"/>
      <c r="BQ168" s="134"/>
      <c r="BR168" s="134"/>
      <c r="BS168" s="134"/>
      <c r="BT168" s="134"/>
      <c r="BU168" s="134"/>
      <c r="BV168" s="134"/>
      <c r="BW168" s="134"/>
      <c r="BX168" s="134"/>
      <c r="BY168" s="134"/>
      <c r="BZ168" s="134"/>
      <c r="CA168" s="134"/>
      <c r="CB168" s="134"/>
      <c r="CC168" s="134"/>
      <c r="CD168" s="134"/>
      <c r="CE168" s="134"/>
      <c r="CF168" s="134"/>
      <c r="CG168" s="134"/>
      <c r="CH168" s="134"/>
      <c r="CI168" s="134"/>
      <c r="CJ168" s="134"/>
      <c r="CK168" s="134"/>
      <c r="CL168" s="134"/>
      <c r="CM168" s="134"/>
      <c r="CN168" s="134"/>
      <c r="CO168" s="134"/>
      <c r="CP168" s="134"/>
      <c r="CQ168" s="134"/>
      <c r="CR168" s="134"/>
      <c r="CS168" s="134"/>
      <c r="CT168" s="134"/>
      <c r="CU168" s="134"/>
      <c r="CV168" s="134"/>
      <c r="CW168" s="134"/>
      <c r="CX168" s="134"/>
      <c r="CY168" s="134"/>
      <c r="CZ168" s="134"/>
      <c r="DA168" s="134"/>
      <c r="DB168" s="134"/>
      <c r="DC168" s="134"/>
      <c r="DD168" s="134"/>
      <c r="DE168" s="134"/>
      <c r="DF168" s="134"/>
      <c r="DG168" s="134"/>
      <c r="DH168" s="134"/>
      <c r="DI168" s="134"/>
      <c r="DJ168" s="134"/>
      <c r="DK168" s="134"/>
      <c r="DL168" s="134"/>
      <c r="DM168" s="134"/>
      <c r="DN168" s="134"/>
      <c r="DO168" s="134"/>
      <c r="DP168" s="134"/>
      <c r="DQ168" s="134"/>
      <c r="DR168" s="134"/>
      <c r="DS168" s="134"/>
      <c r="DT168" s="134"/>
      <c r="DU168" s="134"/>
      <c r="DV168" s="134"/>
      <c r="DW168" s="134"/>
      <c r="DX168" s="134"/>
      <c r="DY168" s="134"/>
      <c r="DZ168" s="134"/>
      <c r="EA168" s="134"/>
      <c r="EB168" s="134"/>
    </row>
    <row r="169" spans="1:132" s="38" customFormat="1" ht="13.8" x14ac:dyDescent="0.3">
      <c r="A169" s="272" t="str">
        <f>Outputs!A143</f>
        <v>Metering &amp; termination capex per kW</v>
      </c>
      <c r="B169" s="369" t="str">
        <f>Inputs!B27</f>
        <v>US$</v>
      </c>
      <c r="C169" s="249">
        <f>IF(Inputs!B5="kWp",(Inputs!C40+Inputs!C59+Inputs!C77+Inputs!C95+Inputs!C113)/Inputs!C5,(Inputs!C40+Inputs!C59+Inputs!C77+Inputs!C95+Inputs!C113)/Inputs!C5*1000)</f>
        <v>200</v>
      </c>
      <c r="AC169" s="134"/>
      <c r="AD169" s="134"/>
      <c r="AE169" s="134"/>
      <c r="AF169" s="134"/>
      <c r="AG169" s="134"/>
      <c r="AH169" s="134"/>
      <c r="AI169" s="134"/>
      <c r="AJ169" s="134"/>
      <c r="AK169" s="134"/>
      <c r="AL169" s="134"/>
      <c r="AM169" s="134"/>
      <c r="AN169" s="134"/>
      <c r="AO169" s="134"/>
      <c r="AP169" s="134"/>
      <c r="AQ169" s="134"/>
      <c r="AR169" s="134"/>
      <c r="AS169" s="134"/>
      <c r="AT169" s="134"/>
      <c r="AU169" s="134"/>
      <c r="AV169" s="134"/>
      <c r="AW169" s="134"/>
      <c r="AX169" s="134"/>
      <c r="AY169" s="134"/>
      <c r="AZ169" s="134"/>
      <c r="BA169" s="134"/>
      <c r="BB169" s="134"/>
      <c r="BC169" s="134"/>
      <c r="BD169" s="134"/>
      <c r="BE169" s="134"/>
      <c r="BF169" s="134"/>
      <c r="BG169" s="134"/>
      <c r="BH169" s="134"/>
      <c r="BI169" s="134"/>
      <c r="BJ169" s="134"/>
      <c r="BK169" s="134"/>
      <c r="BL169" s="134"/>
      <c r="BM169" s="134"/>
      <c r="BN169" s="134"/>
      <c r="BO169" s="134"/>
      <c r="BP169" s="134"/>
      <c r="BQ169" s="134"/>
      <c r="BR169" s="134"/>
      <c r="BS169" s="134"/>
      <c r="BT169" s="134"/>
      <c r="BU169" s="134"/>
      <c r="BV169" s="134"/>
      <c r="BW169" s="134"/>
      <c r="BX169" s="134"/>
      <c r="BY169" s="134"/>
      <c r="BZ169" s="134"/>
      <c r="CA169" s="134"/>
      <c r="CB169" s="134"/>
      <c r="CC169" s="134"/>
      <c r="CD169" s="134"/>
      <c r="CE169" s="134"/>
      <c r="CF169" s="134"/>
      <c r="CG169" s="134"/>
      <c r="CH169" s="134"/>
      <c r="CI169" s="134"/>
      <c r="CJ169" s="134"/>
      <c r="CK169" s="134"/>
      <c r="CL169" s="134"/>
      <c r="CM169" s="134"/>
      <c r="CN169" s="134"/>
      <c r="CO169" s="134"/>
      <c r="CP169" s="134"/>
      <c r="CQ169" s="134"/>
      <c r="CR169" s="134"/>
      <c r="CS169" s="134"/>
      <c r="CT169" s="134"/>
      <c r="CU169" s="134"/>
      <c r="CV169" s="134"/>
      <c r="CW169" s="134"/>
      <c r="CX169" s="134"/>
      <c r="CY169" s="134"/>
      <c r="CZ169" s="134"/>
      <c r="DA169" s="134"/>
      <c r="DB169" s="134"/>
      <c r="DC169" s="134"/>
      <c r="DD169" s="134"/>
      <c r="DE169" s="134"/>
      <c r="DF169" s="134"/>
      <c r="DG169" s="134"/>
      <c r="DH169" s="134"/>
      <c r="DI169" s="134"/>
      <c r="DJ169" s="134"/>
      <c r="DK169" s="134"/>
      <c r="DL169" s="134"/>
      <c r="DM169" s="134"/>
      <c r="DN169" s="134"/>
      <c r="DO169" s="134"/>
      <c r="DP169" s="134"/>
      <c r="DQ169" s="134"/>
      <c r="DR169" s="134"/>
      <c r="DS169" s="134"/>
      <c r="DT169" s="134"/>
      <c r="DU169" s="134"/>
      <c r="DV169" s="134"/>
      <c r="DW169" s="134"/>
      <c r="DX169" s="134"/>
      <c r="DY169" s="134"/>
      <c r="DZ169" s="134"/>
      <c r="EA169" s="134"/>
      <c r="EB169" s="134"/>
    </row>
    <row r="170" spans="1:132" s="38" customFormat="1" ht="13.8" x14ac:dyDescent="0.3">
      <c r="A170" s="272" t="str">
        <f>Outputs!A144</f>
        <v>Opex per kW</v>
      </c>
      <c r="B170" s="369" t="str">
        <f>Inputs!B24</f>
        <v>US$</v>
      </c>
      <c r="C170" s="249">
        <f>IF(Inputs!B5="kWp",SUM(Inputs!C138:C141)/Inputs!C5,SUM(Inputs!C138:C141)/(Inputs!C5*1000))</f>
        <v>0</v>
      </c>
      <c r="AC170" s="134"/>
      <c r="AD170" s="134"/>
      <c r="AE170" s="134"/>
      <c r="AF170" s="134"/>
      <c r="AG170" s="134"/>
      <c r="AH170" s="134"/>
      <c r="AI170" s="134"/>
      <c r="AJ170" s="134"/>
      <c r="AK170" s="134"/>
      <c r="AL170" s="134"/>
      <c r="AM170" s="134"/>
      <c r="AN170" s="134"/>
      <c r="AO170" s="134"/>
      <c r="AP170" s="134"/>
      <c r="AQ170" s="134"/>
      <c r="AR170" s="134"/>
      <c r="AS170" s="134"/>
      <c r="AT170" s="134"/>
      <c r="AU170" s="134"/>
      <c r="AV170" s="134"/>
      <c r="AW170" s="134"/>
      <c r="AX170" s="134"/>
      <c r="AY170" s="134"/>
      <c r="AZ170" s="134"/>
      <c r="BA170" s="134"/>
      <c r="BB170" s="134"/>
      <c r="BC170" s="134"/>
      <c r="BD170" s="134"/>
      <c r="BE170" s="134"/>
      <c r="BF170" s="134"/>
      <c r="BG170" s="134"/>
      <c r="BH170" s="134"/>
      <c r="BI170" s="134"/>
      <c r="BJ170" s="134"/>
      <c r="BK170" s="134"/>
      <c r="BL170" s="134"/>
      <c r="BM170" s="134"/>
      <c r="BN170" s="134"/>
      <c r="BO170" s="134"/>
      <c r="BP170" s="134"/>
      <c r="BQ170" s="134"/>
      <c r="BR170" s="134"/>
      <c r="BS170" s="134"/>
      <c r="BT170" s="134"/>
      <c r="BU170" s="134"/>
      <c r="BV170" s="134"/>
      <c r="BW170" s="134"/>
      <c r="BX170" s="134"/>
      <c r="BY170" s="134"/>
      <c r="BZ170" s="134"/>
      <c r="CA170" s="134"/>
      <c r="CB170" s="134"/>
      <c r="CC170" s="134"/>
      <c r="CD170" s="134"/>
      <c r="CE170" s="134"/>
      <c r="CF170" s="134"/>
      <c r="CG170" s="134"/>
      <c r="CH170" s="134"/>
      <c r="CI170" s="134"/>
      <c r="CJ170" s="134"/>
      <c r="CK170" s="134"/>
      <c r="CL170" s="134"/>
      <c r="CM170" s="134"/>
      <c r="CN170" s="134"/>
      <c r="CO170" s="134"/>
      <c r="CP170" s="134"/>
      <c r="CQ170" s="134"/>
      <c r="CR170" s="134"/>
      <c r="CS170" s="134"/>
      <c r="CT170" s="134"/>
      <c r="CU170" s="134"/>
      <c r="CV170" s="134"/>
      <c r="CW170" s="134"/>
      <c r="CX170" s="134"/>
      <c r="CY170" s="134"/>
      <c r="CZ170" s="134"/>
      <c r="DA170" s="134"/>
      <c r="DB170" s="134"/>
      <c r="DC170" s="134"/>
      <c r="DD170" s="134"/>
      <c r="DE170" s="134"/>
      <c r="DF170" s="134"/>
      <c r="DG170" s="134"/>
      <c r="DH170" s="134"/>
      <c r="DI170" s="134"/>
      <c r="DJ170" s="134"/>
      <c r="DK170" s="134"/>
      <c r="DL170" s="134"/>
      <c r="DM170" s="134"/>
      <c r="DN170" s="134"/>
      <c r="DO170" s="134"/>
      <c r="DP170" s="134"/>
      <c r="DQ170" s="134"/>
      <c r="DR170" s="134"/>
      <c r="DS170" s="134"/>
      <c r="DT170" s="134"/>
      <c r="DU170" s="134"/>
      <c r="DV170" s="134"/>
      <c r="DW170" s="134"/>
      <c r="DX170" s="134"/>
      <c r="DY170" s="134"/>
      <c r="DZ170" s="134"/>
      <c r="EA170" s="134"/>
      <c r="EB170" s="134"/>
    </row>
    <row r="171" spans="1:132" s="38" customFormat="1" ht="13.8" x14ac:dyDescent="0.3">
      <c r="A171" s="272" t="str">
        <f>Outputs!A145</f>
        <v>Opex as a % of capex</v>
      </c>
      <c r="B171" s="282" t="s">
        <v>85</v>
      </c>
      <c r="C171" s="250">
        <f>(Inputs!C145-Inputs!C142-Inputs!C143)/Inputs!C126</f>
        <v>0</v>
      </c>
      <c r="AC171" s="134"/>
      <c r="AD171" s="134"/>
      <c r="AE171" s="134"/>
      <c r="AF171" s="134"/>
      <c r="AG171" s="134"/>
      <c r="AH171" s="134"/>
      <c r="AI171" s="134"/>
      <c r="AJ171" s="134"/>
      <c r="AK171" s="134"/>
      <c r="AL171" s="134"/>
      <c r="AM171" s="134"/>
      <c r="AN171" s="134"/>
      <c r="AO171" s="134"/>
      <c r="AP171" s="134"/>
      <c r="AQ171" s="134"/>
      <c r="AR171" s="134"/>
      <c r="AS171" s="134"/>
      <c r="AT171" s="134"/>
      <c r="AU171" s="134"/>
      <c r="AV171" s="134"/>
      <c r="AW171" s="134"/>
      <c r="AX171" s="134"/>
      <c r="AY171" s="134"/>
      <c r="AZ171" s="134"/>
      <c r="BA171" s="134"/>
      <c r="BB171" s="134"/>
      <c r="BC171" s="134"/>
      <c r="BD171" s="134"/>
      <c r="BE171" s="134"/>
      <c r="BF171" s="134"/>
      <c r="BG171" s="134"/>
      <c r="BH171" s="134"/>
      <c r="BI171" s="134"/>
      <c r="BJ171" s="134"/>
      <c r="BK171" s="134"/>
      <c r="BL171" s="134"/>
      <c r="BM171" s="134"/>
      <c r="BN171" s="134"/>
      <c r="BO171" s="134"/>
      <c r="BP171" s="134"/>
      <c r="BQ171" s="134"/>
      <c r="BR171" s="134"/>
      <c r="BS171" s="134"/>
      <c r="BT171" s="134"/>
      <c r="BU171" s="134"/>
      <c r="BV171" s="134"/>
      <c r="BW171" s="134"/>
      <c r="BX171" s="134"/>
      <c r="BY171" s="134"/>
      <c r="BZ171" s="134"/>
      <c r="CA171" s="134"/>
      <c r="CB171" s="134"/>
      <c r="CC171" s="134"/>
      <c r="CD171" s="134"/>
      <c r="CE171" s="134"/>
      <c r="CF171" s="134"/>
      <c r="CG171" s="134"/>
      <c r="CH171" s="134"/>
      <c r="CI171" s="134"/>
      <c r="CJ171" s="134"/>
      <c r="CK171" s="134"/>
      <c r="CL171" s="134"/>
      <c r="CM171" s="134"/>
      <c r="CN171" s="134"/>
      <c r="CO171" s="134"/>
      <c r="CP171" s="134"/>
      <c r="CQ171" s="134"/>
      <c r="CR171" s="134"/>
      <c r="CS171" s="134"/>
      <c r="CT171" s="134"/>
      <c r="CU171" s="134"/>
      <c r="CV171" s="134"/>
      <c r="CW171" s="134"/>
      <c r="CX171" s="134"/>
      <c r="CY171" s="134"/>
      <c r="CZ171" s="134"/>
      <c r="DA171" s="134"/>
      <c r="DB171" s="134"/>
      <c r="DC171" s="134"/>
      <c r="DD171" s="134"/>
      <c r="DE171" s="134"/>
      <c r="DF171" s="134"/>
      <c r="DG171" s="134"/>
      <c r="DH171" s="134"/>
      <c r="DI171" s="134"/>
      <c r="DJ171" s="134"/>
      <c r="DK171" s="134"/>
      <c r="DL171" s="134"/>
      <c r="DM171" s="134"/>
      <c r="DN171" s="134"/>
      <c r="DO171" s="134"/>
      <c r="DP171" s="134"/>
      <c r="DQ171" s="134"/>
      <c r="DR171" s="134"/>
      <c r="DS171" s="134"/>
      <c r="DT171" s="134"/>
      <c r="DU171" s="134"/>
      <c r="DV171" s="134"/>
      <c r="DW171" s="134"/>
      <c r="DX171" s="134"/>
      <c r="DY171" s="134"/>
      <c r="DZ171" s="134"/>
      <c r="EA171" s="134"/>
      <c r="EB171" s="134"/>
    </row>
    <row r="172" spans="1:132" s="38" customFormat="1" ht="13.8" x14ac:dyDescent="0.3">
      <c r="A172" s="272" t="str">
        <f>Outputs!A148</f>
        <v>Average Revenue Per User (ARPU)-monthly</v>
      </c>
      <c r="B172" s="369" t="str">
        <f>Inputs!B24</f>
        <v>US$</v>
      </c>
      <c r="C172" s="249" t="e">
        <f>Calculations!D37/Inputs!B205</f>
        <v>#DIV/0!</v>
      </c>
      <c r="AC172" s="134"/>
      <c r="AD172" s="134"/>
      <c r="AE172" s="134"/>
      <c r="AF172" s="134"/>
      <c r="AG172" s="134"/>
      <c r="AH172" s="134"/>
      <c r="AI172" s="134"/>
      <c r="AJ172" s="134"/>
      <c r="AK172" s="134"/>
      <c r="AL172" s="134"/>
      <c r="AM172" s="134"/>
      <c r="AN172" s="134"/>
      <c r="AO172" s="134"/>
      <c r="AP172" s="134"/>
      <c r="AQ172" s="134"/>
      <c r="AR172" s="134"/>
      <c r="AS172" s="134"/>
      <c r="AT172" s="134"/>
      <c r="AU172" s="134"/>
      <c r="AV172" s="134"/>
      <c r="AW172" s="134"/>
      <c r="AX172" s="134"/>
      <c r="AY172" s="134"/>
      <c r="AZ172" s="134"/>
      <c r="BA172" s="134"/>
      <c r="BB172" s="134"/>
      <c r="BC172" s="134"/>
      <c r="BD172" s="134"/>
      <c r="BE172" s="134"/>
      <c r="BF172" s="134"/>
      <c r="BG172" s="134"/>
      <c r="BH172" s="134"/>
      <c r="BI172" s="134"/>
      <c r="BJ172" s="134"/>
      <c r="BK172" s="134"/>
      <c r="BL172" s="134"/>
      <c r="BM172" s="134"/>
      <c r="BN172" s="134"/>
      <c r="BO172" s="134"/>
      <c r="BP172" s="134"/>
      <c r="BQ172" s="134"/>
      <c r="BR172" s="134"/>
      <c r="BS172" s="134"/>
      <c r="BT172" s="134"/>
      <c r="BU172" s="134"/>
      <c r="BV172" s="134"/>
      <c r="BW172" s="134"/>
      <c r="BX172" s="134"/>
      <c r="BY172" s="134"/>
      <c r="BZ172" s="134"/>
      <c r="CA172" s="134"/>
      <c r="CB172" s="134"/>
      <c r="CC172" s="134"/>
      <c r="CD172" s="134"/>
      <c r="CE172" s="134"/>
      <c r="CF172" s="134"/>
      <c r="CG172" s="134"/>
      <c r="CH172" s="134"/>
      <c r="CI172" s="134"/>
      <c r="CJ172" s="134"/>
      <c r="CK172" s="134"/>
      <c r="CL172" s="134"/>
      <c r="CM172" s="134"/>
      <c r="CN172" s="134"/>
      <c r="CO172" s="134"/>
      <c r="CP172" s="134"/>
      <c r="CQ172" s="134"/>
      <c r="CR172" s="134"/>
      <c r="CS172" s="134"/>
      <c r="CT172" s="134"/>
      <c r="CU172" s="134"/>
      <c r="CV172" s="134"/>
      <c r="CW172" s="134"/>
      <c r="CX172" s="134"/>
      <c r="CY172" s="134"/>
      <c r="CZ172" s="134"/>
      <c r="DA172" s="134"/>
      <c r="DB172" s="134"/>
      <c r="DC172" s="134"/>
      <c r="DD172" s="134"/>
      <c r="DE172" s="134"/>
      <c r="DF172" s="134"/>
      <c r="DG172" s="134"/>
      <c r="DH172" s="134"/>
      <c r="DI172" s="134"/>
      <c r="DJ172" s="134"/>
      <c r="DK172" s="134"/>
      <c r="DL172" s="134"/>
      <c r="DM172" s="134"/>
      <c r="DN172" s="134"/>
      <c r="DO172" s="134"/>
      <c r="DP172" s="134"/>
      <c r="DQ172" s="134"/>
      <c r="DR172" s="134"/>
      <c r="DS172" s="134"/>
      <c r="DT172" s="134"/>
      <c r="DU172" s="134"/>
      <c r="DV172" s="134"/>
      <c r="DW172" s="134"/>
      <c r="DX172" s="134"/>
      <c r="DY172" s="134"/>
      <c r="DZ172" s="134"/>
      <c r="EA172" s="134"/>
      <c r="EB172" s="134"/>
    </row>
    <row r="173" spans="1:132" s="38" customFormat="1" ht="13.8" x14ac:dyDescent="0.3">
      <c r="A173" s="370" t="s">
        <v>509</v>
      </c>
      <c r="B173" s="371" t="s">
        <v>88</v>
      </c>
      <c r="C173" s="251" t="e">
        <f>Inputs!D205/Inputs!B205/12</f>
        <v>#VALUE!</v>
      </c>
      <c r="AC173" s="134"/>
      <c r="AD173" s="134"/>
      <c r="AE173" s="134"/>
      <c r="AF173" s="134"/>
      <c r="AG173" s="134"/>
      <c r="AH173" s="134"/>
      <c r="AI173" s="134"/>
      <c r="AJ173" s="134"/>
      <c r="AK173" s="134"/>
      <c r="AL173" s="134"/>
      <c r="AM173" s="134"/>
      <c r="AN173" s="134"/>
      <c r="AO173" s="134"/>
      <c r="AP173" s="134"/>
      <c r="AQ173" s="134"/>
      <c r="AR173" s="134"/>
      <c r="AS173" s="134"/>
      <c r="AT173" s="134"/>
      <c r="AU173" s="134"/>
      <c r="AV173" s="134"/>
      <c r="AW173" s="134"/>
      <c r="AX173" s="134"/>
      <c r="AY173" s="134"/>
      <c r="AZ173" s="134"/>
      <c r="BA173" s="134"/>
      <c r="BB173" s="134"/>
      <c r="BC173" s="134"/>
      <c r="BD173" s="134"/>
      <c r="BE173" s="134"/>
      <c r="BF173" s="134"/>
      <c r="BG173" s="134"/>
      <c r="BH173" s="134"/>
      <c r="BI173" s="134"/>
      <c r="BJ173" s="134"/>
      <c r="BK173" s="134"/>
      <c r="BL173" s="134"/>
      <c r="BM173" s="134"/>
      <c r="BN173" s="134"/>
      <c r="BO173" s="134"/>
      <c r="BP173" s="134"/>
      <c r="BQ173" s="134"/>
      <c r="BR173" s="134"/>
      <c r="BS173" s="134"/>
      <c r="BT173" s="134"/>
      <c r="BU173" s="134"/>
      <c r="BV173" s="134"/>
      <c r="BW173" s="134"/>
      <c r="BX173" s="134"/>
      <c r="BY173" s="134"/>
      <c r="BZ173" s="134"/>
      <c r="CA173" s="134"/>
      <c r="CB173" s="134"/>
      <c r="CC173" s="134"/>
      <c r="CD173" s="134"/>
      <c r="CE173" s="134"/>
      <c r="CF173" s="134"/>
      <c r="CG173" s="134"/>
      <c r="CH173" s="134"/>
      <c r="CI173" s="134"/>
      <c r="CJ173" s="134"/>
      <c r="CK173" s="134"/>
      <c r="CL173" s="134"/>
      <c r="CM173" s="134"/>
      <c r="CN173" s="134"/>
      <c r="CO173" s="134"/>
      <c r="CP173" s="134"/>
      <c r="CQ173" s="134"/>
      <c r="CR173" s="134"/>
      <c r="CS173" s="134"/>
      <c r="CT173" s="134"/>
      <c r="CU173" s="134"/>
      <c r="CV173" s="134"/>
      <c r="CW173" s="134"/>
      <c r="CX173" s="134"/>
      <c r="CY173" s="134"/>
      <c r="CZ173" s="134"/>
      <c r="DA173" s="134"/>
      <c r="DB173" s="134"/>
      <c r="DC173" s="134"/>
      <c r="DD173" s="134"/>
      <c r="DE173" s="134"/>
      <c r="DF173" s="134"/>
      <c r="DG173" s="134"/>
      <c r="DH173" s="134"/>
      <c r="DI173" s="134"/>
      <c r="DJ173" s="134"/>
      <c r="DK173" s="134"/>
      <c r="DL173" s="134"/>
      <c r="DM173" s="134"/>
      <c r="DN173" s="134"/>
      <c r="DO173" s="134"/>
      <c r="DP173" s="134"/>
      <c r="DQ173" s="134"/>
      <c r="DR173" s="134"/>
      <c r="DS173" s="134"/>
      <c r="DT173" s="134"/>
      <c r="DU173" s="134"/>
      <c r="DV173" s="134"/>
      <c r="DW173" s="134"/>
      <c r="DX173" s="134"/>
      <c r="DY173" s="134"/>
      <c r="DZ173" s="134"/>
      <c r="EA173" s="134"/>
      <c r="EB173" s="134"/>
    </row>
    <row r="174" spans="1:132" s="38" customFormat="1" ht="13.8" x14ac:dyDescent="0.3">
      <c r="A174" s="272"/>
      <c r="B174" s="37"/>
      <c r="C174" s="37"/>
      <c r="AC174" s="134"/>
      <c r="AD174" s="134"/>
      <c r="AE174" s="134"/>
      <c r="AF174" s="134"/>
      <c r="AG174" s="134"/>
      <c r="AH174" s="134"/>
      <c r="AI174" s="134"/>
      <c r="AJ174" s="134"/>
      <c r="AK174" s="134"/>
      <c r="AL174" s="134"/>
      <c r="AM174" s="134"/>
      <c r="AN174" s="134"/>
      <c r="AO174" s="134"/>
      <c r="AP174" s="134"/>
      <c r="AQ174" s="134"/>
      <c r="AR174" s="134"/>
      <c r="AS174" s="134"/>
      <c r="AT174" s="134"/>
      <c r="AU174" s="134"/>
      <c r="AV174" s="134"/>
      <c r="AW174" s="134"/>
      <c r="AX174" s="134"/>
      <c r="AY174" s="134"/>
      <c r="AZ174" s="134"/>
      <c r="BA174" s="134"/>
      <c r="BB174" s="134"/>
      <c r="BC174" s="134"/>
      <c r="BD174" s="134"/>
      <c r="BE174" s="134"/>
      <c r="BF174" s="134"/>
      <c r="BG174" s="134"/>
      <c r="BH174" s="134"/>
      <c r="BI174" s="134"/>
      <c r="BJ174" s="134"/>
      <c r="BK174" s="134"/>
      <c r="BL174" s="134"/>
      <c r="BM174" s="134"/>
      <c r="BN174" s="134"/>
      <c r="BO174" s="134"/>
      <c r="BP174" s="134"/>
      <c r="BQ174" s="134"/>
      <c r="BR174" s="134"/>
      <c r="BS174" s="134"/>
      <c r="BT174" s="134"/>
      <c r="BU174" s="134"/>
      <c r="BV174" s="134"/>
      <c r="BW174" s="134"/>
      <c r="BX174" s="134"/>
      <c r="BY174" s="134"/>
      <c r="BZ174" s="134"/>
      <c r="CA174" s="134"/>
      <c r="CB174" s="134"/>
      <c r="CC174" s="134"/>
      <c r="CD174" s="134"/>
      <c r="CE174" s="134"/>
      <c r="CF174" s="134"/>
      <c r="CG174" s="134"/>
      <c r="CH174" s="134"/>
      <c r="CI174" s="134"/>
      <c r="CJ174" s="134"/>
      <c r="CK174" s="134"/>
      <c r="CL174" s="134"/>
      <c r="CM174" s="134"/>
      <c r="CN174" s="134"/>
      <c r="CO174" s="134"/>
      <c r="CP174" s="134"/>
      <c r="CQ174" s="134"/>
      <c r="CR174" s="134"/>
      <c r="CS174" s="134"/>
      <c r="CT174" s="134"/>
      <c r="CU174" s="134"/>
      <c r="CV174" s="134"/>
      <c r="CW174" s="134"/>
      <c r="CX174" s="134"/>
      <c r="CY174" s="134"/>
      <c r="CZ174" s="134"/>
      <c r="DA174" s="134"/>
      <c r="DB174" s="134"/>
      <c r="DC174" s="134"/>
      <c r="DD174" s="134"/>
      <c r="DE174" s="134"/>
      <c r="DF174" s="134"/>
      <c r="DG174" s="134"/>
      <c r="DH174" s="134"/>
      <c r="DI174" s="134"/>
      <c r="DJ174" s="134"/>
      <c r="DK174" s="134"/>
      <c r="DL174" s="134"/>
      <c r="DM174" s="134"/>
      <c r="DN174" s="134"/>
      <c r="DO174" s="134"/>
      <c r="DP174" s="134"/>
      <c r="DQ174" s="134"/>
      <c r="DR174" s="134"/>
      <c r="DS174" s="134"/>
      <c r="DT174" s="134"/>
      <c r="DU174" s="134"/>
      <c r="DV174" s="134"/>
      <c r="DW174" s="134"/>
      <c r="DX174" s="134"/>
      <c r="DY174" s="134"/>
      <c r="DZ174" s="134"/>
      <c r="EA174" s="134"/>
      <c r="EB174" s="134"/>
    </row>
    <row r="175" spans="1:132" x14ac:dyDescent="0.3">
      <c r="A175" s="272"/>
    </row>
  </sheetData>
  <sheetProtection algorithmName="SHA-512" hashValue="Zdca7yGuERSMCqG8bofWk+PYvZ1SdjTbtn26ZUsWUAqqc9F+pfLA+J0Nf41tgeqLr1QyBbi+n+E9FVWLuE00Dg==" saltValue="CHDXMQBfHFBjoOM8g41yCg==" spinCount="100000" sheet="1" formatCells="0" formatColumns="0" formatRows="0"/>
  <mergeCells count="8">
    <mergeCell ref="A95:A96"/>
    <mergeCell ref="A97:A98"/>
    <mergeCell ref="A72:A73"/>
    <mergeCell ref="A85:A86"/>
    <mergeCell ref="A87:A88"/>
    <mergeCell ref="A89:A90"/>
    <mergeCell ref="A91:A92"/>
    <mergeCell ref="A93:A94"/>
  </mergeCells>
  <phoneticPr fontId="9" type="noConversion"/>
  <dataValidations xWindow="689" yWindow="830" count="2">
    <dataValidation type="list" allowBlank="1" showInputMessage="1" showErrorMessage="1" promptTitle="Depreciation Method" prompt="Please select &quot;Yes&quot; or &quot;No&quot; to choose your prefered depreciation method" sqref="C16 C18" xr:uid="{27635073-E566-482D-A8A2-A2FD9F5010F0}">
      <formula1>"Yes,No"</formula1>
    </dataValidation>
    <dataValidation type="custom" allowBlank="1" showInputMessage="1" showErrorMessage="1" errorTitle="Error" error="No input allowed on this cell. Check the Capital Costs Details tab and/or the Tariffs Inputs tab" promptTitle="Note" prompt="No input required" sqref="D155:AB158 A154:C158 B143:AC144 B148 C145:C150 A146:A150" xr:uid="{44A8BE3C-3E4D-46A6-BEE3-A4C4B9206601}">
      <formula1>0</formula1>
    </dataValidation>
  </dataValidations>
  <pageMargins left="0.7" right="0.7" top="0.75" bottom="0.75" header="0.3" footer="0.3"/>
  <pageSetup paperSize="9" orientation="portrait" r:id="rId1"/>
  <ignoredErrors>
    <ignoredError sqref="C17" unlockedFormula="1"/>
  </ignoredError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7FF51-9102-45F7-ABDD-2ACCFB40E8BE}">
  <sheetPr>
    <pageSetUpPr fitToPage="1"/>
  </sheetPr>
  <dimension ref="A1:KS248"/>
  <sheetViews>
    <sheetView workbookViewId="0">
      <selection activeCell="C234" activeCellId="13" sqref="C52:G52 C54:G54 C56:G56 C59:C61 C84:G87 C112:AA115 C137:C153 D137:G138 D140:G140 D146:G153 D141:G145 D139:G139 B223:S230 C234:C235"/>
    </sheetView>
  </sheetViews>
  <sheetFormatPr defaultColWidth="8.77734375" defaultRowHeight="14.4" x14ac:dyDescent="0.3"/>
  <cols>
    <col min="1" max="1" width="49.21875" style="22" bestFit="1" customWidth="1"/>
    <col min="2" max="2" width="10.77734375" style="22" customWidth="1"/>
    <col min="3" max="3" width="10.33203125" style="22" bestFit="1" customWidth="1"/>
    <col min="4" max="4" width="10.21875" style="22" bestFit="1" customWidth="1"/>
    <col min="5" max="5" width="10.33203125" style="22" customWidth="1"/>
    <col min="6" max="6" width="10.77734375" style="22" bestFit="1" customWidth="1"/>
    <col min="7" max="7" width="10.33203125" style="22" bestFit="1" customWidth="1"/>
    <col min="8" max="8" width="10.21875" style="22" bestFit="1" customWidth="1"/>
    <col min="9" max="9" width="13.77734375" style="22" bestFit="1" customWidth="1"/>
    <col min="10" max="10" width="10.21875" style="22" bestFit="1" customWidth="1"/>
    <col min="11" max="11" width="9.21875" style="22" bestFit="1" customWidth="1"/>
    <col min="12" max="12" width="9.44140625" style="22" bestFit="1" customWidth="1"/>
    <col min="13" max="15" width="9.21875" style="22" bestFit="1" customWidth="1"/>
    <col min="16" max="16" width="11.77734375" style="22" customWidth="1"/>
    <col min="17" max="17" width="11.77734375" style="22" bestFit="1" customWidth="1"/>
    <col min="18" max="19" width="10.44140625" style="22" bestFit="1" customWidth="1"/>
    <col min="20" max="27" width="10.21875" style="22" bestFit="1" customWidth="1"/>
    <col min="28" max="28" width="10.33203125" style="22" bestFit="1" customWidth="1"/>
    <col min="29" max="16384" width="8.77734375" style="22"/>
  </cols>
  <sheetData>
    <row r="1" spans="1:131" ht="18" x14ac:dyDescent="0.35">
      <c r="A1" s="20" t="s">
        <v>319</v>
      </c>
      <c r="B1" s="21"/>
      <c r="C1" s="21"/>
      <c r="E1" s="23"/>
      <c r="AG1" s="23"/>
      <c r="AH1" s="23"/>
      <c r="AI1" s="23"/>
    </row>
    <row r="2" spans="1:131" s="38" customFormat="1" x14ac:dyDescent="0.3">
      <c r="A2" s="34"/>
      <c r="B2" s="132" t="s">
        <v>152</v>
      </c>
      <c r="C2" s="133">
        <v>1</v>
      </c>
      <c r="D2" s="133">
        <f>C2+1</f>
        <v>2</v>
      </c>
      <c r="E2" s="133">
        <f t="shared" ref="E2:AA2" si="0">D2+1</f>
        <v>3</v>
      </c>
      <c r="F2" s="133">
        <f t="shared" si="0"/>
        <v>4</v>
      </c>
      <c r="G2" s="133">
        <f t="shared" si="0"/>
        <v>5</v>
      </c>
      <c r="H2" s="133">
        <f t="shared" si="0"/>
        <v>6</v>
      </c>
      <c r="I2" s="133">
        <f t="shared" si="0"/>
        <v>7</v>
      </c>
      <c r="J2" s="133">
        <f t="shared" si="0"/>
        <v>8</v>
      </c>
      <c r="K2" s="133">
        <f t="shared" si="0"/>
        <v>9</v>
      </c>
      <c r="L2" s="133">
        <f t="shared" si="0"/>
        <v>10</v>
      </c>
      <c r="M2" s="133">
        <f t="shared" si="0"/>
        <v>11</v>
      </c>
      <c r="N2" s="133">
        <f t="shared" si="0"/>
        <v>12</v>
      </c>
      <c r="O2" s="133">
        <f t="shared" si="0"/>
        <v>13</v>
      </c>
      <c r="P2" s="133">
        <f t="shared" si="0"/>
        <v>14</v>
      </c>
      <c r="Q2" s="133">
        <f t="shared" si="0"/>
        <v>15</v>
      </c>
      <c r="R2" s="133">
        <f t="shared" si="0"/>
        <v>16</v>
      </c>
      <c r="S2" s="133">
        <f t="shared" si="0"/>
        <v>17</v>
      </c>
      <c r="T2" s="133">
        <f t="shared" si="0"/>
        <v>18</v>
      </c>
      <c r="U2" s="133">
        <f t="shared" si="0"/>
        <v>19</v>
      </c>
      <c r="V2" s="133">
        <f t="shared" si="0"/>
        <v>20</v>
      </c>
      <c r="W2" s="133">
        <f t="shared" si="0"/>
        <v>21</v>
      </c>
      <c r="X2" s="133">
        <f t="shared" si="0"/>
        <v>22</v>
      </c>
      <c r="Y2" s="133">
        <f t="shared" si="0"/>
        <v>23</v>
      </c>
      <c r="Z2" s="133">
        <f t="shared" si="0"/>
        <v>24</v>
      </c>
      <c r="AA2" s="133">
        <f t="shared" si="0"/>
        <v>25</v>
      </c>
      <c r="AB2" s="134"/>
      <c r="AC2" s="134"/>
      <c r="AD2" s="134"/>
      <c r="AE2" s="134"/>
      <c r="AF2" s="134"/>
      <c r="AG2" s="134"/>
      <c r="AH2" s="134"/>
      <c r="AI2" s="134"/>
      <c r="AJ2" s="134"/>
      <c r="AK2" s="134"/>
      <c r="AL2" s="134"/>
      <c r="AM2" s="134"/>
      <c r="AN2" s="134"/>
      <c r="AO2" s="134"/>
      <c r="AP2" s="134"/>
      <c r="AQ2" s="134"/>
      <c r="AR2" s="134"/>
      <c r="AS2" s="134"/>
      <c r="AT2" s="134"/>
      <c r="AU2" s="134"/>
      <c r="AV2" s="134"/>
      <c r="AW2" s="134"/>
      <c r="AX2" s="134"/>
      <c r="AY2" s="134"/>
      <c r="AZ2" s="134"/>
      <c r="BA2" s="134"/>
      <c r="BB2" s="134"/>
      <c r="BC2" s="134"/>
      <c r="BD2" s="134"/>
      <c r="BE2" s="134"/>
      <c r="BF2" s="134"/>
      <c r="BG2" s="134"/>
      <c r="BH2" s="134"/>
      <c r="BI2" s="134"/>
      <c r="BJ2" s="134"/>
      <c r="BK2" s="134"/>
      <c r="BL2" s="134"/>
      <c r="BM2" s="134"/>
      <c r="BN2" s="134"/>
      <c r="BO2" s="134"/>
      <c r="BP2" s="134"/>
      <c r="BQ2" s="134"/>
      <c r="BR2" s="134"/>
      <c r="BS2" s="134"/>
      <c r="BT2" s="134"/>
      <c r="BU2" s="134"/>
      <c r="BV2" s="134"/>
      <c r="BW2" s="134"/>
      <c r="BX2" s="134"/>
      <c r="BY2" s="134"/>
      <c r="BZ2" s="134"/>
      <c r="CA2" s="134"/>
      <c r="CB2" s="134"/>
      <c r="CC2" s="134"/>
      <c r="CD2" s="134"/>
      <c r="CE2" s="134"/>
      <c r="CF2" s="134"/>
      <c r="CG2" s="134"/>
      <c r="CH2" s="134"/>
      <c r="CI2" s="134"/>
      <c r="CJ2" s="134"/>
      <c r="CK2" s="134"/>
      <c r="CL2" s="134"/>
      <c r="CM2" s="134"/>
      <c r="CN2" s="134"/>
      <c r="CO2" s="134"/>
      <c r="CP2" s="134"/>
      <c r="CQ2" s="134"/>
      <c r="CR2" s="134"/>
      <c r="CS2" s="134"/>
      <c r="CT2" s="134"/>
      <c r="CU2" s="134"/>
      <c r="CV2" s="134"/>
      <c r="CW2" s="134"/>
      <c r="CX2" s="134"/>
      <c r="CY2" s="134"/>
      <c r="CZ2" s="134"/>
      <c r="DA2" s="134"/>
      <c r="DB2" s="134"/>
      <c r="DC2" s="134"/>
      <c r="DD2" s="134"/>
      <c r="DE2" s="134"/>
      <c r="DF2" s="134"/>
      <c r="DG2" s="134"/>
      <c r="DH2" s="134"/>
      <c r="DI2" s="134"/>
      <c r="DJ2" s="134"/>
      <c r="DK2" s="134"/>
      <c r="DL2" s="134"/>
      <c r="DM2" s="134"/>
      <c r="DN2" s="134"/>
      <c r="DO2" s="134"/>
      <c r="DP2" s="134"/>
      <c r="DQ2" s="134"/>
      <c r="DR2" s="134"/>
      <c r="DS2" s="134"/>
      <c r="DT2" s="134"/>
      <c r="DU2" s="134"/>
      <c r="DV2" s="134"/>
      <c r="DW2" s="134"/>
      <c r="DX2" s="134"/>
      <c r="DY2" s="134"/>
      <c r="DZ2" s="134"/>
      <c r="EA2" s="134"/>
    </row>
    <row r="4" spans="1:131" x14ac:dyDescent="0.3">
      <c r="A4" s="135" t="s">
        <v>417</v>
      </c>
    </row>
    <row r="5" spans="1:131" s="30" customFormat="1" x14ac:dyDescent="0.3">
      <c r="A5" s="29"/>
      <c r="B5" s="29" t="s">
        <v>49</v>
      </c>
      <c r="C5" s="41" t="s">
        <v>188</v>
      </c>
      <c r="D5" s="41" t="s">
        <v>188</v>
      </c>
      <c r="E5" s="41" t="s">
        <v>188</v>
      </c>
      <c r="F5" s="41" t="s">
        <v>188</v>
      </c>
      <c r="G5" s="41" t="s">
        <v>188</v>
      </c>
      <c r="H5" s="31"/>
      <c r="I5" s="31"/>
      <c r="J5" s="31"/>
      <c r="K5" s="31"/>
      <c r="L5" s="31"/>
      <c r="M5" s="31"/>
      <c r="N5" s="31"/>
      <c r="O5" s="31"/>
      <c r="P5" s="31"/>
      <c r="Q5" s="31"/>
      <c r="R5" s="31"/>
      <c r="S5" s="31"/>
      <c r="T5" s="31"/>
      <c r="U5" s="31"/>
      <c r="V5" s="31"/>
      <c r="W5" s="31"/>
      <c r="X5" s="31"/>
      <c r="Y5" s="31"/>
      <c r="Z5" s="31"/>
      <c r="AA5" s="31"/>
      <c r="AB5" s="31"/>
      <c r="AC5" s="31"/>
      <c r="AD5" s="31"/>
      <c r="AE5" s="31"/>
      <c r="AF5" s="31"/>
      <c r="AG5" s="31"/>
      <c r="AH5" s="31"/>
      <c r="AI5" s="31"/>
      <c r="AJ5" s="31"/>
      <c r="AK5" s="31"/>
      <c r="AL5" s="31"/>
      <c r="AM5" s="31"/>
      <c r="AN5" s="31"/>
      <c r="AO5" s="31"/>
      <c r="AP5" s="31"/>
      <c r="AQ5" s="31"/>
      <c r="AR5" s="31"/>
      <c r="AS5" s="31"/>
    </row>
    <row r="6" spans="1:131" x14ac:dyDescent="0.3">
      <c r="A6" s="109" t="s">
        <v>523</v>
      </c>
      <c r="B6" s="136"/>
      <c r="J6" s="31"/>
    </row>
    <row r="7" spans="1:131" s="140" customFormat="1" x14ac:dyDescent="0.3">
      <c r="A7" s="539" t="str">
        <f>Inputs!A198</f>
        <v>placeholder1 (Lifeline)</v>
      </c>
      <c r="B7" s="423" t="str">
        <f>IF($A$6="Fixed charge+kWh charge tariff","Fixed charge",IF($A$6="Flat rate tariff (Revenues/No. of Customers)","Service Charge","Energy Charge"))</f>
        <v>Energy Charge</v>
      </c>
      <c r="C7" s="424" t="e">
        <f>IF($A$6="kWh/PAYG/Energy-based tariff",Calculations!D$68,IF($A$6="Flat rate tariff (Revenues/No. of Customers)",Calculations!D$70*Inputs!$G198,IF($A$6="Fixed charge+kWh charge tariff",Calculations!D$85,IF($A$6="Tariffs is a % of some base tariff",Calculations!D$76,IF($A$6="LCOE",Calculations!D$100,IF($A$6="Time of Use(ToU) tariff",Calculations!D$102,IF($A$6="Other-please specify",Calculations!D$106,"")))))))</f>
        <v>#DIV/0!</v>
      </c>
      <c r="D7" s="424" t="e">
        <f>IF($A$6="kWh/PAYG/Energy-based tariff",Calculations!E$68,IF($A$6="Flat rate tariff (Revenues/No. of Customers)",Calculations!E$70*Inputs!$G198,IF($A$6="Fixed charge+kWh charge tariff",Calculations!E$85,IF($A$6="Tariffs is a % of some base tariff",Calculations!E$76,IF($A$6="LCOE",Calculations!E$100,IF($A$6="Time of Use(ToU) tariff",Calculations!E$102,IF($A$6="Other-please specify",Calculations!E$106,"")))))))</f>
        <v>#DIV/0!</v>
      </c>
      <c r="E7" s="424" t="e">
        <f>IF($A$6="kWh/PAYG/Energy-based tariff",Calculations!F$68,IF($A$6="Flat rate tariff (Revenues/No. of Customers)",Calculations!F$70*Inputs!$G198,IF($A$6="Fixed charge+kWh charge tariff",Calculations!F$85,IF($A$6="Tariffs is a % of some base tariff",Calculations!F$76,IF($A$6="LCOE",Calculations!F$100,IF($A$6="Time of Use(ToU) tariff",Calculations!F$102,IF($A$6="Other-please specify",Calculations!F$106,"")))))))</f>
        <v>#DIV/0!</v>
      </c>
      <c r="F7" s="424" t="e">
        <f>IF($A$6="kWh/PAYG/Energy-based tariff",Calculations!G$68,IF($A$6="Flat rate tariff (Revenues/No. of Customers)",Calculations!G$70*Inputs!$G198,IF($A$6="Fixed charge+kWh charge tariff",Calculations!G$85,IF($A$6="Tariffs is a % of some base tariff",Calculations!G$76,IF($A$6="LCOE",Calculations!G$100,IF($A$6="Time of Use(ToU) tariff",Calculations!G$102,IF($A$6="Other-please specify",Calculations!G$106,"")))))))</f>
        <v>#DIV/0!</v>
      </c>
      <c r="G7" s="425" t="e">
        <f>IF($A$6="kWh/PAYG/Energy-based tariff",Calculations!H$68,IF($A$6="Flat rate tariff (Revenues/No. of Customers)",Calculations!H$70*Inputs!$G198,IF($A$6="Fixed charge+kWh charge tariff",Calculations!H$85,IF($A$6="Tariffs is a % of some base tariff",Calculations!H$76,IF($A$6="LCOE",Calculations!H$100,IF($A$6="Time of Use(ToU) tariff",Calculations!H$102,IF($A$6="Other-please specify",Calculations!H$106,"")))))))</f>
        <v>#DIV/0!</v>
      </c>
      <c r="I7" s="34"/>
    </row>
    <row r="8" spans="1:131" s="140" customFormat="1" x14ac:dyDescent="0.3">
      <c r="A8" s="540"/>
      <c r="B8" s="426" t="str">
        <f>IF($A$6="Fixed charge+kWh charge tariff","kWh charge","")</f>
        <v/>
      </c>
      <c r="C8" s="427" t="str">
        <f>IF($A$6="Fixed charge+kWh charge tariff",Calculations!D86,"")</f>
        <v/>
      </c>
      <c r="D8" s="427" t="str">
        <f>IF($A$6="Fixed charge+kWh charge tariff",Calculations!E86,"")</f>
        <v/>
      </c>
      <c r="E8" s="427" t="str">
        <f>IF($A$6="Fixed charge+kWh charge tariff",Calculations!F86,"")</f>
        <v/>
      </c>
      <c r="F8" s="427" t="str">
        <f>IF($A$6="Fixed charge+kWh charge tariff",Calculations!G86,"")</f>
        <v/>
      </c>
      <c r="G8" s="428" t="str">
        <f>IF($A$6="Fixed charge+kWh charge tariff",Calculations!H86,"")</f>
        <v/>
      </c>
      <c r="I8" s="34"/>
    </row>
    <row r="9" spans="1:131" s="140" customFormat="1" x14ac:dyDescent="0.3">
      <c r="A9" s="539" t="str">
        <f>Inputs!A199</f>
        <v>placeholder2 (Households)</v>
      </c>
      <c r="B9" s="423" t="str">
        <f>IF($A$6="Fixed charge+kWh charge tariff","Fixed charge",IF($A$6="Flat rate tariff (Revenues/No. of Customers)","Service Charge","Energy Charge"))</f>
        <v>Energy Charge</v>
      </c>
      <c r="C9" s="424" t="e">
        <f>IF($A$6="kWh/PAYG/Energy-based tariff",Calculations!D$68,IF($A$6="Flat rate tariff (Revenues/No. of Customers)",Calculations!D$70*Inputs!$G199,IF($A$6="Fixed charge+kWh charge tariff",Calculations!D$87,IF($A$6="Tariffs is a % of some base tariff",Calculations!D$77,IF($A$6="LCOE",Calculations!D$100,IF($A$6="Time of Use(ToU) tariff",Calculations!D$102,IF($A$6="Other-please specify",Calculations!D$106,"")))))))</f>
        <v>#DIV/0!</v>
      </c>
      <c r="D9" s="424" t="e">
        <f>IF($A$6="kWh/PAYG/Energy-based tariff",Calculations!E$68,IF($A$6="Flat rate tariff (Revenues/No. of Customers)",Calculations!E$70*Inputs!$G199,IF($A$6="Fixed charge+kWh charge tariff",Calculations!E$87,IF($A$6="Tariffs is a % of some base tariff",Calculations!E$77,IF($A$6="LCOE",Calculations!E$100,IF($A$6="Time of Use(ToU) tariff",Calculations!E$102,IF($A$6="Other-please specify",Calculations!E$106,"")))))))</f>
        <v>#DIV/0!</v>
      </c>
      <c r="E9" s="424" t="e">
        <f>IF($A$6="kWh/PAYG/Energy-based tariff",Calculations!F$68,IF($A$6="Flat rate tariff (Revenues/No. of Customers)",Calculations!F$70*Inputs!$G199,IF($A$6="Fixed charge+kWh charge tariff",Calculations!F$87,IF($A$6="Tariffs is a % of some base tariff",Calculations!F$77,IF($A$6="LCOE",Calculations!F$100,IF($A$6="Time of Use(ToU) tariff",Calculations!F$102,IF($A$6="Other-please specify",Calculations!F$106,"")))))))</f>
        <v>#DIV/0!</v>
      </c>
      <c r="F9" s="424" t="e">
        <f>IF($A$6="kWh/PAYG/Energy-based tariff",Calculations!G$68,IF($A$6="Flat rate tariff (Revenues/No. of Customers)",Calculations!G$70*Inputs!$G199,IF($A$6="Fixed charge+kWh charge tariff",Calculations!G$87,IF($A$6="Tariffs is a % of some base tariff",Calculations!G$77,IF($A$6="LCOE",Calculations!G$100,IF($A$6="Time of Use(ToU) tariff",Calculations!G$102,IF($A$6="Other-please specify",Calculations!G$106,"")))))))</f>
        <v>#DIV/0!</v>
      </c>
      <c r="G9" s="425" t="e">
        <f>IF($A$6="kWh/PAYG/Energy-based tariff",Calculations!H$68,IF($A$6="Flat rate tariff (Revenues/No. of Customers)",Calculations!H$70*Inputs!$G199,IF($A$6="Fixed charge+kWh charge tariff",Calculations!H$87,IF($A$6="Tariffs is a % of some base tariff",Calculations!H$77,IF($A$6="LCOE",Calculations!H$100,IF($A$6="Time of Use(ToU) tariff",Calculations!H$102,IF($A$6="Other-please specify",Calculations!H$106,"")))))))</f>
        <v>#DIV/0!</v>
      </c>
      <c r="I9" s="34"/>
    </row>
    <row r="10" spans="1:131" s="140" customFormat="1" x14ac:dyDescent="0.3">
      <c r="A10" s="556"/>
      <c r="B10" s="426" t="str">
        <f>IF($A$6="Fixed charge+kWh charge tariff","kWh charge","")</f>
        <v/>
      </c>
      <c r="C10" s="427" t="str">
        <f>IF($A$6="Fixed charge+kWh charge tariff",Calculations!D88,"")</f>
        <v/>
      </c>
      <c r="D10" s="427" t="str">
        <f>IF($A$6="Fixed charge+kWh charge tariff",Calculations!E88,"")</f>
        <v/>
      </c>
      <c r="E10" s="427" t="str">
        <f>IF($A$6="Fixed charge+kWh charge tariff",Calculations!F88,"")</f>
        <v/>
      </c>
      <c r="F10" s="427" t="str">
        <f>IF($A$6="Fixed charge+kWh charge tariff",Calculations!G88,"")</f>
        <v/>
      </c>
      <c r="G10" s="428" t="str">
        <f>IF($A$6="Fixed charge+kWh charge tariff",Calculations!H88,"")</f>
        <v/>
      </c>
      <c r="I10" s="34"/>
    </row>
    <row r="11" spans="1:131" s="140" customFormat="1" x14ac:dyDescent="0.3">
      <c r="A11" s="539" t="str">
        <f>Inputs!A200</f>
        <v>placeholder3 (Business basic shops for lighting)</v>
      </c>
      <c r="B11" s="423" t="str">
        <f>IF($A$6="Fixed charge+kWh charge tariff","Fixed charge",IF($A$6="Flat rate tariff (Revenues/No. of Customers)","Service Charge","Energy Charge"))</f>
        <v>Energy Charge</v>
      </c>
      <c r="C11" s="424" t="e">
        <f>IF($A$6="kWh/PAYG/Energy-based tariff",Calculations!D$68,IF($A$6="Flat rate tariff (Revenues/No. of Customers)",Calculations!D$70*Inputs!$G200,IF($A$6="Fixed charge+kWh charge tariff",Calculations!D$89,IF($A$6="Tariffs is a % of some base tariff",Calculations!D$78,IF($A$6="LCOE",Calculations!D$100,IF($A$6="Time of Use(ToU) tariff",Calculations!D$102,IF($A$6="Other-please specify",Calculations!D$106,"")))))))</f>
        <v>#DIV/0!</v>
      </c>
      <c r="D11" s="424" t="e">
        <f>IF($A$6="kWh/PAYG/Energy-based tariff",Calculations!E$68,IF($A$6="Flat rate tariff (Revenues/No. of Customers)",Calculations!E$70*Inputs!$G200,IF($A$6="Fixed charge+kWh charge tariff",Calculations!E$89,IF($A$6="Tariffs is a % of some base tariff",Calculations!E$78,IF($A$6="LCOE",Calculations!E$100,IF($A$6="Time of Use(ToU) tariff",Calculations!E$102,IF($A$6="Other-please specify",Calculations!E$106,"")))))))</f>
        <v>#DIV/0!</v>
      </c>
      <c r="E11" s="424" t="e">
        <f>IF($A$6="kWh/PAYG/Energy-based tariff",Calculations!F$68,IF($A$6="Flat rate tariff (Revenues/No. of Customers)",Calculations!F$70*Inputs!$G200,IF($A$6="Fixed charge+kWh charge tariff",Calculations!F$89,IF($A$6="Tariffs is a % of some base tariff",Calculations!F$78,IF($A$6="LCOE",Calculations!F$100,IF($A$6="Time of Use(ToU) tariff",Calculations!F$102,IF($A$6="Other-please specify",Calculations!F$106,"")))))))</f>
        <v>#DIV/0!</v>
      </c>
      <c r="F11" s="424" t="e">
        <f>IF($A$6="kWh/PAYG/Energy-based tariff",Calculations!G$68,IF($A$6="Flat rate tariff (Revenues/No. of Customers)",Calculations!G$70*Inputs!$G200,IF($A$6="Fixed charge+kWh charge tariff",Calculations!G$89,IF($A$6="Tariffs is a % of some base tariff",Calculations!G$78,IF($A$6="LCOE",Calculations!G$100,IF($A$6="Time of Use(ToU) tariff",Calculations!G$102,IF($A$6="Other-please specify",Calculations!G$106,"")))))))</f>
        <v>#DIV/0!</v>
      </c>
      <c r="G11" s="425" t="e">
        <f>IF($A$6="kWh/PAYG/Energy-based tariff",Calculations!H$68,IF($A$6="Flat rate tariff (Revenues/No. of Customers)",Calculations!H$70*Inputs!$G200,IF($A$6="Fixed charge+kWh charge tariff",Calculations!H$89,IF($A$6="Tariffs is a % of some base tariff",Calculations!H$78,IF($A$6="LCOE",Calculations!H$100,IF($A$6="Time of Use(ToU) tariff",Calculations!H$102,IF($A$6="Other-please specify",Calculations!H$106,"")))))))</f>
        <v>#DIV/0!</v>
      </c>
      <c r="I11" s="34"/>
    </row>
    <row r="12" spans="1:131" s="140" customFormat="1" x14ac:dyDescent="0.3">
      <c r="A12" s="540"/>
      <c r="B12" s="426" t="str">
        <f>IF($A$6="Fixed charge+kWh charge tariff","kWh charge","")</f>
        <v/>
      </c>
      <c r="C12" s="427" t="str">
        <f>IF($A$6="Fixed charge+kWh charge tariff",Calculations!D90,"")</f>
        <v/>
      </c>
      <c r="D12" s="427" t="str">
        <f>IF($A$6="Fixed charge+kWh charge tariff",Calculations!E90,"")</f>
        <v/>
      </c>
      <c r="E12" s="427" t="str">
        <f>IF($A$6="Fixed charge+kWh charge tariff",Calculations!F90,"")</f>
        <v/>
      </c>
      <c r="F12" s="427" t="str">
        <f>IF($A$6="Fixed charge+kWh charge tariff",Calculations!G90,"")</f>
        <v/>
      </c>
      <c r="G12" s="428" t="str">
        <f>IF($A$6="Fixed charge+kWh charge tariff",Calculations!H90,"")</f>
        <v/>
      </c>
      <c r="I12" s="34"/>
    </row>
    <row r="13" spans="1:131" s="140" customFormat="1" x14ac:dyDescent="0.3">
      <c r="A13" s="539" t="str">
        <f>Inputs!A201</f>
        <v>placeholder4 (Business with appliances like fridges, freezers, etc)</v>
      </c>
      <c r="B13" s="423" t="str">
        <f>IF($A$6="Fixed charge+kWh charge tariff","Fixed charge",IF($A$6="Flat rate tariff (Revenues/No. of Customers)","Service Charge","Energy Charge"))</f>
        <v>Energy Charge</v>
      </c>
      <c r="C13" s="424" t="e">
        <f>IF($A$6="kWh/PAYG/Energy-based tariff",Calculations!D$68,IF($A$6="Flat rate tariff (Revenues/No. of Customers)",Calculations!D$70*Inputs!$G201,IF($A$6="Fixed charge+kWh charge tariff",Calculations!D$91,IF($A$6="Tariffs is a % of some base tariff",Calculations!D$79,IF($A$6="LCOE",Calculations!D$100,IF($A$6="Time of Use(ToU) tariff",Calculations!D$102,IF($A$6="Other-please specify",Calculations!D$106,"")))))))</f>
        <v>#DIV/0!</v>
      </c>
      <c r="D13" s="424" t="e">
        <f>IF($A$6="kWh/PAYG/Energy-based tariff",Calculations!E$68,IF($A$6="Flat rate tariff (Revenues/No. of Customers)",Calculations!E$70*Inputs!$G201,IF($A$6="Fixed charge+kWh charge tariff",Calculations!E$91,IF($A$6="Tariffs is a % of some base tariff",Calculations!E$79,IF($A$6="LCOE",Calculations!E$100,IF($A$6="Time of Use(ToU) tariff",Calculations!E$102,IF($A$6="Other-please specify",Calculations!E$106,"")))))))</f>
        <v>#DIV/0!</v>
      </c>
      <c r="E13" s="424" t="e">
        <f>IF($A$6="kWh/PAYG/Energy-based tariff",Calculations!F$68,IF($A$6="Flat rate tariff (Revenues/No. of Customers)",Calculations!F$70*Inputs!$G201,IF($A$6="Fixed charge+kWh charge tariff",Calculations!F$91,IF($A$6="Tariffs is a % of some base tariff",Calculations!F$79,IF($A$6="LCOE",Calculations!F$100,IF($A$6="Time of Use(ToU) tariff",Calculations!F$102,IF($A$6="Other-please specify",Calculations!F$106,"")))))))</f>
        <v>#DIV/0!</v>
      </c>
      <c r="F13" s="424" t="e">
        <f>IF($A$6="kWh/PAYG/Energy-based tariff",Calculations!G$68,IF($A$6="Flat rate tariff (Revenues/No. of Customers)",Calculations!G$70*Inputs!$G201,IF($A$6="Fixed charge+kWh charge tariff",Calculations!G$91,IF($A$6="Tariffs is a % of some base tariff",Calculations!G$79,IF($A$6="LCOE",Calculations!G$100,IF($A$6="Time of Use(ToU) tariff",Calculations!G$102,IF($A$6="Other-please specify",Calculations!G$106,"")))))))</f>
        <v>#DIV/0!</v>
      </c>
      <c r="G13" s="425" t="e">
        <f>IF($A$6="kWh/PAYG/Energy-based tariff",Calculations!H$68,IF($A$6="Flat rate tariff (Revenues/No. of Customers)",Calculations!H$70*Inputs!$G201,IF($A$6="Fixed charge+kWh charge tariff",Calculations!H$91,IF($A$6="Tariffs is a % of some base tariff",Calculations!H$79,IF($A$6="LCOE",Calculations!H$100,IF($A$6="Time of Use(ToU) tariff",Calculations!H$102,IF($A$6="Other-please specify",Calculations!H$106,"")))))))</f>
        <v>#DIV/0!</v>
      </c>
      <c r="I13" s="34"/>
    </row>
    <row r="14" spans="1:131" s="140" customFormat="1" x14ac:dyDescent="0.3">
      <c r="A14" s="540"/>
      <c r="B14" s="426" t="str">
        <f>IF($A$6="Fixed charge+kWh charge tariff","kWh charge","")</f>
        <v/>
      </c>
      <c r="C14" s="427" t="str">
        <f>IF($A$6="Fixed charge+kWh charge tariff",Calculations!D92,"")</f>
        <v/>
      </c>
      <c r="D14" s="427" t="str">
        <f>IF($A$6="Fixed charge+kWh charge tariff",Calculations!E92,"")</f>
        <v/>
      </c>
      <c r="E14" s="427" t="str">
        <f>IF($A$6="Fixed charge+kWh charge tariff",Calculations!F92,"")</f>
        <v/>
      </c>
      <c r="F14" s="427" t="str">
        <f>IF($A$6="Fixed charge+kWh charge tariff",Calculations!G92,"")</f>
        <v/>
      </c>
      <c r="G14" s="428" t="str">
        <f>IF($A$6="Fixed charge+kWh charge tariff",Calculations!H92,"")</f>
        <v/>
      </c>
      <c r="I14" s="34"/>
    </row>
    <row r="15" spans="1:131" s="140" customFormat="1" x14ac:dyDescent="0.3">
      <c r="A15" s="539" t="str">
        <f>Inputs!A202</f>
        <v>placeholder5 (Anchor-Mines/Timber Mills/Procesors, Bank, etc)</v>
      </c>
      <c r="B15" s="423" t="str">
        <f>IF($A$6="Fixed charge+kWh charge tariff","Fixed charge",IF($A$6="Flat rate tariff (Revenues/No. of Customers)","Service Charge","Energy Charge"))</f>
        <v>Energy Charge</v>
      </c>
      <c r="C15" s="424" t="e">
        <f>IF($A$6="kWh/PAYG/Energy-based tariff",Calculations!D$68,IF($A$6="Flat rate tariff (Revenues/No. of Customers)",Calculations!D$70*Inputs!$G202,IF($A$6="Fixed charge+kWh charge tariff",Calculations!D$93,IF($A$6="Tariffs is a % of some base tariff",Calculations!D$80,IF($A$6="LCOE",Calculations!D$100,IF($A$6="Time of Use(ToU) tariff",Calculations!D$102,IF($A$6="Other-please specify",Calculations!D$106,"")))))))</f>
        <v>#DIV/0!</v>
      </c>
      <c r="D15" s="424" t="e">
        <f>IF($A$6="kWh/PAYG/Energy-based tariff",Calculations!E$68,IF($A$6="Flat rate tariff (Revenues/No. of Customers)",Calculations!E$70*Inputs!$G202,IF($A$6="Fixed charge+kWh charge tariff",Calculations!E$93,IF($A$6="Tariffs is a % of some base tariff",Calculations!E$80,IF($A$6="LCOE",Calculations!E$100,IF($A$6="Time of Use(ToU) tariff",Calculations!E$102,IF($A$6="Other-please specify",Calculations!E$106,"")))))))</f>
        <v>#DIV/0!</v>
      </c>
      <c r="E15" s="424" t="e">
        <f>IF($A$6="kWh/PAYG/Energy-based tariff",Calculations!F$68,IF($A$6="Flat rate tariff (Revenues/No. of Customers)",Calculations!F$70*Inputs!$G202,IF($A$6="Fixed charge+kWh charge tariff",Calculations!F$93,IF($A$6="Tariffs is a % of some base tariff",Calculations!F$80,IF($A$6="LCOE",Calculations!F$100,IF($A$6="Time of Use(ToU) tariff",Calculations!F$102,IF($A$6="Other-please specify",Calculations!F$106,"")))))))</f>
        <v>#DIV/0!</v>
      </c>
      <c r="F15" s="424" t="e">
        <f>IF($A$6="kWh/PAYG/Energy-based tariff",Calculations!G$68,IF($A$6="Flat rate tariff (Revenues/No. of Customers)",Calculations!G$70*Inputs!$G202,IF($A$6="Fixed charge+kWh charge tariff",Calculations!G$93,IF($A$6="Tariffs is a % of some base tariff",Calculations!G$80,IF($A$6="LCOE",Calculations!G$100,IF($A$6="Time of Use(ToU) tariff",Calculations!G$102,IF($A$6="Other-please specify",Calculations!G$106,"")))))))</f>
        <v>#DIV/0!</v>
      </c>
      <c r="G15" s="425" t="e">
        <f>IF($A$6="kWh/PAYG/Energy-based tariff",Calculations!H$68,IF($A$6="Flat rate tariff (Revenues/No. of Customers)",Calculations!H$70*Inputs!$G202,IF($A$6="Fixed charge+kWh charge tariff",Calculations!H$93,IF($A$6="Tariffs is a % of some base tariff",Calculations!H$80,IF($A$6="LCOE",Calculations!H$100,IF($A$6="Time of Use(ToU) tariff",Calculations!H$102,IF($A$6="Other-please specify",Calculations!H$106,"")))))))</f>
        <v>#DIV/0!</v>
      </c>
      <c r="I15" s="34"/>
    </row>
    <row r="16" spans="1:131" s="140" customFormat="1" x14ac:dyDescent="0.3">
      <c r="A16" s="540"/>
      <c r="B16" s="426" t="str">
        <f>IF($A$6="Fixed charge+kWh charge tariff","kWh charge","")</f>
        <v/>
      </c>
      <c r="C16" s="427" t="str">
        <f>IF($A$6="Fixed charge+kWh charge tariff",Calculations!D94,"")</f>
        <v/>
      </c>
      <c r="D16" s="427" t="str">
        <f>IF($A$6="Fixed charge+kWh charge tariff",Calculations!E94,"")</f>
        <v/>
      </c>
      <c r="E16" s="427" t="str">
        <f>IF($A$6="Fixed charge+kWh charge tariff",Calculations!F94,"")</f>
        <v/>
      </c>
      <c r="F16" s="427" t="str">
        <f>IF($A$6="Fixed charge+kWh charge tariff",Calculations!G94,"")</f>
        <v/>
      </c>
      <c r="G16" s="428" t="str">
        <f>IF($A$6="Fixed charge+kWh charge tariff",Calculations!H94,"")</f>
        <v/>
      </c>
      <c r="I16" s="34"/>
    </row>
    <row r="17" spans="1:305" s="140" customFormat="1" x14ac:dyDescent="0.3">
      <c r="A17" s="539" t="str">
        <f>Inputs!A203</f>
        <v>placeholder6 (Institutions – schools, health centres, admin centres, etc)</v>
      </c>
      <c r="B17" s="423" t="str">
        <f>IF($A$6="Fixed charge+kWh charge tariff","Fixed charge",IF($A$6="Flat rate tariff (Revenues/No. of Customers)","Service Charge","Energy Charge"))</f>
        <v>Energy Charge</v>
      </c>
      <c r="C17" s="424" t="e">
        <f>IF($A$6="kWh/PAYG/Energy-based tariff",Calculations!D$68,IF($A$6="Flat rate tariff (Revenues/No. of Customers)",Calculations!D$70*Inputs!$G203,IF($A$6="Fixed charge+kWh charge tariff",Calculations!D$95,IF($A$6="Tariffs is a % of some base tariff",Calculations!D$81,IF($A$6="LCOE",Calculations!D$100,IF($A$6="Time of Use(ToU) tariff",Calculations!D$102,IF($A$6="Other-please specify",Calculations!D$106,"")))))))</f>
        <v>#DIV/0!</v>
      </c>
      <c r="D17" s="424" t="e">
        <f>IF($A$6="kWh/PAYG/Energy-based tariff",Calculations!E$68,IF($A$6="Flat rate tariff (Revenues/No. of Customers)",Calculations!E$70*Inputs!$G203,IF($A$6="Fixed charge+kWh charge tariff",Calculations!E$95,IF($A$6="Tariffs is a % of some base tariff",Calculations!E$81,IF($A$6="LCOE",Calculations!E$100,IF($A$6="Time of Use(ToU) tariff",Calculations!E$102,IF($A$6="Other-please specify",Calculations!E$106,"")))))))</f>
        <v>#DIV/0!</v>
      </c>
      <c r="E17" s="424" t="e">
        <f>IF($A$6="kWh/PAYG/Energy-based tariff",Calculations!F$68,IF($A$6="Flat rate tariff (Revenues/No. of Customers)",Calculations!F$70*Inputs!$G203,IF($A$6="Fixed charge+kWh charge tariff",Calculations!F$95,IF($A$6="Tariffs is a % of some base tariff",Calculations!F$81,IF($A$6="LCOE",Calculations!F$100,IF($A$6="Time of Use(ToU) tariff",Calculations!F$102,IF($A$6="Other-please specify",Calculations!F$106,"")))))))</f>
        <v>#DIV/0!</v>
      </c>
      <c r="F17" s="424" t="e">
        <f>IF($A$6="kWh/PAYG/Energy-based tariff",Calculations!G$68,IF($A$6="Flat rate tariff (Revenues/No. of Customers)",Calculations!G$70*Inputs!$G203,IF($A$6="Fixed charge+kWh charge tariff",Calculations!G$95,IF($A$6="Tariffs is a % of some base tariff",Calculations!G$81,IF($A$6="LCOE",Calculations!G$100,IF($A$6="Time of Use(ToU) tariff",Calculations!G$102,IF($A$6="Other-please specify",Calculations!G$106,"")))))))</f>
        <v>#DIV/0!</v>
      </c>
      <c r="G17" s="425" t="e">
        <f>IF($A$6="kWh/PAYG/Energy-based tariff",Calculations!H$68,IF($A$6="Flat rate tariff (Revenues/No. of Customers)",Calculations!H$70*Inputs!$G203,IF($A$6="Fixed charge+kWh charge tariff",Calculations!H$95,IF($A$6="Tariffs is a % of some base tariff",Calculations!H$81,IF($A$6="LCOE",Calculations!H$100,IF($A$6="Time of Use(ToU) tariff",Calculations!H$102,IF($A$6="Other-please specify",Calculations!H$106,"")))))))</f>
        <v>#DIV/0!</v>
      </c>
      <c r="I17" s="34"/>
    </row>
    <row r="18" spans="1:305" s="140" customFormat="1" x14ac:dyDescent="0.3">
      <c r="A18" s="540"/>
      <c r="B18" s="426" t="str">
        <f>IF($A$6="Fixed charge+kWh charge tariff","kWh charge","")</f>
        <v/>
      </c>
      <c r="C18" s="427" t="str">
        <f>IF($A$6="Fixed charge+kWh charge tariff",Calculations!D96,"")</f>
        <v/>
      </c>
      <c r="D18" s="427" t="str">
        <f>IF($A$6="Fixed charge+kWh charge tariff",Calculations!E96,"")</f>
        <v/>
      </c>
      <c r="E18" s="427" t="str">
        <f>IF($A$6="Fixed charge+kWh charge tariff",Calculations!F96,"")</f>
        <v/>
      </c>
      <c r="F18" s="427" t="str">
        <f>IF($A$6="Fixed charge+kWh charge tariff",Calculations!G96,"")</f>
        <v/>
      </c>
      <c r="G18" s="428" t="str">
        <f>IF($A$6="Fixed charge+kWh charge tariff",Calculations!H96,"")</f>
        <v/>
      </c>
      <c r="I18" s="34"/>
    </row>
    <row r="19" spans="1:305" s="146" customFormat="1" ht="13.05" customHeight="1" x14ac:dyDescent="0.3">
      <c r="A19" s="539" t="str">
        <f>Inputs!A204</f>
        <v>placeholder7 (Street lighting)</v>
      </c>
      <c r="B19" s="423" t="str">
        <f>IF($A$6="Fixed charge+kWh charge tariff","Fixed charge",IF($A$6="Flat rate tariff (Revenues/No. of Customers)","Service Charge","Energy Charge"))</f>
        <v>Energy Charge</v>
      </c>
      <c r="C19" s="429" t="e">
        <f>IF($A$6="kWh/PAYG/Energy-based tariff",Calculations!D$68,IF($A$6="Flat rate tariff (Revenues/No. of Customers)",Calculations!D$70,IF($A$6="Fixed charge+kWh charge tariff",Calculations!D$97,IF($A$6="Tariffs is a % of some base tariff",Calculations!D$82,IF($A$6="LCOE",Calculations!D$100,IF($A$6="Time of Use(ToU) tariff",Calculations!D$102,IF($A$6="Other-please specify",Calculations!D$106,"")))))))</f>
        <v>#DIV/0!</v>
      </c>
      <c r="D19" s="429" t="e">
        <f>IF($A$6="kWh/PAYG/Energy-based tariff",Calculations!E$68,IF($A$6="Flat rate tariff (Revenues/No. of Customers)",Calculations!E$70,IF($A$6="Fixed charge+kWh charge tariff",Calculations!E$97,IF($A$6="Tariffs is a % of some base tariff",Calculations!E$82,IF($A$6="LCOE",Calculations!E$100,IF($A$6="Time of Use(ToU) tariff",Calculations!E$102,IF($A$6="Other-please specify",Calculations!E$106,"")))))))</f>
        <v>#DIV/0!</v>
      </c>
      <c r="E19" s="429" t="e">
        <f>IF($A$6="kWh/PAYG/Energy-based tariff",Calculations!F$68,IF($A$6="Flat rate tariff (Revenues/No. of Customers)",Calculations!F$70,IF($A$6="Fixed charge+kWh charge tariff",Calculations!F$97,IF($A$6="Tariffs is a % of some base tariff",Calculations!F$82,IF($A$6="LCOE",Calculations!F$100,IF($A$6="Time of Use(ToU) tariff",Calculations!F$102,IF($A$6="Other-please specify",Calculations!F$106,"")))))))</f>
        <v>#DIV/0!</v>
      </c>
      <c r="F19" s="429" t="e">
        <f>IF($A$6="kWh/PAYG/Energy-based tariff",Calculations!G$68,IF($A$6="Flat rate tariff (Revenues/No. of Customers)",Calculations!G$70,IF($A$6="Fixed charge+kWh charge tariff",Calculations!G$97,IF($A$6="Tariffs is a % of some base tariff",Calculations!G$82,IF($A$6="LCOE",Calculations!G$100,IF($A$6="Time of Use(ToU) tariff",Calculations!G$102,IF($A$6="Other-please specify",Calculations!G$106,"")))))))</f>
        <v>#DIV/0!</v>
      </c>
      <c r="G19" s="430" t="e">
        <f>IF($A$6="kWh/PAYG/Energy-based tariff",Calculations!H$68,IF($A$6="Flat rate tariff (Revenues/No. of Customers)",Calculations!H$70,IF($A$6="Fixed charge+kWh charge tariff",Calculations!H$97,IF($A$6="Tariffs is a % of some base tariff",Calculations!H$82,IF($A$6="LCOE",Calculations!H$100,IF($A$6="Time of Use(ToU) tariff",Calculations!H$102,IF($A$6="Other-please specify",Calculations!H$106,"")))))))</f>
        <v>#DIV/0!</v>
      </c>
      <c r="I19" s="38"/>
      <c r="J19" s="140"/>
      <c r="K19" s="147"/>
      <c r="L19" s="147"/>
      <c r="M19" s="147"/>
      <c r="N19" s="147"/>
      <c r="Q19" s="148"/>
      <c r="R19" s="148"/>
      <c r="S19" s="148"/>
      <c r="T19" s="148"/>
      <c r="U19" s="148"/>
      <c r="V19" s="148"/>
      <c r="W19" s="148"/>
      <c r="X19" s="148"/>
      <c r="Y19" s="148"/>
      <c r="Z19" s="148"/>
      <c r="AA19" s="148"/>
      <c r="AB19" s="148"/>
      <c r="AC19" s="148"/>
      <c r="AD19" s="148"/>
      <c r="AE19" s="148"/>
      <c r="AF19" s="148"/>
      <c r="AG19" s="148"/>
      <c r="AH19" s="148"/>
      <c r="AI19" s="148"/>
      <c r="AJ19" s="148"/>
      <c r="AK19" s="148"/>
      <c r="AL19" s="148"/>
      <c r="AM19" s="148"/>
      <c r="AN19" s="148"/>
      <c r="AO19" s="148"/>
      <c r="AP19" s="148"/>
      <c r="AQ19" s="148"/>
      <c r="AR19" s="148"/>
      <c r="AS19" s="148"/>
      <c r="AT19" s="148"/>
      <c r="AU19" s="148"/>
      <c r="AV19" s="148"/>
      <c r="AW19" s="148"/>
      <c r="AX19" s="148"/>
      <c r="AY19" s="148"/>
      <c r="AZ19" s="148"/>
      <c r="BA19" s="148"/>
      <c r="BB19" s="148"/>
      <c r="BC19" s="148"/>
      <c r="BD19" s="148"/>
      <c r="BE19" s="148"/>
      <c r="BF19" s="148"/>
      <c r="BG19" s="148"/>
      <c r="BH19" s="148"/>
      <c r="BI19" s="148"/>
      <c r="BJ19" s="148"/>
      <c r="BK19" s="148"/>
      <c r="BL19" s="148"/>
      <c r="BM19" s="148"/>
      <c r="BN19" s="148"/>
      <c r="BO19" s="148"/>
      <c r="BP19" s="148"/>
      <c r="BQ19" s="148"/>
      <c r="BR19" s="148"/>
      <c r="BS19" s="148"/>
      <c r="BT19" s="148"/>
      <c r="BU19" s="148"/>
      <c r="BV19" s="148"/>
      <c r="BW19" s="148"/>
      <c r="BX19" s="148"/>
      <c r="BY19" s="148"/>
      <c r="BZ19" s="148"/>
      <c r="CA19" s="148"/>
      <c r="CB19" s="148"/>
      <c r="CC19" s="148"/>
      <c r="CD19" s="148"/>
      <c r="CE19" s="148"/>
      <c r="CF19" s="148"/>
      <c r="CG19" s="148"/>
      <c r="CH19" s="148"/>
      <c r="CI19" s="148"/>
      <c r="CJ19" s="148"/>
      <c r="CK19" s="148"/>
      <c r="CL19" s="148"/>
      <c r="CM19" s="148"/>
      <c r="CN19" s="148"/>
      <c r="CO19" s="148"/>
      <c r="CP19" s="148"/>
      <c r="CQ19" s="148"/>
      <c r="CR19" s="148"/>
      <c r="CS19" s="148"/>
      <c r="CT19" s="148"/>
      <c r="CU19" s="148"/>
      <c r="CV19" s="148"/>
      <c r="CW19" s="148"/>
      <c r="CX19" s="148"/>
      <c r="CY19" s="148"/>
      <c r="CZ19" s="148"/>
      <c r="DA19" s="148"/>
      <c r="DB19" s="148"/>
      <c r="DC19" s="148"/>
      <c r="DD19" s="148"/>
      <c r="DE19" s="148"/>
      <c r="DF19" s="148"/>
      <c r="DG19" s="148"/>
      <c r="DH19" s="148"/>
      <c r="DI19" s="148"/>
      <c r="DJ19" s="148"/>
      <c r="DK19" s="148"/>
      <c r="DL19" s="148"/>
      <c r="DM19" s="148"/>
      <c r="DN19" s="148"/>
      <c r="DO19" s="148"/>
      <c r="DP19" s="148"/>
      <c r="DQ19" s="148"/>
      <c r="DR19" s="148"/>
      <c r="DS19" s="148"/>
      <c r="DT19" s="148"/>
      <c r="DU19" s="148"/>
      <c r="DV19" s="148"/>
      <c r="DW19" s="148"/>
      <c r="DX19" s="148"/>
      <c r="DY19" s="148"/>
      <c r="DZ19" s="148"/>
      <c r="EA19" s="148"/>
      <c r="EB19" s="148"/>
      <c r="EC19" s="148"/>
      <c r="ED19" s="148"/>
      <c r="EE19" s="148"/>
      <c r="EF19" s="148"/>
      <c r="EG19" s="148"/>
      <c r="EH19" s="148"/>
      <c r="EI19" s="148"/>
      <c r="EJ19" s="148"/>
      <c r="EK19" s="148"/>
      <c r="EL19" s="148"/>
      <c r="EM19" s="148"/>
      <c r="EN19" s="148"/>
      <c r="EO19" s="148"/>
      <c r="EP19" s="148"/>
      <c r="EQ19" s="148"/>
      <c r="ER19" s="148"/>
      <c r="ES19" s="148"/>
      <c r="ET19" s="148"/>
      <c r="EU19" s="148"/>
      <c r="EV19" s="148"/>
      <c r="EW19" s="148"/>
      <c r="EX19" s="148"/>
      <c r="EY19" s="148"/>
      <c r="EZ19" s="148"/>
      <c r="FA19" s="148"/>
      <c r="FB19" s="148"/>
      <c r="FC19" s="148"/>
      <c r="FD19" s="148"/>
      <c r="FE19" s="148"/>
      <c r="FF19" s="148"/>
      <c r="FG19" s="148"/>
      <c r="FH19" s="148"/>
      <c r="FI19" s="148"/>
      <c r="FJ19" s="148"/>
      <c r="FK19" s="148"/>
      <c r="FL19" s="148"/>
      <c r="FM19" s="148"/>
      <c r="FN19" s="148"/>
      <c r="FO19" s="148"/>
      <c r="FP19" s="148"/>
      <c r="FQ19" s="148"/>
      <c r="FR19" s="148"/>
      <c r="FS19" s="148"/>
      <c r="FT19" s="148"/>
      <c r="FU19" s="148"/>
      <c r="FV19" s="148"/>
      <c r="FW19" s="148"/>
      <c r="FX19" s="148"/>
      <c r="FY19" s="148"/>
      <c r="FZ19" s="148"/>
      <c r="GA19" s="148"/>
      <c r="GB19" s="148"/>
      <c r="GC19" s="148"/>
      <c r="GD19" s="148"/>
      <c r="GE19" s="148"/>
      <c r="GF19" s="148"/>
      <c r="GG19" s="148"/>
      <c r="GH19" s="148"/>
      <c r="GI19" s="148"/>
      <c r="GJ19" s="148"/>
      <c r="GK19" s="148"/>
      <c r="GL19" s="148"/>
      <c r="GM19" s="148"/>
      <c r="GN19" s="148"/>
      <c r="GO19" s="148"/>
      <c r="GP19" s="148"/>
      <c r="GQ19" s="148"/>
      <c r="GR19" s="148"/>
      <c r="GS19" s="148"/>
      <c r="GT19" s="148"/>
      <c r="GU19" s="148"/>
      <c r="GV19" s="148"/>
      <c r="GW19" s="148"/>
      <c r="GX19" s="148"/>
      <c r="GY19" s="148"/>
      <c r="GZ19" s="148"/>
      <c r="HA19" s="148"/>
      <c r="HB19" s="148"/>
      <c r="HC19" s="148"/>
      <c r="HD19" s="148"/>
      <c r="HE19" s="148"/>
      <c r="HF19" s="148"/>
      <c r="HG19" s="148"/>
      <c r="HH19" s="148"/>
      <c r="HI19" s="148"/>
      <c r="HJ19" s="148"/>
      <c r="HK19" s="148"/>
      <c r="HL19" s="148"/>
      <c r="HM19" s="148"/>
      <c r="HN19" s="148"/>
      <c r="HO19" s="148"/>
      <c r="HP19" s="148"/>
      <c r="HQ19" s="148"/>
      <c r="HR19" s="148"/>
      <c r="HS19" s="148"/>
      <c r="HT19" s="148"/>
      <c r="HU19" s="148"/>
      <c r="HV19" s="148"/>
      <c r="HW19" s="148"/>
      <c r="HX19" s="148"/>
      <c r="HY19" s="148"/>
      <c r="HZ19" s="148"/>
      <c r="IA19" s="148"/>
      <c r="IB19" s="148"/>
      <c r="IC19" s="148"/>
      <c r="ID19" s="148"/>
      <c r="IE19" s="148"/>
      <c r="IF19" s="148"/>
      <c r="IG19" s="148"/>
      <c r="IH19" s="148"/>
      <c r="II19" s="148"/>
      <c r="IJ19" s="148"/>
      <c r="IK19" s="148"/>
      <c r="IL19" s="148"/>
      <c r="IM19" s="148"/>
      <c r="IN19" s="148"/>
      <c r="IO19" s="148"/>
      <c r="IP19" s="148"/>
      <c r="IQ19" s="148"/>
      <c r="IR19" s="148"/>
      <c r="IS19" s="148"/>
      <c r="IT19" s="148"/>
      <c r="IU19" s="148"/>
      <c r="IV19" s="148"/>
      <c r="IW19" s="148"/>
      <c r="IX19" s="148"/>
      <c r="IY19" s="148"/>
      <c r="IZ19" s="148"/>
      <c r="JA19" s="148"/>
      <c r="JB19" s="148"/>
      <c r="JC19" s="148"/>
      <c r="JD19" s="148"/>
      <c r="JE19" s="148"/>
      <c r="JF19" s="148"/>
      <c r="JG19" s="148"/>
      <c r="JH19" s="148"/>
      <c r="JI19" s="148"/>
      <c r="JJ19" s="148"/>
      <c r="JK19" s="148"/>
      <c r="JL19" s="148"/>
      <c r="JM19" s="148"/>
      <c r="JN19" s="148"/>
      <c r="JO19" s="148"/>
      <c r="JP19" s="148"/>
      <c r="JQ19" s="148"/>
      <c r="JR19" s="148"/>
      <c r="JS19" s="148"/>
      <c r="JT19" s="148"/>
      <c r="JU19" s="148"/>
      <c r="JV19" s="148"/>
      <c r="JW19" s="148"/>
      <c r="JX19" s="148"/>
      <c r="JY19" s="148"/>
      <c r="JZ19" s="148"/>
      <c r="KA19" s="148"/>
      <c r="KB19" s="148"/>
      <c r="KC19" s="148"/>
      <c r="KD19" s="148"/>
      <c r="KE19" s="148"/>
      <c r="KF19" s="148"/>
      <c r="KG19" s="148"/>
      <c r="KH19" s="148"/>
      <c r="KI19" s="148"/>
      <c r="KJ19" s="148"/>
      <c r="KK19" s="148"/>
      <c r="KL19" s="148"/>
      <c r="KM19" s="148"/>
      <c r="KN19" s="148"/>
      <c r="KO19" s="148"/>
      <c r="KP19" s="148"/>
      <c r="KQ19" s="148"/>
      <c r="KR19" s="148"/>
      <c r="KS19" s="148"/>
    </row>
    <row r="20" spans="1:305" s="146" customFormat="1" ht="13.05" customHeight="1" x14ac:dyDescent="0.3">
      <c r="A20" s="540"/>
      <c r="B20" s="426" t="str">
        <f>IF($A$6="Fixed charge+kWh charge tariff","kWh charge","")</f>
        <v/>
      </c>
      <c r="C20" s="431" t="str">
        <f>IF($A$6="Fixed charge+kWh charge tariff",Calculations!D98,"")</f>
        <v/>
      </c>
      <c r="D20" s="431" t="str">
        <f>IF($A$6="Fixed charge+kWh charge tariff",Calculations!E98,"")</f>
        <v/>
      </c>
      <c r="E20" s="431" t="str">
        <f>IF($A$6="Fixed charge+kWh charge tariff",Calculations!F98,"")</f>
        <v/>
      </c>
      <c r="F20" s="431" t="str">
        <f>IF($A$6="Fixed charge+kWh charge tariff",Calculations!G98,"")</f>
        <v/>
      </c>
      <c r="G20" s="432" t="str">
        <f>IF($A$6="Fixed charge+kWh charge tariff",Calculations!H98,"")</f>
        <v/>
      </c>
      <c r="I20" s="38"/>
      <c r="J20" s="140"/>
      <c r="K20" s="147"/>
      <c r="L20" s="147"/>
      <c r="M20" s="147"/>
      <c r="N20" s="147"/>
      <c r="Q20" s="148"/>
      <c r="R20" s="148"/>
      <c r="S20" s="148"/>
      <c r="T20" s="148"/>
      <c r="U20" s="148"/>
      <c r="V20" s="148"/>
      <c r="W20" s="148"/>
      <c r="X20" s="148"/>
      <c r="Y20" s="148"/>
      <c r="Z20" s="148"/>
      <c r="AA20" s="148"/>
      <c r="AB20" s="148"/>
      <c r="AC20" s="148"/>
      <c r="AD20" s="148"/>
      <c r="AE20" s="148"/>
      <c r="AF20" s="148"/>
      <c r="AG20" s="148"/>
      <c r="AH20" s="148"/>
      <c r="AI20" s="148"/>
      <c r="AJ20" s="148"/>
      <c r="AK20" s="148"/>
      <c r="AL20" s="148"/>
      <c r="AM20" s="148"/>
      <c r="AN20" s="148"/>
      <c r="AO20" s="148"/>
      <c r="AP20" s="148"/>
      <c r="AQ20" s="148"/>
      <c r="AR20" s="148"/>
      <c r="AS20" s="148"/>
      <c r="AT20" s="148"/>
      <c r="AU20" s="148"/>
      <c r="AV20" s="148"/>
      <c r="AW20" s="148"/>
      <c r="AX20" s="148"/>
      <c r="AY20" s="148"/>
      <c r="AZ20" s="148"/>
      <c r="BA20" s="148"/>
      <c r="BB20" s="148"/>
      <c r="BC20" s="148"/>
      <c r="BD20" s="148"/>
      <c r="BE20" s="148"/>
      <c r="BF20" s="148"/>
      <c r="BG20" s="148"/>
      <c r="BH20" s="148"/>
      <c r="BI20" s="148"/>
      <c r="BJ20" s="148"/>
      <c r="BK20" s="148"/>
      <c r="BL20" s="148"/>
      <c r="BM20" s="148"/>
      <c r="BN20" s="148"/>
      <c r="BO20" s="148"/>
      <c r="BP20" s="148"/>
      <c r="BQ20" s="148"/>
      <c r="BR20" s="148"/>
      <c r="BS20" s="148"/>
      <c r="BT20" s="148"/>
      <c r="BU20" s="148"/>
      <c r="BV20" s="148"/>
      <c r="BW20" s="148"/>
      <c r="BX20" s="148"/>
      <c r="BY20" s="148"/>
      <c r="BZ20" s="148"/>
      <c r="CA20" s="148"/>
      <c r="CB20" s="148"/>
      <c r="CC20" s="148"/>
      <c r="CD20" s="148"/>
      <c r="CE20" s="148"/>
      <c r="CF20" s="148"/>
      <c r="CG20" s="148"/>
      <c r="CH20" s="148"/>
      <c r="CI20" s="148"/>
      <c r="CJ20" s="148"/>
      <c r="CK20" s="148"/>
      <c r="CL20" s="148"/>
      <c r="CM20" s="148"/>
      <c r="CN20" s="148"/>
      <c r="CO20" s="148"/>
      <c r="CP20" s="148"/>
      <c r="CQ20" s="148"/>
      <c r="CR20" s="148"/>
      <c r="CS20" s="148"/>
      <c r="CT20" s="148"/>
      <c r="CU20" s="148"/>
      <c r="CV20" s="148"/>
      <c r="CW20" s="148"/>
      <c r="CX20" s="148"/>
      <c r="CY20" s="148"/>
      <c r="CZ20" s="148"/>
      <c r="DA20" s="148"/>
      <c r="DB20" s="148"/>
      <c r="DC20" s="148"/>
      <c r="DD20" s="148"/>
      <c r="DE20" s="148"/>
      <c r="DF20" s="148"/>
      <c r="DG20" s="148"/>
      <c r="DH20" s="148"/>
      <c r="DI20" s="148"/>
      <c r="DJ20" s="148"/>
      <c r="DK20" s="148"/>
      <c r="DL20" s="148"/>
      <c r="DM20" s="148"/>
      <c r="DN20" s="148"/>
      <c r="DO20" s="148"/>
      <c r="DP20" s="148"/>
      <c r="DQ20" s="148"/>
      <c r="DR20" s="148"/>
      <c r="DS20" s="148"/>
      <c r="DT20" s="148"/>
      <c r="DU20" s="148"/>
      <c r="DV20" s="148"/>
      <c r="DW20" s="148"/>
      <c r="DX20" s="148"/>
      <c r="DY20" s="148"/>
      <c r="DZ20" s="148"/>
      <c r="EA20" s="148"/>
      <c r="EB20" s="148"/>
      <c r="EC20" s="148"/>
      <c r="ED20" s="148"/>
      <c r="EE20" s="148"/>
      <c r="EF20" s="148"/>
      <c r="EG20" s="148"/>
      <c r="EH20" s="148"/>
      <c r="EI20" s="148"/>
      <c r="EJ20" s="148"/>
      <c r="EK20" s="148"/>
      <c r="EL20" s="148"/>
      <c r="EM20" s="148"/>
      <c r="EN20" s="148"/>
      <c r="EO20" s="148"/>
      <c r="EP20" s="148"/>
      <c r="EQ20" s="148"/>
      <c r="ER20" s="148"/>
      <c r="ES20" s="148"/>
      <c r="ET20" s="148"/>
      <c r="EU20" s="148"/>
      <c r="EV20" s="148"/>
      <c r="EW20" s="148"/>
      <c r="EX20" s="148"/>
      <c r="EY20" s="148"/>
      <c r="EZ20" s="148"/>
      <c r="FA20" s="148"/>
      <c r="FB20" s="148"/>
      <c r="FC20" s="148"/>
      <c r="FD20" s="148"/>
      <c r="FE20" s="148"/>
      <c r="FF20" s="148"/>
      <c r="FG20" s="148"/>
      <c r="FH20" s="148"/>
      <c r="FI20" s="148"/>
      <c r="FJ20" s="148"/>
      <c r="FK20" s="148"/>
      <c r="FL20" s="148"/>
      <c r="FM20" s="148"/>
      <c r="FN20" s="148"/>
      <c r="FO20" s="148"/>
      <c r="FP20" s="148"/>
      <c r="FQ20" s="148"/>
      <c r="FR20" s="148"/>
      <c r="FS20" s="148"/>
      <c r="FT20" s="148"/>
      <c r="FU20" s="148"/>
      <c r="FV20" s="148"/>
      <c r="FW20" s="148"/>
      <c r="FX20" s="148"/>
      <c r="FY20" s="148"/>
      <c r="FZ20" s="148"/>
      <c r="GA20" s="148"/>
      <c r="GB20" s="148"/>
      <c r="GC20" s="148"/>
      <c r="GD20" s="148"/>
      <c r="GE20" s="148"/>
      <c r="GF20" s="148"/>
      <c r="GG20" s="148"/>
      <c r="GH20" s="148"/>
      <c r="GI20" s="148"/>
      <c r="GJ20" s="148"/>
      <c r="GK20" s="148"/>
      <c r="GL20" s="148"/>
      <c r="GM20" s="148"/>
      <c r="GN20" s="148"/>
      <c r="GO20" s="148"/>
      <c r="GP20" s="148"/>
      <c r="GQ20" s="148"/>
      <c r="GR20" s="148"/>
      <c r="GS20" s="148"/>
      <c r="GT20" s="148"/>
      <c r="GU20" s="148"/>
      <c r="GV20" s="148"/>
      <c r="GW20" s="148"/>
      <c r="GX20" s="148"/>
      <c r="GY20" s="148"/>
      <c r="GZ20" s="148"/>
      <c r="HA20" s="148"/>
      <c r="HB20" s="148"/>
      <c r="HC20" s="148"/>
      <c r="HD20" s="148"/>
      <c r="HE20" s="148"/>
      <c r="HF20" s="148"/>
      <c r="HG20" s="148"/>
      <c r="HH20" s="148"/>
      <c r="HI20" s="148"/>
      <c r="HJ20" s="148"/>
      <c r="HK20" s="148"/>
      <c r="HL20" s="148"/>
      <c r="HM20" s="148"/>
      <c r="HN20" s="148"/>
      <c r="HO20" s="148"/>
      <c r="HP20" s="148"/>
      <c r="HQ20" s="148"/>
      <c r="HR20" s="148"/>
      <c r="HS20" s="148"/>
      <c r="HT20" s="148"/>
      <c r="HU20" s="148"/>
      <c r="HV20" s="148"/>
      <c r="HW20" s="148"/>
      <c r="HX20" s="148"/>
      <c r="HY20" s="148"/>
      <c r="HZ20" s="148"/>
      <c r="IA20" s="148"/>
      <c r="IB20" s="148"/>
      <c r="IC20" s="148"/>
      <c r="ID20" s="148"/>
      <c r="IE20" s="148"/>
      <c r="IF20" s="148"/>
      <c r="IG20" s="148"/>
      <c r="IH20" s="148"/>
      <c r="II20" s="148"/>
      <c r="IJ20" s="148"/>
      <c r="IK20" s="148"/>
      <c r="IL20" s="148"/>
      <c r="IM20" s="148"/>
      <c r="IN20" s="148"/>
      <c r="IO20" s="148"/>
      <c r="IP20" s="148"/>
      <c r="IQ20" s="148"/>
      <c r="IR20" s="148"/>
      <c r="IS20" s="148"/>
      <c r="IT20" s="148"/>
      <c r="IU20" s="148"/>
      <c r="IV20" s="148"/>
      <c r="IW20" s="148"/>
      <c r="IX20" s="148"/>
      <c r="IY20" s="148"/>
      <c r="IZ20" s="148"/>
      <c r="JA20" s="148"/>
      <c r="JB20" s="148"/>
      <c r="JC20" s="148"/>
      <c r="JD20" s="148"/>
      <c r="JE20" s="148"/>
      <c r="JF20" s="148"/>
      <c r="JG20" s="148"/>
      <c r="JH20" s="148"/>
      <c r="JI20" s="148"/>
      <c r="JJ20" s="148"/>
      <c r="JK20" s="148"/>
      <c r="JL20" s="148"/>
      <c r="JM20" s="148"/>
      <c r="JN20" s="148"/>
      <c r="JO20" s="148"/>
      <c r="JP20" s="148"/>
      <c r="JQ20" s="148"/>
      <c r="JR20" s="148"/>
      <c r="JS20" s="148"/>
      <c r="JT20" s="148"/>
      <c r="JU20" s="148"/>
      <c r="JV20" s="148"/>
      <c r="JW20" s="148"/>
      <c r="JX20" s="148"/>
      <c r="JY20" s="148"/>
      <c r="JZ20" s="148"/>
      <c r="KA20" s="148"/>
      <c r="KB20" s="148"/>
      <c r="KC20" s="148"/>
      <c r="KD20" s="148"/>
      <c r="KE20" s="148"/>
      <c r="KF20" s="148"/>
      <c r="KG20" s="148"/>
      <c r="KH20" s="148"/>
      <c r="KI20" s="148"/>
      <c r="KJ20" s="148"/>
      <c r="KK20" s="148"/>
      <c r="KL20" s="148"/>
      <c r="KM20" s="148"/>
      <c r="KN20" s="148"/>
      <c r="KO20" s="148"/>
      <c r="KP20" s="148"/>
      <c r="KQ20" s="148"/>
      <c r="KR20" s="148"/>
      <c r="KS20" s="148"/>
    </row>
    <row r="21" spans="1:305" s="146" customFormat="1" x14ac:dyDescent="0.3">
      <c r="A21" s="151"/>
      <c r="B21" s="433"/>
      <c r="C21" s="434"/>
      <c r="D21" s="435"/>
      <c r="E21" s="436"/>
      <c r="F21" s="435"/>
      <c r="G21" s="229"/>
      <c r="I21" s="38"/>
      <c r="J21" s="147"/>
      <c r="K21" s="147"/>
      <c r="L21" s="147"/>
      <c r="M21" s="147"/>
      <c r="N21" s="147"/>
      <c r="Q21" s="148"/>
      <c r="R21" s="148"/>
      <c r="S21" s="148"/>
      <c r="T21" s="148"/>
      <c r="U21" s="148"/>
      <c r="V21" s="148"/>
      <c r="W21" s="148"/>
      <c r="X21" s="148"/>
      <c r="Y21" s="148"/>
      <c r="Z21" s="148"/>
      <c r="AA21" s="148"/>
      <c r="AB21" s="148"/>
      <c r="AC21" s="148"/>
      <c r="AD21" s="148"/>
      <c r="AE21" s="148"/>
      <c r="AF21" s="148"/>
      <c r="AG21" s="148"/>
      <c r="AH21" s="148"/>
      <c r="AI21" s="148"/>
      <c r="AJ21" s="148"/>
      <c r="AK21" s="148"/>
      <c r="AL21" s="148"/>
      <c r="AM21" s="148"/>
      <c r="AN21" s="148"/>
      <c r="AO21" s="148"/>
      <c r="AP21" s="148"/>
      <c r="AQ21" s="148"/>
      <c r="AR21" s="148"/>
      <c r="AS21" s="148"/>
      <c r="AT21" s="148"/>
      <c r="AU21" s="148"/>
      <c r="AV21" s="148"/>
      <c r="AW21" s="148"/>
      <c r="AX21" s="148"/>
      <c r="AY21" s="148"/>
      <c r="AZ21" s="148"/>
      <c r="BA21" s="148"/>
      <c r="BB21" s="148"/>
      <c r="BC21" s="148"/>
      <c r="BD21" s="148"/>
      <c r="BE21" s="148"/>
      <c r="BF21" s="148"/>
      <c r="BG21" s="148"/>
      <c r="BH21" s="148"/>
      <c r="BI21" s="148"/>
      <c r="BJ21" s="148"/>
      <c r="BK21" s="148"/>
      <c r="BL21" s="148"/>
      <c r="BM21" s="148"/>
      <c r="BN21" s="148"/>
      <c r="BO21" s="148"/>
      <c r="BP21" s="148"/>
      <c r="BQ21" s="148"/>
      <c r="BR21" s="148"/>
      <c r="BS21" s="148"/>
      <c r="BT21" s="148"/>
      <c r="BU21" s="148"/>
      <c r="BV21" s="148"/>
      <c r="BW21" s="148"/>
      <c r="BX21" s="148"/>
      <c r="BY21" s="148"/>
      <c r="BZ21" s="148"/>
      <c r="CA21" s="148"/>
      <c r="CB21" s="148"/>
      <c r="CC21" s="148"/>
      <c r="CD21" s="148"/>
      <c r="CE21" s="148"/>
      <c r="CF21" s="148"/>
      <c r="CG21" s="148"/>
      <c r="CH21" s="148"/>
      <c r="CI21" s="148"/>
      <c r="CJ21" s="148"/>
      <c r="CK21" s="148"/>
      <c r="CL21" s="148"/>
      <c r="CM21" s="148"/>
      <c r="CN21" s="148"/>
      <c r="CO21" s="148"/>
      <c r="CP21" s="148"/>
      <c r="CQ21" s="148"/>
      <c r="CR21" s="148"/>
      <c r="CS21" s="148"/>
      <c r="CT21" s="148"/>
      <c r="CU21" s="148"/>
      <c r="CV21" s="148"/>
      <c r="CW21" s="148"/>
      <c r="CX21" s="148"/>
      <c r="CY21" s="148"/>
      <c r="CZ21" s="148"/>
      <c r="DA21" s="148"/>
      <c r="DB21" s="148"/>
      <c r="DC21" s="148"/>
      <c r="DD21" s="148"/>
      <c r="DE21" s="148"/>
      <c r="DF21" s="148"/>
      <c r="DG21" s="148"/>
      <c r="DH21" s="148"/>
      <c r="DI21" s="148"/>
      <c r="DJ21" s="148"/>
      <c r="DK21" s="148"/>
      <c r="DL21" s="148"/>
      <c r="DM21" s="148"/>
      <c r="DN21" s="148"/>
      <c r="DO21" s="148"/>
      <c r="DP21" s="148"/>
      <c r="DQ21" s="148"/>
      <c r="DR21" s="148"/>
      <c r="DS21" s="148"/>
      <c r="DT21" s="148"/>
      <c r="DU21" s="148"/>
      <c r="DV21" s="148"/>
      <c r="DW21" s="148"/>
      <c r="DX21" s="148"/>
      <c r="DY21" s="148"/>
      <c r="DZ21" s="148"/>
      <c r="EA21" s="148"/>
      <c r="EB21" s="148"/>
      <c r="EC21" s="148"/>
      <c r="ED21" s="148"/>
      <c r="EE21" s="148"/>
      <c r="EF21" s="148"/>
      <c r="EG21" s="148"/>
      <c r="EH21" s="148"/>
      <c r="EI21" s="148"/>
      <c r="EJ21" s="148"/>
      <c r="EK21" s="148"/>
      <c r="EL21" s="148"/>
      <c r="EM21" s="148"/>
      <c r="EN21" s="148"/>
      <c r="EO21" s="148"/>
      <c r="EP21" s="148"/>
      <c r="EQ21" s="148"/>
      <c r="ER21" s="148"/>
      <c r="ES21" s="148"/>
      <c r="ET21" s="148"/>
      <c r="EU21" s="148"/>
      <c r="EV21" s="148"/>
      <c r="EW21" s="148"/>
      <c r="EX21" s="148"/>
      <c r="EY21" s="148"/>
      <c r="EZ21" s="148"/>
      <c r="FA21" s="148"/>
      <c r="FB21" s="148"/>
      <c r="FC21" s="148"/>
      <c r="FD21" s="148"/>
      <c r="FE21" s="148"/>
      <c r="FF21" s="148"/>
      <c r="FG21" s="148"/>
      <c r="FH21" s="148"/>
      <c r="FI21" s="148"/>
      <c r="FJ21" s="148"/>
      <c r="FK21" s="148"/>
      <c r="FL21" s="148"/>
      <c r="FM21" s="148"/>
      <c r="FN21" s="148"/>
      <c r="FO21" s="148"/>
      <c r="FP21" s="148"/>
      <c r="FQ21" s="148"/>
      <c r="FR21" s="148"/>
      <c r="FS21" s="148"/>
      <c r="FT21" s="148"/>
      <c r="FU21" s="148"/>
      <c r="FV21" s="148"/>
      <c r="FW21" s="148"/>
      <c r="FX21" s="148"/>
      <c r="FY21" s="148"/>
      <c r="FZ21" s="148"/>
      <c r="GA21" s="148"/>
      <c r="GB21" s="148"/>
      <c r="GC21" s="148"/>
      <c r="GD21" s="148"/>
      <c r="GE21" s="148"/>
      <c r="GF21" s="148"/>
      <c r="GG21" s="148"/>
      <c r="GH21" s="148"/>
      <c r="GI21" s="148"/>
      <c r="GJ21" s="148"/>
      <c r="GK21" s="148"/>
      <c r="GL21" s="148"/>
      <c r="GM21" s="148"/>
      <c r="GN21" s="148"/>
      <c r="GO21" s="148"/>
      <c r="GP21" s="148"/>
      <c r="GQ21" s="148"/>
      <c r="GR21" s="148"/>
      <c r="GS21" s="148"/>
      <c r="GT21" s="148"/>
      <c r="GU21" s="148"/>
      <c r="GV21" s="148"/>
      <c r="GW21" s="148"/>
      <c r="GX21" s="148"/>
      <c r="GY21" s="148"/>
      <c r="GZ21" s="148"/>
      <c r="HA21" s="148"/>
      <c r="HB21" s="148"/>
      <c r="HC21" s="148"/>
      <c r="HD21" s="148"/>
      <c r="HE21" s="148"/>
      <c r="HF21" s="148"/>
      <c r="HG21" s="148"/>
      <c r="HH21" s="148"/>
      <c r="HI21" s="148"/>
      <c r="HJ21" s="148"/>
      <c r="HK21" s="148"/>
      <c r="HL21" s="148"/>
      <c r="HM21" s="148"/>
      <c r="HN21" s="148"/>
      <c r="HO21" s="148"/>
      <c r="HP21" s="148"/>
      <c r="HQ21" s="148"/>
      <c r="HR21" s="148"/>
      <c r="HS21" s="148"/>
      <c r="HT21" s="148"/>
      <c r="HU21" s="148"/>
      <c r="HV21" s="148"/>
      <c r="HW21" s="148"/>
      <c r="HX21" s="148"/>
      <c r="HY21" s="148"/>
      <c r="HZ21" s="148"/>
      <c r="IA21" s="148"/>
      <c r="IB21" s="148"/>
      <c r="IC21" s="148"/>
      <c r="ID21" s="148"/>
      <c r="IE21" s="148"/>
      <c r="IF21" s="148"/>
      <c r="IG21" s="148"/>
      <c r="IH21" s="148"/>
      <c r="II21" s="148"/>
      <c r="IJ21" s="148"/>
      <c r="IK21" s="148"/>
      <c r="IL21" s="148"/>
      <c r="IM21" s="148"/>
      <c r="IN21" s="148"/>
      <c r="IO21" s="148"/>
      <c r="IP21" s="148"/>
      <c r="IQ21" s="148"/>
      <c r="IR21" s="148"/>
      <c r="IS21" s="148"/>
      <c r="IT21" s="148"/>
      <c r="IU21" s="148"/>
      <c r="IV21" s="148"/>
      <c r="IW21" s="148"/>
      <c r="IX21" s="148"/>
      <c r="IY21" s="148"/>
      <c r="IZ21" s="148"/>
      <c r="JA21" s="148"/>
      <c r="JB21" s="148"/>
      <c r="JC21" s="148"/>
      <c r="JD21" s="148"/>
      <c r="JE21" s="148"/>
      <c r="JF21" s="148"/>
      <c r="JG21" s="148"/>
      <c r="JH21" s="148"/>
      <c r="JI21" s="148"/>
      <c r="JJ21" s="148"/>
      <c r="JK21" s="148"/>
      <c r="JL21" s="148"/>
      <c r="JM21" s="148"/>
      <c r="JN21" s="148"/>
      <c r="JO21" s="148"/>
      <c r="JP21" s="148"/>
      <c r="JQ21" s="148"/>
      <c r="JR21" s="148"/>
      <c r="JS21" s="148"/>
      <c r="JT21" s="148"/>
      <c r="JU21" s="148"/>
      <c r="JV21" s="148"/>
      <c r="JW21" s="148"/>
      <c r="JX21" s="148"/>
      <c r="JY21" s="148"/>
      <c r="JZ21" s="148"/>
      <c r="KA21" s="148"/>
      <c r="KB21" s="148"/>
      <c r="KC21" s="148"/>
      <c r="KD21" s="148"/>
      <c r="KE21" s="148"/>
      <c r="KF21" s="148"/>
      <c r="KG21" s="148"/>
      <c r="KH21" s="148"/>
      <c r="KI21" s="148"/>
      <c r="KJ21" s="148"/>
      <c r="KK21" s="148"/>
      <c r="KL21" s="148"/>
      <c r="KM21" s="148"/>
      <c r="KN21" s="148"/>
      <c r="KO21" s="148"/>
      <c r="KP21" s="148"/>
      <c r="KQ21" s="148"/>
      <c r="KR21" s="148"/>
      <c r="KS21" s="148"/>
    </row>
    <row r="22" spans="1:305" x14ac:dyDescent="0.3">
      <c r="A22" s="152" t="s">
        <v>327</v>
      </c>
      <c r="B22" s="153"/>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134"/>
    </row>
    <row r="49" spans="1:131" s="38" customFormat="1" x14ac:dyDescent="0.3">
      <c r="A49" s="34"/>
      <c r="B49" s="132" t="s">
        <v>152</v>
      </c>
      <c r="C49" s="133">
        <v>1</v>
      </c>
      <c r="D49" s="133">
        <f>C49+1</f>
        <v>2</v>
      </c>
      <c r="E49" s="133">
        <f t="shared" ref="E49" si="1">D49+1</f>
        <v>3</v>
      </c>
      <c r="F49" s="133">
        <f t="shared" ref="F49" si="2">E49+1</f>
        <v>4</v>
      </c>
      <c r="G49" s="133">
        <f t="shared" ref="G49" si="3">F49+1</f>
        <v>5</v>
      </c>
      <c r="H49" s="133">
        <f t="shared" ref="H49" si="4">G49+1</f>
        <v>6</v>
      </c>
      <c r="I49" s="133">
        <f t="shared" ref="I49" si="5">H49+1</f>
        <v>7</v>
      </c>
      <c r="J49" s="133">
        <f t="shared" ref="J49" si="6">I49+1</f>
        <v>8</v>
      </c>
      <c r="K49" s="133">
        <f t="shared" ref="K49" si="7">J49+1</f>
        <v>9</v>
      </c>
      <c r="L49" s="133">
        <f t="shared" ref="L49" si="8">K49+1</f>
        <v>10</v>
      </c>
      <c r="M49" s="133">
        <f t="shared" ref="M49" si="9">L49+1</f>
        <v>11</v>
      </c>
      <c r="N49" s="133">
        <f t="shared" ref="N49" si="10">M49+1</f>
        <v>12</v>
      </c>
      <c r="O49" s="133">
        <f t="shared" ref="O49" si="11">N49+1</f>
        <v>13</v>
      </c>
      <c r="P49" s="133">
        <f t="shared" ref="P49" si="12">O49+1</f>
        <v>14</v>
      </c>
      <c r="Q49" s="133">
        <f t="shared" ref="Q49" si="13">P49+1</f>
        <v>15</v>
      </c>
      <c r="R49" s="133">
        <f t="shared" ref="R49" si="14">Q49+1</f>
        <v>16</v>
      </c>
      <c r="S49" s="133">
        <f t="shared" ref="S49" si="15">R49+1</f>
        <v>17</v>
      </c>
      <c r="T49" s="133">
        <f t="shared" ref="T49" si="16">S49+1</f>
        <v>18</v>
      </c>
      <c r="U49" s="133">
        <f t="shared" ref="U49" si="17">T49+1</f>
        <v>19</v>
      </c>
      <c r="V49" s="133">
        <f t="shared" ref="V49" si="18">U49+1</f>
        <v>20</v>
      </c>
      <c r="W49" s="133">
        <f t="shared" ref="W49" si="19">V49+1</f>
        <v>21</v>
      </c>
      <c r="X49" s="133">
        <f t="shared" ref="X49" si="20">W49+1</f>
        <v>22</v>
      </c>
      <c r="Y49" s="133">
        <f t="shared" ref="Y49" si="21">X49+1</f>
        <v>23</v>
      </c>
      <c r="Z49" s="133">
        <f t="shared" ref="Z49" si="22">Y49+1</f>
        <v>24</v>
      </c>
      <c r="AA49" s="133">
        <f t="shared" ref="AA49" si="23">Z49+1</f>
        <v>25</v>
      </c>
      <c r="AB49" s="134"/>
      <c r="AC49" s="134"/>
      <c r="AD49" s="134"/>
      <c r="AE49" s="134"/>
      <c r="AF49" s="134"/>
      <c r="AG49" s="134"/>
      <c r="AH49" s="134"/>
      <c r="AI49" s="134"/>
      <c r="AJ49" s="134"/>
      <c r="AK49" s="134"/>
      <c r="AL49" s="134"/>
      <c r="AM49" s="134"/>
      <c r="AN49" s="134"/>
      <c r="AO49" s="134"/>
      <c r="AP49" s="134"/>
      <c r="AQ49" s="134"/>
      <c r="AR49" s="134"/>
      <c r="AS49" s="134"/>
      <c r="AT49" s="134"/>
      <c r="AU49" s="134"/>
      <c r="AV49" s="134"/>
      <c r="AW49" s="134"/>
      <c r="AX49" s="134"/>
      <c r="AY49" s="134"/>
      <c r="AZ49" s="134"/>
      <c r="BA49" s="134"/>
      <c r="BB49" s="134"/>
      <c r="BC49" s="134"/>
      <c r="BD49" s="134"/>
      <c r="BE49" s="134"/>
      <c r="BF49" s="134"/>
      <c r="BG49" s="134"/>
      <c r="BH49" s="134"/>
      <c r="BI49" s="134"/>
      <c r="BJ49" s="134"/>
      <c r="BK49" s="134"/>
      <c r="BL49" s="134"/>
      <c r="BM49" s="134"/>
      <c r="BN49" s="134"/>
      <c r="BO49" s="134"/>
      <c r="BP49" s="134"/>
      <c r="BQ49" s="134"/>
      <c r="BR49" s="134"/>
      <c r="BS49" s="134"/>
      <c r="BT49" s="134"/>
      <c r="BU49" s="134"/>
      <c r="BV49" s="134"/>
      <c r="BW49" s="134"/>
      <c r="BX49" s="134"/>
      <c r="BY49" s="134"/>
      <c r="BZ49" s="134"/>
      <c r="CA49" s="134"/>
      <c r="CB49" s="134"/>
      <c r="CC49" s="134"/>
      <c r="CD49" s="134"/>
      <c r="CE49" s="134"/>
      <c r="CF49" s="134"/>
      <c r="CG49" s="134"/>
      <c r="CH49" s="134"/>
      <c r="CI49" s="134"/>
      <c r="CJ49" s="134"/>
      <c r="CK49" s="134"/>
      <c r="CL49" s="134"/>
      <c r="CM49" s="134"/>
      <c r="CN49" s="134"/>
      <c r="CO49" s="134"/>
      <c r="CP49" s="134"/>
      <c r="CQ49" s="134"/>
      <c r="CR49" s="134"/>
      <c r="CS49" s="134"/>
      <c r="CT49" s="134"/>
      <c r="CU49" s="134"/>
      <c r="CV49" s="134"/>
      <c r="CW49" s="134"/>
      <c r="CX49" s="134"/>
      <c r="CY49" s="134"/>
      <c r="CZ49" s="134"/>
      <c r="DA49" s="134"/>
      <c r="DB49" s="134"/>
      <c r="DC49" s="134"/>
      <c r="DD49" s="134"/>
      <c r="DE49" s="134"/>
      <c r="DF49" s="134"/>
      <c r="DG49" s="134"/>
      <c r="DH49" s="134"/>
      <c r="DI49" s="134"/>
      <c r="DJ49" s="134"/>
      <c r="DK49" s="134"/>
      <c r="DL49" s="134"/>
      <c r="DM49" s="134"/>
      <c r="DN49" s="134"/>
      <c r="DO49" s="134"/>
      <c r="DP49" s="134"/>
      <c r="DQ49" s="134"/>
      <c r="DR49" s="134"/>
      <c r="DS49" s="134"/>
      <c r="DT49" s="134"/>
      <c r="DU49" s="134"/>
      <c r="DV49" s="134"/>
      <c r="DW49" s="134"/>
      <c r="DX49" s="134"/>
      <c r="DY49" s="134"/>
      <c r="DZ49" s="134"/>
      <c r="EA49" s="134"/>
    </row>
    <row r="50" spans="1:131" x14ac:dyDescent="0.3">
      <c r="A50" s="135" t="s">
        <v>328</v>
      </c>
      <c r="B50" s="136"/>
    </row>
    <row r="51" spans="1:131" x14ac:dyDescent="0.3">
      <c r="A51" s="70" t="s">
        <v>205</v>
      </c>
      <c r="B51" s="373"/>
      <c r="C51" s="373" t="s">
        <v>188</v>
      </c>
      <c r="D51" s="373" t="s">
        <v>188</v>
      </c>
      <c r="E51" s="373" t="s">
        <v>188</v>
      </c>
      <c r="F51" s="373" t="s">
        <v>188</v>
      </c>
      <c r="G51" s="373" t="s">
        <v>188</v>
      </c>
    </row>
    <row r="52" spans="1:131" x14ac:dyDescent="0.3">
      <c r="A52" s="374" t="s">
        <v>377</v>
      </c>
      <c r="B52" s="375"/>
      <c r="C52" s="437">
        <f>Calculations!D132</f>
        <v>0</v>
      </c>
      <c r="D52" s="437">
        <f>Calculations!E132</f>
        <v>0</v>
      </c>
      <c r="E52" s="437">
        <f>Calculations!F132</f>
        <v>0</v>
      </c>
      <c r="F52" s="437">
        <f>Calculations!G132</f>
        <v>0</v>
      </c>
      <c r="G52" s="437">
        <f>Calculations!H132</f>
        <v>0</v>
      </c>
    </row>
    <row r="53" spans="1:131" x14ac:dyDescent="0.3">
      <c r="A53" s="376" t="s">
        <v>378</v>
      </c>
      <c r="B53" s="377"/>
      <c r="C53" s="377">
        <v>1.25</v>
      </c>
      <c r="D53" s="377">
        <f>C53</f>
        <v>1.25</v>
      </c>
      <c r="E53" s="377">
        <f t="shared" ref="E53:G55" si="24">D53</f>
        <v>1.25</v>
      </c>
      <c r="F53" s="377">
        <f t="shared" si="24"/>
        <v>1.25</v>
      </c>
      <c r="G53" s="377">
        <f t="shared" si="24"/>
        <v>1.25</v>
      </c>
    </row>
    <row r="54" spans="1:131" x14ac:dyDescent="0.3">
      <c r="A54" s="374" t="s">
        <v>206</v>
      </c>
      <c r="B54" s="375"/>
      <c r="C54" s="437">
        <f>Calculations!D133</f>
        <v>0</v>
      </c>
      <c r="D54" s="437">
        <f>Calculations!E133</f>
        <v>0</v>
      </c>
      <c r="E54" s="437">
        <f>Calculations!F133</f>
        <v>0</v>
      </c>
      <c r="F54" s="437">
        <f>Calculations!G133</f>
        <v>0</v>
      </c>
      <c r="G54" s="437">
        <f>Calculations!H133</f>
        <v>0</v>
      </c>
    </row>
    <row r="55" spans="1:131" x14ac:dyDescent="0.3">
      <c r="A55" s="376" t="s">
        <v>379</v>
      </c>
      <c r="B55" s="377"/>
      <c r="C55" s="377">
        <v>2</v>
      </c>
      <c r="D55" s="377">
        <f>C55</f>
        <v>2</v>
      </c>
      <c r="E55" s="377">
        <f t="shared" si="24"/>
        <v>2</v>
      </c>
      <c r="F55" s="377">
        <f t="shared" si="24"/>
        <v>2</v>
      </c>
      <c r="G55" s="377">
        <f t="shared" si="24"/>
        <v>2</v>
      </c>
    </row>
    <row r="56" spans="1:131" x14ac:dyDescent="0.3">
      <c r="A56" s="374" t="s">
        <v>207</v>
      </c>
      <c r="B56" s="378"/>
      <c r="C56" s="247">
        <f>Calculations!D134</f>
        <v>0</v>
      </c>
      <c r="D56" s="247">
        <f>Calculations!E134</f>
        <v>0</v>
      </c>
      <c r="E56" s="247">
        <f>Calculations!F134</f>
        <v>0</v>
      </c>
      <c r="F56" s="247">
        <f>Calculations!G134</f>
        <v>0</v>
      </c>
      <c r="G56" s="247">
        <f>Calculations!H134</f>
        <v>0</v>
      </c>
    </row>
    <row r="57" spans="1:131" x14ac:dyDescent="0.3">
      <c r="B57" s="379"/>
      <c r="C57" s="379"/>
      <c r="D57" s="379"/>
      <c r="E57" s="379"/>
      <c r="F57" s="379"/>
    </row>
    <row r="58" spans="1:131" x14ac:dyDescent="0.3">
      <c r="A58" s="70" t="s">
        <v>309</v>
      </c>
      <c r="B58" s="373"/>
      <c r="C58" s="373" t="s">
        <v>188</v>
      </c>
    </row>
    <row r="59" spans="1:131" x14ac:dyDescent="0.3">
      <c r="A59" s="374" t="s">
        <v>311</v>
      </c>
      <c r="B59" s="378"/>
      <c r="C59" s="438">
        <f>Calculations!B138</f>
        <v>-267500</v>
      </c>
    </row>
    <row r="60" spans="1:131" x14ac:dyDescent="0.3">
      <c r="A60" s="374" t="s">
        <v>313</v>
      </c>
      <c r="B60" s="380"/>
      <c r="C60" s="165" t="e">
        <f>Calculations!B139</f>
        <v>#NUM!</v>
      </c>
    </row>
    <row r="61" spans="1:131" x14ac:dyDescent="0.3">
      <c r="A61" s="374" t="s">
        <v>204</v>
      </c>
      <c r="B61" s="380"/>
      <c r="C61" s="165" t="e">
        <f>Calculations!B140</f>
        <v>#NUM!</v>
      </c>
    </row>
    <row r="62" spans="1:131" x14ac:dyDescent="0.3">
      <c r="B62" s="136"/>
    </row>
    <row r="63" spans="1:131" x14ac:dyDescent="0.3">
      <c r="A63" s="135" t="s">
        <v>425</v>
      </c>
      <c r="B63" s="136"/>
    </row>
    <row r="64" spans="1:131" x14ac:dyDescent="0.3">
      <c r="B64" s="136"/>
    </row>
    <row r="65" spans="2:2" x14ac:dyDescent="0.3">
      <c r="B65" s="136"/>
    </row>
    <row r="66" spans="2:2" x14ac:dyDescent="0.3">
      <c r="B66" s="136"/>
    </row>
    <row r="67" spans="2:2" x14ac:dyDescent="0.3">
      <c r="B67" s="136"/>
    </row>
    <row r="68" spans="2:2" x14ac:dyDescent="0.3">
      <c r="B68" s="136"/>
    </row>
    <row r="69" spans="2:2" x14ac:dyDescent="0.3">
      <c r="B69" s="136"/>
    </row>
    <row r="70" spans="2:2" x14ac:dyDescent="0.3">
      <c r="B70" s="136"/>
    </row>
    <row r="71" spans="2:2" x14ac:dyDescent="0.3">
      <c r="B71" s="136"/>
    </row>
    <row r="72" spans="2:2" x14ac:dyDescent="0.3">
      <c r="B72" s="136"/>
    </row>
    <row r="73" spans="2:2" x14ac:dyDescent="0.3">
      <c r="B73" s="136"/>
    </row>
    <row r="74" spans="2:2" x14ac:dyDescent="0.3">
      <c r="B74" s="136"/>
    </row>
    <row r="75" spans="2:2" x14ac:dyDescent="0.3">
      <c r="B75" s="136"/>
    </row>
    <row r="76" spans="2:2" x14ac:dyDescent="0.3">
      <c r="B76" s="136"/>
    </row>
    <row r="77" spans="2:2" x14ac:dyDescent="0.3">
      <c r="B77" s="136"/>
    </row>
    <row r="78" spans="2:2" x14ac:dyDescent="0.3">
      <c r="B78" s="136"/>
    </row>
    <row r="79" spans="2:2" x14ac:dyDescent="0.3">
      <c r="B79" s="136"/>
    </row>
    <row r="80" spans="2:2" x14ac:dyDescent="0.3">
      <c r="B80" s="136"/>
    </row>
    <row r="81" spans="1:131" x14ac:dyDescent="0.3">
      <c r="B81" s="136"/>
    </row>
    <row r="82" spans="1:131" s="38" customFormat="1" x14ac:dyDescent="0.3">
      <c r="A82" s="34"/>
      <c r="B82" s="132" t="s">
        <v>152</v>
      </c>
      <c r="C82" s="133">
        <v>1</v>
      </c>
      <c r="D82" s="133">
        <f>C82+1</f>
        <v>2</v>
      </c>
      <c r="E82" s="133">
        <f t="shared" ref="E82" si="25">D82+1</f>
        <v>3</v>
      </c>
      <c r="F82" s="133">
        <f t="shared" ref="F82" si="26">E82+1</f>
        <v>4</v>
      </c>
      <c r="G82" s="133">
        <f t="shared" ref="G82" si="27">F82+1</f>
        <v>5</v>
      </c>
      <c r="H82" s="133">
        <f t="shared" ref="H82" si="28">G82+1</f>
        <v>6</v>
      </c>
      <c r="I82" s="133">
        <f t="shared" ref="I82" si="29">H82+1</f>
        <v>7</v>
      </c>
      <c r="J82" s="133">
        <f t="shared" ref="J82" si="30">I82+1</f>
        <v>8</v>
      </c>
      <c r="K82" s="133">
        <f t="shared" ref="K82" si="31">J82+1</f>
        <v>9</v>
      </c>
      <c r="L82" s="133">
        <f t="shared" ref="L82" si="32">K82+1</f>
        <v>10</v>
      </c>
      <c r="M82" s="133">
        <f t="shared" ref="M82" si="33">L82+1</f>
        <v>11</v>
      </c>
      <c r="N82" s="133">
        <f t="shared" ref="N82" si="34">M82+1</f>
        <v>12</v>
      </c>
      <c r="O82" s="133">
        <f t="shared" ref="O82" si="35">N82+1</f>
        <v>13</v>
      </c>
      <c r="P82" s="133">
        <f t="shared" ref="P82" si="36">O82+1</f>
        <v>14</v>
      </c>
      <c r="Q82" s="133">
        <f t="shared" ref="Q82" si="37">P82+1</f>
        <v>15</v>
      </c>
      <c r="R82" s="133">
        <f t="shared" ref="R82" si="38">Q82+1</f>
        <v>16</v>
      </c>
      <c r="S82" s="133">
        <f t="shared" ref="S82" si="39">R82+1</f>
        <v>17</v>
      </c>
      <c r="T82" s="133">
        <f t="shared" ref="T82" si="40">S82+1</f>
        <v>18</v>
      </c>
      <c r="U82" s="133">
        <f t="shared" ref="U82" si="41">T82+1</f>
        <v>19</v>
      </c>
      <c r="V82" s="133">
        <f t="shared" ref="V82" si="42">U82+1</f>
        <v>20</v>
      </c>
      <c r="W82" s="133">
        <f t="shared" ref="W82" si="43">V82+1</f>
        <v>21</v>
      </c>
      <c r="X82" s="133">
        <f t="shared" ref="X82" si="44">W82+1</f>
        <v>22</v>
      </c>
      <c r="Y82" s="133">
        <f t="shared" ref="Y82" si="45">X82+1</f>
        <v>23</v>
      </c>
      <c r="Z82" s="133">
        <f t="shared" ref="Z82" si="46">Y82+1</f>
        <v>24</v>
      </c>
      <c r="AA82" s="133">
        <f t="shared" ref="AA82" si="47">Z82+1</f>
        <v>25</v>
      </c>
      <c r="AB82" s="134"/>
      <c r="AC82" s="134"/>
      <c r="AD82" s="134"/>
      <c r="AE82" s="134"/>
      <c r="AF82" s="134"/>
      <c r="AG82" s="134"/>
      <c r="AH82" s="134"/>
      <c r="AI82" s="134"/>
      <c r="AJ82" s="134"/>
      <c r="AK82" s="134"/>
      <c r="AL82" s="134"/>
      <c r="AM82" s="134"/>
      <c r="AN82" s="134"/>
      <c r="AO82" s="134"/>
      <c r="AP82" s="134"/>
      <c r="AQ82" s="134"/>
      <c r="AR82" s="134"/>
      <c r="AS82" s="134"/>
      <c r="AT82" s="134"/>
      <c r="AU82" s="134"/>
      <c r="AV82" s="134"/>
      <c r="AW82" s="134"/>
      <c r="AX82" s="134"/>
      <c r="AY82" s="134"/>
      <c r="AZ82" s="134"/>
      <c r="BA82" s="134"/>
      <c r="BB82" s="134"/>
      <c r="BC82" s="134"/>
      <c r="BD82" s="134"/>
      <c r="BE82" s="134"/>
      <c r="BF82" s="134"/>
      <c r="BG82" s="134"/>
      <c r="BH82" s="134"/>
      <c r="BI82" s="134"/>
      <c r="BJ82" s="134"/>
      <c r="BK82" s="134"/>
      <c r="BL82" s="134"/>
      <c r="BM82" s="134"/>
      <c r="BN82" s="134"/>
      <c r="BO82" s="134"/>
      <c r="BP82" s="134"/>
      <c r="BQ82" s="134"/>
      <c r="BR82" s="134"/>
      <c r="BS82" s="134"/>
      <c r="BT82" s="134"/>
      <c r="BU82" s="134"/>
      <c r="BV82" s="134"/>
      <c r="BW82" s="134"/>
      <c r="BX82" s="134"/>
      <c r="BY82" s="134"/>
      <c r="BZ82" s="134"/>
      <c r="CA82" s="134"/>
      <c r="CB82" s="134"/>
      <c r="CC82" s="134"/>
      <c r="CD82" s="134"/>
      <c r="CE82" s="134"/>
      <c r="CF82" s="134"/>
      <c r="CG82" s="134"/>
      <c r="CH82" s="134"/>
      <c r="CI82" s="134"/>
      <c r="CJ82" s="134"/>
      <c r="CK82" s="134"/>
      <c r="CL82" s="134"/>
      <c r="CM82" s="134"/>
      <c r="CN82" s="134"/>
      <c r="CO82" s="134"/>
      <c r="CP82" s="134"/>
      <c r="CQ82" s="134"/>
      <c r="CR82" s="134"/>
      <c r="CS82" s="134"/>
      <c r="CT82" s="134"/>
      <c r="CU82" s="134"/>
      <c r="CV82" s="134"/>
      <c r="CW82" s="134"/>
      <c r="CX82" s="134"/>
      <c r="CY82" s="134"/>
      <c r="CZ82" s="134"/>
      <c r="DA82" s="134"/>
      <c r="DB82" s="134"/>
      <c r="DC82" s="134"/>
      <c r="DD82" s="134"/>
      <c r="DE82" s="134"/>
      <c r="DF82" s="134"/>
      <c r="DG82" s="134"/>
      <c r="DH82" s="134"/>
      <c r="DI82" s="134"/>
      <c r="DJ82" s="134"/>
      <c r="DK82" s="134"/>
      <c r="DL82" s="134"/>
      <c r="DM82" s="134"/>
      <c r="DN82" s="134"/>
      <c r="DO82" s="134"/>
      <c r="DP82" s="134"/>
      <c r="DQ82" s="134"/>
      <c r="DR82" s="134"/>
      <c r="DS82" s="134"/>
      <c r="DT82" s="134"/>
      <c r="DU82" s="134"/>
      <c r="DV82" s="134"/>
      <c r="DW82" s="134"/>
      <c r="DX82" s="134"/>
      <c r="DY82" s="134"/>
      <c r="DZ82" s="134"/>
      <c r="EA82" s="134"/>
    </row>
    <row r="83" spans="1:131" x14ac:dyDescent="0.3">
      <c r="A83" s="381" t="s">
        <v>329</v>
      </c>
      <c r="B83" s="21" t="s">
        <v>251</v>
      </c>
    </row>
    <row r="84" spans="1:131" x14ac:dyDescent="0.3">
      <c r="A84" s="374" t="s">
        <v>284</v>
      </c>
      <c r="B84" s="439" t="str">
        <f>Inputs!B24</f>
        <v>US$</v>
      </c>
      <c r="C84" s="247" t="e">
        <f>Calculations!D53*Calculations!D54</f>
        <v>#DIV/0!</v>
      </c>
      <c r="D84" s="247" t="e">
        <f>Calculations!E53*Calculations!E54</f>
        <v>#DIV/0!</v>
      </c>
      <c r="E84" s="247" t="e">
        <f>Calculations!F53*Calculations!F54</f>
        <v>#DIV/0!</v>
      </c>
      <c r="F84" s="247" t="e">
        <f>Calculations!G53*Calculations!G54</f>
        <v>#DIV/0!</v>
      </c>
      <c r="G84" s="438" t="e">
        <f>Calculations!H53*Calculations!H54</f>
        <v>#DIV/0!</v>
      </c>
    </row>
    <row r="85" spans="1:131" x14ac:dyDescent="0.3">
      <c r="A85" s="374" t="s">
        <v>285</v>
      </c>
      <c r="B85" s="439" t="str">
        <f>Inputs!B24</f>
        <v>US$</v>
      </c>
      <c r="C85" s="247" t="e">
        <f>Calculations!D53*Calculations!D55</f>
        <v>#DIV/0!</v>
      </c>
      <c r="D85" s="247" t="e">
        <f>Calculations!E53*Calculations!E55</f>
        <v>#DIV/0!</v>
      </c>
      <c r="E85" s="247" t="e">
        <f>Calculations!F53*Calculations!F55</f>
        <v>#DIV/0!</v>
      </c>
      <c r="F85" s="247" t="e">
        <f>Calculations!G53*Calculations!G55</f>
        <v>#DIV/0!</v>
      </c>
      <c r="G85" s="438" t="e">
        <f>Calculations!H53*Calculations!H55</f>
        <v>#DIV/0!</v>
      </c>
    </row>
    <row r="86" spans="1:131" x14ac:dyDescent="0.3">
      <c r="A86" s="374" t="s">
        <v>286</v>
      </c>
      <c r="B86" s="439" t="str">
        <f>Inputs!B24</f>
        <v>US$</v>
      </c>
      <c r="C86" s="247" t="e">
        <f>Calculations!D53*Calculations!D56</f>
        <v>#DIV/0!</v>
      </c>
      <c r="D86" s="247" t="e">
        <f>Calculations!E53*Calculations!E56</f>
        <v>#DIV/0!</v>
      </c>
      <c r="E86" s="247" t="e">
        <f>Calculations!F53*Calculations!F56</f>
        <v>#DIV/0!</v>
      </c>
      <c r="F86" s="247" t="e">
        <f>Calculations!G53*Calculations!G56</f>
        <v>#DIV/0!</v>
      </c>
      <c r="G86" s="438" t="e">
        <f>Calculations!H53*Calculations!H56</f>
        <v>#DIV/0!</v>
      </c>
    </row>
    <row r="87" spans="1:131" x14ac:dyDescent="0.3">
      <c r="A87" s="304" t="s">
        <v>287</v>
      </c>
      <c r="B87" s="440"/>
      <c r="C87" s="127" t="e">
        <f>SUM(C84:C86)</f>
        <v>#DIV/0!</v>
      </c>
      <c r="D87" s="127" t="e">
        <f t="shared" ref="D87:G87" si="48">SUM(D84:D86)</f>
        <v>#DIV/0!</v>
      </c>
      <c r="E87" s="127" t="e">
        <f t="shared" si="48"/>
        <v>#DIV/0!</v>
      </c>
      <c r="F87" s="127" t="e">
        <f t="shared" si="48"/>
        <v>#DIV/0!</v>
      </c>
      <c r="G87" s="127" t="e">
        <f t="shared" si="48"/>
        <v>#DIV/0!</v>
      </c>
    </row>
    <row r="89" spans="1:131" x14ac:dyDescent="0.3">
      <c r="A89" s="381" t="s">
        <v>426</v>
      </c>
    </row>
    <row r="109" spans="1:28" x14ac:dyDescent="0.3">
      <c r="A109" s="135" t="s">
        <v>421</v>
      </c>
    </row>
    <row r="110" spans="1:28" ht="15.6" x14ac:dyDescent="0.3">
      <c r="A110" s="383"/>
      <c r="B110" s="383"/>
      <c r="C110" s="133">
        <v>1</v>
      </c>
      <c r="D110" s="133">
        <f>C110+1</f>
        <v>2</v>
      </c>
      <c r="E110" s="133">
        <f t="shared" ref="E110:AA110" si="49">D110+1</f>
        <v>3</v>
      </c>
      <c r="F110" s="133">
        <f t="shared" si="49"/>
        <v>4</v>
      </c>
      <c r="G110" s="133">
        <f t="shared" si="49"/>
        <v>5</v>
      </c>
      <c r="H110" s="133">
        <f t="shared" si="49"/>
        <v>6</v>
      </c>
      <c r="I110" s="133">
        <f t="shared" si="49"/>
        <v>7</v>
      </c>
      <c r="J110" s="133">
        <f t="shared" si="49"/>
        <v>8</v>
      </c>
      <c r="K110" s="133">
        <f t="shared" si="49"/>
        <v>9</v>
      </c>
      <c r="L110" s="133">
        <f t="shared" si="49"/>
        <v>10</v>
      </c>
      <c r="M110" s="133">
        <f t="shared" si="49"/>
        <v>11</v>
      </c>
      <c r="N110" s="133">
        <f t="shared" si="49"/>
        <v>12</v>
      </c>
      <c r="O110" s="133">
        <f t="shared" si="49"/>
        <v>13</v>
      </c>
      <c r="P110" s="133">
        <f t="shared" si="49"/>
        <v>14</v>
      </c>
      <c r="Q110" s="133">
        <f t="shared" si="49"/>
        <v>15</v>
      </c>
      <c r="R110" s="133">
        <f t="shared" si="49"/>
        <v>16</v>
      </c>
      <c r="S110" s="133">
        <f t="shared" si="49"/>
        <v>17</v>
      </c>
      <c r="T110" s="133">
        <f t="shared" si="49"/>
        <v>18</v>
      </c>
      <c r="U110" s="133">
        <f t="shared" si="49"/>
        <v>19</v>
      </c>
      <c r="V110" s="133">
        <f t="shared" si="49"/>
        <v>20</v>
      </c>
      <c r="W110" s="133">
        <f t="shared" si="49"/>
        <v>21</v>
      </c>
      <c r="X110" s="133">
        <f t="shared" si="49"/>
        <v>22</v>
      </c>
      <c r="Y110" s="133">
        <f t="shared" si="49"/>
        <v>23</v>
      </c>
      <c r="Z110" s="133">
        <f t="shared" si="49"/>
        <v>24</v>
      </c>
      <c r="AA110" s="133">
        <f t="shared" si="49"/>
        <v>25</v>
      </c>
      <c r="AB110" s="134"/>
    </row>
    <row r="111" spans="1:28" x14ac:dyDescent="0.3">
      <c r="A111" s="71" t="s">
        <v>418</v>
      </c>
      <c r="B111" s="71"/>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134"/>
    </row>
    <row r="112" spans="1:28" x14ac:dyDescent="0.3">
      <c r="A112" s="272" t="s">
        <v>167</v>
      </c>
      <c r="B112" s="441" t="s">
        <v>187</v>
      </c>
      <c r="C112" s="1">
        <f>IF(C$110&lt;=Inputs!$C$16,IF($B112="Yes",Inputs!$AH$128,""),"")</f>
        <v>13361.025641025641</v>
      </c>
      <c r="D112" s="1">
        <f>IF(D$110&lt;=Inputs!$C$16,IF($B112="Yes",Inputs!$AH$128,""),"")</f>
        <v>13361.025641025641</v>
      </c>
      <c r="E112" s="1">
        <f>IF(E$110&lt;=Inputs!$C$16,IF($B112="Yes",Inputs!$AH$128,""),"")</f>
        <v>13361.025641025641</v>
      </c>
      <c r="F112" s="1">
        <f>IF(F$110&lt;=Inputs!$C$16,IF($B112="Yes",Inputs!$AH$128,""),"")</f>
        <v>13361.025641025641</v>
      </c>
      <c r="G112" s="1">
        <f>IF(G$110&lt;=Inputs!$C$16,IF($B112="Yes",Inputs!$AH$128,""),"")</f>
        <v>13361.025641025641</v>
      </c>
      <c r="H112" s="1">
        <f>IF(H$110&lt;=Inputs!$C$16,IF($B112="Yes",Inputs!$AH$128,""),"")</f>
        <v>13361.025641025641</v>
      </c>
      <c r="I112" s="1">
        <f>IF(I$110&lt;=Inputs!$C$16,IF($B112="Yes",Inputs!$AH$128,""),"")</f>
        <v>13361.025641025641</v>
      </c>
      <c r="J112" s="1">
        <f>IF(J$110&lt;=Inputs!$C$16,IF($B112="Yes",Inputs!$AH$128,""),"")</f>
        <v>13361.025641025641</v>
      </c>
      <c r="K112" s="1">
        <f>IF(K$110&lt;=Inputs!$C$16,IF($B112="Yes",Inputs!$AH$128,""),"")</f>
        <v>13361.025641025641</v>
      </c>
      <c r="L112" s="1">
        <f>IF(L$110&lt;=Inputs!$C$16,IF($B112="Yes",Inputs!$AH$128,""),"")</f>
        <v>13361.025641025641</v>
      </c>
      <c r="M112" s="1">
        <f>IF(M$110&lt;=Inputs!$C$16,IF($B112="Yes",Inputs!$AH$128,""),"")</f>
        <v>13361.025641025641</v>
      </c>
      <c r="N112" s="1">
        <f>IF(N$110&lt;=Inputs!$C$16,IF($B112="Yes",Inputs!$AH$128,""),"")</f>
        <v>13361.025641025641</v>
      </c>
      <c r="O112" s="1">
        <f>IF(O$110&lt;=Inputs!$C$16,IF($B112="Yes",Inputs!$AH$128,""),"")</f>
        <v>13361.025641025641</v>
      </c>
      <c r="P112" s="1">
        <f>IF(P$110&lt;=Inputs!$C$16,IF($B112="Yes",Inputs!$AH$128,""),"")</f>
        <v>13361.025641025641</v>
      </c>
      <c r="Q112" s="1">
        <f>IF(Q$110&lt;=Inputs!$C$16,IF($B112="Yes",Inputs!$AH$128,""),"")</f>
        <v>13361.025641025641</v>
      </c>
      <c r="R112" s="1">
        <f>IF(R$110&lt;=Inputs!$C$16,IF($B112="Yes",Inputs!$AH$128,""),"")</f>
        <v>13361.025641025641</v>
      </c>
      <c r="S112" s="1">
        <f>IF(S$110&lt;=Inputs!$C$16,IF($B112="Yes",Inputs!$AH$128,""),"")</f>
        <v>13361.025641025641</v>
      </c>
      <c r="T112" s="1">
        <f>IF(T$110&lt;=Inputs!$C$16,IF($B112="Yes",Inputs!$AH$128,""),"")</f>
        <v>13361.025641025641</v>
      </c>
      <c r="U112" s="1">
        <f>IF(U$110&lt;=Inputs!$C$16,IF($B112="Yes",Inputs!$AH$128,""),"")</f>
        <v>13361.025641025641</v>
      </c>
      <c r="V112" s="1">
        <f>IF(V$110&lt;=Inputs!$C$16,IF($B112="Yes",Inputs!$AH$128,""),"")</f>
        <v>13361.025641025641</v>
      </c>
      <c r="W112" s="1">
        <f>IF(W$110&lt;=Inputs!$C$16,IF($B112="Yes",Inputs!$AH$128,""),"")</f>
        <v>13361.025641025641</v>
      </c>
      <c r="X112" s="1">
        <f>IF(X$110&lt;=Inputs!$C$16,IF($B112="Yes",Inputs!$AH$128,""),"")</f>
        <v>13361.025641025641</v>
      </c>
      <c r="Y112" s="1">
        <f>IF(Y$110&lt;=Inputs!$C$16,IF($B112="Yes",Inputs!$AH$128,""),"")</f>
        <v>13361.025641025641</v>
      </c>
      <c r="Z112" s="1">
        <f>IF(Z$110&lt;=Inputs!$C$16,IF($B112="Yes",Inputs!$AH$128,""),"")</f>
        <v>13361.025641025641</v>
      </c>
      <c r="AA112" s="1">
        <f>IF(AA$110&lt;=Inputs!$C$16,IF($B112="Yes",Inputs!$AH$128,""),"")</f>
        <v>13361.025641025641</v>
      </c>
      <c r="AB112" s="274">
        <f>SUM(C112:AA112)</f>
        <v>334025.64102564083</v>
      </c>
    </row>
    <row r="113" spans="1:28" x14ac:dyDescent="0.3">
      <c r="A113" s="384" t="s">
        <v>183</v>
      </c>
      <c r="B113" s="166" t="s">
        <v>187</v>
      </c>
      <c r="C113" s="1">
        <f>IF(C110&lt;=Inputs!$C$16,IF($B113="Yes",Inputs!$AI$128*Calculations!D9,""),"")</f>
        <v>13766.411938721802</v>
      </c>
      <c r="D113" s="1">
        <f>IF(D110&lt;=Inputs!$C$16,IF($B113="Yes",Inputs!$AI$128*Calculations!E9,""),"")</f>
        <v>13731.967360915767</v>
      </c>
      <c r="E113" s="1">
        <f>IF(E110&lt;=Inputs!$C$16,IF($B113="Yes",Inputs!$AI$128*Calculations!F9,""),"")</f>
        <v>13697.632712613367</v>
      </c>
      <c r="F113" s="1">
        <f>IF(F110&lt;=Inputs!$C$16,IF($B113="Yes",Inputs!$AI$128*Calculations!G9,""),"")</f>
        <v>13663.371350646727</v>
      </c>
      <c r="G113" s="1">
        <f>IF(G110&lt;=Inputs!$C$16,IF($B113="Yes",Inputs!$AI$128*Calculations!H9,""),"")</f>
        <v>13629.183275015841</v>
      </c>
      <c r="H113" s="1">
        <f>IF(H110&lt;=Inputs!$C$16,IF($B113="Yes",Inputs!$AI$128*Calculations!I9,""),"")</f>
        <v>13595.105128888594</v>
      </c>
      <c r="I113" s="1">
        <f>IF(I110&lt;=Inputs!$C$16,IF($B113="Yes",Inputs!$AI$128*Calculations!J9,""),"")</f>
        <v>13561.100269097104</v>
      </c>
      <c r="J113" s="1">
        <f>IF(J110&lt;=Inputs!$C$16,IF($B113="Yes",Inputs!$AI$128*Calculations!K9,""),"")</f>
        <v>13527.168695641371</v>
      </c>
      <c r="K113" s="1">
        <f>IF(K110&lt;=Inputs!$C$16,IF($B113="Yes",Inputs!$AI$128*Calculations!L9,""),"")</f>
        <v>13493.347051689274</v>
      </c>
      <c r="L113" s="1">
        <f>IF(L110&lt;=Inputs!$C$16,IF($B113="Yes",Inputs!$AI$128*Calculations!M9,""),"")</f>
        <v>13459.598694072934</v>
      </c>
      <c r="M113" s="1">
        <f>IF(M110&lt;=Inputs!$C$16,IF($B113="Yes",Inputs!$AI$128*Calculations!N9,""),"")</f>
        <v>13425.923622792354</v>
      </c>
      <c r="N113" s="1">
        <f>IF(N110&lt;=Inputs!$C$16,IF($B113="Yes",Inputs!$AI$128*Calculations!O9,""),"")</f>
        <v>13392.358481015408</v>
      </c>
      <c r="O113" s="1">
        <f>IF(O110&lt;=Inputs!$C$16,IF($B113="Yes",Inputs!$AI$128*Calculations!P9,""),"")</f>
        <v>13358.866625574221</v>
      </c>
      <c r="P113" s="1">
        <f>IF(P110&lt;=Inputs!$C$16,IF($B113="Yes",Inputs!$AI$128*Calculations!Q9,""),"")</f>
        <v>13325.448056468791</v>
      </c>
      <c r="Q113" s="1">
        <f>IF(Q110&lt;=Inputs!$C$16,IF($B113="Yes",Inputs!$AI$128*Calculations!R9,""),"")</f>
        <v>13292.102773699118</v>
      </c>
      <c r="R113" s="1">
        <f>IF(R110&lt;=Inputs!$C$16,IF($B113="Yes",Inputs!$AI$128*Calculations!S9,""),"")</f>
        <v>13258.867420433082</v>
      </c>
      <c r="S113" s="1">
        <f>IF(S110&lt;=Inputs!$C$16,IF($B113="Yes",Inputs!$AI$128*Calculations!T9,""),"")</f>
        <v>13225.705353502803</v>
      </c>
      <c r="T113" s="1">
        <f>IF(T110&lt;=Inputs!$C$16,IF($B113="Yes",Inputs!$AI$128*Calculations!U9,""),"")</f>
        <v>13192.61657290828</v>
      </c>
      <c r="U113" s="1">
        <f>IF(U110&lt;=Inputs!$C$16,IF($B113="Yes",Inputs!$AI$128*Calculations!V9,""),"")</f>
        <v>13159.601078649517</v>
      </c>
      <c r="V113" s="1">
        <f>IF(V110&lt;=Inputs!$C$16,IF($B113="Yes",Inputs!$AI$128*Calculations!W9,""),"")</f>
        <v>13126.69551389439</v>
      </c>
      <c r="W113" s="1">
        <f>IF(W110&lt;=Inputs!$C$16,IF($B113="Yes",Inputs!$AI$128*Calculations!X9,""),"")</f>
        <v>13093.863235475019</v>
      </c>
      <c r="X113" s="1">
        <f>IF(X110&lt;=Inputs!$C$16,IF($B113="Yes",Inputs!$AI$128*Calculations!Y9,""),"")</f>
        <v>13061.104243391408</v>
      </c>
      <c r="Y113" s="1">
        <f>IF(Y110&lt;=Inputs!$C$16,IF($B113="Yes",Inputs!$AI$128*Calculations!Z9,""),"")</f>
        <v>13028.418537643553</v>
      </c>
      <c r="Z113" s="1">
        <f>IF(Z110&lt;=Inputs!$C$16,IF($B113="Yes",Inputs!$AI$128*Calculations!AA9,""),"")</f>
        <v>12995.842761399334</v>
      </c>
      <c r="AA113" s="1">
        <f>IF(AA110&lt;=Inputs!$C$16,IF($B113="Yes",Inputs!$AI$128*Calculations!AB9,""),"")</f>
        <v>12963.340271490873</v>
      </c>
      <c r="AB113" s="274">
        <f t="shared" ref="AB113:AB114" si="50">SUM(C113:AA113)</f>
        <v>334025.64102564094</v>
      </c>
    </row>
    <row r="114" spans="1:28" x14ac:dyDescent="0.3">
      <c r="A114" s="280" t="s">
        <v>184</v>
      </c>
      <c r="B114" s="166" t="s">
        <v>187</v>
      </c>
      <c r="C114" s="1" t="e">
        <f>IF(C110&lt;=Inputs!$C$16,IF($B114="Yes",((Calculations!D27*Inputs!$D$187*(1+Inputs!$D$187)^Inputs!$C$16))/((1+Inputs!$D$187)^Inputs!$C$16-1),""),"")</f>
        <v>#DIV/0!</v>
      </c>
      <c r="D114" s="1" t="e">
        <f>IF(D110&lt;=Inputs!$C$16,IF($B114="Yes",((Calculations!E27*Inputs!$D$187*(1+Inputs!$D$187)^Inputs!$C$16))/((1+Inputs!$D$187)^Inputs!$C$16-1),""),"")</f>
        <v>#DIV/0!</v>
      </c>
      <c r="E114" s="1" t="e">
        <f>IF(E110&lt;=Inputs!$C$16,IF($B114="Yes",((Calculations!F27*Inputs!$D$187*(1+Inputs!$D$187)^Inputs!$C$16))/((1+Inputs!$D$187)^Inputs!$C$16-1),""),"")</f>
        <v>#DIV/0!</v>
      </c>
      <c r="F114" s="1" t="e">
        <f>IF(F110&lt;=Inputs!$C$16,IF($B114="Yes",((Calculations!G27*Inputs!$D$187*(1+Inputs!$D$187)^Inputs!$C$16))/((1+Inputs!$D$187)^Inputs!$C$16-1),""),"")</f>
        <v>#DIV/0!</v>
      </c>
      <c r="G114" s="1" t="e">
        <f>IF(G110&lt;=Inputs!$C$16,IF($B114="Yes",((Calculations!H27*Inputs!$D$187*(1+Inputs!$D$187)^Inputs!$C$16))/((1+Inputs!$D$187)^Inputs!$C$16-1),""),"")</f>
        <v>#DIV/0!</v>
      </c>
      <c r="H114" s="1" t="e">
        <f>IF(H110&lt;=Inputs!$C$16,IF($B114="Yes",((Calculations!I27*Inputs!$D$187*(1+Inputs!$D$187)^Inputs!$C$16))/((1+Inputs!$D$187)^Inputs!$C$16-1),""),"")</f>
        <v>#DIV/0!</v>
      </c>
      <c r="I114" s="1" t="e">
        <f>IF(I110&lt;=Inputs!$C$16,IF($B114="Yes",((Calculations!J27*Inputs!$D$187*(1+Inputs!$D$187)^Inputs!$C$16))/((1+Inputs!$D$187)^Inputs!$C$16-1),""),"")</f>
        <v>#DIV/0!</v>
      </c>
      <c r="J114" s="1" t="e">
        <f>IF(J110&lt;=Inputs!$C$16,IF($B114="Yes",((Calculations!K27*Inputs!$D$187*(1+Inputs!$D$187)^Inputs!$C$16))/((1+Inputs!$D$187)^Inputs!$C$16-1),""),"")</f>
        <v>#DIV/0!</v>
      </c>
      <c r="K114" s="1" t="e">
        <f>IF(K110&lt;=Inputs!$C$16,IF($B114="Yes",((Calculations!L27*Inputs!$D$187*(1+Inputs!$D$187)^Inputs!$C$16))/((1+Inputs!$D$187)^Inputs!$C$16-1),""),"")</f>
        <v>#DIV/0!</v>
      </c>
      <c r="L114" s="1" t="e">
        <f>IF(L110&lt;=Inputs!$C$16,IF($B114="Yes",((Calculations!M27*Inputs!$D$187*(1+Inputs!$D$187)^Inputs!$C$16))/((1+Inputs!$D$187)^Inputs!$C$16-1),""),"")</f>
        <v>#DIV/0!</v>
      </c>
      <c r="M114" s="1" t="e">
        <f>IF(M110&lt;=Inputs!$C$16,IF($B114="Yes",((Calculations!N27*Inputs!$D$187*(1+Inputs!$D$187)^Inputs!$C$16))/((1+Inputs!$D$187)^Inputs!$C$16-1),""),"")</f>
        <v>#DIV/0!</v>
      </c>
      <c r="N114" s="1" t="e">
        <f>IF(N110&lt;=Inputs!$C$16,IF($B114="Yes",((Calculations!O27*Inputs!$D$187*(1+Inputs!$D$187)^Inputs!$C$16))/((1+Inputs!$D$187)^Inputs!$C$16-1),""),"")</f>
        <v>#DIV/0!</v>
      </c>
      <c r="O114" s="1" t="e">
        <f>IF(O110&lt;=Inputs!$C$16,IF($B114="Yes",((Calculations!P27*Inputs!$D$187*(1+Inputs!$D$187)^Inputs!$C$16))/((1+Inputs!$D$187)^Inputs!$C$16-1),""),"")</f>
        <v>#DIV/0!</v>
      </c>
      <c r="P114" s="1" t="e">
        <f>IF(P110&lt;=Inputs!$C$16,IF($B114="Yes",((Calculations!Q27*Inputs!$D$187*(1+Inputs!$D$187)^Inputs!$C$16))/((1+Inputs!$D$187)^Inputs!$C$16-1),""),"")</f>
        <v>#DIV/0!</v>
      </c>
      <c r="Q114" s="1" t="e">
        <f>IF(Q110&lt;=Inputs!$C$16,IF($B114="Yes",((Calculations!R27*Inputs!$D$187*(1+Inputs!$D$187)^Inputs!$C$16))/((1+Inputs!$D$187)^Inputs!$C$16-1),""),"")</f>
        <v>#DIV/0!</v>
      </c>
      <c r="R114" s="1" t="e">
        <f>IF(R110&lt;=Inputs!$C$16,IF($B114="Yes",((Calculations!S27*Inputs!$D$187*(1+Inputs!$D$187)^Inputs!$C$16))/((1+Inputs!$D$187)^Inputs!$C$16-1),""),"")</f>
        <v>#DIV/0!</v>
      </c>
      <c r="S114" s="1" t="e">
        <f>IF(S110&lt;=Inputs!$C$16,IF($B114="Yes",((Calculations!T27*Inputs!$D$187*(1+Inputs!$D$187)^Inputs!$C$16))/((1+Inputs!$D$187)^Inputs!$C$16-1),""),"")</f>
        <v>#DIV/0!</v>
      </c>
      <c r="T114" s="1" t="e">
        <f>IF(T110&lt;=Inputs!$C$16,IF($B114="Yes",((Calculations!U27*Inputs!$D$187*(1+Inputs!$D$187)^Inputs!$C$16))/((1+Inputs!$D$187)^Inputs!$C$16-1),""),"")</f>
        <v>#DIV/0!</v>
      </c>
      <c r="U114" s="1" t="e">
        <f>IF(U110&lt;=Inputs!$C$16,IF($B114="Yes",((Calculations!V27*Inputs!$D$187*(1+Inputs!$D$187)^Inputs!$C$16))/((1+Inputs!$D$187)^Inputs!$C$16-1),""),"")</f>
        <v>#DIV/0!</v>
      </c>
      <c r="V114" s="1" t="e">
        <f>IF(V110&lt;=Inputs!$C$16,IF($B114="Yes",((Calculations!W27*Inputs!$D$187*(1+Inputs!$D$187)^Inputs!$C$16))/((1+Inputs!$D$187)^Inputs!$C$16-1),""),"")</f>
        <v>#DIV/0!</v>
      </c>
      <c r="W114" s="1" t="e">
        <f>IF(W110&lt;=Inputs!$C$16,IF($B114="Yes",((Calculations!X27*Inputs!$D$187*(1+Inputs!$D$187)^Inputs!$C$16))/((1+Inputs!$D$187)^Inputs!$C$16-1),""),"")</f>
        <v>#DIV/0!</v>
      </c>
      <c r="X114" s="1" t="e">
        <f>IF(X110&lt;=Inputs!$C$16,IF($B114="Yes",((Calculations!Y27*Inputs!$D$187*(1+Inputs!$D$187)^Inputs!$C$16))/((1+Inputs!$D$187)^Inputs!$C$16-1),""),"")</f>
        <v>#DIV/0!</v>
      </c>
      <c r="Y114" s="1" t="e">
        <f>IF(Y110&lt;=Inputs!$C$16,IF($B114="Yes",((Calculations!Z27*Inputs!$D$187*(1+Inputs!$D$187)^Inputs!$C$16))/((1+Inputs!$D$187)^Inputs!$C$16-1),""),"")</f>
        <v>#DIV/0!</v>
      </c>
      <c r="Z114" s="1" t="e">
        <f>IF(Z110&lt;=Inputs!$C$16,IF($B114="Yes",((Calculations!AA27*Inputs!$D$187*(1+Inputs!$D$187)^Inputs!$C$16))/((1+Inputs!$D$187)^Inputs!$C$16-1),""),"")</f>
        <v>#DIV/0!</v>
      </c>
      <c r="AA114" s="1" t="e">
        <f>IF(AA110&lt;=Inputs!$C$16,IF($B114="Yes",((Calculations!AB27*Inputs!$D$187*(1+Inputs!$D$187)^Inputs!$C$16))/((1+Inputs!$D$187)^Inputs!$C$16-1),""),"")</f>
        <v>#DIV/0!</v>
      </c>
      <c r="AB114" s="274" t="e">
        <f t="shared" si="50"/>
        <v>#DIV/0!</v>
      </c>
    </row>
    <row r="116" spans="1:28" x14ac:dyDescent="0.3">
      <c r="A116" s="135" t="s">
        <v>419</v>
      </c>
    </row>
    <row r="135" spans="1:45" x14ac:dyDescent="0.3">
      <c r="A135" s="381" t="s">
        <v>330</v>
      </c>
      <c r="D135" s="385" t="s">
        <v>0</v>
      </c>
      <c r="E135" s="386"/>
      <c r="F135" s="387"/>
      <c r="G135" s="388"/>
    </row>
    <row r="136" spans="1:45" s="30" customFormat="1" x14ac:dyDescent="0.3">
      <c r="A136" s="29"/>
      <c r="B136" s="29" t="s">
        <v>49</v>
      </c>
      <c r="C136" s="29" t="s">
        <v>188</v>
      </c>
      <c r="D136" s="389" t="s">
        <v>16</v>
      </c>
      <c r="E136" s="390" t="s">
        <v>17</v>
      </c>
      <c r="F136" s="391" t="s">
        <v>18</v>
      </c>
      <c r="G136" s="392" t="s">
        <v>19</v>
      </c>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row>
    <row r="137" spans="1:45" x14ac:dyDescent="0.3">
      <c r="A137" s="393" t="s">
        <v>2</v>
      </c>
      <c r="B137" s="394" t="s">
        <v>366</v>
      </c>
      <c r="C137" s="438" t="e">
        <f>Calculations!C163</f>
        <v>#DIV/0!</v>
      </c>
      <c r="D137">
        <f>Inputs!C234</f>
        <v>0</v>
      </c>
      <c r="E137">
        <f>Inputs!D234</f>
        <v>0</v>
      </c>
      <c r="F137">
        <f>Inputs!E234</f>
        <v>0</v>
      </c>
      <c r="G137">
        <f>Inputs!F234</f>
        <v>0</v>
      </c>
    </row>
    <row r="138" spans="1:45" x14ac:dyDescent="0.3">
      <c r="A138" s="393" t="s">
        <v>512</v>
      </c>
      <c r="B138" s="394" t="s">
        <v>366</v>
      </c>
      <c r="C138" s="438" t="e">
        <f>SUM(Inputs!C40+Inputs!C59+Inputs!C77+Inputs!C95+Inputs!C113)/Inputs!B205</f>
        <v>#DIV/0!</v>
      </c>
      <c r="D138" s="444">
        <f>IF(Inputs!C235&gt;0,Inputs!C235,"")</f>
        <v>350</v>
      </c>
      <c r="E138" s="444">
        <f>IF(Inputs!D235&gt;0,Inputs!D235,"")</f>
        <v>500</v>
      </c>
      <c r="F138" s="444">
        <f>IF(Inputs!E235&gt;0,Inputs!E235,"")</f>
        <v>733</v>
      </c>
      <c r="G138" s="395" t="str">
        <f>IF(Inputs!F235&gt;0,Inputs!F235,"")</f>
        <v/>
      </c>
    </row>
    <row r="139" spans="1:45" x14ac:dyDescent="0.3">
      <c r="A139" s="393" t="s">
        <v>150</v>
      </c>
      <c r="B139" s="394" t="s">
        <v>463</v>
      </c>
      <c r="C139" s="438">
        <f>Calculations!C165</f>
        <v>0</v>
      </c>
      <c r="D139" s="395"/>
      <c r="E139" s="395"/>
      <c r="F139" s="395"/>
      <c r="G139" s="395"/>
    </row>
    <row r="140" spans="1:45" x14ac:dyDescent="0.3">
      <c r="A140" s="393" t="s">
        <v>288</v>
      </c>
      <c r="B140" s="382" t="s">
        <v>317</v>
      </c>
      <c r="C140" s="438">
        <f>IF(Inputs!B5="kWp",Inputs!C126/Inputs!C5,Inputs!C126/(Inputs!C5*1000))</f>
        <v>5430</v>
      </c>
      <c r="D140" s="444">
        <f>Inputs!C239</f>
        <v>1420</v>
      </c>
      <c r="E140" s="444">
        <f>Inputs!D239</f>
        <v>4849</v>
      </c>
      <c r="F140" s="444">
        <f>Inputs!E239</f>
        <v>6193</v>
      </c>
      <c r="G140" s="444">
        <f>Inputs!F239</f>
        <v>22689</v>
      </c>
    </row>
    <row r="141" spans="1:45" x14ac:dyDescent="0.3">
      <c r="A141" s="393" t="s">
        <v>289</v>
      </c>
      <c r="B141" s="382" t="s">
        <v>317</v>
      </c>
      <c r="C141" s="438">
        <f>C140-C142-C143</f>
        <v>4830</v>
      </c>
      <c r="D141" s="378"/>
      <c r="E141" s="378"/>
      <c r="F141" s="378"/>
      <c r="G141" s="378"/>
    </row>
    <row r="142" spans="1:45" x14ac:dyDescent="0.3">
      <c r="A142" s="393" t="s">
        <v>290</v>
      </c>
      <c r="B142" s="382" t="s">
        <v>317</v>
      </c>
      <c r="C142" s="438">
        <f>IF(Inputs!B5="kWp",SUM(Inputs!C38+Inputs!C39+Inputs!C57+Inputs!C58+Inputs!C75+Inputs!C76+Inputs!C93+Inputs!C94+Inputs!C111+Inputs!C112)/Inputs!C5,SUM(Inputs!C38+Inputs!C39+Inputs!C57+Inputs!C58+Inputs!C75+Inputs!C76+Inputs!C93+Inputs!C94+Inputs!C111+Inputs!C112)/Inputs!C5*1000)</f>
        <v>400</v>
      </c>
      <c r="D142" s="378"/>
      <c r="E142" s="378"/>
      <c r="F142" s="378"/>
      <c r="G142" s="378"/>
    </row>
    <row r="143" spans="1:45" x14ac:dyDescent="0.3">
      <c r="A143" s="393" t="s">
        <v>291</v>
      </c>
      <c r="B143" s="382" t="s">
        <v>317</v>
      </c>
      <c r="C143" s="438">
        <f>IF(Inputs!B5="kWp",(Inputs!C40+Inputs!C59+Inputs!C77+Inputs!C95+Inputs!C113)/Inputs!C5,(Inputs!C40+Inputs!C59+Inputs!C77+Inputs!C95+Inputs!C113)/Inputs!C5*1000)</f>
        <v>200</v>
      </c>
      <c r="D143" s="395"/>
      <c r="E143" s="395"/>
      <c r="F143" s="395"/>
      <c r="G143" s="395" t="str">
        <f>IF(Inputs!F235&gt;0,Inputs!F235,"")</f>
        <v/>
      </c>
    </row>
    <row r="144" spans="1:45" x14ac:dyDescent="0.3">
      <c r="A144" s="393" t="s">
        <v>4</v>
      </c>
      <c r="B144" s="382" t="s">
        <v>317</v>
      </c>
      <c r="C144" s="438">
        <f>IF(Inputs!B5="kWp",SUM(Inputs!C138:C141)/Inputs!C5,SUM(Inputs!C138:C141)/(Inputs!C5*1000))</f>
        <v>0</v>
      </c>
      <c r="D144" s="378"/>
      <c r="E144" s="378"/>
      <c r="F144" s="378"/>
      <c r="G144" s="378"/>
    </row>
    <row r="145" spans="1:11" x14ac:dyDescent="0.3">
      <c r="A145" s="393" t="s">
        <v>5</v>
      </c>
      <c r="B145" s="382" t="s">
        <v>85</v>
      </c>
      <c r="C145" s="167">
        <f>(Inputs!C145-Inputs!C142-Inputs!C143)/Inputs!C126</f>
        <v>0</v>
      </c>
      <c r="D145" s="396"/>
      <c r="E145" s="396"/>
      <c r="F145" s="396"/>
      <c r="G145" s="396"/>
    </row>
    <row r="146" spans="1:11" x14ac:dyDescent="0.3">
      <c r="A146" s="393" t="s">
        <v>382</v>
      </c>
      <c r="B146" s="382" t="s">
        <v>85</v>
      </c>
      <c r="C146" s="167">
        <f>SUM(Calculations!D22:AB22)/(SUM(Calculations!D22:AB22)+Inputs!AG126)</f>
        <v>0</v>
      </c>
      <c r="D146" s="167">
        <f>IF(Inputs!C260&gt;0,Inputs!C260,"")</f>
        <v>0.35</v>
      </c>
      <c r="E146" s="396" t="str">
        <f>IF(Inputs!D260&gt;0,Inputs!D260,"")</f>
        <v/>
      </c>
      <c r="F146" s="396" t="str">
        <f>IF(Inputs!E260&gt;0,Inputs!E260,"")</f>
        <v/>
      </c>
      <c r="G146" s="167">
        <f>IF(Inputs!F260&gt;0,Inputs!F260,"")</f>
        <v>0.4</v>
      </c>
    </row>
    <row r="147" spans="1:11" x14ac:dyDescent="0.3">
      <c r="A147" s="393" t="s">
        <v>318</v>
      </c>
      <c r="B147" s="382" t="s">
        <v>88</v>
      </c>
      <c r="C147" s="442" t="e">
        <f>Inputs!D205/Inputs!B205/12</f>
        <v>#VALUE!</v>
      </c>
      <c r="D147" s="442">
        <f>IF(Inputs!C248&gt;0,Inputs!C248,"")</f>
        <v>2.5</v>
      </c>
      <c r="E147" s="442">
        <f>IF(Inputs!D248&gt;0,Inputs!D248,"")</f>
        <v>3.5</v>
      </c>
      <c r="F147" s="442">
        <f>IF(Inputs!E248&gt;0,Inputs!E248,"")</f>
        <v>6.1</v>
      </c>
      <c r="G147" s="442">
        <f>IF(Inputs!F248&gt;0,Inputs!F248,"")</f>
        <v>30</v>
      </c>
    </row>
    <row r="148" spans="1:11" x14ac:dyDescent="0.3">
      <c r="A148" s="393" t="str">
        <f>Inputs!A247</f>
        <v>Average Revenue Per User (ARPU)-monthly</v>
      </c>
      <c r="B148" s="382" t="str">
        <f>Inputs!B24</f>
        <v>US$</v>
      </c>
      <c r="C148" s="438" t="e">
        <f>Calculations!D37/Inputs!B205</f>
        <v>#DIV/0!</v>
      </c>
      <c r="D148" s="445">
        <f>IF(Inputs!C247&gt;0,Inputs!C247,"")</f>
        <v>2.96</v>
      </c>
      <c r="E148" s="397" t="str">
        <f>IF(Inputs!D247&gt;0,Inputs!D247,"")</f>
        <v/>
      </c>
      <c r="F148" s="397" t="str">
        <f>IF(Inputs!E247&gt;0,Inputs!E247,"")</f>
        <v/>
      </c>
      <c r="G148" s="445">
        <f>IF(Inputs!F247&gt;0,Inputs!F247,"")</f>
        <v>4.83</v>
      </c>
    </row>
    <row r="149" spans="1:11" x14ac:dyDescent="0.3">
      <c r="A149" s="393" t="str">
        <f>Inputs!A249</f>
        <v>Opex per customer per month</v>
      </c>
      <c r="B149" s="382" t="str">
        <f>Inputs!B24</f>
        <v>US$</v>
      </c>
      <c r="C149" s="443" t="e">
        <f>Calculations!D22/12/Inputs!B205</f>
        <v>#DIV/0!</v>
      </c>
      <c r="D149" s="445">
        <f>IF(Inputs!C249&gt;0,Inputs!C249,"")</f>
        <v>2.4</v>
      </c>
      <c r="E149" s="397" t="str">
        <f>IF(Inputs!D249&gt;0,Inputs!D249,"")</f>
        <v/>
      </c>
      <c r="F149" s="397" t="str">
        <f>IF(Inputs!E249&gt;0,Inputs!E249,"")</f>
        <v/>
      </c>
      <c r="G149" s="445">
        <f>IF(Inputs!F249&gt;0,Inputs!F249,"")</f>
        <v>6</v>
      </c>
    </row>
    <row r="150" spans="1:11" x14ac:dyDescent="0.3">
      <c r="A150" s="393" t="str">
        <f>Inputs!A252</f>
        <v>LCOE for solar hybrid mini-grids operating in isolated areas and serving productive-use (commercial and industrial) customers</v>
      </c>
      <c r="B150" s="382" t="s">
        <v>317</v>
      </c>
      <c r="C150" s="443">
        <f>Calculations!D100</f>
        <v>4.2838498903016296E-2</v>
      </c>
      <c r="D150" s="445">
        <f>IF(Inputs!C252&gt;0,Inputs!C252,"")</f>
        <v>0.49</v>
      </c>
      <c r="E150" s="397" t="str">
        <f>IF(Inputs!D252&gt;0,Inputs!D252,"")</f>
        <v/>
      </c>
      <c r="F150" s="397" t="str">
        <f>IF(Inputs!E252&gt;0,Inputs!E252,"")</f>
        <v/>
      </c>
      <c r="G150" s="445">
        <f>IF(Inputs!F252&gt;0,Inputs!F252,"")</f>
        <v>0.68</v>
      </c>
    </row>
    <row r="151" spans="1:11" x14ac:dyDescent="0.3">
      <c r="A151" s="393" t="s">
        <v>34</v>
      </c>
      <c r="B151" s="382" t="s">
        <v>317</v>
      </c>
      <c r="C151" s="443">
        <f>Calculations!D100</f>
        <v>4.2838498903016296E-2</v>
      </c>
      <c r="D151" s="445">
        <f>IF(Inputs!C254&gt;0,Inputs!C254,"")</f>
        <v>0.55000000000000004</v>
      </c>
      <c r="E151" s="445">
        <f>IF(Inputs!D254&gt;0,Inputs!D254,"")</f>
        <v>0.66</v>
      </c>
      <c r="F151" s="397" t="str">
        <f>IF(Inputs!E254&gt;0,Inputs!E254,"")</f>
        <v/>
      </c>
      <c r="G151" s="445">
        <f>IF(Inputs!F254&gt;0,Inputs!F254,"")</f>
        <v>0.85</v>
      </c>
    </row>
    <row r="152" spans="1:11" x14ac:dyDescent="0.3">
      <c r="A152" s="393" t="s">
        <v>380</v>
      </c>
      <c r="B152" s="382" t="s">
        <v>85</v>
      </c>
      <c r="C152" s="167" t="e">
        <f>(Inputs!D205-Calculations!D11)/Inputs!C12</f>
        <v>#VALUE!</v>
      </c>
      <c r="D152" s="167">
        <f>IF(Inputs!C243&gt;0,Inputs!C243,"")</f>
        <v>0.2</v>
      </c>
      <c r="E152" s="396" t="str">
        <f>IF(Inputs!D243&gt;0,Inputs!D243,"")</f>
        <v/>
      </c>
      <c r="F152" s="396" t="str">
        <f>IF(Inputs!E243&gt;0,Inputs!E243,"")</f>
        <v/>
      </c>
      <c r="G152" s="167">
        <f>IF(Inputs!F243&gt;0,Inputs!F243,"")</f>
        <v>0.65</v>
      </c>
    </row>
    <row r="153" spans="1:11" x14ac:dyDescent="0.3">
      <c r="A153" s="393" t="str">
        <f>Inputs!A244</f>
        <v>Capex as a percent of the cost of electricity for well-run off-grid solar hybrid combining PV, battery storage and a backup diesel generator.</v>
      </c>
      <c r="B153" s="382" t="s">
        <v>85</v>
      </c>
      <c r="C153" s="167" t="e">
        <f>Inputs!AG126/SUM(Calculations!D37:AB37)</f>
        <v>#DIV/0!</v>
      </c>
      <c r="D153" s="167">
        <f>IF(Inputs!C244&gt;0,Inputs!C244,"")</f>
        <v>0.6</v>
      </c>
      <c r="E153" s="396" t="str">
        <f>IF(Inputs!D244&gt;0,Inputs!D244,"")</f>
        <v/>
      </c>
      <c r="F153" s="396" t="str">
        <f>IF(Inputs!E244&gt;0,Inputs!E244,"")</f>
        <v/>
      </c>
      <c r="G153" s="167">
        <f>IF(Inputs!F244&gt;0,Inputs!F244,"")</f>
        <v>0.65</v>
      </c>
    </row>
    <row r="155" spans="1:11" x14ac:dyDescent="0.3">
      <c r="A155" s="135" t="s">
        <v>331</v>
      </c>
    </row>
    <row r="156" spans="1:11" s="104" customFormat="1" x14ac:dyDescent="0.3">
      <c r="A156" s="154" t="s">
        <v>427</v>
      </c>
      <c r="B156" s="154"/>
      <c r="C156" s="154"/>
      <c r="D156" s="154"/>
      <c r="E156" s="154"/>
      <c r="F156" s="154"/>
      <c r="G156" s="154"/>
      <c r="I156" s="155" t="s">
        <v>391</v>
      </c>
    </row>
    <row r="157" spans="1:11" ht="18" x14ac:dyDescent="0.35">
      <c r="A157" s="70" t="str">
        <f>A6</f>
        <v>Tariffs is a % of some base tariff</v>
      </c>
      <c r="B157" s="136"/>
      <c r="I157" s="22" t="s">
        <v>392</v>
      </c>
      <c r="J157" s="156"/>
    </row>
    <row r="158" spans="1:11" s="140" customFormat="1" x14ac:dyDescent="0.3">
      <c r="A158" s="539"/>
      <c r="B158" s="137"/>
      <c r="C158" s="138"/>
      <c r="D158" s="138"/>
      <c r="E158" s="138"/>
      <c r="F158" s="138"/>
      <c r="G158" s="139"/>
      <c r="I158" s="22" t="s">
        <v>393</v>
      </c>
      <c r="J158" s="22"/>
      <c r="K158" s="22"/>
    </row>
    <row r="159" spans="1:11" s="140" customFormat="1" x14ac:dyDescent="0.3">
      <c r="A159" s="540"/>
      <c r="B159" s="141"/>
      <c r="C159" s="142"/>
      <c r="D159" s="142"/>
      <c r="E159" s="142"/>
      <c r="F159" s="142"/>
      <c r="G159" s="143"/>
      <c r="I159" s="22" t="s">
        <v>394</v>
      </c>
      <c r="J159" s="155"/>
      <c r="K159" s="22"/>
    </row>
    <row r="160" spans="1:11" s="140" customFormat="1" x14ac:dyDescent="0.3">
      <c r="A160" s="539"/>
      <c r="B160" s="137"/>
      <c r="C160" s="138"/>
      <c r="D160" s="138"/>
      <c r="E160" s="138"/>
      <c r="F160" s="138"/>
      <c r="G160" s="139"/>
      <c r="I160" s="22" t="s">
        <v>474</v>
      </c>
      <c r="J160" s="22"/>
      <c r="K160" s="22"/>
    </row>
    <row r="161" spans="1:305" s="140" customFormat="1" x14ac:dyDescent="0.3">
      <c r="A161" s="540"/>
      <c r="B161" s="141"/>
      <c r="C161" s="142"/>
      <c r="D161" s="142"/>
      <c r="E161" s="142"/>
      <c r="F161" s="142"/>
      <c r="G161" s="143"/>
      <c r="I161" s="22" t="s">
        <v>395</v>
      </c>
      <c r="J161" s="22"/>
      <c r="K161" s="22"/>
    </row>
    <row r="162" spans="1:305" s="140" customFormat="1" x14ac:dyDescent="0.3">
      <c r="A162" s="539"/>
      <c r="B162" s="137"/>
      <c r="C162" s="138"/>
      <c r="D162" s="138"/>
      <c r="E162" s="138"/>
      <c r="F162" s="138"/>
      <c r="G162" s="139"/>
      <c r="I162" s="22"/>
      <c r="J162" s="22"/>
      <c r="K162" s="22"/>
    </row>
    <row r="163" spans="1:305" s="140" customFormat="1" x14ac:dyDescent="0.3">
      <c r="A163" s="540"/>
      <c r="B163" s="141"/>
      <c r="C163" s="142"/>
      <c r="D163" s="142"/>
      <c r="E163" s="142"/>
      <c r="F163" s="142"/>
      <c r="G163" s="143"/>
      <c r="I163" s="22"/>
      <c r="J163" s="22"/>
      <c r="K163" s="22"/>
    </row>
    <row r="164" spans="1:305" s="140" customFormat="1" x14ac:dyDescent="0.3">
      <c r="A164" s="539"/>
      <c r="B164" s="137"/>
      <c r="C164" s="138"/>
      <c r="D164" s="138"/>
      <c r="E164" s="138"/>
      <c r="F164" s="138"/>
      <c r="G164" s="139"/>
      <c r="I164" s="22"/>
      <c r="J164" s="22"/>
      <c r="K164" s="22"/>
    </row>
    <row r="165" spans="1:305" s="140" customFormat="1" x14ac:dyDescent="0.3">
      <c r="A165" s="540"/>
      <c r="B165" s="141"/>
      <c r="C165" s="142"/>
      <c r="D165" s="142"/>
      <c r="E165" s="142"/>
      <c r="F165" s="142"/>
      <c r="G165" s="143"/>
      <c r="I165" s="22"/>
      <c r="J165" s="22"/>
      <c r="K165" s="22"/>
    </row>
    <row r="166" spans="1:305" s="140" customFormat="1" x14ac:dyDescent="0.3">
      <c r="A166" s="539"/>
      <c r="B166" s="137"/>
      <c r="C166" s="138"/>
      <c r="D166" s="138"/>
      <c r="E166" s="138"/>
      <c r="F166" s="138"/>
      <c r="G166" s="139"/>
    </row>
    <row r="167" spans="1:305" s="140" customFormat="1" x14ac:dyDescent="0.3">
      <c r="A167" s="540"/>
      <c r="B167" s="141"/>
      <c r="C167" s="142"/>
      <c r="D167" s="142"/>
      <c r="E167" s="142"/>
      <c r="F167" s="142"/>
      <c r="G167" s="143"/>
    </row>
    <row r="168" spans="1:305" s="140" customFormat="1" x14ac:dyDescent="0.3">
      <c r="A168" s="539"/>
      <c r="B168" s="137"/>
      <c r="C168" s="138"/>
      <c r="D168" s="138"/>
      <c r="E168" s="138"/>
      <c r="F168" s="138"/>
      <c r="G168" s="139"/>
    </row>
    <row r="169" spans="1:305" s="140" customFormat="1" x14ac:dyDescent="0.3">
      <c r="A169" s="540"/>
      <c r="B169" s="141"/>
      <c r="C169" s="142"/>
      <c r="D169" s="142"/>
      <c r="E169" s="142"/>
      <c r="F169" s="142"/>
      <c r="G169" s="143"/>
    </row>
    <row r="170" spans="1:305" s="146" customFormat="1" ht="13.05" customHeight="1" x14ac:dyDescent="0.3">
      <c r="A170" s="539"/>
      <c r="B170" s="137"/>
      <c r="C170" s="144"/>
      <c r="D170" s="144"/>
      <c r="E170" s="144"/>
      <c r="F170" s="144"/>
      <c r="G170" s="145"/>
      <c r="J170" s="140"/>
      <c r="K170" s="147"/>
      <c r="L170" s="147"/>
      <c r="M170" s="147"/>
      <c r="N170" s="147"/>
      <c r="Q170" s="148"/>
      <c r="R170" s="148"/>
      <c r="S170" s="148"/>
      <c r="T170" s="148"/>
      <c r="U170" s="148"/>
      <c r="V170" s="148"/>
      <c r="W170" s="148"/>
      <c r="X170" s="148"/>
      <c r="Y170" s="148"/>
      <c r="Z170" s="148"/>
      <c r="AA170" s="148"/>
      <c r="AB170" s="148"/>
      <c r="AC170" s="148"/>
      <c r="AD170" s="148"/>
      <c r="AE170" s="148"/>
      <c r="AF170" s="148"/>
      <c r="AG170" s="148"/>
      <c r="AH170" s="148"/>
      <c r="AI170" s="148"/>
      <c r="AJ170" s="148"/>
      <c r="AK170" s="148"/>
      <c r="AL170" s="148"/>
      <c r="AM170" s="148"/>
      <c r="AN170" s="148"/>
      <c r="AO170" s="148"/>
      <c r="AP170" s="148"/>
      <c r="AQ170" s="148"/>
      <c r="AR170" s="148"/>
      <c r="AS170" s="148"/>
      <c r="AT170" s="148"/>
      <c r="AU170" s="148"/>
      <c r="AV170" s="148"/>
      <c r="AW170" s="148"/>
      <c r="AX170" s="148"/>
      <c r="AY170" s="148"/>
      <c r="AZ170" s="148"/>
      <c r="BA170" s="148"/>
      <c r="BB170" s="148"/>
      <c r="BC170" s="148"/>
      <c r="BD170" s="148"/>
      <c r="BE170" s="148"/>
      <c r="BF170" s="148"/>
      <c r="BG170" s="148"/>
      <c r="BH170" s="148"/>
      <c r="BI170" s="148"/>
      <c r="BJ170" s="148"/>
      <c r="BK170" s="148"/>
      <c r="BL170" s="148"/>
      <c r="BM170" s="148"/>
      <c r="BN170" s="148"/>
      <c r="BO170" s="148"/>
      <c r="BP170" s="148"/>
      <c r="BQ170" s="148"/>
      <c r="BR170" s="148"/>
      <c r="BS170" s="148"/>
      <c r="BT170" s="148"/>
      <c r="BU170" s="148"/>
      <c r="BV170" s="148"/>
      <c r="BW170" s="148"/>
      <c r="BX170" s="148"/>
      <c r="BY170" s="148"/>
      <c r="BZ170" s="148"/>
      <c r="CA170" s="148"/>
      <c r="CB170" s="148"/>
      <c r="CC170" s="148"/>
      <c r="CD170" s="148"/>
      <c r="CE170" s="148"/>
      <c r="CF170" s="148"/>
      <c r="CG170" s="148"/>
      <c r="CH170" s="148"/>
      <c r="CI170" s="148"/>
      <c r="CJ170" s="148"/>
      <c r="CK170" s="148"/>
      <c r="CL170" s="148"/>
      <c r="CM170" s="148"/>
      <c r="CN170" s="148"/>
      <c r="CO170" s="148"/>
      <c r="CP170" s="148"/>
      <c r="CQ170" s="148"/>
      <c r="CR170" s="148"/>
      <c r="CS170" s="148"/>
      <c r="CT170" s="148"/>
      <c r="CU170" s="148"/>
      <c r="CV170" s="148"/>
      <c r="CW170" s="148"/>
      <c r="CX170" s="148"/>
      <c r="CY170" s="148"/>
      <c r="CZ170" s="148"/>
      <c r="DA170" s="148"/>
      <c r="DB170" s="148"/>
      <c r="DC170" s="148"/>
      <c r="DD170" s="148"/>
      <c r="DE170" s="148"/>
      <c r="DF170" s="148"/>
      <c r="DG170" s="148"/>
      <c r="DH170" s="148"/>
      <c r="DI170" s="148"/>
      <c r="DJ170" s="148"/>
      <c r="DK170" s="148"/>
      <c r="DL170" s="148"/>
      <c r="DM170" s="148"/>
      <c r="DN170" s="148"/>
      <c r="DO170" s="148"/>
      <c r="DP170" s="148"/>
      <c r="DQ170" s="148"/>
      <c r="DR170" s="148"/>
      <c r="DS170" s="148"/>
      <c r="DT170" s="148"/>
      <c r="DU170" s="148"/>
      <c r="DV170" s="148"/>
      <c r="DW170" s="148"/>
      <c r="DX170" s="148"/>
      <c r="DY170" s="148"/>
      <c r="DZ170" s="148"/>
      <c r="EA170" s="148"/>
      <c r="EB170" s="148"/>
      <c r="EC170" s="148"/>
      <c r="ED170" s="148"/>
      <c r="EE170" s="148"/>
      <c r="EF170" s="148"/>
      <c r="EG170" s="148"/>
      <c r="EH170" s="148"/>
      <c r="EI170" s="148"/>
      <c r="EJ170" s="148"/>
      <c r="EK170" s="148"/>
      <c r="EL170" s="148"/>
      <c r="EM170" s="148"/>
      <c r="EN170" s="148"/>
      <c r="EO170" s="148"/>
      <c r="EP170" s="148"/>
      <c r="EQ170" s="148"/>
      <c r="ER170" s="148"/>
      <c r="ES170" s="148"/>
      <c r="ET170" s="148"/>
      <c r="EU170" s="148"/>
      <c r="EV170" s="148"/>
      <c r="EW170" s="148"/>
      <c r="EX170" s="148"/>
      <c r="EY170" s="148"/>
      <c r="EZ170" s="148"/>
      <c r="FA170" s="148"/>
      <c r="FB170" s="148"/>
      <c r="FC170" s="148"/>
      <c r="FD170" s="148"/>
      <c r="FE170" s="148"/>
      <c r="FF170" s="148"/>
      <c r="FG170" s="148"/>
      <c r="FH170" s="148"/>
      <c r="FI170" s="148"/>
      <c r="FJ170" s="148"/>
      <c r="FK170" s="148"/>
      <c r="FL170" s="148"/>
      <c r="FM170" s="148"/>
      <c r="FN170" s="148"/>
      <c r="FO170" s="148"/>
      <c r="FP170" s="148"/>
      <c r="FQ170" s="148"/>
      <c r="FR170" s="148"/>
      <c r="FS170" s="148"/>
      <c r="FT170" s="148"/>
      <c r="FU170" s="148"/>
      <c r="FV170" s="148"/>
      <c r="FW170" s="148"/>
      <c r="FX170" s="148"/>
      <c r="FY170" s="148"/>
      <c r="FZ170" s="148"/>
      <c r="GA170" s="148"/>
      <c r="GB170" s="148"/>
      <c r="GC170" s="148"/>
      <c r="GD170" s="148"/>
      <c r="GE170" s="148"/>
      <c r="GF170" s="148"/>
      <c r="GG170" s="148"/>
      <c r="GH170" s="148"/>
      <c r="GI170" s="148"/>
      <c r="GJ170" s="148"/>
      <c r="GK170" s="148"/>
      <c r="GL170" s="148"/>
      <c r="GM170" s="148"/>
      <c r="GN170" s="148"/>
      <c r="GO170" s="148"/>
      <c r="GP170" s="148"/>
      <c r="GQ170" s="148"/>
      <c r="GR170" s="148"/>
      <c r="GS170" s="148"/>
      <c r="GT170" s="148"/>
      <c r="GU170" s="148"/>
      <c r="GV170" s="148"/>
      <c r="GW170" s="148"/>
      <c r="GX170" s="148"/>
      <c r="GY170" s="148"/>
      <c r="GZ170" s="148"/>
      <c r="HA170" s="148"/>
      <c r="HB170" s="148"/>
      <c r="HC170" s="148"/>
      <c r="HD170" s="148"/>
      <c r="HE170" s="148"/>
      <c r="HF170" s="148"/>
      <c r="HG170" s="148"/>
      <c r="HH170" s="148"/>
      <c r="HI170" s="148"/>
      <c r="HJ170" s="148"/>
      <c r="HK170" s="148"/>
      <c r="HL170" s="148"/>
      <c r="HM170" s="148"/>
      <c r="HN170" s="148"/>
      <c r="HO170" s="148"/>
      <c r="HP170" s="148"/>
      <c r="HQ170" s="148"/>
      <c r="HR170" s="148"/>
      <c r="HS170" s="148"/>
      <c r="HT170" s="148"/>
      <c r="HU170" s="148"/>
      <c r="HV170" s="148"/>
      <c r="HW170" s="148"/>
      <c r="HX170" s="148"/>
      <c r="HY170" s="148"/>
      <c r="HZ170" s="148"/>
      <c r="IA170" s="148"/>
      <c r="IB170" s="148"/>
      <c r="IC170" s="148"/>
      <c r="ID170" s="148"/>
      <c r="IE170" s="148"/>
      <c r="IF170" s="148"/>
      <c r="IG170" s="148"/>
      <c r="IH170" s="148"/>
      <c r="II170" s="148"/>
      <c r="IJ170" s="148"/>
      <c r="IK170" s="148"/>
      <c r="IL170" s="148"/>
      <c r="IM170" s="148"/>
      <c r="IN170" s="148"/>
      <c r="IO170" s="148"/>
      <c r="IP170" s="148"/>
      <c r="IQ170" s="148"/>
      <c r="IR170" s="148"/>
      <c r="IS170" s="148"/>
      <c r="IT170" s="148"/>
      <c r="IU170" s="148"/>
      <c r="IV170" s="148"/>
      <c r="IW170" s="148"/>
      <c r="IX170" s="148"/>
      <c r="IY170" s="148"/>
      <c r="IZ170" s="148"/>
      <c r="JA170" s="148"/>
      <c r="JB170" s="148"/>
      <c r="JC170" s="148"/>
      <c r="JD170" s="148"/>
      <c r="JE170" s="148"/>
      <c r="JF170" s="148"/>
      <c r="JG170" s="148"/>
      <c r="JH170" s="148"/>
      <c r="JI170" s="148"/>
      <c r="JJ170" s="148"/>
      <c r="JK170" s="148"/>
      <c r="JL170" s="148"/>
      <c r="JM170" s="148"/>
      <c r="JN170" s="148"/>
      <c r="JO170" s="148"/>
      <c r="JP170" s="148"/>
      <c r="JQ170" s="148"/>
      <c r="JR170" s="148"/>
      <c r="JS170" s="148"/>
      <c r="JT170" s="148"/>
      <c r="JU170" s="148"/>
      <c r="JV170" s="148"/>
      <c r="JW170" s="148"/>
      <c r="JX170" s="148"/>
      <c r="JY170" s="148"/>
      <c r="JZ170" s="148"/>
      <c r="KA170" s="148"/>
      <c r="KB170" s="148"/>
      <c r="KC170" s="148"/>
      <c r="KD170" s="148"/>
      <c r="KE170" s="148"/>
      <c r="KF170" s="148"/>
      <c r="KG170" s="148"/>
      <c r="KH170" s="148"/>
      <c r="KI170" s="148"/>
      <c r="KJ170" s="148"/>
      <c r="KK170" s="148"/>
      <c r="KL170" s="148"/>
      <c r="KM170" s="148"/>
      <c r="KN170" s="148"/>
      <c r="KO170" s="148"/>
      <c r="KP170" s="148"/>
      <c r="KQ170" s="148"/>
      <c r="KR170" s="148"/>
      <c r="KS170" s="148"/>
    </row>
    <row r="171" spans="1:305" s="146" customFormat="1" ht="13.05" customHeight="1" x14ac:dyDescent="0.3">
      <c r="A171" s="540"/>
      <c r="B171" s="141"/>
      <c r="C171" s="149"/>
      <c r="D171" s="149"/>
      <c r="E171" s="149"/>
      <c r="F171" s="149"/>
      <c r="G171" s="150"/>
      <c r="J171" s="140"/>
      <c r="K171" s="147"/>
      <c r="L171" s="147"/>
      <c r="M171" s="147"/>
      <c r="N171" s="147"/>
      <c r="Q171" s="148"/>
      <c r="R171" s="148"/>
      <c r="S171" s="148"/>
      <c r="T171" s="148"/>
      <c r="U171" s="148"/>
      <c r="V171" s="148"/>
      <c r="W171" s="148"/>
      <c r="X171" s="148"/>
      <c r="Y171" s="148"/>
      <c r="Z171" s="148"/>
      <c r="AA171" s="148"/>
      <c r="AB171" s="148"/>
      <c r="AC171" s="148"/>
      <c r="AD171" s="148"/>
      <c r="AE171" s="148"/>
      <c r="AF171" s="148"/>
      <c r="AG171" s="148"/>
      <c r="AH171" s="148"/>
      <c r="AI171" s="148"/>
      <c r="AJ171" s="148"/>
      <c r="AK171" s="148"/>
      <c r="AL171" s="148"/>
      <c r="AM171" s="148"/>
      <c r="AN171" s="148"/>
      <c r="AO171" s="148"/>
      <c r="AP171" s="148"/>
      <c r="AQ171" s="148"/>
      <c r="AR171" s="148"/>
      <c r="AS171" s="148"/>
      <c r="AT171" s="148"/>
      <c r="AU171" s="148"/>
      <c r="AV171" s="148"/>
      <c r="AW171" s="148"/>
      <c r="AX171" s="148"/>
      <c r="AY171" s="148"/>
      <c r="AZ171" s="148"/>
      <c r="BA171" s="148"/>
      <c r="BB171" s="148"/>
      <c r="BC171" s="148"/>
      <c r="BD171" s="148"/>
      <c r="BE171" s="148"/>
      <c r="BF171" s="148"/>
      <c r="BG171" s="148"/>
      <c r="BH171" s="148"/>
      <c r="BI171" s="148"/>
      <c r="BJ171" s="148"/>
      <c r="BK171" s="148"/>
      <c r="BL171" s="148"/>
      <c r="BM171" s="148"/>
      <c r="BN171" s="148"/>
      <c r="BO171" s="148"/>
      <c r="BP171" s="148"/>
      <c r="BQ171" s="148"/>
      <c r="BR171" s="148"/>
      <c r="BS171" s="148"/>
      <c r="BT171" s="148"/>
      <c r="BU171" s="148"/>
      <c r="BV171" s="148"/>
      <c r="BW171" s="148"/>
      <c r="BX171" s="148"/>
      <c r="BY171" s="148"/>
      <c r="BZ171" s="148"/>
      <c r="CA171" s="148"/>
      <c r="CB171" s="148"/>
      <c r="CC171" s="148"/>
      <c r="CD171" s="148"/>
      <c r="CE171" s="148"/>
      <c r="CF171" s="148"/>
      <c r="CG171" s="148"/>
      <c r="CH171" s="148"/>
      <c r="CI171" s="148"/>
      <c r="CJ171" s="148"/>
      <c r="CK171" s="148"/>
      <c r="CL171" s="148"/>
      <c r="CM171" s="148"/>
      <c r="CN171" s="148"/>
      <c r="CO171" s="148"/>
      <c r="CP171" s="148"/>
      <c r="CQ171" s="148"/>
      <c r="CR171" s="148"/>
      <c r="CS171" s="148"/>
      <c r="CT171" s="148"/>
      <c r="CU171" s="148"/>
      <c r="CV171" s="148"/>
      <c r="CW171" s="148"/>
      <c r="CX171" s="148"/>
      <c r="CY171" s="148"/>
      <c r="CZ171" s="148"/>
      <c r="DA171" s="148"/>
      <c r="DB171" s="148"/>
      <c r="DC171" s="148"/>
      <c r="DD171" s="148"/>
      <c r="DE171" s="148"/>
      <c r="DF171" s="148"/>
      <c r="DG171" s="148"/>
      <c r="DH171" s="148"/>
      <c r="DI171" s="148"/>
      <c r="DJ171" s="148"/>
      <c r="DK171" s="148"/>
      <c r="DL171" s="148"/>
      <c r="DM171" s="148"/>
      <c r="DN171" s="148"/>
      <c r="DO171" s="148"/>
      <c r="DP171" s="148"/>
      <c r="DQ171" s="148"/>
      <c r="DR171" s="148"/>
      <c r="DS171" s="148"/>
      <c r="DT171" s="148"/>
      <c r="DU171" s="148"/>
      <c r="DV171" s="148"/>
      <c r="DW171" s="148"/>
      <c r="DX171" s="148"/>
      <c r="DY171" s="148"/>
      <c r="DZ171" s="148"/>
      <c r="EA171" s="148"/>
      <c r="EB171" s="148"/>
      <c r="EC171" s="148"/>
      <c r="ED171" s="148"/>
      <c r="EE171" s="148"/>
      <c r="EF171" s="148"/>
      <c r="EG171" s="148"/>
      <c r="EH171" s="148"/>
      <c r="EI171" s="148"/>
      <c r="EJ171" s="148"/>
      <c r="EK171" s="148"/>
      <c r="EL171" s="148"/>
      <c r="EM171" s="148"/>
      <c r="EN171" s="148"/>
      <c r="EO171" s="148"/>
      <c r="EP171" s="148"/>
      <c r="EQ171" s="148"/>
      <c r="ER171" s="148"/>
      <c r="ES171" s="148"/>
      <c r="ET171" s="148"/>
      <c r="EU171" s="148"/>
      <c r="EV171" s="148"/>
      <c r="EW171" s="148"/>
      <c r="EX171" s="148"/>
      <c r="EY171" s="148"/>
      <c r="EZ171" s="148"/>
      <c r="FA171" s="148"/>
      <c r="FB171" s="148"/>
      <c r="FC171" s="148"/>
      <c r="FD171" s="148"/>
      <c r="FE171" s="148"/>
      <c r="FF171" s="148"/>
      <c r="FG171" s="148"/>
      <c r="FH171" s="148"/>
      <c r="FI171" s="148"/>
      <c r="FJ171" s="148"/>
      <c r="FK171" s="148"/>
      <c r="FL171" s="148"/>
      <c r="FM171" s="148"/>
      <c r="FN171" s="148"/>
      <c r="FO171" s="148"/>
      <c r="FP171" s="148"/>
      <c r="FQ171" s="148"/>
      <c r="FR171" s="148"/>
      <c r="FS171" s="148"/>
      <c r="FT171" s="148"/>
      <c r="FU171" s="148"/>
      <c r="FV171" s="148"/>
      <c r="FW171" s="148"/>
      <c r="FX171" s="148"/>
      <c r="FY171" s="148"/>
      <c r="FZ171" s="148"/>
      <c r="GA171" s="148"/>
      <c r="GB171" s="148"/>
      <c r="GC171" s="148"/>
      <c r="GD171" s="148"/>
      <c r="GE171" s="148"/>
      <c r="GF171" s="148"/>
      <c r="GG171" s="148"/>
      <c r="GH171" s="148"/>
      <c r="GI171" s="148"/>
      <c r="GJ171" s="148"/>
      <c r="GK171" s="148"/>
      <c r="GL171" s="148"/>
      <c r="GM171" s="148"/>
      <c r="GN171" s="148"/>
      <c r="GO171" s="148"/>
      <c r="GP171" s="148"/>
      <c r="GQ171" s="148"/>
      <c r="GR171" s="148"/>
      <c r="GS171" s="148"/>
      <c r="GT171" s="148"/>
      <c r="GU171" s="148"/>
      <c r="GV171" s="148"/>
      <c r="GW171" s="148"/>
      <c r="GX171" s="148"/>
      <c r="GY171" s="148"/>
      <c r="GZ171" s="148"/>
      <c r="HA171" s="148"/>
      <c r="HB171" s="148"/>
      <c r="HC171" s="148"/>
      <c r="HD171" s="148"/>
      <c r="HE171" s="148"/>
      <c r="HF171" s="148"/>
      <c r="HG171" s="148"/>
      <c r="HH171" s="148"/>
      <c r="HI171" s="148"/>
      <c r="HJ171" s="148"/>
      <c r="HK171" s="148"/>
      <c r="HL171" s="148"/>
      <c r="HM171" s="148"/>
      <c r="HN171" s="148"/>
      <c r="HO171" s="148"/>
      <c r="HP171" s="148"/>
      <c r="HQ171" s="148"/>
      <c r="HR171" s="148"/>
      <c r="HS171" s="148"/>
      <c r="HT171" s="148"/>
      <c r="HU171" s="148"/>
      <c r="HV171" s="148"/>
      <c r="HW171" s="148"/>
      <c r="HX171" s="148"/>
      <c r="HY171" s="148"/>
      <c r="HZ171" s="148"/>
      <c r="IA171" s="148"/>
      <c r="IB171" s="148"/>
      <c r="IC171" s="148"/>
      <c r="ID171" s="148"/>
      <c r="IE171" s="148"/>
      <c r="IF171" s="148"/>
      <c r="IG171" s="148"/>
      <c r="IH171" s="148"/>
      <c r="II171" s="148"/>
      <c r="IJ171" s="148"/>
      <c r="IK171" s="148"/>
      <c r="IL171" s="148"/>
      <c r="IM171" s="148"/>
      <c r="IN171" s="148"/>
      <c r="IO171" s="148"/>
      <c r="IP171" s="148"/>
      <c r="IQ171" s="148"/>
      <c r="IR171" s="148"/>
      <c r="IS171" s="148"/>
      <c r="IT171" s="148"/>
      <c r="IU171" s="148"/>
      <c r="IV171" s="148"/>
      <c r="IW171" s="148"/>
      <c r="IX171" s="148"/>
      <c r="IY171" s="148"/>
      <c r="IZ171" s="148"/>
      <c r="JA171" s="148"/>
      <c r="JB171" s="148"/>
      <c r="JC171" s="148"/>
      <c r="JD171" s="148"/>
      <c r="JE171" s="148"/>
      <c r="JF171" s="148"/>
      <c r="JG171" s="148"/>
      <c r="JH171" s="148"/>
      <c r="JI171" s="148"/>
      <c r="JJ171" s="148"/>
      <c r="JK171" s="148"/>
      <c r="JL171" s="148"/>
      <c r="JM171" s="148"/>
      <c r="JN171" s="148"/>
      <c r="JO171" s="148"/>
      <c r="JP171" s="148"/>
      <c r="JQ171" s="148"/>
      <c r="JR171" s="148"/>
      <c r="JS171" s="148"/>
      <c r="JT171" s="148"/>
      <c r="JU171" s="148"/>
      <c r="JV171" s="148"/>
      <c r="JW171" s="148"/>
      <c r="JX171" s="148"/>
      <c r="JY171" s="148"/>
      <c r="JZ171" s="148"/>
      <c r="KA171" s="148"/>
      <c r="KB171" s="148"/>
      <c r="KC171" s="148"/>
      <c r="KD171" s="148"/>
      <c r="KE171" s="148"/>
      <c r="KF171" s="148"/>
      <c r="KG171" s="148"/>
      <c r="KH171" s="148"/>
      <c r="KI171" s="148"/>
      <c r="KJ171" s="148"/>
      <c r="KK171" s="148"/>
      <c r="KL171" s="148"/>
      <c r="KM171" s="148"/>
      <c r="KN171" s="148"/>
      <c r="KO171" s="148"/>
      <c r="KP171" s="148"/>
      <c r="KQ171" s="148"/>
      <c r="KR171" s="148"/>
      <c r="KS171" s="148"/>
    </row>
    <row r="172" spans="1:305" s="146" customFormat="1" ht="13.05" customHeight="1" x14ac:dyDescent="0.3">
      <c r="A172" s="157"/>
      <c r="B172" s="158"/>
      <c r="C172" s="159"/>
      <c r="D172" s="159"/>
      <c r="E172" s="159"/>
      <c r="F172" s="159"/>
      <c r="G172" s="159"/>
      <c r="J172" s="140"/>
      <c r="K172" s="147"/>
      <c r="L172" s="147"/>
      <c r="M172" s="147"/>
      <c r="N172" s="147"/>
      <c r="Q172" s="148"/>
      <c r="R172" s="148"/>
      <c r="S172" s="148"/>
      <c r="T172" s="148"/>
      <c r="U172" s="148"/>
      <c r="V172" s="148"/>
      <c r="W172" s="148"/>
      <c r="X172" s="148"/>
      <c r="Y172" s="148"/>
      <c r="Z172" s="148"/>
      <c r="AA172" s="148"/>
      <c r="AB172" s="148"/>
      <c r="AC172" s="148"/>
      <c r="AD172" s="148"/>
      <c r="AE172" s="148"/>
      <c r="AF172" s="148"/>
      <c r="AG172" s="148"/>
      <c r="AH172" s="148"/>
      <c r="AI172" s="148"/>
      <c r="AJ172" s="148"/>
      <c r="AK172" s="148"/>
      <c r="AL172" s="148"/>
      <c r="AM172" s="148"/>
      <c r="AN172" s="148"/>
      <c r="AO172" s="148"/>
      <c r="AP172" s="148"/>
      <c r="AQ172" s="148"/>
      <c r="AR172" s="148"/>
      <c r="AS172" s="148"/>
      <c r="AT172" s="148"/>
      <c r="AU172" s="148"/>
      <c r="AV172" s="148"/>
      <c r="AW172" s="148"/>
      <c r="AX172" s="148"/>
      <c r="AY172" s="148"/>
      <c r="AZ172" s="148"/>
      <c r="BA172" s="148"/>
      <c r="BB172" s="148"/>
      <c r="BC172" s="148"/>
      <c r="BD172" s="148"/>
      <c r="BE172" s="148"/>
      <c r="BF172" s="148"/>
      <c r="BG172" s="148"/>
      <c r="BH172" s="148"/>
      <c r="BI172" s="148"/>
      <c r="BJ172" s="148"/>
      <c r="BK172" s="148"/>
      <c r="BL172" s="148"/>
      <c r="BM172" s="148"/>
      <c r="BN172" s="148"/>
      <c r="BO172" s="148"/>
      <c r="BP172" s="148"/>
      <c r="BQ172" s="148"/>
      <c r="BR172" s="148"/>
      <c r="BS172" s="148"/>
      <c r="BT172" s="148"/>
      <c r="BU172" s="148"/>
      <c r="BV172" s="148"/>
      <c r="BW172" s="148"/>
      <c r="BX172" s="148"/>
      <c r="BY172" s="148"/>
      <c r="BZ172" s="148"/>
      <c r="CA172" s="148"/>
      <c r="CB172" s="148"/>
      <c r="CC172" s="148"/>
      <c r="CD172" s="148"/>
      <c r="CE172" s="148"/>
      <c r="CF172" s="148"/>
      <c r="CG172" s="148"/>
      <c r="CH172" s="148"/>
      <c r="CI172" s="148"/>
      <c r="CJ172" s="148"/>
      <c r="CK172" s="148"/>
      <c r="CL172" s="148"/>
      <c r="CM172" s="148"/>
      <c r="CN172" s="148"/>
      <c r="CO172" s="148"/>
      <c r="CP172" s="148"/>
      <c r="CQ172" s="148"/>
      <c r="CR172" s="148"/>
      <c r="CS172" s="148"/>
      <c r="CT172" s="148"/>
      <c r="CU172" s="148"/>
      <c r="CV172" s="148"/>
      <c r="CW172" s="148"/>
      <c r="CX172" s="148"/>
      <c r="CY172" s="148"/>
      <c r="CZ172" s="148"/>
      <c r="DA172" s="148"/>
      <c r="DB172" s="148"/>
      <c r="DC172" s="148"/>
      <c r="DD172" s="148"/>
      <c r="DE172" s="148"/>
      <c r="DF172" s="148"/>
      <c r="DG172" s="148"/>
      <c r="DH172" s="148"/>
      <c r="DI172" s="148"/>
      <c r="DJ172" s="148"/>
      <c r="DK172" s="148"/>
      <c r="DL172" s="148"/>
      <c r="DM172" s="148"/>
      <c r="DN172" s="148"/>
      <c r="DO172" s="148"/>
      <c r="DP172" s="148"/>
      <c r="DQ172" s="148"/>
      <c r="DR172" s="148"/>
      <c r="DS172" s="148"/>
      <c r="DT172" s="148"/>
      <c r="DU172" s="148"/>
      <c r="DV172" s="148"/>
      <c r="DW172" s="148"/>
      <c r="DX172" s="148"/>
      <c r="DY172" s="148"/>
      <c r="DZ172" s="148"/>
      <c r="EA172" s="148"/>
      <c r="EB172" s="148"/>
      <c r="EC172" s="148"/>
      <c r="ED172" s="148"/>
      <c r="EE172" s="148"/>
      <c r="EF172" s="148"/>
      <c r="EG172" s="148"/>
      <c r="EH172" s="148"/>
      <c r="EI172" s="148"/>
      <c r="EJ172" s="148"/>
      <c r="EK172" s="148"/>
      <c r="EL172" s="148"/>
      <c r="EM172" s="148"/>
      <c r="EN172" s="148"/>
      <c r="EO172" s="148"/>
      <c r="EP172" s="148"/>
      <c r="EQ172" s="148"/>
      <c r="ER172" s="148"/>
      <c r="ES172" s="148"/>
      <c r="ET172" s="148"/>
      <c r="EU172" s="148"/>
      <c r="EV172" s="148"/>
      <c r="EW172" s="148"/>
      <c r="EX172" s="148"/>
      <c r="EY172" s="148"/>
      <c r="EZ172" s="148"/>
      <c r="FA172" s="148"/>
      <c r="FB172" s="148"/>
      <c r="FC172" s="148"/>
      <c r="FD172" s="148"/>
      <c r="FE172" s="148"/>
      <c r="FF172" s="148"/>
      <c r="FG172" s="148"/>
      <c r="FH172" s="148"/>
      <c r="FI172" s="148"/>
      <c r="FJ172" s="148"/>
      <c r="FK172" s="148"/>
      <c r="FL172" s="148"/>
      <c r="FM172" s="148"/>
      <c r="FN172" s="148"/>
      <c r="FO172" s="148"/>
      <c r="FP172" s="148"/>
      <c r="FQ172" s="148"/>
      <c r="FR172" s="148"/>
      <c r="FS172" s="148"/>
      <c r="FT172" s="148"/>
      <c r="FU172" s="148"/>
      <c r="FV172" s="148"/>
      <c r="FW172" s="148"/>
      <c r="FX172" s="148"/>
      <c r="FY172" s="148"/>
      <c r="FZ172" s="148"/>
      <c r="GA172" s="148"/>
      <c r="GB172" s="148"/>
      <c r="GC172" s="148"/>
      <c r="GD172" s="148"/>
      <c r="GE172" s="148"/>
      <c r="GF172" s="148"/>
      <c r="GG172" s="148"/>
      <c r="GH172" s="148"/>
      <c r="GI172" s="148"/>
      <c r="GJ172" s="148"/>
      <c r="GK172" s="148"/>
      <c r="GL172" s="148"/>
      <c r="GM172" s="148"/>
      <c r="GN172" s="148"/>
      <c r="GO172" s="148"/>
      <c r="GP172" s="148"/>
      <c r="GQ172" s="148"/>
      <c r="GR172" s="148"/>
      <c r="GS172" s="148"/>
      <c r="GT172" s="148"/>
      <c r="GU172" s="148"/>
      <c r="GV172" s="148"/>
      <c r="GW172" s="148"/>
      <c r="GX172" s="148"/>
      <c r="GY172" s="148"/>
      <c r="GZ172" s="148"/>
      <c r="HA172" s="148"/>
      <c r="HB172" s="148"/>
      <c r="HC172" s="148"/>
      <c r="HD172" s="148"/>
      <c r="HE172" s="148"/>
      <c r="HF172" s="148"/>
      <c r="HG172" s="148"/>
      <c r="HH172" s="148"/>
      <c r="HI172" s="148"/>
      <c r="HJ172" s="148"/>
      <c r="HK172" s="148"/>
      <c r="HL172" s="148"/>
      <c r="HM172" s="148"/>
      <c r="HN172" s="148"/>
      <c r="HO172" s="148"/>
      <c r="HP172" s="148"/>
      <c r="HQ172" s="148"/>
      <c r="HR172" s="148"/>
      <c r="HS172" s="148"/>
      <c r="HT172" s="148"/>
      <c r="HU172" s="148"/>
      <c r="HV172" s="148"/>
      <c r="HW172" s="148"/>
      <c r="HX172" s="148"/>
      <c r="HY172" s="148"/>
      <c r="HZ172" s="148"/>
      <c r="IA172" s="148"/>
      <c r="IB172" s="148"/>
      <c r="IC172" s="148"/>
      <c r="ID172" s="148"/>
      <c r="IE172" s="148"/>
      <c r="IF172" s="148"/>
      <c r="IG172" s="148"/>
      <c r="IH172" s="148"/>
      <c r="II172" s="148"/>
      <c r="IJ172" s="148"/>
      <c r="IK172" s="148"/>
      <c r="IL172" s="148"/>
      <c r="IM172" s="148"/>
      <c r="IN172" s="148"/>
      <c r="IO172" s="148"/>
      <c r="IP172" s="148"/>
      <c r="IQ172" s="148"/>
      <c r="IR172" s="148"/>
      <c r="IS172" s="148"/>
      <c r="IT172" s="148"/>
      <c r="IU172" s="148"/>
      <c r="IV172" s="148"/>
      <c r="IW172" s="148"/>
      <c r="IX172" s="148"/>
      <c r="IY172" s="148"/>
      <c r="IZ172" s="148"/>
      <c r="JA172" s="148"/>
      <c r="JB172" s="148"/>
      <c r="JC172" s="148"/>
      <c r="JD172" s="148"/>
      <c r="JE172" s="148"/>
      <c r="JF172" s="148"/>
      <c r="JG172" s="148"/>
      <c r="JH172" s="148"/>
      <c r="JI172" s="148"/>
      <c r="JJ172" s="148"/>
      <c r="JK172" s="148"/>
      <c r="JL172" s="148"/>
      <c r="JM172" s="148"/>
      <c r="JN172" s="148"/>
      <c r="JO172" s="148"/>
      <c r="JP172" s="148"/>
      <c r="JQ172" s="148"/>
      <c r="JR172" s="148"/>
      <c r="JS172" s="148"/>
      <c r="JT172" s="148"/>
      <c r="JU172" s="148"/>
      <c r="JV172" s="148"/>
      <c r="JW172" s="148"/>
      <c r="JX172" s="148"/>
      <c r="JY172" s="148"/>
      <c r="JZ172" s="148"/>
      <c r="KA172" s="148"/>
      <c r="KB172" s="148"/>
      <c r="KC172" s="148"/>
      <c r="KD172" s="148"/>
      <c r="KE172" s="148"/>
      <c r="KF172" s="148"/>
      <c r="KG172" s="148"/>
      <c r="KH172" s="148"/>
      <c r="KI172" s="148"/>
      <c r="KJ172" s="148"/>
      <c r="KK172" s="148"/>
      <c r="KL172" s="148"/>
      <c r="KM172" s="148"/>
      <c r="KN172" s="148"/>
      <c r="KO172" s="148"/>
      <c r="KP172" s="148"/>
      <c r="KQ172" s="148"/>
      <c r="KR172" s="148"/>
      <c r="KS172" s="148"/>
    </row>
    <row r="173" spans="1:305" s="104" customFormat="1" x14ac:dyDescent="0.3">
      <c r="A173" s="154" t="s">
        <v>422</v>
      </c>
      <c r="B173" s="154"/>
      <c r="C173" s="154"/>
      <c r="D173" s="154"/>
      <c r="E173" s="154"/>
      <c r="F173" s="154"/>
      <c r="G173" s="154"/>
    </row>
    <row r="174" spans="1:305" s="104" customFormat="1" x14ac:dyDescent="0.3">
      <c r="A174" s="104" t="s">
        <v>315</v>
      </c>
    </row>
    <row r="175" spans="1:305" s="104" customFormat="1" x14ac:dyDescent="0.3">
      <c r="A175" s="104" t="s">
        <v>314</v>
      </c>
    </row>
    <row r="176" spans="1:305" s="104" customFormat="1" x14ac:dyDescent="0.3">
      <c r="A176" s="104" t="s">
        <v>316</v>
      </c>
    </row>
    <row r="177" spans="1:305" x14ac:dyDescent="0.3">
      <c r="A177" s="70" t="str">
        <f>A6</f>
        <v>Tariffs is a % of some base tariff</v>
      </c>
      <c r="B177" s="136"/>
    </row>
    <row r="178" spans="1:305" s="140" customFormat="1" x14ac:dyDescent="0.3">
      <c r="A178" s="539"/>
      <c r="B178" s="137"/>
      <c r="C178" s="138"/>
      <c r="D178" s="138"/>
      <c r="E178" s="138"/>
      <c r="F178" s="138"/>
      <c r="G178" s="139"/>
    </row>
    <row r="179" spans="1:305" s="140" customFormat="1" x14ac:dyDescent="0.3">
      <c r="A179" s="540"/>
      <c r="B179" s="141"/>
      <c r="C179" s="142"/>
      <c r="D179" s="142"/>
      <c r="E179" s="142"/>
      <c r="F179" s="142"/>
      <c r="G179" s="143"/>
    </row>
    <row r="180" spans="1:305" s="140" customFormat="1" x14ac:dyDescent="0.3">
      <c r="A180" s="539"/>
      <c r="B180" s="137"/>
      <c r="C180" s="138"/>
      <c r="D180" s="138"/>
      <c r="E180" s="138"/>
      <c r="F180" s="138"/>
      <c r="G180" s="139"/>
    </row>
    <row r="181" spans="1:305" s="140" customFormat="1" x14ac:dyDescent="0.3">
      <c r="A181" s="540"/>
      <c r="B181" s="141"/>
      <c r="C181" s="142"/>
      <c r="D181" s="142"/>
      <c r="E181" s="142"/>
      <c r="F181" s="142"/>
      <c r="G181" s="143"/>
    </row>
    <row r="182" spans="1:305" s="140" customFormat="1" x14ac:dyDescent="0.3">
      <c r="A182" s="539"/>
      <c r="B182" s="137"/>
      <c r="C182" s="138"/>
      <c r="D182" s="138"/>
      <c r="E182" s="138"/>
      <c r="F182" s="138"/>
      <c r="G182" s="139"/>
    </row>
    <row r="183" spans="1:305" s="140" customFormat="1" x14ac:dyDescent="0.3">
      <c r="A183" s="540"/>
      <c r="B183" s="141"/>
      <c r="C183" s="142"/>
      <c r="D183" s="142"/>
      <c r="E183" s="142"/>
      <c r="F183" s="142"/>
      <c r="G183" s="143"/>
    </row>
    <row r="184" spans="1:305" s="140" customFormat="1" x14ac:dyDescent="0.3">
      <c r="A184" s="539"/>
      <c r="B184" s="137"/>
      <c r="C184" s="138"/>
      <c r="D184" s="138"/>
      <c r="E184" s="138"/>
      <c r="F184" s="138"/>
      <c r="G184" s="139"/>
    </row>
    <row r="185" spans="1:305" s="140" customFormat="1" x14ac:dyDescent="0.3">
      <c r="A185" s="540"/>
      <c r="B185" s="141"/>
      <c r="C185" s="142"/>
      <c r="D185" s="142"/>
      <c r="E185" s="142"/>
      <c r="F185" s="142"/>
      <c r="G185" s="143"/>
    </row>
    <row r="186" spans="1:305" s="140" customFormat="1" x14ac:dyDescent="0.3">
      <c r="A186" s="539"/>
      <c r="B186" s="137"/>
      <c r="C186" s="138"/>
      <c r="D186" s="138"/>
      <c r="E186" s="138"/>
      <c r="F186" s="138"/>
      <c r="G186" s="139"/>
    </row>
    <row r="187" spans="1:305" s="140" customFormat="1" x14ac:dyDescent="0.3">
      <c r="A187" s="540"/>
      <c r="B187" s="141"/>
      <c r="C187" s="142"/>
      <c r="D187" s="142"/>
      <c r="E187" s="142"/>
      <c r="F187" s="142"/>
      <c r="G187" s="143"/>
    </row>
    <row r="188" spans="1:305" s="140" customFormat="1" x14ac:dyDescent="0.3">
      <c r="A188" s="539"/>
      <c r="B188" s="137"/>
      <c r="C188" s="138"/>
      <c r="D188" s="138"/>
      <c r="E188" s="138"/>
      <c r="F188" s="138"/>
      <c r="G188" s="139"/>
    </row>
    <row r="189" spans="1:305" s="140" customFormat="1" x14ac:dyDescent="0.3">
      <c r="A189" s="540"/>
      <c r="B189" s="141"/>
      <c r="C189" s="142"/>
      <c r="D189" s="142"/>
      <c r="E189" s="142"/>
      <c r="F189" s="142"/>
      <c r="G189" s="143"/>
    </row>
    <row r="190" spans="1:305" s="146" customFormat="1" ht="13.05" customHeight="1" x14ac:dyDescent="0.3">
      <c r="A190" s="539"/>
      <c r="B190" s="137"/>
      <c r="C190" s="144"/>
      <c r="D190" s="144"/>
      <c r="E190" s="144"/>
      <c r="F190" s="144"/>
      <c r="G190" s="145"/>
      <c r="J190" s="140"/>
      <c r="K190" s="147"/>
      <c r="L190" s="147"/>
      <c r="M190" s="147"/>
      <c r="N190" s="147"/>
      <c r="Q190" s="148"/>
      <c r="R190" s="148"/>
      <c r="S190" s="148"/>
      <c r="T190" s="148"/>
      <c r="U190" s="148"/>
      <c r="V190" s="148"/>
      <c r="W190" s="148"/>
      <c r="X190" s="148"/>
      <c r="Y190" s="148"/>
      <c r="Z190" s="148"/>
      <c r="AA190" s="148"/>
      <c r="AB190" s="148"/>
      <c r="AC190" s="148"/>
      <c r="AD190" s="148"/>
      <c r="AE190" s="148"/>
      <c r="AF190" s="148"/>
      <c r="AG190" s="148"/>
      <c r="AH190" s="148"/>
      <c r="AI190" s="148"/>
      <c r="AJ190" s="148"/>
      <c r="AK190" s="148"/>
      <c r="AL190" s="148"/>
      <c r="AM190" s="148"/>
      <c r="AN190" s="148"/>
      <c r="AO190" s="148"/>
      <c r="AP190" s="148"/>
      <c r="AQ190" s="148"/>
      <c r="AR190" s="148"/>
      <c r="AS190" s="148"/>
      <c r="AT190" s="148"/>
      <c r="AU190" s="148"/>
      <c r="AV190" s="148"/>
      <c r="AW190" s="148"/>
      <c r="AX190" s="148"/>
      <c r="AY190" s="148"/>
      <c r="AZ190" s="148"/>
      <c r="BA190" s="148"/>
      <c r="BB190" s="148"/>
      <c r="BC190" s="148"/>
      <c r="BD190" s="148"/>
      <c r="BE190" s="148"/>
      <c r="BF190" s="148"/>
      <c r="BG190" s="148"/>
      <c r="BH190" s="148"/>
      <c r="BI190" s="148"/>
      <c r="BJ190" s="148"/>
      <c r="BK190" s="148"/>
      <c r="BL190" s="148"/>
      <c r="BM190" s="148"/>
      <c r="BN190" s="148"/>
      <c r="BO190" s="148"/>
      <c r="BP190" s="148"/>
      <c r="BQ190" s="148"/>
      <c r="BR190" s="148"/>
      <c r="BS190" s="148"/>
      <c r="BT190" s="148"/>
      <c r="BU190" s="148"/>
      <c r="BV190" s="148"/>
      <c r="BW190" s="148"/>
      <c r="BX190" s="148"/>
      <c r="BY190" s="148"/>
      <c r="BZ190" s="148"/>
      <c r="CA190" s="148"/>
      <c r="CB190" s="148"/>
      <c r="CC190" s="148"/>
      <c r="CD190" s="148"/>
      <c r="CE190" s="148"/>
      <c r="CF190" s="148"/>
      <c r="CG190" s="148"/>
      <c r="CH190" s="148"/>
      <c r="CI190" s="148"/>
      <c r="CJ190" s="148"/>
      <c r="CK190" s="148"/>
      <c r="CL190" s="148"/>
      <c r="CM190" s="148"/>
      <c r="CN190" s="148"/>
      <c r="CO190" s="148"/>
      <c r="CP190" s="148"/>
      <c r="CQ190" s="148"/>
      <c r="CR190" s="148"/>
      <c r="CS190" s="148"/>
      <c r="CT190" s="148"/>
      <c r="CU190" s="148"/>
      <c r="CV190" s="148"/>
      <c r="CW190" s="148"/>
      <c r="CX190" s="148"/>
      <c r="CY190" s="148"/>
      <c r="CZ190" s="148"/>
      <c r="DA190" s="148"/>
      <c r="DB190" s="148"/>
      <c r="DC190" s="148"/>
      <c r="DD190" s="148"/>
      <c r="DE190" s="148"/>
      <c r="DF190" s="148"/>
      <c r="DG190" s="148"/>
      <c r="DH190" s="148"/>
      <c r="DI190" s="148"/>
      <c r="DJ190" s="148"/>
      <c r="DK190" s="148"/>
      <c r="DL190" s="148"/>
      <c r="DM190" s="148"/>
      <c r="DN190" s="148"/>
      <c r="DO190" s="148"/>
      <c r="DP190" s="148"/>
      <c r="DQ190" s="148"/>
      <c r="DR190" s="148"/>
      <c r="DS190" s="148"/>
      <c r="DT190" s="148"/>
      <c r="DU190" s="148"/>
      <c r="DV190" s="148"/>
      <c r="DW190" s="148"/>
      <c r="DX190" s="148"/>
      <c r="DY190" s="148"/>
      <c r="DZ190" s="148"/>
      <c r="EA190" s="148"/>
      <c r="EB190" s="148"/>
      <c r="EC190" s="148"/>
      <c r="ED190" s="148"/>
      <c r="EE190" s="148"/>
      <c r="EF190" s="148"/>
      <c r="EG190" s="148"/>
      <c r="EH190" s="148"/>
      <c r="EI190" s="148"/>
      <c r="EJ190" s="148"/>
      <c r="EK190" s="148"/>
      <c r="EL190" s="148"/>
      <c r="EM190" s="148"/>
      <c r="EN190" s="148"/>
      <c r="EO190" s="148"/>
      <c r="EP190" s="148"/>
      <c r="EQ190" s="148"/>
      <c r="ER190" s="148"/>
      <c r="ES190" s="148"/>
      <c r="ET190" s="148"/>
      <c r="EU190" s="148"/>
      <c r="EV190" s="148"/>
      <c r="EW190" s="148"/>
      <c r="EX190" s="148"/>
      <c r="EY190" s="148"/>
      <c r="EZ190" s="148"/>
      <c r="FA190" s="148"/>
      <c r="FB190" s="148"/>
      <c r="FC190" s="148"/>
      <c r="FD190" s="148"/>
      <c r="FE190" s="148"/>
      <c r="FF190" s="148"/>
      <c r="FG190" s="148"/>
      <c r="FH190" s="148"/>
      <c r="FI190" s="148"/>
      <c r="FJ190" s="148"/>
      <c r="FK190" s="148"/>
      <c r="FL190" s="148"/>
      <c r="FM190" s="148"/>
      <c r="FN190" s="148"/>
      <c r="FO190" s="148"/>
      <c r="FP190" s="148"/>
      <c r="FQ190" s="148"/>
      <c r="FR190" s="148"/>
      <c r="FS190" s="148"/>
      <c r="FT190" s="148"/>
      <c r="FU190" s="148"/>
      <c r="FV190" s="148"/>
      <c r="FW190" s="148"/>
      <c r="FX190" s="148"/>
      <c r="FY190" s="148"/>
      <c r="FZ190" s="148"/>
      <c r="GA190" s="148"/>
      <c r="GB190" s="148"/>
      <c r="GC190" s="148"/>
      <c r="GD190" s="148"/>
      <c r="GE190" s="148"/>
      <c r="GF190" s="148"/>
      <c r="GG190" s="148"/>
      <c r="GH190" s="148"/>
      <c r="GI190" s="148"/>
      <c r="GJ190" s="148"/>
      <c r="GK190" s="148"/>
      <c r="GL190" s="148"/>
      <c r="GM190" s="148"/>
      <c r="GN190" s="148"/>
      <c r="GO190" s="148"/>
      <c r="GP190" s="148"/>
      <c r="GQ190" s="148"/>
      <c r="GR190" s="148"/>
      <c r="GS190" s="148"/>
      <c r="GT190" s="148"/>
      <c r="GU190" s="148"/>
      <c r="GV190" s="148"/>
      <c r="GW190" s="148"/>
      <c r="GX190" s="148"/>
      <c r="GY190" s="148"/>
      <c r="GZ190" s="148"/>
      <c r="HA190" s="148"/>
      <c r="HB190" s="148"/>
      <c r="HC190" s="148"/>
      <c r="HD190" s="148"/>
      <c r="HE190" s="148"/>
      <c r="HF190" s="148"/>
      <c r="HG190" s="148"/>
      <c r="HH190" s="148"/>
      <c r="HI190" s="148"/>
      <c r="HJ190" s="148"/>
      <c r="HK190" s="148"/>
      <c r="HL190" s="148"/>
      <c r="HM190" s="148"/>
      <c r="HN190" s="148"/>
      <c r="HO190" s="148"/>
      <c r="HP190" s="148"/>
      <c r="HQ190" s="148"/>
      <c r="HR190" s="148"/>
      <c r="HS190" s="148"/>
      <c r="HT190" s="148"/>
      <c r="HU190" s="148"/>
      <c r="HV190" s="148"/>
      <c r="HW190" s="148"/>
      <c r="HX190" s="148"/>
      <c r="HY190" s="148"/>
      <c r="HZ190" s="148"/>
      <c r="IA190" s="148"/>
      <c r="IB190" s="148"/>
      <c r="IC190" s="148"/>
      <c r="ID190" s="148"/>
      <c r="IE190" s="148"/>
      <c r="IF190" s="148"/>
      <c r="IG190" s="148"/>
      <c r="IH190" s="148"/>
      <c r="II190" s="148"/>
      <c r="IJ190" s="148"/>
      <c r="IK190" s="148"/>
      <c r="IL190" s="148"/>
      <c r="IM190" s="148"/>
      <c r="IN190" s="148"/>
      <c r="IO190" s="148"/>
      <c r="IP190" s="148"/>
      <c r="IQ190" s="148"/>
      <c r="IR190" s="148"/>
      <c r="IS190" s="148"/>
      <c r="IT190" s="148"/>
      <c r="IU190" s="148"/>
      <c r="IV190" s="148"/>
      <c r="IW190" s="148"/>
      <c r="IX190" s="148"/>
      <c r="IY190" s="148"/>
      <c r="IZ190" s="148"/>
      <c r="JA190" s="148"/>
      <c r="JB190" s="148"/>
      <c r="JC190" s="148"/>
      <c r="JD190" s="148"/>
      <c r="JE190" s="148"/>
      <c r="JF190" s="148"/>
      <c r="JG190" s="148"/>
      <c r="JH190" s="148"/>
      <c r="JI190" s="148"/>
      <c r="JJ190" s="148"/>
      <c r="JK190" s="148"/>
      <c r="JL190" s="148"/>
      <c r="JM190" s="148"/>
      <c r="JN190" s="148"/>
      <c r="JO190" s="148"/>
      <c r="JP190" s="148"/>
      <c r="JQ190" s="148"/>
      <c r="JR190" s="148"/>
      <c r="JS190" s="148"/>
      <c r="JT190" s="148"/>
      <c r="JU190" s="148"/>
      <c r="JV190" s="148"/>
      <c r="JW190" s="148"/>
      <c r="JX190" s="148"/>
      <c r="JY190" s="148"/>
      <c r="JZ190" s="148"/>
      <c r="KA190" s="148"/>
      <c r="KB190" s="148"/>
      <c r="KC190" s="148"/>
      <c r="KD190" s="148"/>
      <c r="KE190" s="148"/>
      <c r="KF190" s="148"/>
      <c r="KG190" s="148"/>
      <c r="KH190" s="148"/>
      <c r="KI190" s="148"/>
      <c r="KJ190" s="148"/>
      <c r="KK190" s="148"/>
      <c r="KL190" s="148"/>
      <c r="KM190" s="148"/>
      <c r="KN190" s="148"/>
      <c r="KO190" s="148"/>
      <c r="KP190" s="148"/>
      <c r="KQ190" s="148"/>
      <c r="KR190" s="148"/>
      <c r="KS190" s="148"/>
    </row>
    <row r="191" spans="1:305" s="146" customFormat="1" ht="13.05" customHeight="1" x14ac:dyDescent="0.3">
      <c r="A191" s="540"/>
      <c r="B191" s="141"/>
      <c r="C191" s="149"/>
      <c r="D191" s="149"/>
      <c r="E191" s="149"/>
      <c r="F191" s="149"/>
      <c r="G191" s="150"/>
      <c r="J191" s="140"/>
      <c r="K191" s="147"/>
      <c r="L191" s="147"/>
      <c r="M191" s="147"/>
      <c r="N191" s="147"/>
      <c r="Q191" s="148"/>
      <c r="R191" s="148"/>
      <c r="S191" s="148"/>
      <c r="T191" s="148"/>
      <c r="U191" s="148"/>
      <c r="V191" s="148"/>
      <c r="W191" s="148"/>
      <c r="X191" s="148"/>
      <c r="Y191" s="148"/>
      <c r="Z191" s="148"/>
      <c r="AA191" s="148"/>
      <c r="AB191" s="148"/>
      <c r="AC191" s="148"/>
      <c r="AD191" s="148"/>
      <c r="AE191" s="148"/>
      <c r="AF191" s="148"/>
      <c r="AG191" s="148"/>
      <c r="AH191" s="148"/>
      <c r="AI191" s="148"/>
      <c r="AJ191" s="148"/>
      <c r="AK191" s="148"/>
      <c r="AL191" s="148"/>
      <c r="AM191" s="148"/>
      <c r="AN191" s="148"/>
      <c r="AO191" s="148"/>
      <c r="AP191" s="148"/>
      <c r="AQ191" s="148"/>
      <c r="AR191" s="148"/>
      <c r="AS191" s="148"/>
      <c r="AT191" s="148"/>
      <c r="AU191" s="148"/>
      <c r="AV191" s="148"/>
      <c r="AW191" s="148"/>
      <c r="AX191" s="148"/>
      <c r="AY191" s="148"/>
      <c r="AZ191" s="148"/>
      <c r="BA191" s="148"/>
      <c r="BB191" s="148"/>
      <c r="BC191" s="148"/>
      <c r="BD191" s="148"/>
      <c r="BE191" s="148"/>
      <c r="BF191" s="148"/>
      <c r="BG191" s="148"/>
      <c r="BH191" s="148"/>
      <c r="BI191" s="148"/>
      <c r="BJ191" s="148"/>
      <c r="BK191" s="148"/>
      <c r="BL191" s="148"/>
      <c r="BM191" s="148"/>
      <c r="BN191" s="148"/>
      <c r="BO191" s="148"/>
      <c r="BP191" s="148"/>
      <c r="BQ191" s="148"/>
      <c r="BR191" s="148"/>
      <c r="BS191" s="148"/>
      <c r="BT191" s="148"/>
      <c r="BU191" s="148"/>
      <c r="BV191" s="148"/>
      <c r="BW191" s="148"/>
      <c r="BX191" s="148"/>
      <c r="BY191" s="148"/>
      <c r="BZ191" s="148"/>
      <c r="CA191" s="148"/>
      <c r="CB191" s="148"/>
      <c r="CC191" s="148"/>
      <c r="CD191" s="148"/>
      <c r="CE191" s="148"/>
      <c r="CF191" s="148"/>
      <c r="CG191" s="148"/>
      <c r="CH191" s="148"/>
      <c r="CI191" s="148"/>
      <c r="CJ191" s="148"/>
      <c r="CK191" s="148"/>
      <c r="CL191" s="148"/>
      <c r="CM191" s="148"/>
      <c r="CN191" s="148"/>
      <c r="CO191" s="148"/>
      <c r="CP191" s="148"/>
      <c r="CQ191" s="148"/>
      <c r="CR191" s="148"/>
      <c r="CS191" s="148"/>
      <c r="CT191" s="148"/>
      <c r="CU191" s="148"/>
      <c r="CV191" s="148"/>
      <c r="CW191" s="148"/>
      <c r="CX191" s="148"/>
      <c r="CY191" s="148"/>
      <c r="CZ191" s="148"/>
      <c r="DA191" s="148"/>
      <c r="DB191" s="148"/>
      <c r="DC191" s="148"/>
      <c r="DD191" s="148"/>
      <c r="DE191" s="148"/>
      <c r="DF191" s="148"/>
      <c r="DG191" s="148"/>
      <c r="DH191" s="148"/>
      <c r="DI191" s="148"/>
      <c r="DJ191" s="148"/>
      <c r="DK191" s="148"/>
      <c r="DL191" s="148"/>
      <c r="DM191" s="148"/>
      <c r="DN191" s="148"/>
      <c r="DO191" s="148"/>
      <c r="DP191" s="148"/>
      <c r="DQ191" s="148"/>
      <c r="DR191" s="148"/>
      <c r="DS191" s="148"/>
      <c r="DT191" s="148"/>
      <c r="DU191" s="148"/>
      <c r="DV191" s="148"/>
      <c r="DW191" s="148"/>
      <c r="DX191" s="148"/>
      <c r="DY191" s="148"/>
      <c r="DZ191" s="148"/>
      <c r="EA191" s="148"/>
      <c r="EB191" s="148"/>
      <c r="EC191" s="148"/>
      <c r="ED191" s="148"/>
      <c r="EE191" s="148"/>
      <c r="EF191" s="148"/>
      <c r="EG191" s="148"/>
      <c r="EH191" s="148"/>
      <c r="EI191" s="148"/>
      <c r="EJ191" s="148"/>
      <c r="EK191" s="148"/>
      <c r="EL191" s="148"/>
      <c r="EM191" s="148"/>
      <c r="EN191" s="148"/>
      <c r="EO191" s="148"/>
      <c r="EP191" s="148"/>
      <c r="EQ191" s="148"/>
      <c r="ER191" s="148"/>
      <c r="ES191" s="148"/>
      <c r="ET191" s="148"/>
      <c r="EU191" s="148"/>
      <c r="EV191" s="148"/>
      <c r="EW191" s="148"/>
      <c r="EX191" s="148"/>
      <c r="EY191" s="148"/>
      <c r="EZ191" s="148"/>
      <c r="FA191" s="148"/>
      <c r="FB191" s="148"/>
      <c r="FC191" s="148"/>
      <c r="FD191" s="148"/>
      <c r="FE191" s="148"/>
      <c r="FF191" s="148"/>
      <c r="FG191" s="148"/>
      <c r="FH191" s="148"/>
      <c r="FI191" s="148"/>
      <c r="FJ191" s="148"/>
      <c r="FK191" s="148"/>
      <c r="FL191" s="148"/>
      <c r="FM191" s="148"/>
      <c r="FN191" s="148"/>
      <c r="FO191" s="148"/>
      <c r="FP191" s="148"/>
      <c r="FQ191" s="148"/>
      <c r="FR191" s="148"/>
      <c r="FS191" s="148"/>
      <c r="FT191" s="148"/>
      <c r="FU191" s="148"/>
      <c r="FV191" s="148"/>
      <c r="FW191" s="148"/>
      <c r="FX191" s="148"/>
      <c r="FY191" s="148"/>
      <c r="FZ191" s="148"/>
      <c r="GA191" s="148"/>
      <c r="GB191" s="148"/>
      <c r="GC191" s="148"/>
      <c r="GD191" s="148"/>
      <c r="GE191" s="148"/>
      <c r="GF191" s="148"/>
      <c r="GG191" s="148"/>
      <c r="GH191" s="148"/>
      <c r="GI191" s="148"/>
      <c r="GJ191" s="148"/>
      <c r="GK191" s="148"/>
      <c r="GL191" s="148"/>
      <c r="GM191" s="148"/>
      <c r="GN191" s="148"/>
      <c r="GO191" s="148"/>
      <c r="GP191" s="148"/>
      <c r="GQ191" s="148"/>
      <c r="GR191" s="148"/>
      <c r="GS191" s="148"/>
      <c r="GT191" s="148"/>
      <c r="GU191" s="148"/>
      <c r="GV191" s="148"/>
      <c r="GW191" s="148"/>
      <c r="GX191" s="148"/>
      <c r="GY191" s="148"/>
      <c r="GZ191" s="148"/>
      <c r="HA191" s="148"/>
      <c r="HB191" s="148"/>
      <c r="HC191" s="148"/>
      <c r="HD191" s="148"/>
      <c r="HE191" s="148"/>
      <c r="HF191" s="148"/>
      <c r="HG191" s="148"/>
      <c r="HH191" s="148"/>
      <c r="HI191" s="148"/>
      <c r="HJ191" s="148"/>
      <c r="HK191" s="148"/>
      <c r="HL191" s="148"/>
      <c r="HM191" s="148"/>
      <c r="HN191" s="148"/>
      <c r="HO191" s="148"/>
      <c r="HP191" s="148"/>
      <c r="HQ191" s="148"/>
      <c r="HR191" s="148"/>
      <c r="HS191" s="148"/>
      <c r="HT191" s="148"/>
      <c r="HU191" s="148"/>
      <c r="HV191" s="148"/>
      <c r="HW191" s="148"/>
      <c r="HX191" s="148"/>
      <c r="HY191" s="148"/>
      <c r="HZ191" s="148"/>
      <c r="IA191" s="148"/>
      <c r="IB191" s="148"/>
      <c r="IC191" s="148"/>
      <c r="ID191" s="148"/>
      <c r="IE191" s="148"/>
      <c r="IF191" s="148"/>
      <c r="IG191" s="148"/>
      <c r="IH191" s="148"/>
      <c r="II191" s="148"/>
      <c r="IJ191" s="148"/>
      <c r="IK191" s="148"/>
      <c r="IL191" s="148"/>
      <c r="IM191" s="148"/>
      <c r="IN191" s="148"/>
      <c r="IO191" s="148"/>
      <c r="IP191" s="148"/>
      <c r="IQ191" s="148"/>
      <c r="IR191" s="148"/>
      <c r="IS191" s="148"/>
      <c r="IT191" s="148"/>
      <c r="IU191" s="148"/>
      <c r="IV191" s="148"/>
      <c r="IW191" s="148"/>
      <c r="IX191" s="148"/>
      <c r="IY191" s="148"/>
      <c r="IZ191" s="148"/>
      <c r="JA191" s="148"/>
      <c r="JB191" s="148"/>
      <c r="JC191" s="148"/>
      <c r="JD191" s="148"/>
      <c r="JE191" s="148"/>
      <c r="JF191" s="148"/>
      <c r="JG191" s="148"/>
      <c r="JH191" s="148"/>
      <c r="JI191" s="148"/>
      <c r="JJ191" s="148"/>
      <c r="JK191" s="148"/>
      <c r="JL191" s="148"/>
      <c r="JM191" s="148"/>
      <c r="JN191" s="148"/>
      <c r="JO191" s="148"/>
      <c r="JP191" s="148"/>
      <c r="JQ191" s="148"/>
      <c r="JR191" s="148"/>
      <c r="JS191" s="148"/>
      <c r="JT191" s="148"/>
      <c r="JU191" s="148"/>
      <c r="JV191" s="148"/>
      <c r="JW191" s="148"/>
      <c r="JX191" s="148"/>
      <c r="JY191" s="148"/>
      <c r="JZ191" s="148"/>
      <c r="KA191" s="148"/>
      <c r="KB191" s="148"/>
      <c r="KC191" s="148"/>
      <c r="KD191" s="148"/>
      <c r="KE191" s="148"/>
      <c r="KF191" s="148"/>
      <c r="KG191" s="148"/>
      <c r="KH191" s="148"/>
      <c r="KI191" s="148"/>
      <c r="KJ191" s="148"/>
      <c r="KK191" s="148"/>
      <c r="KL191" s="148"/>
      <c r="KM191" s="148"/>
      <c r="KN191" s="148"/>
      <c r="KO191" s="148"/>
      <c r="KP191" s="148"/>
      <c r="KQ191" s="148"/>
      <c r="KR191" s="148"/>
      <c r="KS191" s="148"/>
    </row>
    <row r="193" spans="1:305" s="104" customFormat="1" x14ac:dyDescent="0.3">
      <c r="A193" s="547" t="s">
        <v>424</v>
      </c>
      <c r="B193" s="548"/>
      <c r="C193" s="548"/>
      <c r="D193" s="548"/>
      <c r="E193" s="548"/>
      <c r="F193" s="548"/>
      <c r="G193" s="549"/>
    </row>
    <row r="194" spans="1:305" x14ac:dyDescent="0.3">
      <c r="A194" s="70" t="str">
        <f>A6</f>
        <v>Tariffs is a % of some base tariff</v>
      </c>
      <c r="B194" s="136"/>
    </row>
    <row r="195" spans="1:305" s="140" customFormat="1" x14ac:dyDescent="0.3">
      <c r="A195" s="539"/>
      <c r="B195" s="137"/>
      <c r="C195" s="138"/>
      <c r="D195" s="138"/>
      <c r="E195" s="138"/>
      <c r="F195" s="138"/>
      <c r="G195" s="139"/>
    </row>
    <row r="196" spans="1:305" s="140" customFormat="1" x14ac:dyDescent="0.3">
      <c r="A196" s="540"/>
      <c r="B196" s="141"/>
      <c r="C196" s="142"/>
      <c r="D196" s="142"/>
      <c r="E196" s="142"/>
      <c r="F196" s="142"/>
      <c r="G196" s="143"/>
    </row>
    <row r="197" spans="1:305" s="140" customFormat="1" x14ac:dyDescent="0.3">
      <c r="A197" s="539"/>
      <c r="B197" s="137"/>
      <c r="C197" s="138"/>
      <c r="D197" s="138"/>
      <c r="E197" s="138"/>
      <c r="F197" s="138"/>
      <c r="G197" s="139"/>
    </row>
    <row r="198" spans="1:305" s="140" customFormat="1" x14ac:dyDescent="0.3">
      <c r="A198" s="540"/>
      <c r="B198" s="141"/>
      <c r="C198" s="142"/>
      <c r="D198" s="142"/>
      <c r="E198" s="142"/>
      <c r="F198" s="142"/>
      <c r="G198" s="143"/>
    </row>
    <row r="199" spans="1:305" s="140" customFormat="1" x14ac:dyDescent="0.3">
      <c r="A199" s="539"/>
      <c r="B199" s="137"/>
      <c r="C199" s="138"/>
      <c r="D199" s="138"/>
      <c r="E199" s="138"/>
      <c r="F199" s="138"/>
      <c r="G199" s="139"/>
    </row>
    <row r="200" spans="1:305" s="140" customFormat="1" x14ac:dyDescent="0.3">
      <c r="A200" s="540"/>
      <c r="B200" s="141"/>
      <c r="C200" s="142"/>
      <c r="D200" s="142"/>
      <c r="E200" s="142"/>
      <c r="F200" s="142"/>
      <c r="G200" s="143"/>
    </row>
    <row r="201" spans="1:305" s="140" customFormat="1" x14ac:dyDescent="0.3">
      <c r="A201" s="539"/>
      <c r="B201" s="137"/>
      <c r="C201" s="138"/>
      <c r="D201" s="138"/>
      <c r="E201" s="138"/>
      <c r="F201" s="138"/>
      <c r="G201" s="139"/>
    </row>
    <row r="202" spans="1:305" s="140" customFormat="1" x14ac:dyDescent="0.3">
      <c r="A202" s="540"/>
      <c r="B202" s="141"/>
      <c r="C202" s="142"/>
      <c r="D202" s="142"/>
      <c r="E202" s="142"/>
      <c r="F202" s="142"/>
      <c r="G202" s="143"/>
    </row>
    <row r="203" spans="1:305" s="140" customFormat="1" x14ac:dyDescent="0.3">
      <c r="A203" s="539"/>
      <c r="B203" s="137"/>
      <c r="C203" s="138"/>
      <c r="D203" s="138"/>
      <c r="E203" s="138"/>
      <c r="F203" s="138"/>
      <c r="G203" s="139"/>
    </row>
    <row r="204" spans="1:305" s="140" customFormat="1" x14ac:dyDescent="0.3">
      <c r="A204" s="540"/>
      <c r="B204" s="141"/>
      <c r="C204" s="142"/>
      <c r="D204" s="142"/>
      <c r="E204" s="142"/>
      <c r="F204" s="142"/>
      <c r="G204" s="143"/>
    </row>
    <row r="205" spans="1:305" s="140" customFormat="1" x14ac:dyDescent="0.3">
      <c r="A205" s="539"/>
      <c r="B205" s="137"/>
      <c r="C205" s="138"/>
      <c r="D205" s="138"/>
      <c r="E205" s="138"/>
      <c r="F205" s="138"/>
      <c r="G205" s="139"/>
    </row>
    <row r="206" spans="1:305" s="140" customFormat="1" x14ac:dyDescent="0.3">
      <c r="A206" s="540"/>
      <c r="B206" s="141"/>
      <c r="C206" s="142"/>
      <c r="D206" s="142"/>
      <c r="E206" s="142"/>
      <c r="F206" s="142"/>
      <c r="G206" s="143"/>
    </row>
    <row r="207" spans="1:305" s="146" customFormat="1" ht="13.05" customHeight="1" x14ac:dyDescent="0.3">
      <c r="A207" s="539"/>
      <c r="B207" s="137"/>
      <c r="C207" s="144"/>
      <c r="D207" s="144"/>
      <c r="E207" s="144"/>
      <c r="F207" s="144"/>
      <c r="G207" s="145"/>
      <c r="J207" s="140"/>
      <c r="K207" s="147"/>
      <c r="L207" s="147"/>
      <c r="M207" s="147"/>
      <c r="N207" s="147"/>
      <c r="Q207" s="148"/>
      <c r="R207" s="148"/>
      <c r="S207" s="148"/>
      <c r="T207" s="148"/>
      <c r="U207" s="148"/>
      <c r="V207" s="148"/>
      <c r="W207" s="148"/>
      <c r="X207" s="148"/>
      <c r="Y207" s="148"/>
      <c r="Z207" s="148"/>
      <c r="AA207" s="148"/>
      <c r="AB207" s="148"/>
      <c r="AC207" s="148"/>
      <c r="AD207" s="148"/>
      <c r="AE207" s="148"/>
      <c r="AF207" s="148"/>
      <c r="AG207" s="148"/>
      <c r="AH207" s="148"/>
      <c r="AI207" s="148"/>
      <c r="AJ207" s="148"/>
      <c r="AK207" s="148"/>
      <c r="AL207" s="148"/>
      <c r="AM207" s="148"/>
      <c r="AN207" s="148"/>
      <c r="AO207" s="148"/>
      <c r="AP207" s="148"/>
      <c r="AQ207" s="148"/>
      <c r="AR207" s="148"/>
      <c r="AS207" s="148"/>
      <c r="AT207" s="148"/>
      <c r="AU207" s="148"/>
      <c r="AV207" s="148"/>
      <c r="AW207" s="148"/>
      <c r="AX207" s="148"/>
      <c r="AY207" s="148"/>
      <c r="AZ207" s="148"/>
      <c r="BA207" s="148"/>
      <c r="BB207" s="148"/>
      <c r="BC207" s="148"/>
      <c r="BD207" s="148"/>
      <c r="BE207" s="148"/>
      <c r="BF207" s="148"/>
      <c r="BG207" s="148"/>
      <c r="BH207" s="148"/>
      <c r="BI207" s="148"/>
      <c r="BJ207" s="148"/>
      <c r="BK207" s="148"/>
      <c r="BL207" s="148"/>
      <c r="BM207" s="148"/>
      <c r="BN207" s="148"/>
      <c r="BO207" s="148"/>
      <c r="BP207" s="148"/>
      <c r="BQ207" s="148"/>
      <c r="BR207" s="148"/>
      <c r="BS207" s="148"/>
      <c r="BT207" s="148"/>
      <c r="BU207" s="148"/>
      <c r="BV207" s="148"/>
      <c r="BW207" s="148"/>
      <c r="BX207" s="148"/>
      <c r="BY207" s="148"/>
      <c r="BZ207" s="148"/>
      <c r="CA207" s="148"/>
      <c r="CB207" s="148"/>
      <c r="CC207" s="148"/>
      <c r="CD207" s="148"/>
      <c r="CE207" s="148"/>
      <c r="CF207" s="148"/>
      <c r="CG207" s="148"/>
      <c r="CH207" s="148"/>
      <c r="CI207" s="148"/>
      <c r="CJ207" s="148"/>
      <c r="CK207" s="148"/>
      <c r="CL207" s="148"/>
      <c r="CM207" s="148"/>
      <c r="CN207" s="148"/>
      <c r="CO207" s="148"/>
      <c r="CP207" s="148"/>
      <c r="CQ207" s="148"/>
      <c r="CR207" s="148"/>
      <c r="CS207" s="148"/>
      <c r="CT207" s="148"/>
      <c r="CU207" s="148"/>
      <c r="CV207" s="148"/>
      <c r="CW207" s="148"/>
      <c r="CX207" s="148"/>
      <c r="CY207" s="148"/>
      <c r="CZ207" s="148"/>
      <c r="DA207" s="148"/>
      <c r="DB207" s="148"/>
      <c r="DC207" s="148"/>
      <c r="DD207" s="148"/>
      <c r="DE207" s="148"/>
      <c r="DF207" s="148"/>
      <c r="DG207" s="148"/>
      <c r="DH207" s="148"/>
      <c r="DI207" s="148"/>
      <c r="DJ207" s="148"/>
      <c r="DK207" s="148"/>
      <c r="DL207" s="148"/>
      <c r="DM207" s="148"/>
      <c r="DN207" s="148"/>
      <c r="DO207" s="148"/>
      <c r="DP207" s="148"/>
      <c r="DQ207" s="148"/>
      <c r="DR207" s="148"/>
      <c r="DS207" s="148"/>
      <c r="DT207" s="148"/>
      <c r="DU207" s="148"/>
      <c r="DV207" s="148"/>
      <c r="DW207" s="148"/>
      <c r="DX207" s="148"/>
      <c r="DY207" s="148"/>
      <c r="DZ207" s="148"/>
      <c r="EA207" s="148"/>
      <c r="EB207" s="148"/>
      <c r="EC207" s="148"/>
      <c r="ED207" s="148"/>
      <c r="EE207" s="148"/>
      <c r="EF207" s="148"/>
      <c r="EG207" s="148"/>
      <c r="EH207" s="148"/>
      <c r="EI207" s="148"/>
      <c r="EJ207" s="148"/>
      <c r="EK207" s="148"/>
      <c r="EL207" s="148"/>
      <c r="EM207" s="148"/>
      <c r="EN207" s="148"/>
      <c r="EO207" s="148"/>
      <c r="EP207" s="148"/>
      <c r="EQ207" s="148"/>
      <c r="ER207" s="148"/>
      <c r="ES207" s="148"/>
      <c r="ET207" s="148"/>
      <c r="EU207" s="148"/>
      <c r="EV207" s="148"/>
      <c r="EW207" s="148"/>
      <c r="EX207" s="148"/>
      <c r="EY207" s="148"/>
      <c r="EZ207" s="148"/>
      <c r="FA207" s="148"/>
      <c r="FB207" s="148"/>
      <c r="FC207" s="148"/>
      <c r="FD207" s="148"/>
      <c r="FE207" s="148"/>
      <c r="FF207" s="148"/>
      <c r="FG207" s="148"/>
      <c r="FH207" s="148"/>
      <c r="FI207" s="148"/>
      <c r="FJ207" s="148"/>
      <c r="FK207" s="148"/>
      <c r="FL207" s="148"/>
      <c r="FM207" s="148"/>
      <c r="FN207" s="148"/>
      <c r="FO207" s="148"/>
      <c r="FP207" s="148"/>
      <c r="FQ207" s="148"/>
      <c r="FR207" s="148"/>
      <c r="FS207" s="148"/>
      <c r="FT207" s="148"/>
      <c r="FU207" s="148"/>
      <c r="FV207" s="148"/>
      <c r="FW207" s="148"/>
      <c r="FX207" s="148"/>
      <c r="FY207" s="148"/>
      <c r="FZ207" s="148"/>
      <c r="GA207" s="148"/>
      <c r="GB207" s="148"/>
      <c r="GC207" s="148"/>
      <c r="GD207" s="148"/>
      <c r="GE207" s="148"/>
      <c r="GF207" s="148"/>
      <c r="GG207" s="148"/>
      <c r="GH207" s="148"/>
      <c r="GI207" s="148"/>
      <c r="GJ207" s="148"/>
      <c r="GK207" s="148"/>
      <c r="GL207" s="148"/>
      <c r="GM207" s="148"/>
      <c r="GN207" s="148"/>
      <c r="GO207" s="148"/>
      <c r="GP207" s="148"/>
      <c r="GQ207" s="148"/>
      <c r="GR207" s="148"/>
      <c r="GS207" s="148"/>
      <c r="GT207" s="148"/>
      <c r="GU207" s="148"/>
      <c r="GV207" s="148"/>
      <c r="GW207" s="148"/>
      <c r="GX207" s="148"/>
      <c r="GY207" s="148"/>
      <c r="GZ207" s="148"/>
      <c r="HA207" s="148"/>
      <c r="HB207" s="148"/>
      <c r="HC207" s="148"/>
      <c r="HD207" s="148"/>
      <c r="HE207" s="148"/>
      <c r="HF207" s="148"/>
      <c r="HG207" s="148"/>
      <c r="HH207" s="148"/>
      <c r="HI207" s="148"/>
      <c r="HJ207" s="148"/>
      <c r="HK207" s="148"/>
      <c r="HL207" s="148"/>
      <c r="HM207" s="148"/>
      <c r="HN207" s="148"/>
      <c r="HO207" s="148"/>
      <c r="HP207" s="148"/>
      <c r="HQ207" s="148"/>
      <c r="HR207" s="148"/>
      <c r="HS207" s="148"/>
      <c r="HT207" s="148"/>
      <c r="HU207" s="148"/>
      <c r="HV207" s="148"/>
      <c r="HW207" s="148"/>
      <c r="HX207" s="148"/>
      <c r="HY207" s="148"/>
      <c r="HZ207" s="148"/>
      <c r="IA207" s="148"/>
      <c r="IB207" s="148"/>
      <c r="IC207" s="148"/>
      <c r="ID207" s="148"/>
      <c r="IE207" s="148"/>
      <c r="IF207" s="148"/>
      <c r="IG207" s="148"/>
      <c r="IH207" s="148"/>
      <c r="II207" s="148"/>
      <c r="IJ207" s="148"/>
      <c r="IK207" s="148"/>
      <c r="IL207" s="148"/>
      <c r="IM207" s="148"/>
      <c r="IN207" s="148"/>
      <c r="IO207" s="148"/>
      <c r="IP207" s="148"/>
      <c r="IQ207" s="148"/>
      <c r="IR207" s="148"/>
      <c r="IS207" s="148"/>
      <c r="IT207" s="148"/>
      <c r="IU207" s="148"/>
      <c r="IV207" s="148"/>
      <c r="IW207" s="148"/>
      <c r="IX207" s="148"/>
      <c r="IY207" s="148"/>
      <c r="IZ207" s="148"/>
      <c r="JA207" s="148"/>
      <c r="JB207" s="148"/>
      <c r="JC207" s="148"/>
      <c r="JD207" s="148"/>
      <c r="JE207" s="148"/>
      <c r="JF207" s="148"/>
      <c r="JG207" s="148"/>
      <c r="JH207" s="148"/>
      <c r="JI207" s="148"/>
      <c r="JJ207" s="148"/>
      <c r="JK207" s="148"/>
      <c r="JL207" s="148"/>
      <c r="JM207" s="148"/>
      <c r="JN207" s="148"/>
      <c r="JO207" s="148"/>
      <c r="JP207" s="148"/>
      <c r="JQ207" s="148"/>
      <c r="JR207" s="148"/>
      <c r="JS207" s="148"/>
      <c r="JT207" s="148"/>
      <c r="JU207" s="148"/>
      <c r="JV207" s="148"/>
      <c r="JW207" s="148"/>
      <c r="JX207" s="148"/>
      <c r="JY207" s="148"/>
      <c r="JZ207" s="148"/>
      <c r="KA207" s="148"/>
      <c r="KB207" s="148"/>
      <c r="KC207" s="148"/>
      <c r="KD207" s="148"/>
      <c r="KE207" s="148"/>
      <c r="KF207" s="148"/>
      <c r="KG207" s="148"/>
      <c r="KH207" s="148"/>
      <c r="KI207" s="148"/>
      <c r="KJ207" s="148"/>
      <c r="KK207" s="148"/>
      <c r="KL207" s="148"/>
      <c r="KM207" s="148"/>
      <c r="KN207" s="148"/>
      <c r="KO207" s="148"/>
      <c r="KP207" s="148"/>
      <c r="KQ207" s="148"/>
      <c r="KR207" s="148"/>
      <c r="KS207" s="148"/>
    </row>
    <row r="208" spans="1:305" s="146" customFormat="1" ht="13.05" customHeight="1" x14ac:dyDescent="0.3">
      <c r="A208" s="540"/>
      <c r="B208" s="141"/>
      <c r="C208" s="149"/>
      <c r="D208" s="149"/>
      <c r="E208" s="149"/>
      <c r="F208" s="149"/>
      <c r="G208" s="150"/>
      <c r="J208" s="140"/>
      <c r="K208" s="147"/>
      <c r="L208" s="147"/>
      <c r="M208" s="147"/>
      <c r="N208" s="147"/>
      <c r="Q208" s="148"/>
      <c r="R208" s="148"/>
      <c r="S208" s="148"/>
      <c r="T208" s="148"/>
      <c r="U208" s="148"/>
      <c r="V208" s="148"/>
      <c r="W208" s="148"/>
      <c r="X208" s="148"/>
      <c r="Y208" s="148"/>
      <c r="Z208" s="148"/>
      <c r="AA208" s="148"/>
      <c r="AB208" s="148"/>
      <c r="AC208" s="148"/>
      <c r="AD208" s="148"/>
      <c r="AE208" s="148"/>
      <c r="AF208" s="148"/>
      <c r="AG208" s="148"/>
      <c r="AH208" s="148"/>
      <c r="AI208" s="148"/>
      <c r="AJ208" s="148"/>
      <c r="AK208" s="148"/>
      <c r="AL208" s="148"/>
      <c r="AM208" s="148"/>
      <c r="AN208" s="148"/>
      <c r="AO208" s="148"/>
      <c r="AP208" s="148"/>
      <c r="AQ208" s="148"/>
      <c r="AR208" s="148"/>
      <c r="AS208" s="148"/>
      <c r="AT208" s="148"/>
      <c r="AU208" s="148"/>
      <c r="AV208" s="148"/>
      <c r="AW208" s="148"/>
      <c r="AX208" s="148"/>
      <c r="AY208" s="148"/>
      <c r="AZ208" s="148"/>
      <c r="BA208" s="148"/>
      <c r="BB208" s="148"/>
      <c r="BC208" s="148"/>
      <c r="BD208" s="148"/>
      <c r="BE208" s="148"/>
      <c r="BF208" s="148"/>
      <c r="BG208" s="148"/>
      <c r="BH208" s="148"/>
      <c r="BI208" s="148"/>
      <c r="BJ208" s="148"/>
      <c r="BK208" s="148"/>
      <c r="BL208" s="148"/>
      <c r="BM208" s="148"/>
      <c r="BN208" s="148"/>
      <c r="BO208" s="148"/>
      <c r="BP208" s="148"/>
      <c r="BQ208" s="148"/>
      <c r="BR208" s="148"/>
      <c r="BS208" s="148"/>
      <c r="BT208" s="148"/>
      <c r="BU208" s="148"/>
      <c r="BV208" s="148"/>
      <c r="BW208" s="148"/>
      <c r="BX208" s="148"/>
      <c r="BY208" s="148"/>
      <c r="BZ208" s="148"/>
      <c r="CA208" s="148"/>
      <c r="CB208" s="148"/>
      <c r="CC208" s="148"/>
      <c r="CD208" s="148"/>
      <c r="CE208" s="148"/>
      <c r="CF208" s="148"/>
      <c r="CG208" s="148"/>
      <c r="CH208" s="148"/>
      <c r="CI208" s="148"/>
      <c r="CJ208" s="148"/>
      <c r="CK208" s="148"/>
      <c r="CL208" s="148"/>
      <c r="CM208" s="148"/>
      <c r="CN208" s="148"/>
      <c r="CO208" s="148"/>
      <c r="CP208" s="148"/>
      <c r="CQ208" s="148"/>
      <c r="CR208" s="148"/>
      <c r="CS208" s="148"/>
      <c r="CT208" s="148"/>
      <c r="CU208" s="148"/>
      <c r="CV208" s="148"/>
      <c r="CW208" s="148"/>
      <c r="CX208" s="148"/>
      <c r="CY208" s="148"/>
      <c r="CZ208" s="148"/>
      <c r="DA208" s="148"/>
      <c r="DB208" s="148"/>
      <c r="DC208" s="148"/>
      <c r="DD208" s="148"/>
      <c r="DE208" s="148"/>
      <c r="DF208" s="148"/>
      <c r="DG208" s="148"/>
      <c r="DH208" s="148"/>
      <c r="DI208" s="148"/>
      <c r="DJ208" s="148"/>
      <c r="DK208" s="148"/>
      <c r="DL208" s="148"/>
      <c r="DM208" s="148"/>
      <c r="DN208" s="148"/>
      <c r="DO208" s="148"/>
      <c r="DP208" s="148"/>
      <c r="DQ208" s="148"/>
      <c r="DR208" s="148"/>
      <c r="DS208" s="148"/>
      <c r="DT208" s="148"/>
      <c r="DU208" s="148"/>
      <c r="DV208" s="148"/>
      <c r="DW208" s="148"/>
      <c r="DX208" s="148"/>
      <c r="DY208" s="148"/>
      <c r="DZ208" s="148"/>
      <c r="EA208" s="148"/>
      <c r="EB208" s="148"/>
      <c r="EC208" s="148"/>
      <c r="ED208" s="148"/>
      <c r="EE208" s="148"/>
      <c r="EF208" s="148"/>
      <c r="EG208" s="148"/>
      <c r="EH208" s="148"/>
      <c r="EI208" s="148"/>
      <c r="EJ208" s="148"/>
      <c r="EK208" s="148"/>
      <c r="EL208" s="148"/>
      <c r="EM208" s="148"/>
      <c r="EN208" s="148"/>
      <c r="EO208" s="148"/>
      <c r="EP208" s="148"/>
      <c r="EQ208" s="148"/>
      <c r="ER208" s="148"/>
      <c r="ES208" s="148"/>
      <c r="ET208" s="148"/>
      <c r="EU208" s="148"/>
      <c r="EV208" s="148"/>
      <c r="EW208" s="148"/>
      <c r="EX208" s="148"/>
      <c r="EY208" s="148"/>
      <c r="EZ208" s="148"/>
      <c r="FA208" s="148"/>
      <c r="FB208" s="148"/>
      <c r="FC208" s="148"/>
      <c r="FD208" s="148"/>
      <c r="FE208" s="148"/>
      <c r="FF208" s="148"/>
      <c r="FG208" s="148"/>
      <c r="FH208" s="148"/>
      <c r="FI208" s="148"/>
      <c r="FJ208" s="148"/>
      <c r="FK208" s="148"/>
      <c r="FL208" s="148"/>
      <c r="FM208" s="148"/>
      <c r="FN208" s="148"/>
      <c r="FO208" s="148"/>
      <c r="FP208" s="148"/>
      <c r="FQ208" s="148"/>
      <c r="FR208" s="148"/>
      <c r="FS208" s="148"/>
      <c r="FT208" s="148"/>
      <c r="FU208" s="148"/>
      <c r="FV208" s="148"/>
      <c r="FW208" s="148"/>
      <c r="FX208" s="148"/>
      <c r="FY208" s="148"/>
      <c r="FZ208" s="148"/>
      <c r="GA208" s="148"/>
      <c r="GB208" s="148"/>
      <c r="GC208" s="148"/>
      <c r="GD208" s="148"/>
      <c r="GE208" s="148"/>
      <c r="GF208" s="148"/>
      <c r="GG208" s="148"/>
      <c r="GH208" s="148"/>
      <c r="GI208" s="148"/>
      <c r="GJ208" s="148"/>
      <c r="GK208" s="148"/>
      <c r="GL208" s="148"/>
      <c r="GM208" s="148"/>
      <c r="GN208" s="148"/>
      <c r="GO208" s="148"/>
      <c r="GP208" s="148"/>
      <c r="GQ208" s="148"/>
      <c r="GR208" s="148"/>
      <c r="GS208" s="148"/>
      <c r="GT208" s="148"/>
      <c r="GU208" s="148"/>
      <c r="GV208" s="148"/>
      <c r="GW208" s="148"/>
      <c r="GX208" s="148"/>
      <c r="GY208" s="148"/>
      <c r="GZ208" s="148"/>
      <c r="HA208" s="148"/>
      <c r="HB208" s="148"/>
      <c r="HC208" s="148"/>
      <c r="HD208" s="148"/>
      <c r="HE208" s="148"/>
      <c r="HF208" s="148"/>
      <c r="HG208" s="148"/>
      <c r="HH208" s="148"/>
      <c r="HI208" s="148"/>
      <c r="HJ208" s="148"/>
      <c r="HK208" s="148"/>
      <c r="HL208" s="148"/>
      <c r="HM208" s="148"/>
      <c r="HN208" s="148"/>
      <c r="HO208" s="148"/>
      <c r="HP208" s="148"/>
      <c r="HQ208" s="148"/>
      <c r="HR208" s="148"/>
      <c r="HS208" s="148"/>
      <c r="HT208" s="148"/>
      <c r="HU208" s="148"/>
      <c r="HV208" s="148"/>
      <c r="HW208" s="148"/>
      <c r="HX208" s="148"/>
      <c r="HY208" s="148"/>
      <c r="HZ208" s="148"/>
      <c r="IA208" s="148"/>
      <c r="IB208" s="148"/>
      <c r="IC208" s="148"/>
      <c r="ID208" s="148"/>
      <c r="IE208" s="148"/>
      <c r="IF208" s="148"/>
      <c r="IG208" s="148"/>
      <c r="IH208" s="148"/>
      <c r="II208" s="148"/>
      <c r="IJ208" s="148"/>
      <c r="IK208" s="148"/>
      <c r="IL208" s="148"/>
      <c r="IM208" s="148"/>
      <c r="IN208" s="148"/>
      <c r="IO208" s="148"/>
      <c r="IP208" s="148"/>
      <c r="IQ208" s="148"/>
      <c r="IR208" s="148"/>
      <c r="IS208" s="148"/>
      <c r="IT208" s="148"/>
      <c r="IU208" s="148"/>
      <c r="IV208" s="148"/>
      <c r="IW208" s="148"/>
      <c r="IX208" s="148"/>
      <c r="IY208" s="148"/>
      <c r="IZ208" s="148"/>
      <c r="JA208" s="148"/>
      <c r="JB208" s="148"/>
      <c r="JC208" s="148"/>
      <c r="JD208" s="148"/>
      <c r="JE208" s="148"/>
      <c r="JF208" s="148"/>
      <c r="JG208" s="148"/>
      <c r="JH208" s="148"/>
      <c r="JI208" s="148"/>
      <c r="JJ208" s="148"/>
      <c r="JK208" s="148"/>
      <c r="JL208" s="148"/>
      <c r="JM208" s="148"/>
      <c r="JN208" s="148"/>
      <c r="JO208" s="148"/>
      <c r="JP208" s="148"/>
      <c r="JQ208" s="148"/>
      <c r="JR208" s="148"/>
      <c r="JS208" s="148"/>
      <c r="JT208" s="148"/>
      <c r="JU208" s="148"/>
      <c r="JV208" s="148"/>
      <c r="JW208" s="148"/>
      <c r="JX208" s="148"/>
      <c r="JY208" s="148"/>
      <c r="JZ208" s="148"/>
      <c r="KA208" s="148"/>
      <c r="KB208" s="148"/>
      <c r="KC208" s="148"/>
      <c r="KD208" s="148"/>
      <c r="KE208" s="148"/>
      <c r="KF208" s="148"/>
      <c r="KG208" s="148"/>
      <c r="KH208" s="148"/>
      <c r="KI208" s="148"/>
      <c r="KJ208" s="148"/>
      <c r="KK208" s="148"/>
      <c r="KL208" s="148"/>
      <c r="KM208" s="148"/>
      <c r="KN208" s="148"/>
      <c r="KO208" s="148"/>
      <c r="KP208" s="148"/>
      <c r="KQ208" s="148"/>
      <c r="KR208" s="148"/>
      <c r="KS208" s="148"/>
    </row>
    <row r="209" spans="1:21" s="104" customFormat="1" x14ac:dyDescent="0.3"/>
    <row r="210" spans="1:21" s="104" customFormat="1" x14ac:dyDescent="0.3"/>
    <row r="211" spans="1:21" s="104" customFormat="1" x14ac:dyDescent="0.3">
      <c r="A211" s="547" t="s">
        <v>423</v>
      </c>
      <c r="B211" s="548"/>
      <c r="C211" s="548"/>
      <c r="D211" s="548"/>
      <c r="E211" s="548"/>
      <c r="F211" s="548"/>
      <c r="G211" s="549"/>
    </row>
    <row r="212" spans="1:21" s="104" customFormat="1" x14ac:dyDescent="0.3">
      <c r="A212" s="545" t="s">
        <v>376</v>
      </c>
      <c r="B212" s="546"/>
      <c r="C212" s="546"/>
      <c r="D212" s="546"/>
      <c r="E212" s="546"/>
      <c r="F212" s="546"/>
      <c r="G212" s="546"/>
      <c r="H212" s="546"/>
      <c r="I212" s="546"/>
      <c r="J212" s="546"/>
      <c r="K212" s="161"/>
    </row>
    <row r="213" spans="1:21" s="104" customFormat="1" x14ac:dyDescent="0.3">
      <c r="A213" s="546"/>
      <c r="B213" s="546"/>
      <c r="C213" s="546"/>
      <c r="D213" s="546"/>
      <c r="E213" s="546"/>
      <c r="F213" s="546"/>
      <c r="G213" s="546"/>
      <c r="H213" s="546"/>
      <c r="I213" s="546"/>
      <c r="J213" s="546"/>
      <c r="K213" s="161"/>
    </row>
    <row r="214" spans="1:21" s="104" customFormat="1" x14ac:dyDescent="0.3">
      <c r="A214" s="553" t="s">
        <v>375</v>
      </c>
      <c r="B214" s="554"/>
      <c r="C214" s="554"/>
      <c r="D214" s="554"/>
      <c r="E214" s="554"/>
      <c r="F214" s="554"/>
      <c r="G214" s="554"/>
      <c r="H214" s="554"/>
      <c r="I214" s="554"/>
      <c r="J214" s="554"/>
      <c r="K214" s="161"/>
    </row>
    <row r="215" spans="1:21" s="104" customFormat="1" x14ac:dyDescent="0.3">
      <c r="A215" s="554"/>
      <c r="B215" s="554"/>
      <c r="C215" s="554"/>
      <c r="D215" s="554"/>
      <c r="E215" s="554"/>
      <c r="F215" s="554"/>
      <c r="G215" s="554"/>
      <c r="H215" s="554"/>
      <c r="I215" s="554"/>
      <c r="J215" s="554"/>
      <c r="K215" s="161"/>
    </row>
    <row r="216" spans="1:21" s="104" customFormat="1" x14ac:dyDescent="0.3">
      <c r="A216" s="554"/>
      <c r="B216" s="554"/>
      <c r="C216" s="554"/>
      <c r="D216" s="554"/>
      <c r="E216" s="554"/>
      <c r="F216" s="554"/>
      <c r="G216" s="554"/>
      <c r="H216" s="554"/>
      <c r="I216" s="554"/>
      <c r="J216" s="554"/>
      <c r="K216" s="161"/>
    </row>
    <row r="217" spans="1:21" s="104" customFormat="1" x14ac:dyDescent="0.3">
      <c r="A217" s="545" t="s">
        <v>355</v>
      </c>
      <c r="B217" s="546"/>
      <c r="C217" s="546"/>
      <c r="D217" s="546"/>
      <c r="E217" s="546"/>
      <c r="F217" s="546"/>
      <c r="G217" s="546"/>
      <c r="H217" s="546"/>
      <c r="I217" s="546"/>
      <c r="J217" s="546"/>
    </row>
    <row r="218" spans="1:21" s="104" customFormat="1" x14ac:dyDescent="0.3">
      <c r="A218" s="546"/>
      <c r="B218" s="546"/>
      <c r="C218" s="546"/>
      <c r="D218" s="546"/>
      <c r="E218" s="546"/>
      <c r="F218" s="546"/>
      <c r="G218" s="546"/>
      <c r="H218" s="546"/>
      <c r="I218" s="546"/>
      <c r="J218" s="546"/>
    </row>
    <row r="219" spans="1:21" s="104" customFormat="1" x14ac:dyDescent="0.3">
      <c r="A219" s="546"/>
      <c r="B219" s="546"/>
      <c r="C219" s="546"/>
      <c r="D219" s="546"/>
      <c r="E219" s="546"/>
      <c r="F219" s="546"/>
      <c r="G219" s="546"/>
      <c r="H219" s="546"/>
      <c r="I219" s="546"/>
      <c r="J219" s="546"/>
    </row>
    <row r="220" spans="1:21" s="104" customFormat="1" x14ac:dyDescent="0.3">
      <c r="A220" s="546"/>
      <c r="B220" s="546"/>
      <c r="C220" s="546"/>
      <c r="D220" s="546"/>
      <c r="E220" s="546"/>
      <c r="F220" s="546"/>
      <c r="G220" s="546"/>
      <c r="H220" s="546"/>
      <c r="I220" s="546"/>
      <c r="J220" s="546"/>
    </row>
    <row r="221" spans="1:21" s="103" customFormat="1" ht="100.8" x14ac:dyDescent="0.3">
      <c r="A221" s="552" t="s">
        <v>333</v>
      </c>
      <c r="B221" s="543" t="s">
        <v>332</v>
      </c>
      <c r="C221" s="543" t="s">
        <v>337</v>
      </c>
      <c r="D221" s="543" t="s">
        <v>334</v>
      </c>
      <c r="E221" s="398" t="s">
        <v>344</v>
      </c>
      <c r="F221" s="543" t="s">
        <v>341</v>
      </c>
      <c r="G221" s="543" t="s">
        <v>354</v>
      </c>
      <c r="H221" s="543" t="s">
        <v>346</v>
      </c>
      <c r="I221" s="543" t="s">
        <v>360</v>
      </c>
      <c r="J221" s="543" t="s">
        <v>359</v>
      </c>
      <c r="K221" s="543" t="s">
        <v>356</v>
      </c>
      <c r="L221" s="541" t="s">
        <v>369</v>
      </c>
      <c r="M221" s="543" t="s">
        <v>462</v>
      </c>
      <c r="N221" s="543" t="s">
        <v>347</v>
      </c>
      <c r="O221" s="543" t="s">
        <v>345</v>
      </c>
      <c r="P221" s="543" t="s">
        <v>373</v>
      </c>
      <c r="Q221" s="543" t="s">
        <v>372</v>
      </c>
      <c r="R221" s="543" t="s">
        <v>370</v>
      </c>
      <c r="S221" s="543" t="s">
        <v>371</v>
      </c>
      <c r="T221" s="162"/>
      <c r="U221" s="162"/>
    </row>
    <row r="222" spans="1:21" s="103" customFormat="1" x14ac:dyDescent="0.3">
      <c r="A222" s="546"/>
      <c r="B222" s="544"/>
      <c r="C222" s="544"/>
      <c r="D222" s="544"/>
      <c r="E222" s="399">
        <f>(Calculations!D22+Calculations!D36-Inputs!C142-Inputs!C143)/Calculations!D10</f>
        <v>0</v>
      </c>
      <c r="F222" s="544"/>
      <c r="G222" s="544"/>
      <c r="H222" s="544"/>
      <c r="I222" s="544"/>
      <c r="J222" s="544"/>
      <c r="K222" s="544"/>
      <c r="L222" s="542"/>
      <c r="M222" s="544"/>
      <c r="N222" s="544"/>
      <c r="O222" s="544"/>
      <c r="P222" s="544"/>
      <c r="Q222" s="544"/>
      <c r="R222" s="544"/>
      <c r="S222" s="555"/>
      <c r="T222" s="162"/>
      <c r="U222" s="162"/>
    </row>
    <row r="223" spans="1:21" s="104" customFormat="1" x14ac:dyDescent="0.3">
      <c r="A223" s="104" t="str">
        <f>Inputs!A198</f>
        <v>placeholder1 (Lifeline)</v>
      </c>
      <c r="B223" s="400" t="e">
        <f>Calculations!D76</f>
        <v>#DIV/0!</v>
      </c>
      <c r="C223" s="401">
        <f>Inputs!C198</f>
        <v>0</v>
      </c>
      <c r="D223" s="400" t="e">
        <f>C223*B223</f>
        <v>#DIV/0!</v>
      </c>
      <c r="E223" s="400" t="e">
        <f>$E$222*Inputs!G198</f>
        <v>#VALUE!</v>
      </c>
      <c r="F223" s="402" t="e">
        <f>(B223-E223)/B223</f>
        <v>#DIV/0!</v>
      </c>
      <c r="G223" s="400" t="e">
        <f t="shared" ref="G223:G229" si="51">B223*(1-F223)</f>
        <v>#DIV/0!</v>
      </c>
      <c r="H223" s="400" t="e">
        <f>G223*C223</f>
        <v>#DIV/0!</v>
      </c>
      <c r="I223" s="400" t="e">
        <f>D223-H223</f>
        <v>#DIV/0!</v>
      </c>
      <c r="J223" s="403">
        <v>0.93</v>
      </c>
      <c r="K223" s="400" t="e">
        <f>I223*J223</f>
        <v>#DIV/0!</v>
      </c>
      <c r="L223" s="400" t="e">
        <f>K223/G223</f>
        <v>#DIV/0!</v>
      </c>
      <c r="M223" s="400" t="e">
        <f>C223+L223</f>
        <v>#DIV/0!</v>
      </c>
      <c r="N223" s="400" t="e">
        <f>M223/C223</f>
        <v>#DIV/0!</v>
      </c>
      <c r="O223" s="400" t="e">
        <f>M223*G223</f>
        <v>#DIV/0!</v>
      </c>
      <c r="P223" s="400">
        <f>Inputs!D198</f>
        <v>0</v>
      </c>
      <c r="Q223" s="400" t="e">
        <f>M223*Inputs!B198*12</f>
        <v>#DIV/0!</v>
      </c>
      <c r="R223" s="400"/>
      <c r="S223" s="404"/>
      <c r="T223" s="161"/>
      <c r="U223" s="161"/>
    </row>
    <row r="224" spans="1:21" s="104" customFormat="1" x14ac:dyDescent="0.3">
      <c r="A224" s="104" t="str">
        <f>Inputs!A199</f>
        <v>placeholder2 (Households)</v>
      </c>
      <c r="B224" s="400" t="e">
        <f>Calculations!D77</f>
        <v>#DIV/0!</v>
      </c>
      <c r="C224" s="401">
        <f>Inputs!C199</f>
        <v>0</v>
      </c>
      <c r="D224" s="400" t="e">
        <f t="shared" ref="D224:D229" si="52">C224*B224</f>
        <v>#DIV/0!</v>
      </c>
      <c r="E224" s="400" t="e">
        <f>$E$222*Inputs!G199</f>
        <v>#VALUE!</v>
      </c>
      <c r="F224" s="402" t="e">
        <f t="shared" ref="F224:F229" si="53">(B224-E224)/B224</f>
        <v>#DIV/0!</v>
      </c>
      <c r="G224" s="400" t="e">
        <f t="shared" si="51"/>
        <v>#DIV/0!</v>
      </c>
      <c r="H224" s="400" t="e">
        <f t="shared" ref="H224:H229" si="54">G224*C224</f>
        <v>#DIV/0!</v>
      </c>
      <c r="I224" s="400" t="e">
        <f t="shared" ref="I224:I229" si="55">D224-H224</f>
        <v>#DIV/0!</v>
      </c>
      <c r="J224" s="403">
        <v>0.93</v>
      </c>
      <c r="K224" s="400" t="e">
        <f t="shared" ref="K224:K229" si="56">I224*J224</f>
        <v>#DIV/0!</v>
      </c>
      <c r="L224" s="400" t="e">
        <f t="shared" ref="L224:L229" si="57">K224/G224</f>
        <v>#DIV/0!</v>
      </c>
      <c r="M224" s="400" t="e">
        <f t="shared" ref="M224:M229" si="58">C224+L224</f>
        <v>#DIV/0!</v>
      </c>
      <c r="N224" s="400" t="e">
        <f t="shared" ref="N224:N230" si="59">M224/C224</f>
        <v>#DIV/0!</v>
      </c>
      <c r="O224" s="400" t="e">
        <f t="shared" ref="O224:O229" si="60">M224*G224</f>
        <v>#DIV/0!</v>
      </c>
      <c r="P224" s="400">
        <f>Inputs!D199</f>
        <v>0</v>
      </c>
      <c r="Q224" s="400" t="e">
        <f>M224*Inputs!B199*12</f>
        <v>#DIV/0!</v>
      </c>
      <c r="R224" s="400"/>
      <c r="S224" s="404"/>
      <c r="T224" s="161"/>
      <c r="U224" s="161"/>
    </row>
    <row r="225" spans="1:21" s="104" customFormat="1" x14ac:dyDescent="0.3">
      <c r="A225" s="104" t="str">
        <f>Inputs!A200</f>
        <v>placeholder3 (Business basic shops for lighting)</v>
      </c>
      <c r="B225" s="400" t="e">
        <f>Calculations!D78</f>
        <v>#DIV/0!</v>
      </c>
      <c r="C225" s="401">
        <f>Inputs!C200</f>
        <v>0</v>
      </c>
      <c r="D225" s="400" t="e">
        <f t="shared" si="52"/>
        <v>#DIV/0!</v>
      </c>
      <c r="E225" s="400" t="e">
        <f>$E$222*Inputs!G200</f>
        <v>#VALUE!</v>
      </c>
      <c r="F225" s="402" t="e">
        <f t="shared" si="53"/>
        <v>#DIV/0!</v>
      </c>
      <c r="G225" s="400" t="e">
        <f t="shared" si="51"/>
        <v>#DIV/0!</v>
      </c>
      <c r="H225" s="400" t="e">
        <f t="shared" si="54"/>
        <v>#DIV/0!</v>
      </c>
      <c r="I225" s="400" t="e">
        <f t="shared" si="55"/>
        <v>#DIV/0!</v>
      </c>
      <c r="J225" s="403">
        <v>0.93</v>
      </c>
      <c r="K225" s="400" t="e">
        <f t="shared" si="56"/>
        <v>#DIV/0!</v>
      </c>
      <c r="L225" s="400" t="e">
        <f t="shared" si="57"/>
        <v>#DIV/0!</v>
      </c>
      <c r="M225" s="400" t="e">
        <f t="shared" si="58"/>
        <v>#DIV/0!</v>
      </c>
      <c r="N225" s="400" t="e">
        <f t="shared" si="59"/>
        <v>#DIV/0!</v>
      </c>
      <c r="O225" s="400" t="e">
        <f t="shared" si="60"/>
        <v>#DIV/0!</v>
      </c>
      <c r="P225" s="400">
        <f>Inputs!D200</f>
        <v>0</v>
      </c>
      <c r="Q225" s="400" t="e">
        <f>M225*Inputs!B200*12</f>
        <v>#DIV/0!</v>
      </c>
      <c r="R225" s="400"/>
      <c r="S225" s="404"/>
      <c r="T225" s="161"/>
      <c r="U225" s="161"/>
    </row>
    <row r="226" spans="1:21" s="104" customFormat="1" x14ac:dyDescent="0.3">
      <c r="A226" s="104" t="str">
        <f>Inputs!A201</f>
        <v>placeholder4 (Business with appliances like fridges, freezers, etc)</v>
      </c>
      <c r="B226" s="400" t="e">
        <f>Calculations!D79</f>
        <v>#DIV/0!</v>
      </c>
      <c r="C226" s="401">
        <f>Inputs!C201</f>
        <v>0</v>
      </c>
      <c r="D226" s="400" t="e">
        <f t="shared" si="52"/>
        <v>#DIV/0!</v>
      </c>
      <c r="E226" s="400" t="e">
        <f>$E$222*Inputs!G201</f>
        <v>#VALUE!</v>
      </c>
      <c r="F226" s="402" t="e">
        <f t="shared" si="53"/>
        <v>#DIV/0!</v>
      </c>
      <c r="G226" s="400" t="e">
        <f t="shared" si="51"/>
        <v>#DIV/0!</v>
      </c>
      <c r="H226" s="400" t="e">
        <f t="shared" si="54"/>
        <v>#DIV/0!</v>
      </c>
      <c r="I226" s="400" t="e">
        <f t="shared" si="55"/>
        <v>#DIV/0!</v>
      </c>
      <c r="J226" s="403">
        <v>0.93</v>
      </c>
      <c r="K226" s="400" t="e">
        <f t="shared" si="56"/>
        <v>#DIV/0!</v>
      </c>
      <c r="L226" s="400" t="e">
        <f t="shared" si="57"/>
        <v>#DIV/0!</v>
      </c>
      <c r="M226" s="400" t="e">
        <f t="shared" si="58"/>
        <v>#DIV/0!</v>
      </c>
      <c r="N226" s="400" t="e">
        <f t="shared" si="59"/>
        <v>#DIV/0!</v>
      </c>
      <c r="O226" s="400" t="e">
        <f t="shared" si="60"/>
        <v>#DIV/0!</v>
      </c>
      <c r="P226" s="400">
        <f>Inputs!D201</f>
        <v>0</v>
      </c>
      <c r="Q226" s="400" t="e">
        <f>M226*Inputs!B201*12</f>
        <v>#DIV/0!</v>
      </c>
      <c r="R226" s="400"/>
      <c r="S226" s="404"/>
      <c r="T226" s="161"/>
      <c r="U226" s="161"/>
    </row>
    <row r="227" spans="1:21" s="104" customFormat="1" x14ac:dyDescent="0.3">
      <c r="A227" s="104" t="str">
        <f>Inputs!A202</f>
        <v>placeholder5 (Anchor-Mines/Timber Mills/Procesors, Bank, etc)</v>
      </c>
      <c r="B227" s="400" t="e">
        <f>Calculations!D80</f>
        <v>#DIV/0!</v>
      </c>
      <c r="C227" s="401">
        <f>Inputs!C202</f>
        <v>0</v>
      </c>
      <c r="D227" s="400" t="e">
        <f t="shared" si="52"/>
        <v>#DIV/0!</v>
      </c>
      <c r="E227" s="400" t="e">
        <f>$E$222*Inputs!G202</f>
        <v>#VALUE!</v>
      </c>
      <c r="F227" s="402" t="e">
        <f t="shared" si="53"/>
        <v>#DIV/0!</v>
      </c>
      <c r="G227" s="400" t="e">
        <f t="shared" si="51"/>
        <v>#DIV/0!</v>
      </c>
      <c r="H227" s="400" t="e">
        <f t="shared" si="54"/>
        <v>#DIV/0!</v>
      </c>
      <c r="I227" s="400" t="e">
        <f t="shared" si="55"/>
        <v>#DIV/0!</v>
      </c>
      <c r="J227" s="403">
        <v>0.93</v>
      </c>
      <c r="K227" s="400" t="e">
        <f t="shared" si="56"/>
        <v>#DIV/0!</v>
      </c>
      <c r="L227" s="400" t="e">
        <f t="shared" si="57"/>
        <v>#DIV/0!</v>
      </c>
      <c r="M227" s="400" t="e">
        <f t="shared" si="58"/>
        <v>#DIV/0!</v>
      </c>
      <c r="N227" s="400" t="e">
        <f t="shared" si="59"/>
        <v>#DIV/0!</v>
      </c>
      <c r="O227" s="400" t="e">
        <f t="shared" si="60"/>
        <v>#DIV/0!</v>
      </c>
      <c r="P227" s="400">
        <f>Inputs!D202</f>
        <v>0</v>
      </c>
      <c r="Q227" s="400" t="e">
        <f>M227*Inputs!B202*12</f>
        <v>#DIV/0!</v>
      </c>
      <c r="R227" s="400"/>
      <c r="S227" s="404"/>
      <c r="T227" s="161"/>
      <c r="U227" s="161"/>
    </row>
    <row r="228" spans="1:21" s="104" customFormat="1" x14ac:dyDescent="0.3">
      <c r="A228" s="104" t="str">
        <f>Inputs!A203</f>
        <v>placeholder6 (Institutions – schools, health centres, admin centres, etc)</v>
      </c>
      <c r="B228" s="400" t="e">
        <f>Calculations!D81</f>
        <v>#DIV/0!</v>
      </c>
      <c r="C228" s="401">
        <f>Inputs!C203</f>
        <v>0</v>
      </c>
      <c r="D228" s="400" t="e">
        <f t="shared" si="52"/>
        <v>#DIV/0!</v>
      </c>
      <c r="E228" s="400" t="e">
        <f>$E$222*Inputs!G203</f>
        <v>#VALUE!</v>
      </c>
      <c r="F228" s="402" t="e">
        <f t="shared" si="53"/>
        <v>#DIV/0!</v>
      </c>
      <c r="G228" s="400" t="e">
        <f t="shared" si="51"/>
        <v>#DIV/0!</v>
      </c>
      <c r="H228" s="400" t="e">
        <f t="shared" si="54"/>
        <v>#DIV/0!</v>
      </c>
      <c r="I228" s="400" t="e">
        <f t="shared" si="55"/>
        <v>#DIV/0!</v>
      </c>
      <c r="J228" s="403">
        <v>0.93</v>
      </c>
      <c r="K228" s="400" t="e">
        <f t="shared" si="56"/>
        <v>#DIV/0!</v>
      </c>
      <c r="L228" s="400" t="e">
        <f t="shared" si="57"/>
        <v>#DIV/0!</v>
      </c>
      <c r="M228" s="400" t="e">
        <f t="shared" si="58"/>
        <v>#DIV/0!</v>
      </c>
      <c r="N228" s="400" t="e">
        <f t="shared" si="59"/>
        <v>#DIV/0!</v>
      </c>
      <c r="O228" s="400" t="e">
        <f t="shared" si="60"/>
        <v>#DIV/0!</v>
      </c>
      <c r="P228" s="400">
        <f>Inputs!D203</f>
        <v>0</v>
      </c>
      <c r="Q228" s="400" t="e">
        <f>M228*Inputs!B203*12</f>
        <v>#DIV/0!</v>
      </c>
      <c r="R228" s="400"/>
      <c r="S228" s="404"/>
      <c r="T228" s="161"/>
      <c r="U228" s="161"/>
    </row>
    <row r="229" spans="1:21" s="104" customFormat="1" x14ac:dyDescent="0.3">
      <c r="A229" s="104" t="str">
        <f>Inputs!A204</f>
        <v>placeholder7 (Street lighting)</v>
      </c>
      <c r="B229" s="400" t="e">
        <f>Calculations!D82</f>
        <v>#DIV/0!</v>
      </c>
      <c r="C229" s="401">
        <f>Inputs!C204</f>
        <v>0</v>
      </c>
      <c r="D229" s="400" t="e">
        <f t="shared" si="52"/>
        <v>#DIV/0!</v>
      </c>
      <c r="E229" s="400" t="e">
        <f>$E$222*Inputs!G204</f>
        <v>#VALUE!</v>
      </c>
      <c r="F229" s="402" t="e">
        <f t="shared" si="53"/>
        <v>#DIV/0!</v>
      </c>
      <c r="G229" s="400" t="e">
        <f t="shared" si="51"/>
        <v>#DIV/0!</v>
      </c>
      <c r="H229" s="400" t="e">
        <f t="shared" si="54"/>
        <v>#DIV/0!</v>
      </c>
      <c r="I229" s="400" t="e">
        <f t="shared" si="55"/>
        <v>#DIV/0!</v>
      </c>
      <c r="J229" s="403">
        <v>0.93</v>
      </c>
      <c r="K229" s="400" t="e">
        <f t="shared" si="56"/>
        <v>#DIV/0!</v>
      </c>
      <c r="L229" s="400" t="e">
        <f t="shared" si="57"/>
        <v>#DIV/0!</v>
      </c>
      <c r="M229" s="400" t="e">
        <f t="shared" si="58"/>
        <v>#DIV/0!</v>
      </c>
      <c r="N229" s="400" t="e">
        <f t="shared" si="59"/>
        <v>#DIV/0!</v>
      </c>
      <c r="O229" s="400" t="e">
        <f t="shared" si="60"/>
        <v>#DIV/0!</v>
      </c>
      <c r="P229" s="400">
        <f>Inputs!D204</f>
        <v>0</v>
      </c>
      <c r="Q229" s="400" t="e">
        <f>M229*Inputs!B204*12</f>
        <v>#DIV/0!</v>
      </c>
      <c r="R229" s="400"/>
      <c r="S229" s="404"/>
      <c r="T229" s="161"/>
      <c r="U229" s="161"/>
    </row>
    <row r="230" spans="1:21" s="104" customFormat="1" x14ac:dyDescent="0.3">
      <c r="A230" s="405" t="s">
        <v>374</v>
      </c>
      <c r="B230" s="406" t="e">
        <f>AVERAGE(B223:B229)</f>
        <v>#DIV/0!</v>
      </c>
      <c r="C230" s="407" t="e">
        <f>Inputs!C205/Inputs!B205</f>
        <v>#DIV/0!</v>
      </c>
      <c r="D230" s="406" t="e">
        <f>B230*C230</f>
        <v>#DIV/0!</v>
      </c>
      <c r="E230" s="406" t="e">
        <f>AVERAGE(E223:E229)</f>
        <v>#VALUE!</v>
      </c>
      <c r="F230" s="408" t="e">
        <f>AVERAGE(F223:F229)</f>
        <v>#DIV/0!</v>
      </c>
      <c r="G230" s="406" t="e">
        <f>AVERAGE(G223:G229)</f>
        <v>#DIV/0!</v>
      </c>
      <c r="H230" s="406"/>
      <c r="I230" s="406"/>
      <c r="J230" s="406">
        <f>AVERAGE(J223:J229)</f>
        <v>0.92999999999999994</v>
      </c>
      <c r="K230" s="409"/>
      <c r="L230" s="410" t="e">
        <f>AVERAGE(L223:L229)</f>
        <v>#DIV/0!</v>
      </c>
      <c r="M230" s="406" t="e">
        <f>SUM(M223:M229)/Inputs!B205</f>
        <v>#DIV/0!</v>
      </c>
      <c r="N230" s="406" t="e">
        <f t="shared" si="59"/>
        <v>#DIV/0!</v>
      </c>
      <c r="O230" s="406" t="e">
        <f>M230*G230</f>
        <v>#DIV/0!</v>
      </c>
      <c r="P230" s="406">
        <f>SUM(P223:P229)</f>
        <v>0</v>
      </c>
      <c r="Q230" s="406" t="e">
        <f>SUM(Q223:Q229)</f>
        <v>#DIV/0!</v>
      </c>
      <c r="R230" s="406">
        <f>Calculations!D12</f>
        <v>375688.36800000002</v>
      </c>
      <c r="S230" s="411" t="e">
        <f>R230-Q230</f>
        <v>#DIV/0!</v>
      </c>
    </row>
    <row r="231" spans="1:21" s="104" customFormat="1" x14ac:dyDescent="0.3">
      <c r="B231" s="161"/>
      <c r="C231" s="161"/>
      <c r="D231" s="161"/>
      <c r="E231" s="161"/>
      <c r="F231" s="161"/>
      <c r="G231" s="161"/>
      <c r="H231" s="161"/>
      <c r="I231" s="161"/>
      <c r="J231" s="161"/>
      <c r="K231" s="161"/>
      <c r="S231" s="163" t="e">
        <f>S230/SUM(M223:M229)</f>
        <v>#DIV/0!</v>
      </c>
    </row>
    <row r="232" spans="1:21" s="104" customFormat="1" x14ac:dyDescent="0.3">
      <c r="A232" s="550" t="s">
        <v>338</v>
      </c>
      <c r="B232" s="551"/>
      <c r="C232" s="551"/>
      <c r="D232" s="161"/>
      <c r="E232" s="161"/>
      <c r="F232" s="161"/>
      <c r="G232" s="161"/>
      <c r="H232" s="161"/>
      <c r="I232" s="161"/>
      <c r="J232" s="161"/>
      <c r="K232" s="161"/>
    </row>
    <row r="233" spans="1:21" s="104" customFormat="1" x14ac:dyDescent="0.3">
      <c r="A233" s="412"/>
      <c r="B233" s="29" t="s">
        <v>49</v>
      </c>
      <c r="C233" s="29" t="s">
        <v>188</v>
      </c>
      <c r="D233" s="161"/>
      <c r="E233" s="161"/>
      <c r="F233" s="161"/>
      <c r="G233" s="161"/>
      <c r="H233" s="161"/>
      <c r="I233" s="161"/>
      <c r="J233" s="161"/>
      <c r="K233" s="161"/>
    </row>
    <row r="234" spans="1:21" s="104" customFormat="1" x14ac:dyDescent="0.3">
      <c r="A234" s="413" t="s">
        <v>336</v>
      </c>
      <c r="B234" s="414"/>
      <c r="C234" s="415">
        <f>C59</f>
        <v>-267500</v>
      </c>
      <c r="D234" s="161"/>
      <c r="E234" s="161"/>
      <c r="F234" s="161"/>
      <c r="G234" s="161"/>
      <c r="H234" s="161"/>
      <c r="I234" s="161"/>
      <c r="J234" s="161"/>
      <c r="K234" s="161"/>
    </row>
    <row r="235" spans="1:21" s="104" customFormat="1" x14ac:dyDescent="0.3">
      <c r="A235" s="413" t="s">
        <v>335</v>
      </c>
      <c r="B235" s="414" t="str">
        <f>Inputs!B156</f>
        <v>US$</v>
      </c>
      <c r="C235" s="415" t="e">
        <f>F230*SUM(Calculations!D37:H37)</f>
        <v>#DIV/0!</v>
      </c>
      <c r="D235" s="104" t="s">
        <v>342</v>
      </c>
      <c r="E235" s="161"/>
      <c r="F235" s="161"/>
      <c r="G235" s="161"/>
      <c r="H235" s="161"/>
      <c r="I235" s="161"/>
      <c r="J235" s="161"/>
      <c r="K235" s="161"/>
    </row>
    <row r="236" spans="1:21" s="104" customFormat="1" x14ac:dyDescent="0.3">
      <c r="B236" s="161"/>
      <c r="C236" s="161"/>
      <c r="D236" s="161"/>
      <c r="E236" s="161"/>
      <c r="F236" s="161"/>
      <c r="G236" s="161"/>
      <c r="H236" s="161"/>
      <c r="I236" s="161"/>
      <c r="J236" s="161"/>
      <c r="K236" s="161"/>
    </row>
    <row r="237" spans="1:21" x14ac:dyDescent="0.3">
      <c r="A237" s="164" t="s">
        <v>368</v>
      </c>
      <c r="B237" s="161"/>
      <c r="C237" s="161"/>
      <c r="D237" s="161"/>
      <c r="E237" s="161"/>
      <c r="F237" s="161"/>
      <c r="G237" s="161"/>
      <c r="H237" s="161"/>
      <c r="I237" s="161"/>
      <c r="J237" s="161"/>
      <c r="K237" s="161"/>
    </row>
    <row r="238" spans="1:21" x14ac:dyDescent="0.3">
      <c r="A238" s="22" t="s">
        <v>352</v>
      </c>
      <c r="B238" s="161"/>
      <c r="C238" s="161"/>
      <c r="D238" s="161"/>
      <c r="E238" s="161"/>
      <c r="F238" s="161"/>
      <c r="G238" s="161"/>
      <c r="H238" s="161"/>
      <c r="I238" s="161"/>
      <c r="J238" s="161"/>
      <c r="K238" s="161"/>
    </row>
    <row r="239" spans="1:21" x14ac:dyDescent="0.3">
      <c r="A239" s="22" t="s">
        <v>340</v>
      </c>
    </row>
    <row r="240" spans="1:21" x14ac:dyDescent="0.3">
      <c r="A240" s="22" t="s">
        <v>339</v>
      </c>
    </row>
    <row r="241" spans="1:1" x14ac:dyDescent="0.3">
      <c r="A241" s="22" t="s">
        <v>353</v>
      </c>
    </row>
    <row r="242" spans="1:1" x14ac:dyDescent="0.3">
      <c r="A242" s="22" t="s">
        <v>343</v>
      </c>
    </row>
    <row r="243" spans="1:1" x14ac:dyDescent="0.3">
      <c r="A243" s="22" t="s">
        <v>351</v>
      </c>
    </row>
    <row r="244" spans="1:1" x14ac:dyDescent="0.3">
      <c r="A244" s="22" t="s">
        <v>348</v>
      </c>
    </row>
    <row r="245" spans="1:1" x14ac:dyDescent="0.3">
      <c r="A245" s="22" t="s">
        <v>349</v>
      </c>
    </row>
    <row r="246" spans="1:1" x14ac:dyDescent="0.3">
      <c r="A246" s="160" t="s">
        <v>357</v>
      </c>
    </row>
    <row r="247" spans="1:1" x14ac:dyDescent="0.3">
      <c r="A247" s="22" t="s">
        <v>358</v>
      </c>
    </row>
    <row r="248" spans="1:1" x14ac:dyDescent="0.3">
      <c r="A248" s="22" t="s">
        <v>367</v>
      </c>
    </row>
  </sheetData>
  <sheetProtection algorithmName="SHA-512" hashValue="8MAO241+hkZPaMbu83DL7AsmAlG5RcL70sYvebSxR4yOhVQ1lwUOItvJTWnkrhfQDqUNJKYo44JrPzM36DRiPQ==" saltValue="jOa4W6XFe9E11uRdfoAPtQ==" spinCount="100000" sheet="1" formatCells="0" formatColumns="0" formatRows="0"/>
  <mergeCells count="53">
    <mergeCell ref="A190:A191"/>
    <mergeCell ref="A168:A169"/>
    <mergeCell ref="A170:A171"/>
    <mergeCell ref="A178:A179"/>
    <mergeCell ref="A180:A181"/>
    <mergeCell ref="A182:A183"/>
    <mergeCell ref="S221:S222"/>
    <mergeCell ref="A19:A20"/>
    <mergeCell ref="A7:A8"/>
    <mergeCell ref="A9:A10"/>
    <mergeCell ref="A11:A12"/>
    <mergeCell ref="A13:A14"/>
    <mergeCell ref="A15:A16"/>
    <mergeCell ref="A17:A18"/>
    <mergeCell ref="A158:A159"/>
    <mergeCell ref="A160:A161"/>
    <mergeCell ref="A162:A163"/>
    <mergeCell ref="A164:A165"/>
    <mergeCell ref="A166:A167"/>
    <mergeCell ref="A184:A185"/>
    <mergeCell ref="A186:A187"/>
    <mergeCell ref="A188:A189"/>
    <mergeCell ref="A212:J213"/>
    <mergeCell ref="A193:G193"/>
    <mergeCell ref="A211:G211"/>
    <mergeCell ref="A232:C232"/>
    <mergeCell ref="B221:B222"/>
    <mergeCell ref="C221:C222"/>
    <mergeCell ref="D221:D222"/>
    <mergeCell ref="A221:A222"/>
    <mergeCell ref="F221:F222"/>
    <mergeCell ref="J221:J222"/>
    <mergeCell ref="A214:J215"/>
    <mergeCell ref="A216:J216"/>
    <mergeCell ref="A217:J220"/>
    <mergeCell ref="G221:G222"/>
    <mergeCell ref="H221:H222"/>
    <mergeCell ref="I221:I222"/>
    <mergeCell ref="L221:L222"/>
    <mergeCell ref="M221:M222"/>
    <mergeCell ref="K221:K222"/>
    <mergeCell ref="R221:R222"/>
    <mergeCell ref="Q221:Q222"/>
    <mergeCell ref="P221:P222"/>
    <mergeCell ref="N221:N222"/>
    <mergeCell ref="O221:O222"/>
    <mergeCell ref="A205:A206"/>
    <mergeCell ref="A207:A208"/>
    <mergeCell ref="A195:A196"/>
    <mergeCell ref="A197:A198"/>
    <mergeCell ref="A199:A200"/>
    <mergeCell ref="A201:A202"/>
    <mergeCell ref="A203:A204"/>
  </mergeCells>
  <dataValidations count="1">
    <dataValidation type="list" allowBlank="1" showInputMessage="1" showErrorMessage="1" sqref="A194 A157 A177 A6" xr:uid="{70BE41C2-C66B-4D33-B409-9C897FE8A1B6}">
      <formula1>"kWh/PAYG/Energy-based tariff,Tariffs is a % of some base tariff,Flat rate tariff (Revenues/No. of Customers),Fixed charge+kWh charge tariff,LCOE,Time of Use(ToU) tariff,Power/Load-based tariff,Other-please specify"</formula1>
    </dataValidation>
  </dataValidations>
  <pageMargins left="0.70866141732283472" right="0.70866141732283472" top="0.74803149606299213" bottom="0.74803149606299213" header="0.31496062992125984" footer="0.31496062992125984"/>
  <pageSetup fitToHeight="0" orientation="landscape" horizontalDpi="4294967295" verticalDpi="4294967295" r:id="rId1"/>
  <rowBreaks count="5" manualBreakCount="5">
    <brk id="48" max="16383" man="1"/>
    <brk id="81" max="16383" man="1"/>
    <brk id="108" max="16383" man="1"/>
    <brk id="134" max="16383" man="1"/>
    <brk id="154" max="16383" man="1"/>
  </rowBreaks>
  <ignoredErrors>
    <ignoredError sqref="B20 B8 B10 B18 B16 B14 B12 B9 B13 B15 B17 B19 B11 M230 D54:G54" formula="1"/>
    <ignoredError sqref="C137" evalError="1"/>
  </ignoredError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A7E38-FEE0-4827-84CB-0369D4394106}">
  <dimension ref="A1:BL270"/>
  <sheetViews>
    <sheetView workbookViewId="0">
      <pane xSplit="2" ySplit="4" topLeftCell="C5" activePane="bottomRight" state="frozen"/>
      <selection pane="topRight" activeCell="C1" sqref="C1"/>
      <selection pane="bottomLeft" activeCell="A5" sqref="A5"/>
      <selection pane="bottomRight" activeCell="P14" sqref="P14"/>
    </sheetView>
  </sheetViews>
  <sheetFormatPr defaultColWidth="9.21875" defaultRowHeight="14.4" x14ac:dyDescent="0.3"/>
  <cols>
    <col min="1" max="1" width="54.21875" style="22" customWidth="1"/>
    <col min="2" max="2" width="10.21875" style="33" bestFit="1" customWidth="1"/>
    <col min="3" max="3" width="11.77734375" style="22" bestFit="1" customWidth="1"/>
    <col min="4" max="9" width="12" style="22" bestFit="1" customWidth="1"/>
    <col min="10" max="10" width="12" style="34" bestFit="1" customWidth="1"/>
    <col min="11" max="22" width="12" style="22" bestFit="1" customWidth="1"/>
    <col min="23" max="23" width="2.21875" style="22" bestFit="1" customWidth="1"/>
    <col min="24" max="24" width="10.33203125" style="22" bestFit="1" customWidth="1"/>
    <col min="25" max="25" width="91.44140625" style="22" bestFit="1" customWidth="1"/>
    <col min="26" max="16384" width="9.21875" style="22"/>
  </cols>
  <sheetData>
    <row r="1" spans="1:64" ht="18" x14ac:dyDescent="0.35">
      <c r="A1" s="20" t="s">
        <v>420</v>
      </c>
      <c r="B1" s="417"/>
      <c r="C1" s="21"/>
      <c r="D1" s="24"/>
    </row>
    <row r="2" spans="1:64" x14ac:dyDescent="0.3">
      <c r="A2" s="24"/>
      <c r="B2" s="417"/>
      <c r="C2" s="418" t="s">
        <v>51</v>
      </c>
      <c r="D2" s="24"/>
    </row>
    <row r="3" spans="1:64" s="26" customFormat="1" ht="15.6" x14ac:dyDescent="0.3">
      <c r="A3" s="25" t="s">
        <v>134</v>
      </c>
      <c r="B3" s="419"/>
      <c r="C3" s="418" t="s">
        <v>53</v>
      </c>
      <c r="D3" s="418" t="s">
        <v>54</v>
      </c>
      <c r="E3" s="418" t="s">
        <v>55</v>
      </c>
      <c r="F3" s="418" t="s">
        <v>56</v>
      </c>
      <c r="G3" s="418" t="s">
        <v>57</v>
      </c>
      <c r="H3" s="418" t="s">
        <v>58</v>
      </c>
      <c r="I3" s="418" t="s">
        <v>59</v>
      </c>
      <c r="J3" s="418" t="s">
        <v>60</v>
      </c>
      <c r="K3" s="418" t="s">
        <v>61</v>
      </c>
      <c r="L3" s="418" t="s">
        <v>62</v>
      </c>
      <c r="M3" s="418" t="s">
        <v>63</v>
      </c>
      <c r="N3" s="418" t="s">
        <v>64</v>
      </c>
      <c r="O3" s="418" t="s">
        <v>65</v>
      </c>
      <c r="P3" s="418" t="s">
        <v>66</v>
      </c>
      <c r="Q3" s="418" t="s">
        <v>67</v>
      </c>
      <c r="R3" s="418" t="s">
        <v>68</v>
      </c>
      <c r="S3" s="418" t="s">
        <v>69</v>
      </c>
      <c r="T3" s="418" t="s">
        <v>70</v>
      </c>
      <c r="U3" s="418" t="s">
        <v>71</v>
      </c>
      <c r="V3" s="418" t="s">
        <v>72</v>
      </c>
      <c r="W3" s="418"/>
      <c r="X3" s="418" t="s">
        <v>77</v>
      </c>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c r="AY3" s="27"/>
      <c r="AZ3" s="27"/>
      <c r="BA3" s="27"/>
      <c r="BB3" s="27"/>
      <c r="BC3" s="27"/>
      <c r="BD3" s="27"/>
      <c r="BE3" s="27"/>
      <c r="BF3" s="27"/>
      <c r="BG3" s="27"/>
      <c r="BH3" s="27"/>
      <c r="BI3" s="27"/>
      <c r="BJ3" s="27"/>
      <c r="BK3" s="27"/>
      <c r="BL3" s="27"/>
    </row>
    <row r="4" spans="1:64" x14ac:dyDescent="0.3">
      <c r="A4" s="29"/>
      <c r="B4" s="29" t="s">
        <v>49</v>
      </c>
      <c r="C4" s="41" t="s">
        <v>51</v>
      </c>
      <c r="D4" s="34"/>
      <c r="E4" s="34"/>
      <c r="F4" s="34"/>
      <c r="G4" s="34"/>
      <c r="H4" s="34"/>
      <c r="I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row>
    <row r="5" spans="1:64" x14ac:dyDescent="0.3">
      <c r="A5" s="32" t="s">
        <v>117</v>
      </c>
      <c r="B5" s="4" t="s">
        <v>234</v>
      </c>
      <c r="C5" s="3"/>
      <c r="D5" s="3"/>
      <c r="E5" s="3"/>
      <c r="F5" s="3"/>
      <c r="G5" s="3"/>
      <c r="H5" s="3"/>
      <c r="I5" s="3"/>
      <c r="J5" s="3"/>
      <c r="K5" s="3"/>
      <c r="L5" s="3"/>
      <c r="M5" s="3"/>
      <c r="N5" s="3"/>
      <c r="O5" s="3"/>
      <c r="P5" s="3"/>
      <c r="Q5" s="3"/>
      <c r="R5" s="3"/>
      <c r="S5" s="3"/>
      <c r="T5" s="3"/>
      <c r="U5" s="3"/>
      <c r="V5" s="3"/>
      <c r="W5" s="34"/>
      <c r="X5" s="7">
        <f>SUM(C5:V5)</f>
        <v>0</v>
      </c>
      <c r="Z5" s="34"/>
      <c r="AA5" s="34"/>
      <c r="AB5" s="34"/>
      <c r="AC5" s="34"/>
      <c r="AD5" s="34"/>
      <c r="AE5" s="33"/>
      <c r="AF5" s="33"/>
      <c r="AG5" s="33"/>
      <c r="AH5" s="34"/>
      <c r="AI5" s="34"/>
      <c r="AJ5" s="34"/>
      <c r="AK5" s="34"/>
      <c r="AL5" s="34"/>
      <c r="AM5" s="34"/>
      <c r="AN5" s="34"/>
      <c r="AO5" s="34"/>
      <c r="AP5" s="34"/>
      <c r="AQ5" s="34"/>
    </row>
    <row r="6" spans="1:64" x14ac:dyDescent="0.3">
      <c r="A6" s="32" t="s">
        <v>236</v>
      </c>
      <c r="B6" s="4" t="s">
        <v>87</v>
      </c>
      <c r="C6" s="105">
        <f>365*24</f>
        <v>8760</v>
      </c>
      <c r="D6" s="105">
        <f t="shared" ref="D6:X6" si="0">365*24</f>
        <v>8760</v>
      </c>
      <c r="E6" s="105">
        <f t="shared" si="0"/>
        <v>8760</v>
      </c>
      <c r="F6" s="105">
        <f t="shared" si="0"/>
        <v>8760</v>
      </c>
      <c r="G6" s="105">
        <f t="shared" si="0"/>
        <v>8760</v>
      </c>
      <c r="H6" s="105">
        <f t="shared" si="0"/>
        <v>8760</v>
      </c>
      <c r="I6" s="105">
        <f t="shared" si="0"/>
        <v>8760</v>
      </c>
      <c r="J6" s="105">
        <f t="shared" si="0"/>
        <v>8760</v>
      </c>
      <c r="K6" s="105">
        <f t="shared" si="0"/>
        <v>8760</v>
      </c>
      <c r="L6" s="105">
        <f t="shared" si="0"/>
        <v>8760</v>
      </c>
      <c r="M6" s="105">
        <f t="shared" si="0"/>
        <v>8760</v>
      </c>
      <c r="N6" s="105">
        <f t="shared" si="0"/>
        <v>8760</v>
      </c>
      <c r="O6" s="105">
        <f t="shared" si="0"/>
        <v>8760</v>
      </c>
      <c r="P6" s="105">
        <f t="shared" si="0"/>
        <v>8760</v>
      </c>
      <c r="Q6" s="105">
        <f t="shared" si="0"/>
        <v>8760</v>
      </c>
      <c r="R6" s="105">
        <f t="shared" si="0"/>
        <v>8760</v>
      </c>
      <c r="S6" s="105">
        <f t="shared" si="0"/>
        <v>8760</v>
      </c>
      <c r="T6" s="105">
        <f t="shared" si="0"/>
        <v>8760</v>
      </c>
      <c r="U6" s="105">
        <f t="shared" si="0"/>
        <v>8760</v>
      </c>
      <c r="V6" s="105">
        <f t="shared" si="0"/>
        <v>8760</v>
      </c>
      <c r="W6"/>
      <c r="X6" s="105">
        <f t="shared" si="0"/>
        <v>8760</v>
      </c>
      <c r="AE6" s="23"/>
      <c r="AF6" s="23"/>
      <c r="AG6" s="23"/>
    </row>
    <row r="7" spans="1:64" x14ac:dyDescent="0.3">
      <c r="A7" s="32" t="s">
        <v>84</v>
      </c>
      <c r="B7" s="4" t="s">
        <v>85</v>
      </c>
      <c r="C7" s="5"/>
      <c r="D7" s="5"/>
      <c r="E7" s="5"/>
      <c r="F7" s="5"/>
      <c r="G7" s="5"/>
      <c r="H7" s="5"/>
      <c r="I7" s="5"/>
      <c r="J7" s="5"/>
      <c r="K7" s="5"/>
      <c r="L7" s="5"/>
      <c r="M7" s="5"/>
      <c r="N7" s="5"/>
      <c r="O7" s="5"/>
      <c r="P7" s="5"/>
      <c r="Q7" s="5"/>
      <c r="R7" s="5"/>
      <c r="S7" s="5"/>
      <c r="T7" s="5"/>
      <c r="U7" s="5"/>
      <c r="V7" s="5"/>
      <c r="W7" s="34"/>
      <c r="X7" s="416" t="e">
        <f>SUMPRODUCT(C5:V5,C7:V7)/SUM(C5:V5)</f>
        <v>#DIV/0!</v>
      </c>
      <c r="Y7" s="22" t="s">
        <v>252</v>
      </c>
      <c r="Z7" s="34"/>
      <c r="AA7" s="34"/>
      <c r="AB7" s="34"/>
      <c r="AC7" s="34"/>
      <c r="AD7" s="34"/>
      <c r="AE7" s="33"/>
      <c r="AF7" s="33"/>
      <c r="AG7" s="33"/>
      <c r="AH7" s="34"/>
      <c r="AI7" s="34"/>
      <c r="AJ7" s="34"/>
      <c r="AK7" s="34"/>
      <c r="AL7" s="34"/>
      <c r="AM7" s="34"/>
      <c r="AN7" s="34"/>
      <c r="AO7" s="34"/>
      <c r="AP7" s="34"/>
      <c r="AQ7" s="34"/>
    </row>
    <row r="8" spans="1:64" x14ac:dyDescent="0.3">
      <c r="A8" s="32" t="s">
        <v>235</v>
      </c>
      <c r="B8" s="4" t="s">
        <v>88</v>
      </c>
      <c r="C8" s="105">
        <f>IF($B$5="kWp",C5*C6*C7,C5*C6*C7*1000)</f>
        <v>0</v>
      </c>
      <c r="D8" s="105">
        <f t="shared" ref="D8:V8" si="1">IF($B$5="kWp",D5*D6*D7,D5*D6*D7*1000)</f>
        <v>0</v>
      </c>
      <c r="E8" s="105">
        <f t="shared" si="1"/>
        <v>0</v>
      </c>
      <c r="F8" s="105">
        <f t="shared" si="1"/>
        <v>0</v>
      </c>
      <c r="G8" s="105">
        <f t="shared" si="1"/>
        <v>0</v>
      </c>
      <c r="H8" s="105">
        <f t="shared" si="1"/>
        <v>0</v>
      </c>
      <c r="I8" s="105">
        <f t="shared" si="1"/>
        <v>0</v>
      </c>
      <c r="J8" s="105">
        <f t="shared" si="1"/>
        <v>0</v>
      </c>
      <c r="K8" s="105">
        <f t="shared" si="1"/>
        <v>0</v>
      </c>
      <c r="L8" s="105">
        <f t="shared" si="1"/>
        <v>0</v>
      </c>
      <c r="M8" s="105">
        <f t="shared" si="1"/>
        <v>0</v>
      </c>
      <c r="N8" s="105">
        <f t="shared" si="1"/>
        <v>0</v>
      </c>
      <c r="O8" s="105">
        <f t="shared" si="1"/>
        <v>0</v>
      </c>
      <c r="P8" s="105">
        <f t="shared" si="1"/>
        <v>0</v>
      </c>
      <c r="Q8" s="105">
        <f t="shared" si="1"/>
        <v>0</v>
      </c>
      <c r="R8" s="105">
        <f t="shared" si="1"/>
        <v>0</v>
      </c>
      <c r="S8" s="105">
        <f t="shared" si="1"/>
        <v>0</v>
      </c>
      <c r="T8" s="105">
        <f t="shared" si="1"/>
        <v>0</v>
      </c>
      <c r="U8" s="105">
        <f t="shared" si="1"/>
        <v>0</v>
      </c>
      <c r="V8" s="105">
        <f t="shared" si="1"/>
        <v>0</v>
      </c>
      <c r="W8"/>
      <c r="X8" s="105">
        <f>SUM(C8:V8)</f>
        <v>0</v>
      </c>
      <c r="AE8" s="23"/>
      <c r="AF8" s="23"/>
      <c r="AG8" s="23"/>
    </row>
    <row r="9" spans="1:64" x14ac:dyDescent="0.3">
      <c r="A9" s="32" t="s">
        <v>86</v>
      </c>
      <c r="B9" s="4" t="s">
        <v>85</v>
      </c>
      <c r="C9" s="5">
        <v>0.95</v>
      </c>
      <c r="D9" s="5">
        <f>C9</f>
        <v>0.95</v>
      </c>
      <c r="E9" s="5">
        <f t="shared" ref="E9:V13" si="2">D9</f>
        <v>0.95</v>
      </c>
      <c r="F9" s="5">
        <f t="shared" si="2"/>
        <v>0.95</v>
      </c>
      <c r="G9" s="5">
        <f t="shared" si="2"/>
        <v>0.95</v>
      </c>
      <c r="H9" s="5">
        <f t="shared" si="2"/>
        <v>0.95</v>
      </c>
      <c r="I9" s="5">
        <f t="shared" si="2"/>
        <v>0.95</v>
      </c>
      <c r="J9" s="5">
        <f t="shared" si="2"/>
        <v>0.95</v>
      </c>
      <c r="K9" s="5">
        <f t="shared" si="2"/>
        <v>0.95</v>
      </c>
      <c r="L9" s="5">
        <f t="shared" si="2"/>
        <v>0.95</v>
      </c>
      <c r="M9" s="5">
        <f t="shared" si="2"/>
        <v>0.95</v>
      </c>
      <c r="N9" s="5">
        <f t="shared" si="2"/>
        <v>0.95</v>
      </c>
      <c r="O9" s="5">
        <f t="shared" si="2"/>
        <v>0.95</v>
      </c>
      <c r="P9" s="5">
        <f t="shared" si="2"/>
        <v>0.95</v>
      </c>
      <c r="Q9" s="5">
        <f t="shared" si="2"/>
        <v>0.95</v>
      </c>
      <c r="R9" s="5">
        <f t="shared" si="2"/>
        <v>0.95</v>
      </c>
      <c r="S9" s="5">
        <f t="shared" si="2"/>
        <v>0.95</v>
      </c>
      <c r="T9" s="5">
        <f t="shared" si="2"/>
        <v>0.95</v>
      </c>
      <c r="U9" s="5">
        <f t="shared" si="2"/>
        <v>0.95</v>
      </c>
      <c r="V9" s="5">
        <f t="shared" si="2"/>
        <v>0.95</v>
      </c>
      <c r="X9" s="416">
        <f>AVERAGE(C9:V9)</f>
        <v>0.94999999999999962</v>
      </c>
      <c r="AE9" s="23"/>
      <c r="AF9" s="23"/>
      <c r="AG9" s="23"/>
    </row>
    <row r="10" spans="1:64" x14ac:dyDescent="0.3">
      <c r="A10" s="32" t="s">
        <v>132</v>
      </c>
      <c r="B10" s="4" t="s">
        <v>88</v>
      </c>
      <c r="C10" s="105">
        <f>C8*C9</f>
        <v>0</v>
      </c>
      <c r="D10" s="105">
        <f t="shared" ref="D10:X10" si="3">D8*D9</f>
        <v>0</v>
      </c>
      <c r="E10" s="105">
        <f t="shared" si="3"/>
        <v>0</v>
      </c>
      <c r="F10" s="105">
        <f t="shared" si="3"/>
        <v>0</v>
      </c>
      <c r="G10" s="105">
        <f t="shared" si="3"/>
        <v>0</v>
      </c>
      <c r="H10" s="105">
        <f t="shared" si="3"/>
        <v>0</v>
      </c>
      <c r="I10" s="105">
        <f t="shared" si="3"/>
        <v>0</v>
      </c>
      <c r="J10" s="105">
        <f t="shared" si="3"/>
        <v>0</v>
      </c>
      <c r="K10" s="105">
        <f t="shared" si="3"/>
        <v>0</v>
      </c>
      <c r="L10" s="105">
        <f t="shared" si="3"/>
        <v>0</v>
      </c>
      <c r="M10" s="105">
        <f t="shared" si="3"/>
        <v>0</v>
      </c>
      <c r="N10" s="105">
        <f t="shared" si="3"/>
        <v>0</v>
      </c>
      <c r="O10" s="105">
        <f t="shared" si="3"/>
        <v>0</v>
      </c>
      <c r="P10" s="105">
        <f t="shared" si="3"/>
        <v>0</v>
      </c>
      <c r="Q10" s="105">
        <f t="shared" si="3"/>
        <v>0</v>
      </c>
      <c r="R10" s="105">
        <f t="shared" si="3"/>
        <v>0</v>
      </c>
      <c r="S10" s="105">
        <f t="shared" si="3"/>
        <v>0</v>
      </c>
      <c r="T10" s="105">
        <f t="shared" si="3"/>
        <v>0</v>
      </c>
      <c r="U10" s="105">
        <f t="shared" si="3"/>
        <v>0</v>
      </c>
      <c r="V10" s="105">
        <f t="shared" si="3"/>
        <v>0</v>
      </c>
      <c r="W10"/>
      <c r="X10" s="105">
        <f t="shared" si="3"/>
        <v>0</v>
      </c>
      <c r="AE10" s="23"/>
      <c r="AF10" s="23"/>
      <c r="AG10" s="23"/>
    </row>
    <row r="11" spans="1:64" x14ac:dyDescent="0.3">
      <c r="A11" s="32" t="s">
        <v>513</v>
      </c>
      <c r="B11" s="4" t="s">
        <v>85</v>
      </c>
      <c r="C11" s="5">
        <v>0.04</v>
      </c>
      <c r="D11" s="5">
        <f>C11</f>
        <v>0.04</v>
      </c>
      <c r="E11" s="5">
        <f t="shared" si="2"/>
        <v>0.04</v>
      </c>
      <c r="F11" s="5">
        <f t="shared" si="2"/>
        <v>0.04</v>
      </c>
      <c r="G11" s="5">
        <f t="shared" si="2"/>
        <v>0.04</v>
      </c>
      <c r="H11" s="5">
        <f t="shared" si="2"/>
        <v>0.04</v>
      </c>
      <c r="I11" s="5">
        <f t="shared" si="2"/>
        <v>0.04</v>
      </c>
      <c r="J11" s="5">
        <f t="shared" si="2"/>
        <v>0.04</v>
      </c>
      <c r="K11" s="5">
        <f t="shared" si="2"/>
        <v>0.04</v>
      </c>
      <c r="L11" s="5">
        <f t="shared" si="2"/>
        <v>0.04</v>
      </c>
      <c r="M11" s="5">
        <f t="shared" si="2"/>
        <v>0.04</v>
      </c>
      <c r="N11" s="5">
        <f t="shared" si="2"/>
        <v>0.04</v>
      </c>
      <c r="O11" s="5">
        <f t="shared" si="2"/>
        <v>0.04</v>
      </c>
      <c r="P11" s="5">
        <f t="shared" si="2"/>
        <v>0.04</v>
      </c>
      <c r="Q11" s="5">
        <f t="shared" si="2"/>
        <v>0.04</v>
      </c>
      <c r="R11" s="5">
        <f t="shared" si="2"/>
        <v>0.04</v>
      </c>
      <c r="S11" s="5">
        <f t="shared" si="2"/>
        <v>0.04</v>
      </c>
      <c r="T11" s="5">
        <f t="shared" si="2"/>
        <v>0.04</v>
      </c>
      <c r="U11" s="5">
        <f t="shared" si="2"/>
        <v>0.04</v>
      </c>
      <c r="V11" s="5">
        <f t="shared" si="2"/>
        <v>0.04</v>
      </c>
      <c r="X11" s="416" t="e">
        <f>SUMPRODUCT(C5:V5,C11:V11)/SUM(C5:V5)</f>
        <v>#DIV/0!</v>
      </c>
      <c r="Y11" s="22" t="s">
        <v>483</v>
      </c>
      <c r="AE11" s="23"/>
      <c r="AF11" s="23"/>
      <c r="AG11" s="23"/>
    </row>
    <row r="12" spans="1:64" x14ac:dyDescent="0.3">
      <c r="A12" s="32" t="s">
        <v>516</v>
      </c>
      <c r="B12" s="4" t="s">
        <v>88</v>
      </c>
      <c r="C12" s="105">
        <f>C10*(1-C11)</f>
        <v>0</v>
      </c>
      <c r="D12" s="105">
        <f t="shared" ref="D12:X12" si="4">D10*(1-D11)</f>
        <v>0</v>
      </c>
      <c r="E12" s="105">
        <f t="shared" si="4"/>
        <v>0</v>
      </c>
      <c r="F12" s="105">
        <f t="shared" si="4"/>
        <v>0</v>
      </c>
      <c r="G12" s="105">
        <f t="shared" si="4"/>
        <v>0</v>
      </c>
      <c r="H12" s="105">
        <f t="shared" si="4"/>
        <v>0</v>
      </c>
      <c r="I12" s="105">
        <f t="shared" si="4"/>
        <v>0</v>
      </c>
      <c r="J12" s="105">
        <f t="shared" si="4"/>
        <v>0</v>
      </c>
      <c r="K12" s="105">
        <f t="shared" si="4"/>
        <v>0</v>
      </c>
      <c r="L12" s="105">
        <f t="shared" si="4"/>
        <v>0</v>
      </c>
      <c r="M12" s="105">
        <f t="shared" si="4"/>
        <v>0</v>
      </c>
      <c r="N12" s="105">
        <f t="shared" si="4"/>
        <v>0</v>
      </c>
      <c r="O12" s="105">
        <f t="shared" si="4"/>
        <v>0</v>
      </c>
      <c r="P12" s="105">
        <f t="shared" si="4"/>
        <v>0</v>
      </c>
      <c r="Q12" s="105">
        <f t="shared" si="4"/>
        <v>0</v>
      </c>
      <c r="R12" s="105">
        <f t="shared" si="4"/>
        <v>0</v>
      </c>
      <c r="S12" s="105">
        <f t="shared" si="4"/>
        <v>0</v>
      </c>
      <c r="T12" s="105">
        <f t="shared" si="4"/>
        <v>0</v>
      </c>
      <c r="U12" s="105">
        <f t="shared" si="4"/>
        <v>0</v>
      </c>
      <c r="V12" s="105">
        <f t="shared" si="4"/>
        <v>0</v>
      </c>
      <c r="W12"/>
      <c r="X12" s="105" t="e">
        <f t="shared" si="4"/>
        <v>#DIV/0!</v>
      </c>
      <c r="AE12" s="23"/>
      <c r="AF12" s="23"/>
      <c r="AG12" s="23"/>
    </row>
    <row r="13" spans="1:64" x14ac:dyDescent="0.3">
      <c r="A13" s="32" t="s">
        <v>90</v>
      </c>
      <c r="B13" s="4" t="s">
        <v>85</v>
      </c>
      <c r="C13" s="6">
        <v>0.15</v>
      </c>
      <c r="D13" s="5">
        <f>C13</f>
        <v>0.15</v>
      </c>
      <c r="E13" s="5">
        <f t="shared" si="2"/>
        <v>0.15</v>
      </c>
      <c r="F13" s="5">
        <f t="shared" si="2"/>
        <v>0.15</v>
      </c>
      <c r="G13" s="5">
        <f t="shared" si="2"/>
        <v>0.15</v>
      </c>
      <c r="H13" s="5">
        <f t="shared" si="2"/>
        <v>0.15</v>
      </c>
      <c r="I13" s="5">
        <f t="shared" si="2"/>
        <v>0.15</v>
      </c>
      <c r="J13" s="5">
        <f t="shared" si="2"/>
        <v>0.15</v>
      </c>
      <c r="K13" s="5">
        <f t="shared" si="2"/>
        <v>0.15</v>
      </c>
      <c r="L13" s="5">
        <f t="shared" si="2"/>
        <v>0.15</v>
      </c>
      <c r="M13" s="5">
        <f t="shared" si="2"/>
        <v>0.15</v>
      </c>
      <c r="N13" s="5">
        <f t="shared" si="2"/>
        <v>0.15</v>
      </c>
      <c r="O13" s="5">
        <f t="shared" si="2"/>
        <v>0.15</v>
      </c>
      <c r="P13" s="5">
        <f t="shared" si="2"/>
        <v>0.15</v>
      </c>
      <c r="Q13" s="5">
        <f t="shared" si="2"/>
        <v>0.15</v>
      </c>
      <c r="R13" s="5">
        <f t="shared" si="2"/>
        <v>0.15</v>
      </c>
      <c r="S13" s="5">
        <f t="shared" si="2"/>
        <v>0.15</v>
      </c>
      <c r="T13" s="5">
        <f t="shared" si="2"/>
        <v>0.15</v>
      </c>
      <c r="U13" s="5">
        <f t="shared" si="2"/>
        <v>0.15</v>
      </c>
      <c r="V13" s="5">
        <f t="shared" si="2"/>
        <v>0.15</v>
      </c>
      <c r="X13" s="416">
        <f>AVERAGE(C13:V13)</f>
        <v>0.14999999999999997</v>
      </c>
      <c r="Y13" s="22" t="s">
        <v>253</v>
      </c>
      <c r="AE13" s="23"/>
      <c r="AF13" s="23"/>
      <c r="AG13" s="23"/>
    </row>
    <row r="14" spans="1:64" x14ac:dyDescent="0.3">
      <c r="A14" s="32" t="s">
        <v>133</v>
      </c>
      <c r="B14" s="4" t="s">
        <v>88</v>
      </c>
      <c r="C14" s="106">
        <f>C12*(1-C13)</f>
        <v>0</v>
      </c>
      <c r="D14" s="106">
        <f t="shared" ref="D14:X14" si="5">D12*(1-D13)</f>
        <v>0</v>
      </c>
      <c r="E14" s="106">
        <f t="shared" si="5"/>
        <v>0</v>
      </c>
      <c r="F14" s="106">
        <f t="shared" si="5"/>
        <v>0</v>
      </c>
      <c r="G14" s="106">
        <f t="shared" si="5"/>
        <v>0</v>
      </c>
      <c r="H14" s="106">
        <f t="shared" si="5"/>
        <v>0</v>
      </c>
      <c r="I14" s="106">
        <f t="shared" si="5"/>
        <v>0</v>
      </c>
      <c r="J14" s="106">
        <f t="shared" si="5"/>
        <v>0</v>
      </c>
      <c r="K14" s="106">
        <f t="shared" si="5"/>
        <v>0</v>
      </c>
      <c r="L14" s="106">
        <f t="shared" si="5"/>
        <v>0</v>
      </c>
      <c r="M14" s="106">
        <f t="shared" si="5"/>
        <v>0</v>
      </c>
      <c r="N14" s="106">
        <f t="shared" si="5"/>
        <v>0</v>
      </c>
      <c r="O14" s="106">
        <f t="shared" si="5"/>
        <v>0</v>
      </c>
      <c r="P14" s="106">
        <f t="shared" si="5"/>
        <v>0</v>
      </c>
      <c r="Q14" s="106">
        <f t="shared" si="5"/>
        <v>0</v>
      </c>
      <c r="R14" s="106">
        <f t="shared" si="5"/>
        <v>0</v>
      </c>
      <c r="S14" s="106">
        <f t="shared" si="5"/>
        <v>0</v>
      </c>
      <c r="T14" s="106">
        <f t="shared" si="5"/>
        <v>0</v>
      </c>
      <c r="U14" s="106">
        <f t="shared" si="5"/>
        <v>0</v>
      </c>
      <c r="V14" s="106">
        <f t="shared" si="5"/>
        <v>0</v>
      </c>
      <c r="W14"/>
      <c r="X14" s="106" t="e">
        <f t="shared" si="5"/>
        <v>#DIV/0!</v>
      </c>
      <c r="AE14" s="23"/>
      <c r="AF14" s="23"/>
      <c r="AG14" s="23"/>
    </row>
    <row r="15" spans="1:64" x14ac:dyDescent="0.3">
      <c r="A15" s="32" t="s">
        <v>92</v>
      </c>
      <c r="B15" s="4" t="s">
        <v>85</v>
      </c>
      <c r="C15" s="9">
        <v>2.5000000000000001E-3</v>
      </c>
      <c r="D15" s="9">
        <v>2.5000000000000001E-3</v>
      </c>
      <c r="E15" s="9">
        <v>2.5000000000000001E-3</v>
      </c>
      <c r="F15" s="9">
        <v>2.5000000000000001E-3</v>
      </c>
      <c r="G15" s="9">
        <v>2.5000000000000001E-3</v>
      </c>
      <c r="H15" s="9">
        <v>2.5000000000000001E-3</v>
      </c>
      <c r="I15" s="9">
        <v>2.5000000000000001E-3</v>
      </c>
      <c r="J15" s="9">
        <v>2.5000000000000001E-3</v>
      </c>
      <c r="K15" s="9">
        <v>2.5000000000000001E-3</v>
      </c>
      <c r="L15" s="9">
        <v>2.5000000000000001E-3</v>
      </c>
      <c r="M15" s="9">
        <v>2.5000000000000001E-3</v>
      </c>
      <c r="N15" s="9">
        <v>2.5000000000000001E-3</v>
      </c>
      <c r="O15" s="9">
        <v>2.5000000000000001E-3</v>
      </c>
      <c r="P15" s="9">
        <v>2.5000000000000001E-3</v>
      </c>
      <c r="Q15" s="9">
        <v>2.5000000000000001E-3</v>
      </c>
      <c r="R15" s="9">
        <v>2.5000000000000001E-3</v>
      </c>
      <c r="S15" s="9">
        <v>2.5000000000000001E-3</v>
      </c>
      <c r="T15" s="9">
        <v>2.5000000000000001E-3</v>
      </c>
      <c r="U15" s="9">
        <v>2.5000000000000001E-3</v>
      </c>
      <c r="V15" s="9">
        <v>2.5000000000000001E-3</v>
      </c>
      <c r="X15" s="9">
        <v>2.5000000000000001E-3</v>
      </c>
      <c r="AE15" s="23"/>
      <c r="AF15" s="23"/>
      <c r="AG15" s="23"/>
    </row>
    <row r="16" spans="1:64" x14ac:dyDescent="0.3">
      <c r="A16" s="32" t="s">
        <v>93</v>
      </c>
      <c r="B16" s="35" t="s">
        <v>89</v>
      </c>
      <c r="C16" s="8">
        <v>25</v>
      </c>
      <c r="D16" s="8">
        <v>25</v>
      </c>
      <c r="E16" s="8">
        <v>25</v>
      </c>
      <c r="F16" s="8">
        <v>25</v>
      </c>
      <c r="G16" s="8">
        <v>25</v>
      </c>
      <c r="H16" s="8">
        <v>25</v>
      </c>
      <c r="I16" s="8">
        <v>25</v>
      </c>
      <c r="J16" s="8">
        <v>25</v>
      </c>
      <c r="K16" s="8">
        <v>25</v>
      </c>
      <c r="L16" s="8">
        <v>25</v>
      </c>
      <c r="M16" s="8">
        <v>25</v>
      </c>
      <c r="N16" s="8">
        <v>25</v>
      </c>
      <c r="O16" s="8">
        <v>25</v>
      </c>
      <c r="P16" s="8">
        <v>25</v>
      </c>
      <c r="Q16" s="8">
        <v>25</v>
      </c>
      <c r="R16" s="8">
        <v>25</v>
      </c>
      <c r="S16" s="8">
        <v>25</v>
      </c>
      <c r="T16" s="8">
        <v>25</v>
      </c>
      <c r="U16" s="8">
        <v>25</v>
      </c>
      <c r="V16" s="8">
        <v>25</v>
      </c>
      <c r="X16" s="8">
        <v>25</v>
      </c>
      <c r="AE16" s="23"/>
      <c r="AF16" s="23"/>
      <c r="AG16" s="23"/>
    </row>
    <row r="17" spans="1:64" x14ac:dyDescent="0.3">
      <c r="A17" s="36"/>
      <c r="B17" s="37"/>
      <c r="C17" s="37"/>
      <c r="D17" s="38"/>
      <c r="E17" s="38"/>
      <c r="F17" s="38"/>
      <c r="G17" s="38"/>
      <c r="H17" s="38"/>
      <c r="J17" s="22"/>
      <c r="AE17" s="23"/>
      <c r="AF17" s="23"/>
      <c r="AG17" s="23"/>
    </row>
    <row r="18" spans="1:64" x14ac:dyDescent="0.3">
      <c r="A18" s="24"/>
      <c r="B18" s="417"/>
      <c r="C18" s="21"/>
      <c r="D18" s="24"/>
    </row>
    <row r="19" spans="1:64" s="26" customFormat="1" ht="15.6" x14ac:dyDescent="0.3">
      <c r="A19" s="25" t="s">
        <v>95</v>
      </c>
      <c r="B19" s="420"/>
      <c r="C19" s="25"/>
      <c r="D19" s="27"/>
      <c r="E19" s="27"/>
      <c r="F19" s="27"/>
      <c r="G19" s="27"/>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row>
    <row r="20" spans="1:64" x14ac:dyDescent="0.3">
      <c r="C20" s="418" t="s">
        <v>51</v>
      </c>
      <c r="D20" s="34"/>
      <c r="E20" s="34"/>
      <c r="F20" s="34"/>
      <c r="G20" s="34"/>
      <c r="H20" s="34"/>
      <c r="I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row>
    <row r="21" spans="1:64" x14ac:dyDescent="0.3">
      <c r="A21" s="40" t="s">
        <v>47</v>
      </c>
      <c r="B21" s="37"/>
      <c r="C21" s="418" t="s">
        <v>53</v>
      </c>
      <c r="D21" s="418" t="s">
        <v>54</v>
      </c>
      <c r="E21" s="418" t="s">
        <v>55</v>
      </c>
      <c r="F21" s="418" t="s">
        <v>56</v>
      </c>
      <c r="G21" s="418" t="s">
        <v>57</v>
      </c>
      <c r="H21" s="418" t="s">
        <v>58</v>
      </c>
      <c r="I21" s="418" t="s">
        <v>59</v>
      </c>
      <c r="J21" s="418" t="s">
        <v>60</v>
      </c>
      <c r="K21" s="418" t="s">
        <v>61</v>
      </c>
      <c r="L21" s="418" t="s">
        <v>62</v>
      </c>
      <c r="M21" s="418" t="s">
        <v>63</v>
      </c>
      <c r="N21" s="418" t="s">
        <v>64</v>
      </c>
      <c r="O21" s="418" t="s">
        <v>65</v>
      </c>
      <c r="P21" s="418" t="s">
        <v>66</v>
      </c>
      <c r="Q21" s="418" t="s">
        <v>67</v>
      </c>
      <c r="R21" s="418" t="s">
        <v>68</v>
      </c>
      <c r="S21" s="418" t="s">
        <v>69</v>
      </c>
      <c r="T21" s="418" t="s">
        <v>70</v>
      </c>
      <c r="U21" s="418" t="s">
        <v>71</v>
      </c>
      <c r="V21" s="418" t="s">
        <v>72</v>
      </c>
      <c r="W21" s="418"/>
      <c r="X21" s="418" t="s">
        <v>77</v>
      </c>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row>
    <row r="22" spans="1:64" x14ac:dyDescent="0.3">
      <c r="A22" s="523" t="str">
        <f>Inputs!A23</f>
        <v xml:space="preserve">1.2.1 Solar </v>
      </c>
      <c r="B22" s="524"/>
      <c r="C22" s="524"/>
      <c r="D22" s="524"/>
      <c r="E22" s="524"/>
      <c r="F22" s="524"/>
      <c r="G22" s="524"/>
      <c r="H22" s="524"/>
      <c r="I22" s="524"/>
      <c r="J22" s="524"/>
      <c r="K22" s="524"/>
      <c r="L22" s="524"/>
      <c r="M22" s="524"/>
      <c r="N22" s="524"/>
      <c r="O22" s="524"/>
      <c r="P22" s="524"/>
      <c r="Q22" s="524"/>
      <c r="R22" s="524"/>
      <c r="S22" s="524"/>
      <c r="T22" s="524"/>
      <c r="U22" s="524"/>
      <c r="V22" s="524"/>
      <c r="W22" s="524"/>
      <c r="X22" s="52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row>
    <row r="23" spans="1:64" s="104" customFormat="1" x14ac:dyDescent="0.3">
      <c r="A23" s="32" t="str">
        <f>Inputs!A24</f>
        <v>Development costs</v>
      </c>
      <c r="B23" s="4" t="str">
        <f>Inputs!B24</f>
        <v>US$</v>
      </c>
      <c r="C23" s="3"/>
      <c r="D23" s="3"/>
      <c r="E23" s="3"/>
      <c r="F23" s="3"/>
      <c r="G23" s="3"/>
      <c r="H23" s="3"/>
      <c r="I23" s="3"/>
      <c r="J23" s="3"/>
      <c r="K23" s="3"/>
      <c r="L23" s="3"/>
      <c r="M23" s="3"/>
      <c r="N23" s="3"/>
      <c r="O23" s="3"/>
      <c r="P23" s="3"/>
      <c r="Q23" s="3"/>
      <c r="R23" s="3"/>
      <c r="S23" s="3"/>
      <c r="T23" s="3"/>
      <c r="U23" s="3"/>
      <c r="V23" s="3"/>
      <c r="W23" s="21"/>
      <c r="X23" s="2">
        <f>SUM(C23:W23)</f>
        <v>0</v>
      </c>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row>
    <row r="24" spans="1:64" s="104" customFormat="1" x14ac:dyDescent="0.3">
      <c r="A24" s="32" t="str">
        <f>Inputs!A25</f>
        <v>Land</v>
      </c>
      <c r="B24" s="4" t="str">
        <f>Inputs!B25</f>
        <v>US$</v>
      </c>
      <c r="C24" s="3"/>
      <c r="D24" s="3"/>
      <c r="E24" s="3"/>
      <c r="F24" s="3"/>
      <c r="G24" s="3"/>
      <c r="H24" s="3"/>
      <c r="I24" s="3"/>
      <c r="J24" s="3"/>
      <c r="K24" s="3"/>
      <c r="L24" s="3"/>
      <c r="M24" s="3"/>
      <c r="N24" s="3"/>
      <c r="O24" s="3"/>
      <c r="P24" s="3"/>
      <c r="Q24" s="3"/>
      <c r="R24" s="3"/>
      <c r="S24" s="3"/>
      <c r="T24" s="3"/>
      <c r="U24" s="3"/>
      <c r="V24" s="3"/>
      <c r="W24" s="21"/>
      <c r="X24" s="2">
        <f t="shared" ref="X24:X43" si="6">SUM(C24:W24)</f>
        <v>0</v>
      </c>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row>
    <row r="25" spans="1:64" s="104" customFormat="1" x14ac:dyDescent="0.3">
      <c r="A25" s="32" t="str">
        <f>Inputs!A26</f>
        <v>Solar panels</v>
      </c>
      <c r="B25" s="4" t="str">
        <f>Inputs!B26</f>
        <v>US$</v>
      </c>
      <c r="C25" s="3"/>
      <c r="D25" s="3"/>
      <c r="E25" s="3"/>
      <c r="F25" s="3"/>
      <c r="G25" s="3"/>
      <c r="H25" s="3"/>
      <c r="I25" s="3"/>
      <c r="J25" s="3"/>
      <c r="K25" s="3"/>
      <c r="L25" s="3"/>
      <c r="M25" s="3"/>
      <c r="N25" s="3"/>
      <c r="O25" s="3"/>
      <c r="P25" s="3"/>
      <c r="Q25" s="3"/>
      <c r="R25" s="3"/>
      <c r="S25" s="3"/>
      <c r="T25" s="3"/>
      <c r="U25" s="3"/>
      <c r="V25" s="3"/>
      <c r="W25" s="21"/>
      <c r="X25" s="2">
        <f t="shared" si="6"/>
        <v>0</v>
      </c>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row>
    <row r="26" spans="1:64" s="104" customFormat="1" x14ac:dyDescent="0.3">
      <c r="A26" s="32" t="str">
        <f>Inputs!A27</f>
        <v>Racking and mounting</v>
      </c>
      <c r="B26" s="4" t="str">
        <f>Inputs!B27</f>
        <v>US$</v>
      </c>
      <c r="C26" s="3"/>
      <c r="D26" s="3"/>
      <c r="E26" s="3"/>
      <c r="F26" s="3"/>
      <c r="G26" s="3"/>
      <c r="H26" s="3"/>
      <c r="I26" s="3"/>
      <c r="J26" s="3"/>
      <c r="K26" s="3"/>
      <c r="L26" s="3"/>
      <c r="M26" s="3"/>
      <c r="N26" s="3"/>
      <c r="O26" s="3"/>
      <c r="P26" s="3"/>
      <c r="Q26" s="3"/>
      <c r="R26" s="3"/>
      <c r="S26" s="3"/>
      <c r="T26" s="3"/>
      <c r="U26" s="3"/>
      <c r="V26" s="3"/>
      <c r="W26" s="21"/>
      <c r="X26" s="2">
        <f t="shared" si="6"/>
        <v>0</v>
      </c>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row>
    <row r="27" spans="1:64" s="104" customFormat="1" x14ac:dyDescent="0.3">
      <c r="A27" s="32" t="str">
        <f>Inputs!A28</f>
        <v>Inverters</v>
      </c>
      <c r="B27" s="4" t="str">
        <f>Inputs!B28</f>
        <v>US$</v>
      </c>
      <c r="C27" s="3"/>
      <c r="D27" s="3"/>
      <c r="E27" s="3"/>
      <c r="F27" s="3"/>
      <c r="G27" s="3"/>
      <c r="H27" s="3"/>
      <c r="I27" s="3"/>
      <c r="J27" s="3"/>
      <c r="K27" s="3"/>
      <c r="L27" s="3"/>
      <c r="M27" s="3"/>
      <c r="N27" s="3"/>
      <c r="O27" s="3"/>
      <c r="P27" s="3"/>
      <c r="Q27" s="3"/>
      <c r="R27" s="3"/>
      <c r="S27" s="3"/>
      <c r="T27" s="3"/>
      <c r="U27" s="3"/>
      <c r="V27" s="3"/>
      <c r="W27" s="21"/>
      <c r="X27" s="2">
        <f t="shared" si="6"/>
        <v>0</v>
      </c>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row>
    <row r="28" spans="1:64" s="104" customFormat="1" x14ac:dyDescent="0.3">
      <c r="A28" s="32" t="str">
        <f>Inputs!A29</f>
        <v>Charge controllers</v>
      </c>
      <c r="B28" s="4" t="str">
        <f>Inputs!B29</f>
        <v>US$</v>
      </c>
      <c r="C28" s="3"/>
      <c r="D28" s="3"/>
      <c r="E28" s="3"/>
      <c r="F28" s="3"/>
      <c r="G28" s="3"/>
      <c r="H28" s="3"/>
      <c r="I28" s="3"/>
      <c r="J28" s="3"/>
      <c r="K28" s="3"/>
      <c r="L28" s="3"/>
      <c r="M28" s="3"/>
      <c r="N28" s="3"/>
      <c r="O28" s="3"/>
      <c r="P28" s="3"/>
      <c r="Q28" s="3"/>
      <c r="R28" s="3"/>
      <c r="S28" s="3"/>
      <c r="T28" s="3"/>
      <c r="U28" s="3"/>
      <c r="V28" s="3"/>
      <c r="W28" s="21"/>
      <c r="X28" s="2">
        <f t="shared" si="6"/>
        <v>0</v>
      </c>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row>
    <row r="29" spans="1:64" s="104" customFormat="1" x14ac:dyDescent="0.3">
      <c r="A29" s="32" t="str">
        <f>Inputs!A30</f>
        <v>Batteries</v>
      </c>
      <c r="B29" s="4" t="str">
        <f>Inputs!B30</f>
        <v>US$</v>
      </c>
      <c r="C29" s="3"/>
      <c r="D29" s="3"/>
      <c r="E29" s="3"/>
      <c r="F29" s="3"/>
      <c r="G29" s="3"/>
      <c r="H29" s="3"/>
      <c r="I29" s="3"/>
      <c r="J29" s="3"/>
      <c r="K29" s="3"/>
      <c r="L29" s="3"/>
      <c r="M29" s="3"/>
      <c r="N29" s="3"/>
      <c r="O29" s="3"/>
      <c r="P29" s="3"/>
      <c r="Q29" s="3"/>
      <c r="R29" s="3"/>
      <c r="S29" s="3"/>
      <c r="T29" s="3"/>
      <c r="U29" s="3"/>
      <c r="V29" s="3"/>
      <c r="W29" s="21"/>
      <c r="X29" s="2">
        <f t="shared" si="6"/>
        <v>0</v>
      </c>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row>
    <row r="30" spans="1:64" s="104" customFormat="1" x14ac:dyDescent="0.3">
      <c r="A30" s="32" t="str">
        <f>Inputs!A31</f>
        <v>Balance of system</v>
      </c>
      <c r="B30" s="4" t="str">
        <f>Inputs!B31</f>
        <v>US$</v>
      </c>
      <c r="C30" s="3"/>
      <c r="D30" s="3"/>
      <c r="E30" s="3"/>
      <c r="F30" s="3"/>
      <c r="G30" s="3"/>
      <c r="H30" s="3"/>
      <c r="I30" s="3"/>
      <c r="J30" s="3"/>
      <c r="K30" s="3"/>
      <c r="L30" s="3"/>
      <c r="M30" s="3"/>
      <c r="N30" s="3"/>
      <c r="O30" s="3"/>
      <c r="P30" s="3"/>
      <c r="Q30" s="3"/>
      <c r="R30" s="3"/>
      <c r="S30" s="3"/>
      <c r="T30" s="3"/>
      <c r="U30" s="3"/>
      <c r="V30" s="3"/>
      <c r="W30" s="21"/>
      <c r="X30" s="2">
        <f t="shared" si="6"/>
        <v>0</v>
      </c>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row>
    <row r="31" spans="1:64" s="104" customFormat="1" x14ac:dyDescent="0.3">
      <c r="A31" s="32" t="str">
        <f>Inputs!A32</f>
        <v>Civil works</v>
      </c>
      <c r="B31" s="4" t="str">
        <f>Inputs!B32</f>
        <v>US$</v>
      </c>
      <c r="C31" s="3"/>
      <c r="D31" s="3"/>
      <c r="E31" s="3"/>
      <c r="F31" s="3"/>
      <c r="G31" s="3"/>
      <c r="H31" s="3"/>
      <c r="I31" s="3"/>
      <c r="J31" s="3"/>
      <c r="K31" s="3"/>
      <c r="L31" s="3"/>
      <c r="M31" s="3"/>
      <c r="N31" s="3"/>
      <c r="O31" s="3"/>
      <c r="P31" s="3"/>
      <c r="Q31" s="3"/>
      <c r="R31" s="3"/>
      <c r="S31" s="3"/>
      <c r="T31" s="3"/>
      <c r="U31" s="3"/>
      <c r="V31" s="3"/>
      <c r="W31" s="21"/>
      <c r="X31" s="2">
        <f t="shared" si="6"/>
        <v>0</v>
      </c>
      <c r="Y31" s="21"/>
      <c r="Z31" s="21"/>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21"/>
      <c r="BE31" s="21"/>
      <c r="BF31" s="21"/>
      <c r="BG31" s="21"/>
      <c r="BH31" s="21"/>
      <c r="BI31" s="21"/>
      <c r="BJ31" s="21"/>
      <c r="BK31" s="21"/>
      <c r="BL31" s="21"/>
    </row>
    <row r="32" spans="1:64" s="104" customFormat="1" x14ac:dyDescent="0.3">
      <c r="A32" s="32" t="str">
        <f>Inputs!A33</f>
        <v>Powerhouse</v>
      </c>
      <c r="B32" s="4" t="str">
        <f>Inputs!B33</f>
        <v>US$</v>
      </c>
      <c r="C32" s="3"/>
      <c r="D32" s="3"/>
      <c r="E32" s="3"/>
      <c r="F32" s="3"/>
      <c r="G32" s="3"/>
      <c r="H32" s="3"/>
      <c r="I32" s="3"/>
      <c r="J32" s="3"/>
      <c r="K32" s="3"/>
      <c r="L32" s="3"/>
      <c r="M32" s="3"/>
      <c r="N32" s="3"/>
      <c r="O32" s="3"/>
      <c r="P32" s="3"/>
      <c r="Q32" s="3"/>
      <c r="R32" s="3"/>
      <c r="S32" s="3"/>
      <c r="T32" s="3"/>
      <c r="U32" s="3"/>
      <c r="V32" s="3"/>
      <c r="W32" s="21"/>
      <c r="X32" s="2">
        <f t="shared" si="6"/>
        <v>0</v>
      </c>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row>
    <row r="33" spans="1:64" s="104" customFormat="1" x14ac:dyDescent="0.3">
      <c r="A33" s="32" t="str">
        <f>Inputs!A34</f>
        <v>Logistics, transport, warehousing</v>
      </c>
      <c r="B33" s="4" t="str">
        <f>Inputs!B34</f>
        <v>US$</v>
      </c>
      <c r="C33" s="3"/>
      <c r="D33" s="3"/>
      <c r="E33" s="3"/>
      <c r="F33" s="3"/>
      <c r="G33" s="3"/>
      <c r="H33" s="3"/>
      <c r="I33" s="3"/>
      <c r="J33" s="3"/>
      <c r="K33" s="3"/>
      <c r="L33" s="3"/>
      <c r="M33" s="3"/>
      <c r="N33" s="3"/>
      <c r="O33" s="3"/>
      <c r="P33" s="3"/>
      <c r="Q33" s="3"/>
      <c r="R33" s="3"/>
      <c r="S33" s="3"/>
      <c r="T33" s="3"/>
      <c r="U33" s="3"/>
      <c r="V33" s="3"/>
      <c r="W33" s="21"/>
      <c r="X33" s="2">
        <f t="shared" si="6"/>
        <v>0</v>
      </c>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row>
    <row r="34" spans="1:64" s="104" customFormat="1" x14ac:dyDescent="0.3">
      <c r="A34" s="32" t="str">
        <f>Inputs!A35</f>
        <v xml:space="preserve">Custom duties </v>
      </c>
      <c r="B34" s="4" t="str">
        <f>Inputs!B35</f>
        <v>US$</v>
      </c>
      <c r="C34" s="3"/>
      <c r="D34" s="3"/>
      <c r="E34" s="3"/>
      <c r="F34" s="3"/>
      <c r="G34" s="3"/>
      <c r="H34" s="3"/>
      <c r="I34" s="3"/>
      <c r="J34" s="3"/>
      <c r="K34" s="3"/>
      <c r="L34" s="3"/>
      <c r="M34" s="3"/>
      <c r="N34" s="3"/>
      <c r="O34" s="3"/>
      <c r="P34" s="3"/>
      <c r="Q34" s="3"/>
      <c r="R34" s="3"/>
      <c r="S34" s="3"/>
      <c r="T34" s="3"/>
      <c r="U34" s="3"/>
      <c r="V34" s="3"/>
      <c r="W34" s="21"/>
      <c r="X34" s="2">
        <f t="shared" si="6"/>
        <v>0</v>
      </c>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row>
    <row r="35" spans="1:64" s="104" customFormat="1" x14ac:dyDescent="0.3">
      <c r="A35" s="32" t="str">
        <f>Inputs!A36</f>
        <v>VAT</v>
      </c>
      <c r="B35" s="4" t="str">
        <f>Inputs!B36</f>
        <v>US$</v>
      </c>
      <c r="C35" s="3"/>
      <c r="D35" s="3"/>
      <c r="E35" s="3"/>
      <c r="F35" s="3"/>
      <c r="G35" s="3"/>
      <c r="H35" s="3"/>
      <c r="I35" s="3"/>
      <c r="J35" s="3"/>
      <c r="K35" s="3"/>
      <c r="L35" s="3"/>
      <c r="M35" s="3"/>
      <c r="N35" s="3"/>
      <c r="O35" s="3"/>
      <c r="P35" s="3"/>
      <c r="Q35" s="3"/>
      <c r="R35" s="3"/>
      <c r="S35" s="3"/>
      <c r="T35" s="3"/>
      <c r="U35" s="3"/>
      <c r="V35" s="3"/>
      <c r="W35" s="21"/>
      <c r="X35" s="2">
        <f t="shared" si="6"/>
        <v>0</v>
      </c>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row>
    <row r="36" spans="1:64" s="104" customFormat="1" x14ac:dyDescent="0.3">
      <c r="A36" s="32" t="str">
        <f>Inputs!A37</f>
        <v>Installation and inspection</v>
      </c>
      <c r="B36" s="4" t="str">
        <f>Inputs!B37</f>
        <v>US$</v>
      </c>
      <c r="C36" s="3"/>
      <c r="D36" s="3"/>
      <c r="E36" s="3"/>
      <c r="F36" s="3"/>
      <c r="G36" s="3"/>
      <c r="H36" s="3"/>
      <c r="I36" s="3"/>
      <c r="J36" s="3"/>
      <c r="K36" s="3"/>
      <c r="L36" s="3"/>
      <c r="M36" s="3"/>
      <c r="N36" s="3"/>
      <c r="O36" s="3"/>
      <c r="P36" s="3"/>
      <c r="Q36" s="3"/>
      <c r="R36" s="3"/>
      <c r="S36" s="3"/>
      <c r="T36" s="3"/>
      <c r="U36" s="3"/>
      <c r="V36" s="3"/>
      <c r="W36" s="21"/>
      <c r="X36" s="2">
        <f t="shared" si="6"/>
        <v>0</v>
      </c>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c r="AX36" s="21"/>
      <c r="AY36" s="21"/>
      <c r="AZ36" s="21"/>
      <c r="BA36" s="21"/>
      <c r="BB36" s="21"/>
      <c r="BC36" s="21"/>
      <c r="BD36" s="21"/>
      <c r="BE36" s="21"/>
      <c r="BF36" s="21"/>
      <c r="BG36" s="21"/>
      <c r="BH36" s="21"/>
      <c r="BI36" s="21"/>
      <c r="BJ36" s="21"/>
      <c r="BK36" s="21"/>
      <c r="BL36" s="21"/>
    </row>
    <row r="37" spans="1:64" s="104" customFormat="1" x14ac:dyDescent="0.3">
      <c r="A37" s="32" t="str">
        <f>Inputs!A38</f>
        <v xml:space="preserve">Distribution assets </v>
      </c>
      <c r="B37" s="4" t="str">
        <f>Inputs!B38</f>
        <v>US$</v>
      </c>
      <c r="C37" s="3"/>
      <c r="D37" s="3"/>
      <c r="E37" s="3"/>
      <c r="F37" s="3"/>
      <c r="G37" s="3"/>
      <c r="H37" s="3"/>
      <c r="I37" s="3"/>
      <c r="J37" s="3"/>
      <c r="K37" s="3"/>
      <c r="L37" s="3"/>
      <c r="M37" s="3"/>
      <c r="N37" s="3"/>
      <c r="O37" s="3"/>
      <c r="P37" s="3"/>
      <c r="Q37" s="3"/>
      <c r="R37" s="3"/>
      <c r="S37" s="3"/>
      <c r="T37" s="3"/>
      <c r="U37" s="3"/>
      <c r="V37" s="3"/>
      <c r="W37" s="21"/>
      <c r="X37" s="2">
        <f t="shared" si="6"/>
        <v>0</v>
      </c>
      <c r="Y37" s="21"/>
      <c r="Z37" s="21"/>
      <c r="AA37" s="21"/>
      <c r="AB37" s="21"/>
      <c r="AC37" s="21"/>
      <c r="AD37" s="21"/>
      <c r="AE37" s="21"/>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21"/>
      <c r="BE37" s="21"/>
      <c r="BF37" s="21"/>
      <c r="BG37" s="21"/>
      <c r="BH37" s="21"/>
      <c r="BI37" s="21"/>
      <c r="BJ37" s="21"/>
      <c r="BK37" s="21"/>
      <c r="BL37" s="21"/>
    </row>
    <row r="38" spans="1:64" x14ac:dyDescent="0.3">
      <c r="A38" s="32" t="str">
        <f>Inputs!A39</f>
        <v>Transformers</v>
      </c>
      <c r="B38" s="4" t="str">
        <f>Inputs!B39</f>
        <v>US$</v>
      </c>
      <c r="C38" s="3"/>
      <c r="D38" s="3"/>
      <c r="E38" s="3"/>
      <c r="F38" s="3"/>
      <c r="G38" s="3"/>
      <c r="H38" s="3"/>
      <c r="I38" s="3"/>
      <c r="J38" s="3"/>
      <c r="K38" s="3"/>
      <c r="L38" s="3"/>
      <c r="M38" s="3"/>
      <c r="N38" s="3"/>
      <c r="O38" s="3"/>
      <c r="P38" s="3"/>
      <c r="Q38" s="3"/>
      <c r="R38" s="3"/>
      <c r="S38" s="3"/>
      <c r="T38" s="3"/>
      <c r="U38" s="3"/>
      <c r="V38" s="3"/>
      <c r="X38" s="2">
        <f t="shared" si="6"/>
        <v>0</v>
      </c>
    </row>
    <row r="39" spans="1:64" x14ac:dyDescent="0.3">
      <c r="A39" s="32" t="str">
        <f>Inputs!A40</f>
        <v>Metering and termination/service drop</v>
      </c>
      <c r="B39" s="4" t="str">
        <f>Inputs!B40</f>
        <v>US$</v>
      </c>
      <c r="C39" s="3"/>
      <c r="D39" s="3"/>
      <c r="E39" s="3"/>
      <c r="F39" s="3"/>
      <c r="G39" s="3"/>
      <c r="H39" s="3"/>
      <c r="I39" s="3"/>
      <c r="J39" s="3"/>
      <c r="K39" s="3"/>
      <c r="L39" s="3"/>
      <c r="M39" s="3"/>
      <c r="N39" s="3"/>
      <c r="O39" s="3"/>
      <c r="P39" s="3"/>
      <c r="Q39" s="3"/>
      <c r="R39" s="3"/>
      <c r="S39" s="3"/>
      <c r="T39" s="3"/>
      <c r="U39" s="3"/>
      <c r="V39" s="3"/>
      <c r="X39" s="2">
        <f t="shared" si="6"/>
        <v>0</v>
      </c>
    </row>
    <row r="40" spans="1:64" x14ac:dyDescent="0.3">
      <c r="A40" s="32">
        <f>Inputs!A41</f>
        <v>0</v>
      </c>
      <c r="B40" s="4" t="str">
        <f>Inputs!B41</f>
        <v>US$</v>
      </c>
      <c r="C40" s="3"/>
      <c r="D40" s="3"/>
      <c r="E40" s="3"/>
      <c r="F40" s="3"/>
      <c r="G40" s="3"/>
      <c r="H40" s="3"/>
      <c r="I40" s="3"/>
      <c r="J40" s="3"/>
      <c r="K40" s="3"/>
      <c r="L40" s="3"/>
      <c r="M40" s="3"/>
      <c r="N40" s="3"/>
      <c r="O40" s="3"/>
      <c r="P40" s="3"/>
      <c r="Q40" s="3"/>
      <c r="R40" s="3"/>
      <c r="S40" s="3"/>
      <c r="T40" s="3"/>
      <c r="U40" s="3"/>
      <c r="V40" s="3"/>
      <c r="X40" s="2">
        <f t="shared" si="6"/>
        <v>0</v>
      </c>
    </row>
    <row r="41" spans="1:64" x14ac:dyDescent="0.3">
      <c r="A41" s="32">
        <f>Inputs!A42</f>
        <v>0</v>
      </c>
      <c r="B41" s="4" t="str">
        <f>Inputs!B42</f>
        <v>US$</v>
      </c>
      <c r="C41" s="3"/>
      <c r="D41" s="3"/>
      <c r="E41" s="3"/>
      <c r="F41" s="3"/>
      <c r="G41" s="3"/>
      <c r="H41" s="3"/>
      <c r="I41" s="3"/>
      <c r="J41" s="3"/>
      <c r="K41" s="3"/>
      <c r="L41" s="3"/>
      <c r="M41" s="3"/>
      <c r="N41" s="3"/>
      <c r="O41" s="3"/>
      <c r="P41" s="3"/>
      <c r="Q41" s="3"/>
      <c r="R41" s="3"/>
      <c r="S41" s="3"/>
      <c r="T41" s="3"/>
      <c r="U41" s="3"/>
      <c r="V41" s="3"/>
      <c r="X41" s="2">
        <f t="shared" si="6"/>
        <v>0</v>
      </c>
    </row>
    <row r="42" spans="1:64" x14ac:dyDescent="0.3">
      <c r="A42" s="557" t="str">
        <f>Inputs!A43</f>
        <v>Generator set for back-up</v>
      </c>
      <c r="B42" s="558"/>
      <c r="C42" s="559"/>
      <c r="D42" s="557"/>
      <c r="E42" s="558"/>
      <c r="F42" s="559"/>
      <c r="G42" s="557"/>
      <c r="H42" s="558"/>
      <c r="I42" s="559"/>
      <c r="J42" s="557"/>
      <c r="K42" s="558"/>
      <c r="L42" s="559"/>
      <c r="M42" s="557"/>
      <c r="N42" s="558"/>
      <c r="O42" s="559"/>
      <c r="P42" s="557"/>
      <c r="Q42" s="558"/>
      <c r="R42" s="559"/>
      <c r="S42" s="557"/>
      <c r="T42" s="558"/>
      <c r="U42" s="559"/>
      <c r="V42" s="557"/>
      <c r="W42" s="558"/>
      <c r="X42" s="559"/>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row>
    <row r="43" spans="1:64" x14ac:dyDescent="0.3">
      <c r="A43" s="32" t="str">
        <f>Inputs!A44</f>
        <v>Genset</v>
      </c>
      <c r="B43" s="4" t="str">
        <f>B23</f>
        <v>US$</v>
      </c>
      <c r="C43" s="3"/>
      <c r="D43" s="3"/>
      <c r="E43" s="3"/>
      <c r="F43" s="3"/>
      <c r="G43" s="3"/>
      <c r="H43" s="3"/>
      <c r="I43" s="3"/>
      <c r="J43" s="3"/>
      <c r="K43" s="3"/>
      <c r="L43" s="3"/>
      <c r="M43" s="3"/>
      <c r="N43" s="3"/>
      <c r="O43" s="3"/>
      <c r="P43" s="3"/>
      <c r="Q43" s="3"/>
      <c r="R43" s="3"/>
      <c r="S43" s="3"/>
      <c r="T43" s="3"/>
      <c r="U43" s="3"/>
      <c r="V43" s="3"/>
      <c r="X43" s="2">
        <f t="shared" si="6"/>
        <v>0</v>
      </c>
    </row>
    <row r="44" spans="1:64" x14ac:dyDescent="0.3">
      <c r="A44" s="54">
        <f>Inputs!A45</f>
        <v>0</v>
      </c>
      <c r="B44" s="37" t="str">
        <f>B24</f>
        <v>US$</v>
      </c>
      <c r="C44" s="55"/>
    </row>
    <row r="45" spans="1:64" x14ac:dyDescent="0.3">
      <c r="A45" s="523" t="str">
        <f>Inputs!A46</f>
        <v>1.2.2 Wind</v>
      </c>
      <c r="B45" s="524"/>
      <c r="C45" s="524"/>
      <c r="D45" s="524"/>
      <c r="E45" s="524"/>
      <c r="F45" s="524"/>
      <c r="G45" s="524"/>
      <c r="H45" s="524"/>
      <c r="I45" s="524"/>
      <c r="J45" s="524"/>
      <c r="K45" s="524"/>
      <c r="L45" s="524"/>
      <c r="M45" s="524"/>
      <c r="N45" s="524"/>
      <c r="O45" s="524"/>
      <c r="P45" s="524"/>
      <c r="Q45" s="524"/>
      <c r="R45" s="524"/>
      <c r="S45" s="524"/>
      <c r="T45" s="524"/>
      <c r="U45" s="524"/>
      <c r="V45" s="524"/>
      <c r="W45" s="524"/>
      <c r="X45" s="52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row>
    <row r="46" spans="1:64" s="104" customFormat="1" x14ac:dyDescent="0.3">
      <c r="A46" s="32" t="str">
        <f>Inputs!A47</f>
        <v>Development costs</v>
      </c>
      <c r="B46" s="4" t="str">
        <f>Inputs!B47</f>
        <v>US$</v>
      </c>
      <c r="C46" s="3"/>
      <c r="D46" s="3"/>
      <c r="E46" s="3"/>
      <c r="F46" s="3"/>
      <c r="G46" s="3"/>
      <c r="H46" s="3"/>
      <c r="I46" s="3"/>
      <c r="J46" s="3"/>
      <c r="K46" s="3"/>
      <c r="L46" s="3"/>
      <c r="M46" s="3"/>
      <c r="N46" s="3"/>
      <c r="O46" s="3"/>
      <c r="P46" s="3"/>
      <c r="Q46" s="3"/>
      <c r="R46" s="3"/>
      <c r="S46" s="3"/>
      <c r="T46" s="3"/>
      <c r="U46" s="3"/>
      <c r="V46" s="3"/>
      <c r="W46" s="21"/>
      <c r="X46" s="2">
        <f>SUM(C46:W46)</f>
        <v>0</v>
      </c>
      <c r="Y46" s="21"/>
      <c r="Z46" s="21"/>
      <c r="AA46" s="21"/>
      <c r="AB46" s="21"/>
      <c r="AC46" s="21"/>
      <c r="AD46" s="21"/>
      <c r="AE46" s="21"/>
      <c r="AF46" s="21"/>
      <c r="AG46" s="21"/>
      <c r="AH46" s="21"/>
      <c r="AI46" s="21"/>
      <c r="AJ46" s="21"/>
      <c r="AK46" s="21"/>
      <c r="AL46" s="21"/>
      <c r="AM46" s="21"/>
      <c r="AN46" s="21"/>
      <c r="AO46" s="21"/>
      <c r="AP46" s="21"/>
      <c r="AQ46" s="21"/>
      <c r="AR46" s="21"/>
      <c r="AS46" s="21"/>
      <c r="AT46" s="21"/>
      <c r="AU46" s="21"/>
      <c r="AV46" s="21"/>
      <c r="AW46" s="21"/>
      <c r="AX46" s="21"/>
      <c r="AY46" s="21"/>
      <c r="AZ46" s="21"/>
      <c r="BA46" s="21"/>
      <c r="BB46" s="21"/>
      <c r="BC46" s="21"/>
      <c r="BD46" s="21"/>
      <c r="BE46" s="21"/>
      <c r="BF46" s="21"/>
      <c r="BG46" s="21"/>
      <c r="BH46" s="21"/>
      <c r="BI46" s="21"/>
      <c r="BJ46" s="21"/>
      <c r="BK46" s="21"/>
      <c r="BL46" s="21"/>
    </row>
    <row r="47" spans="1:64" s="104" customFormat="1" x14ac:dyDescent="0.3">
      <c r="A47" s="32" t="str">
        <f>Inputs!A48</f>
        <v>Land</v>
      </c>
      <c r="B47" s="4" t="str">
        <f>Inputs!B48</f>
        <v>US$</v>
      </c>
      <c r="C47" s="3"/>
      <c r="D47" s="3"/>
      <c r="E47" s="3"/>
      <c r="F47" s="3"/>
      <c r="G47" s="3"/>
      <c r="H47" s="3"/>
      <c r="I47" s="3"/>
      <c r="J47" s="3"/>
      <c r="K47" s="3"/>
      <c r="L47" s="3"/>
      <c r="M47" s="3"/>
      <c r="N47" s="3"/>
      <c r="O47" s="3"/>
      <c r="P47" s="3"/>
      <c r="Q47" s="3"/>
      <c r="R47" s="3"/>
      <c r="S47" s="3"/>
      <c r="T47" s="3"/>
      <c r="U47" s="3"/>
      <c r="V47" s="3"/>
      <c r="W47" s="21"/>
      <c r="X47" s="2">
        <f t="shared" ref="X47:X59" si="7">SUM(C47:W47)</f>
        <v>0</v>
      </c>
      <c r="Y47" s="21"/>
      <c r="Z47" s="21"/>
      <c r="AA47" s="21"/>
      <c r="AB47" s="21"/>
      <c r="AC47" s="21"/>
      <c r="AD47" s="21"/>
      <c r="AE47" s="21"/>
      <c r="AF47" s="21"/>
      <c r="AG47" s="21"/>
      <c r="AH47" s="21"/>
      <c r="AI47" s="21"/>
      <c r="AJ47" s="21"/>
      <c r="AK47" s="21"/>
      <c r="AL47" s="21"/>
      <c r="AM47" s="21"/>
      <c r="AN47" s="21"/>
      <c r="AO47" s="21"/>
      <c r="AP47" s="21"/>
      <c r="AQ47" s="21"/>
      <c r="AR47" s="21"/>
      <c r="AS47" s="21"/>
      <c r="AT47" s="21"/>
      <c r="AU47" s="21"/>
      <c r="AV47" s="21"/>
      <c r="AW47" s="21"/>
      <c r="AX47" s="21"/>
      <c r="AY47" s="21"/>
      <c r="AZ47" s="21"/>
      <c r="BA47" s="21"/>
      <c r="BB47" s="21"/>
      <c r="BC47" s="21"/>
      <c r="BD47" s="21"/>
      <c r="BE47" s="21"/>
      <c r="BF47" s="21"/>
      <c r="BG47" s="21"/>
      <c r="BH47" s="21"/>
      <c r="BI47" s="21"/>
      <c r="BJ47" s="21"/>
      <c r="BK47" s="21"/>
      <c r="BL47" s="21"/>
    </row>
    <row r="48" spans="1:64" s="104" customFormat="1" x14ac:dyDescent="0.3">
      <c r="A48" s="32" t="str">
        <f>Inputs!A49</f>
        <v>Turbines and all its elements</v>
      </c>
      <c r="B48" s="4" t="str">
        <f>Inputs!B49</f>
        <v>US$</v>
      </c>
      <c r="C48" s="3"/>
      <c r="D48" s="3"/>
      <c r="E48" s="3"/>
      <c r="F48" s="3"/>
      <c r="G48" s="3"/>
      <c r="H48" s="3"/>
      <c r="I48" s="3"/>
      <c r="J48" s="3"/>
      <c r="K48" s="3"/>
      <c r="L48" s="3"/>
      <c r="M48" s="3"/>
      <c r="N48" s="3"/>
      <c r="O48" s="3"/>
      <c r="P48" s="3"/>
      <c r="Q48" s="3"/>
      <c r="R48" s="3"/>
      <c r="S48" s="3"/>
      <c r="T48" s="3"/>
      <c r="U48" s="3"/>
      <c r="V48" s="3"/>
      <c r="W48" s="21"/>
      <c r="X48" s="2">
        <f t="shared" si="7"/>
        <v>0</v>
      </c>
      <c r="Y48" s="21"/>
      <c r="Z48" s="21"/>
      <c r="AA48" s="21"/>
      <c r="AB48" s="21"/>
      <c r="AC48" s="21"/>
      <c r="AD48" s="21"/>
      <c r="AE48" s="21"/>
      <c r="AF48" s="21"/>
      <c r="AG48" s="21"/>
      <c r="AH48" s="21"/>
      <c r="AI48" s="21"/>
      <c r="AJ48" s="21"/>
      <c r="AK48" s="21"/>
      <c r="AL48" s="21"/>
      <c r="AM48" s="21"/>
      <c r="AN48" s="21"/>
      <c r="AO48" s="21"/>
      <c r="AP48" s="21"/>
      <c r="AQ48" s="21"/>
      <c r="AR48" s="21"/>
      <c r="AS48" s="21"/>
      <c r="AT48" s="21"/>
      <c r="AU48" s="21"/>
      <c r="AV48" s="21"/>
      <c r="AW48" s="21"/>
      <c r="AX48" s="21"/>
      <c r="AY48" s="21"/>
      <c r="AZ48" s="21"/>
      <c r="BA48" s="21"/>
      <c r="BB48" s="21"/>
      <c r="BC48" s="21"/>
      <c r="BD48" s="21"/>
      <c r="BE48" s="21"/>
      <c r="BF48" s="21"/>
      <c r="BG48" s="21"/>
      <c r="BH48" s="21"/>
      <c r="BI48" s="21"/>
      <c r="BJ48" s="21"/>
      <c r="BK48" s="21"/>
      <c r="BL48" s="21"/>
    </row>
    <row r="49" spans="1:64" s="104" customFormat="1" x14ac:dyDescent="0.3">
      <c r="A49" s="32" t="str">
        <f>Inputs!A50</f>
        <v>Balance of system</v>
      </c>
      <c r="B49" s="4" t="str">
        <f>Inputs!B50</f>
        <v>US$</v>
      </c>
      <c r="C49" s="3"/>
      <c r="D49" s="3"/>
      <c r="E49" s="3"/>
      <c r="F49" s="3"/>
      <c r="G49" s="3"/>
      <c r="H49" s="3"/>
      <c r="I49" s="3"/>
      <c r="J49" s="3"/>
      <c r="K49" s="3"/>
      <c r="L49" s="3"/>
      <c r="M49" s="3"/>
      <c r="N49" s="3"/>
      <c r="O49" s="3"/>
      <c r="P49" s="3"/>
      <c r="Q49" s="3"/>
      <c r="R49" s="3"/>
      <c r="S49" s="3"/>
      <c r="T49" s="3"/>
      <c r="U49" s="3"/>
      <c r="V49" s="3"/>
      <c r="W49" s="21"/>
      <c r="X49" s="2">
        <f t="shared" si="7"/>
        <v>0</v>
      </c>
      <c r="Y49" s="21"/>
      <c r="Z49" s="21"/>
      <c r="AA49" s="21"/>
      <c r="AB49" s="21"/>
      <c r="AC49" s="21"/>
      <c r="AD49" s="21"/>
      <c r="AE49" s="21"/>
      <c r="AF49" s="21"/>
      <c r="AG49" s="21"/>
      <c r="AH49" s="21"/>
      <c r="AI49" s="21"/>
      <c r="AJ49" s="21"/>
      <c r="AK49" s="21"/>
      <c r="AL49" s="21"/>
      <c r="AM49" s="21"/>
      <c r="AN49" s="21"/>
      <c r="AO49" s="21"/>
      <c r="AP49" s="21"/>
      <c r="AQ49" s="21"/>
      <c r="AR49" s="21"/>
      <c r="AS49" s="21"/>
      <c r="AT49" s="21"/>
      <c r="AU49" s="21"/>
      <c r="AV49" s="21"/>
      <c r="AW49" s="21"/>
      <c r="AX49" s="21"/>
      <c r="AY49" s="21"/>
      <c r="AZ49" s="21"/>
      <c r="BA49" s="21"/>
      <c r="BB49" s="21"/>
      <c r="BC49" s="21"/>
      <c r="BD49" s="21"/>
      <c r="BE49" s="21"/>
      <c r="BF49" s="21"/>
      <c r="BG49" s="21"/>
      <c r="BH49" s="21"/>
      <c r="BI49" s="21"/>
      <c r="BJ49" s="21"/>
      <c r="BK49" s="21"/>
      <c r="BL49" s="21"/>
    </row>
    <row r="50" spans="1:64" s="104" customFormat="1" x14ac:dyDescent="0.3">
      <c r="A50" s="32" t="str">
        <f>Inputs!A51</f>
        <v>Civil works and foundations</v>
      </c>
      <c r="B50" s="4" t="str">
        <f>Inputs!B51</f>
        <v>US$</v>
      </c>
      <c r="C50" s="3"/>
      <c r="D50" s="3"/>
      <c r="E50" s="3"/>
      <c r="F50" s="3"/>
      <c r="G50" s="3"/>
      <c r="H50" s="3"/>
      <c r="I50" s="3"/>
      <c r="J50" s="3"/>
      <c r="K50" s="3"/>
      <c r="L50" s="3"/>
      <c r="M50" s="3"/>
      <c r="N50" s="3"/>
      <c r="O50" s="3"/>
      <c r="P50" s="3"/>
      <c r="Q50" s="3"/>
      <c r="R50" s="3"/>
      <c r="S50" s="3"/>
      <c r="T50" s="3"/>
      <c r="U50" s="3"/>
      <c r="V50" s="3"/>
      <c r="W50" s="21"/>
      <c r="X50" s="2">
        <f t="shared" si="7"/>
        <v>0</v>
      </c>
      <c r="Y50" s="21"/>
      <c r="Z50" s="21"/>
      <c r="AA50" s="21"/>
      <c r="AB50" s="21"/>
      <c r="AC50" s="21"/>
      <c r="AD50" s="21"/>
      <c r="AE50" s="21"/>
      <c r="AF50" s="21"/>
      <c r="AG50" s="21"/>
      <c r="AH50" s="21"/>
      <c r="AI50" s="21"/>
      <c r="AJ50" s="21"/>
      <c r="AK50" s="21"/>
      <c r="AL50" s="21"/>
      <c r="AM50" s="21"/>
      <c r="AN50" s="21"/>
      <c r="AO50" s="21"/>
      <c r="AP50" s="21"/>
      <c r="AQ50" s="21"/>
      <c r="AR50" s="21"/>
      <c r="AS50" s="21"/>
      <c r="AT50" s="21"/>
      <c r="AU50" s="21"/>
      <c r="AV50" s="21"/>
      <c r="AW50" s="21"/>
      <c r="AX50" s="21"/>
      <c r="AY50" s="21"/>
      <c r="AZ50" s="21"/>
      <c r="BA50" s="21"/>
      <c r="BB50" s="21"/>
      <c r="BC50" s="21"/>
      <c r="BD50" s="21"/>
      <c r="BE50" s="21"/>
      <c r="BF50" s="21"/>
      <c r="BG50" s="21"/>
      <c r="BH50" s="21"/>
      <c r="BI50" s="21"/>
      <c r="BJ50" s="21"/>
      <c r="BK50" s="21"/>
      <c r="BL50" s="21"/>
    </row>
    <row r="51" spans="1:64" s="104" customFormat="1" x14ac:dyDescent="0.3">
      <c r="A51" s="32" t="str">
        <f>Inputs!A52</f>
        <v>Powerhouse</v>
      </c>
      <c r="B51" s="4" t="str">
        <f>Inputs!B52</f>
        <v>US$</v>
      </c>
      <c r="C51" s="3"/>
      <c r="D51" s="3"/>
      <c r="E51" s="3"/>
      <c r="F51" s="3"/>
      <c r="G51" s="3"/>
      <c r="H51" s="3"/>
      <c r="I51" s="3"/>
      <c r="J51" s="3"/>
      <c r="K51" s="3"/>
      <c r="L51" s="3"/>
      <c r="M51" s="3"/>
      <c r="N51" s="3"/>
      <c r="O51" s="3"/>
      <c r="P51" s="3"/>
      <c r="Q51" s="3"/>
      <c r="R51" s="3"/>
      <c r="S51" s="3"/>
      <c r="T51" s="3"/>
      <c r="U51" s="3"/>
      <c r="V51" s="3"/>
      <c r="W51" s="21"/>
      <c r="X51" s="2">
        <f t="shared" si="7"/>
        <v>0</v>
      </c>
      <c r="Y51" s="21"/>
      <c r="Z51" s="21"/>
      <c r="AA51" s="21"/>
      <c r="AB51" s="21"/>
      <c r="AC51" s="21"/>
      <c r="AD51" s="21"/>
      <c r="AE51" s="21"/>
      <c r="AF51" s="21"/>
      <c r="AG51" s="21"/>
      <c r="AH51" s="21"/>
      <c r="AI51" s="21"/>
      <c r="AJ51" s="21"/>
      <c r="AK51" s="21"/>
      <c r="AL51" s="21"/>
      <c r="AM51" s="21"/>
      <c r="AN51" s="21"/>
      <c r="AO51" s="21"/>
      <c r="AP51" s="21"/>
      <c r="AQ51" s="21"/>
      <c r="AR51" s="21"/>
      <c r="AS51" s="21"/>
      <c r="AT51" s="21"/>
      <c r="AU51" s="21"/>
      <c r="AV51" s="21"/>
      <c r="AW51" s="21"/>
      <c r="AX51" s="21"/>
      <c r="AY51" s="21"/>
      <c r="AZ51" s="21"/>
      <c r="BA51" s="21"/>
      <c r="BB51" s="21"/>
      <c r="BC51" s="21"/>
      <c r="BD51" s="21"/>
      <c r="BE51" s="21"/>
      <c r="BF51" s="21"/>
      <c r="BG51" s="21"/>
      <c r="BH51" s="21"/>
      <c r="BI51" s="21"/>
      <c r="BJ51" s="21"/>
      <c r="BK51" s="21"/>
      <c r="BL51" s="21"/>
    </row>
    <row r="52" spans="1:64" s="104" customFormat="1" x14ac:dyDescent="0.3">
      <c r="A52" s="32" t="str">
        <f>Inputs!A53</f>
        <v>Logistics, transport, warehousing</v>
      </c>
      <c r="B52" s="4" t="str">
        <f>Inputs!B53</f>
        <v>US$</v>
      </c>
      <c r="C52" s="3"/>
      <c r="D52" s="3"/>
      <c r="E52" s="3"/>
      <c r="F52" s="3"/>
      <c r="G52" s="3"/>
      <c r="H52" s="3"/>
      <c r="I52" s="3"/>
      <c r="J52" s="3"/>
      <c r="K52" s="3"/>
      <c r="L52" s="3"/>
      <c r="M52" s="3"/>
      <c r="N52" s="3"/>
      <c r="O52" s="3"/>
      <c r="P52" s="3"/>
      <c r="Q52" s="3"/>
      <c r="R52" s="3"/>
      <c r="S52" s="3"/>
      <c r="T52" s="3"/>
      <c r="U52" s="3"/>
      <c r="V52" s="3"/>
      <c r="W52" s="21"/>
      <c r="X52" s="2">
        <f t="shared" si="7"/>
        <v>0</v>
      </c>
      <c r="Y52" s="21"/>
      <c r="Z52" s="21"/>
      <c r="AA52" s="21"/>
      <c r="AB52" s="21"/>
      <c r="AC52" s="21"/>
      <c r="AD52" s="21"/>
      <c r="AE52" s="21"/>
      <c r="AF52" s="21"/>
      <c r="AG52" s="21"/>
      <c r="AH52" s="21"/>
      <c r="AI52" s="21"/>
      <c r="AJ52" s="21"/>
      <c r="AK52" s="21"/>
      <c r="AL52" s="21"/>
      <c r="AM52" s="21"/>
      <c r="AN52" s="21"/>
      <c r="AO52" s="21"/>
      <c r="AP52" s="21"/>
      <c r="AQ52" s="21"/>
      <c r="AR52" s="21"/>
      <c r="AS52" s="21"/>
      <c r="AT52" s="21"/>
      <c r="AU52" s="21"/>
      <c r="AV52" s="21"/>
      <c r="AW52" s="21"/>
      <c r="AX52" s="21"/>
      <c r="AY52" s="21"/>
      <c r="AZ52" s="21"/>
      <c r="BA52" s="21"/>
      <c r="BB52" s="21"/>
      <c r="BC52" s="21"/>
      <c r="BD52" s="21"/>
      <c r="BE52" s="21"/>
      <c r="BF52" s="21"/>
      <c r="BG52" s="21"/>
      <c r="BH52" s="21"/>
      <c r="BI52" s="21"/>
      <c r="BJ52" s="21"/>
      <c r="BK52" s="21"/>
      <c r="BL52" s="21"/>
    </row>
    <row r="53" spans="1:64" s="104" customFormat="1" x14ac:dyDescent="0.3">
      <c r="A53" s="32" t="str">
        <f>Inputs!A54</f>
        <v>Custom duties</v>
      </c>
      <c r="B53" s="4" t="str">
        <f>Inputs!B54</f>
        <v>US$</v>
      </c>
      <c r="C53" s="3"/>
      <c r="D53" s="3"/>
      <c r="E53" s="3"/>
      <c r="F53" s="3"/>
      <c r="G53" s="3"/>
      <c r="H53" s="3"/>
      <c r="I53" s="3"/>
      <c r="J53" s="3"/>
      <c r="K53" s="3"/>
      <c r="L53" s="3"/>
      <c r="M53" s="3"/>
      <c r="N53" s="3"/>
      <c r="O53" s="3"/>
      <c r="P53" s="3"/>
      <c r="Q53" s="3"/>
      <c r="R53" s="3"/>
      <c r="S53" s="3"/>
      <c r="T53" s="3"/>
      <c r="U53" s="3"/>
      <c r="V53" s="3"/>
      <c r="W53" s="21"/>
      <c r="X53" s="2">
        <f t="shared" si="7"/>
        <v>0</v>
      </c>
      <c r="Y53" s="21"/>
      <c r="Z53" s="21"/>
      <c r="AA53" s="21"/>
      <c r="AB53" s="21"/>
      <c r="AC53" s="21"/>
      <c r="AD53" s="21"/>
      <c r="AE53" s="21"/>
      <c r="AF53" s="21"/>
      <c r="AG53" s="21"/>
      <c r="AH53" s="21"/>
      <c r="AI53" s="21"/>
      <c r="AJ53" s="21"/>
      <c r="AK53" s="21"/>
      <c r="AL53" s="21"/>
      <c r="AM53" s="21"/>
      <c r="AN53" s="21"/>
      <c r="AO53" s="21"/>
      <c r="AP53" s="21"/>
      <c r="AQ53" s="21"/>
      <c r="AR53" s="21"/>
      <c r="AS53" s="21"/>
      <c r="AT53" s="21"/>
      <c r="AU53" s="21"/>
      <c r="AV53" s="21"/>
      <c r="AW53" s="21"/>
      <c r="AX53" s="21"/>
      <c r="AY53" s="21"/>
      <c r="AZ53" s="21"/>
      <c r="BA53" s="21"/>
      <c r="BB53" s="21"/>
      <c r="BC53" s="21"/>
      <c r="BD53" s="21"/>
      <c r="BE53" s="21"/>
      <c r="BF53" s="21"/>
      <c r="BG53" s="21"/>
      <c r="BH53" s="21"/>
      <c r="BI53" s="21"/>
      <c r="BJ53" s="21"/>
      <c r="BK53" s="21"/>
      <c r="BL53" s="21"/>
    </row>
    <row r="54" spans="1:64" s="104" customFormat="1" x14ac:dyDescent="0.3">
      <c r="A54" s="32" t="str">
        <f>Inputs!A55</f>
        <v>VAT</v>
      </c>
      <c r="B54" s="4" t="str">
        <f>Inputs!B55</f>
        <v>US$</v>
      </c>
      <c r="C54" s="3"/>
      <c r="D54" s="3"/>
      <c r="E54" s="3"/>
      <c r="F54" s="3"/>
      <c r="G54" s="3"/>
      <c r="H54" s="3"/>
      <c r="I54" s="3"/>
      <c r="J54" s="3"/>
      <c r="K54" s="3"/>
      <c r="L54" s="3"/>
      <c r="M54" s="3"/>
      <c r="N54" s="3"/>
      <c r="O54" s="3"/>
      <c r="P54" s="3"/>
      <c r="Q54" s="3"/>
      <c r="R54" s="3"/>
      <c r="S54" s="3"/>
      <c r="T54" s="3"/>
      <c r="U54" s="3"/>
      <c r="V54" s="3"/>
      <c r="W54" s="21"/>
      <c r="X54" s="2">
        <f t="shared" si="7"/>
        <v>0</v>
      </c>
      <c r="Y54" s="21"/>
      <c r="Z54" s="21"/>
      <c r="AA54" s="21"/>
      <c r="AB54" s="21"/>
      <c r="AC54" s="21"/>
      <c r="AD54" s="21"/>
      <c r="AE54" s="21"/>
      <c r="AF54" s="21"/>
      <c r="AG54" s="21"/>
      <c r="AH54" s="21"/>
      <c r="AI54" s="21"/>
      <c r="AJ54" s="21"/>
      <c r="AK54" s="21"/>
      <c r="AL54" s="21"/>
      <c r="AM54" s="21"/>
      <c r="AN54" s="21"/>
      <c r="AO54" s="21"/>
      <c r="AP54" s="21"/>
      <c r="AQ54" s="21"/>
      <c r="AR54" s="21"/>
      <c r="AS54" s="21"/>
      <c r="AT54" s="21"/>
      <c r="AU54" s="21"/>
      <c r="AV54" s="21"/>
      <c r="AW54" s="21"/>
      <c r="AX54" s="21"/>
      <c r="AY54" s="21"/>
      <c r="AZ54" s="21"/>
      <c r="BA54" s="21"/>
      <c r="BB54" s="21"/>
      <c r="BC54" s="21"/>
      <c r="BD54" s="21"/>
      <c r="BE54" s="21"/>
      <c r="BF54" s="21"/>
      <c r="BG54" s="21"/>
      <c r="BH54" s="21"/>
      <c r="BI54" s="21"/>
      <c r="BJ54" s="21"/>
      <c r="BK54" s="21"/>
      <c r="BL54" s="21"/>
    </row>
    <row r="55" spans="1:64" s="104" customFormat="1" x14ac:dyDescent="0.3">
      <c r="A55" s="32" t="str">
        <f>Inputs!A56</f>
        <v>Installation and inspection</v>
      </c>
      <c r="B55" s="4" t="str">
        <f>Inputs!B56</f>
        <v>US$</v>
      </c>
      <c r="C55" s="3"/>
      <c r="D55" s="3"/>
      <c r="E55" s="3"/>
      <c r="F55" s="3"/>
      <c r="G55" s="3"/>
      <c r="H55" s="3"/>
      <c r="I55" s="3"/>
      <c r="J55" s="3"/>
      <c r="K55" s="3"/>
      <c r="L55" s="3"/>
      <c r="M55" s="3"/>
      <c r="N55" s="3"/>
      <c r="O55" s="3"/>
      <c r="P55" s="3"/>
      <c r="Q55" s="3"/>
      <c r="R55" s="3"/>
      <c r="S55" s="3"/>
      <c r="T55" s="3"/>
      <c r="U55" s="3"/>
      <c r="V55" s="3"/>
      <c r="W55" s="21"/>
      <c r="X55" s="2">
        <f t="shared" si="7"/>
        <v>0</v>
      </c>
      <c r="Y55" s="21"/>
      <c r="Z55" s="21"/>
      <c r="AA55" s="21"/>
      <c r="AB55" s="21"/>
      <c r="AC55" s="21"/>
      <c r="AD55" s="21"/>
      <c r="AE55" s="21"/>
      <c r="AF55" s="21"/>
      <c r="AG55" s="21"/>
      <c r="AH55" s="21"/>
      <c r="AI55" s="21"/>
      <c r="AJ55" s="21"/>
      <c r="AK55" s="21"/>
      <c r="AL55" s="21"/>
      <c r="AM55" s="21"/>
      <c r="AN55" s="21"/>
      <c r="AO55" s="21"/>
      <c r="AP55" s="21"/>
      <c r="AQ55" s="21"/>
      <c r="AR55" s="21"/>
      <c r="AS55" s="21"/>
      <c r="AT55" s="21"/>
      <c r="AU55" s="21"/>
      <c r="AV55" s="21"/>
      <c r="AW55" s="21"/>
      <c r="AX55" s="21"/>
      <c r="AY55" s="21"/>
      <c r="AZ55" s="21"/>
      <c r="BA55" s="21"/>
      <c r="BB55" s="21"/>
      <c r="BC55" s="21"/>
      <c r="BD55" s="21"/>
      <c r="BE55" s="21"/>
      <c r="BF55" s="21"/>
      <c r="BG55" s="21"/>
      <c r="BH55" s="21"/>
      <c r="BI55" s="21"/>
      <c r="BJ55" s="21"/>
      <c r="BK55" s="21"/>
      <c r="BL55" s="21"/>
    </row>
    <row r="56" spans="1:64" s="104" customFormat="1" x14ac:dyDescent="0.3">
      <c r="A56" s="32" t="str">
        <f>Inputs!A57</f>
        <v>Distribution assets capital costs</v>
      </c>
      <c r="B56" s="4" t="str">
        <f>Inputs!B57</f>
        <v>US$</v>
      </c>
      <c r="C56" s="3"/>
      <c r="D56" s="3"/>
      <c r="E56" s="3"/>
      <c r="F56" s="3"/>
      <c r="G56" s="3"/>
      <c r="H56" s="3"/>
      <c r="I56" s="3"/>
      <c r="J56" s="3"/>
      <c r="K56" s="3"/>
      <c r="L56" s="3"/>
      <c r="M56" s="3"/>
      <c r="N56" s="3"/>
      <c r="O56" s="3"/>
      <c r="P56" s="3"/>
      <c r="Q56" s="3"/>
      <c r="R56" s="3"/>
      <c r="S56" s="3"/>
      <c r="T56" s="3"/>
      <c r="U56" s="3"/>
      <c r="V56" s="3"/>
      <c r="W56" s="21"/>
      <c r="X56" s="2">
        <f t="shared" si="7"/>
        <v>0</v>
      </c>
      <c r="Y56" s="21"/>
      <c r="Z56" s="21"/>
      <c r="AA56" s="21"/>
      <c r="AB56" s="21"/>
      <c r="AC56" s="21"/>
      <c r="AD56" s="21"/>
      <c r="AE56" s="21"/>
      <c r="AF56" s="21"/>
      <c r="AG56" s="21"/>
      <c r="AH56" s="21"/>
      <c r="AI56" s="21"/>
      <c r="AJ56" s="21"/>
      <c r="AK56" s="21"/>
      <c r="AL56" s="21"/>
      <c r="AM56" s="21"/>
      <c r="AN56" s="21"/>
      <c r="AO56" s="21"/>
      <c r="AP56" s="21"/>
      <c r="AQ56" s="21"/>
      <c r="AR56" s="21"/>
      <c r="AS56" s="21"/>
      <c r="AT56" s="21"/>
      <c r="AU56" s="21"/>
      <c r="AV56" s="21"/>
      <c r="AW56" s="21"/>
      <c r="AX56" s="21"/>
      <c r="AY56" s="21"/>
      <c r="AZ56" s="21"/>
      <c r="BA56" s="21"/>
      <c r="BB56" s="21"/>
      <c r="BC56" s="21"/>
      <c r="BD56" s="21"/>
      <c r="BE56" s="21"/>
      <c r="BF56" s="21"/>
      <c r="BG56" s="21"/>
      <c r="BH56" s="21"/>
      <c r="BI56" s="21"/>
      <c r="BJ56" s="21"/>
      <c r="BK56" s="21"/>
      <c r="BL56" s="21"/>
    </row>
    <row r="57" spans="1:64" s="104" customFormat="1" x14ac:dyDescent="0.3">
      <c r="A57" s="32" t="str">
        <f>Inputs!A58</f>
        <v>Transformers</v>
      </c>
      <c r="B57" s="4" t="str">
        <f>Inputs!B58</f>
        <v>US$</v>
      </c>
      <c r="C57" s="3"/>
      <c r="D57" s="3"/>
      <c r="E57" s="3"/>
      <c r="F57" s="3"/>
      <c r="G57" s="3"/>
      <c r="H57" s="3"/>
      <c r="I57" s="3"/>
      <c r="J57" s="3"/>
      <c r="K57" s="3"/>
      <c r="L57" s="3"/>
      <c r="M57" s="3"/>
      <c r="N57" s="3"/>
      <c r="O57" s="3"/>
      <c r="P57" s="3"/>
      <c r="Q57" s="3"/>
      <c r="R57" s="3"/>
      <c r="S57" s="3"/>
      <c r="T57" s="3"/>
      <c r="U57" s="3"/>
      <c r="V57" s="3"/>
      <c r="W57" s="21"/>
      <c r="X57" s="2">
        <f t="shared" si="7"/>
        <v>0</v>
      </c>
      <c r="Y57" s="21"/>
      <c r="Z57" s="21"/>
      <c r="AA57" s="21"/>
      <c r="AB57" s="21"/>
      <c r="AC57" s="21"/>
      <c r="AD57" s="21"/>
      <c r="AE57" s="21"/>
      <c r="AF57" s="21"/>
      <c r="AG57" s="21"/>
      <c r="AH57" s="21"/>
      <c r="AI57" s="21"/>
      <c r="AJ57" s="21"/>
      <c r="AK57" s="21"/>
      <c r="AL57" s="21"/>
      <c r="AM57" s="21"/>
      <c r="AN57" s="21"/>
      <c r="AO57" s="21"/>
      <c r="AP57" s="21"/>
      <c r="AQ57" s="21"/>
      <c r="AR57" s="21"/>
      <c r="AS57" s="21"/>
      <c r="AT57" s="21"/>
      <c r="AU57" s="21"/>
      <c r="AV57" s="21"/>
      <c r="AW57" s="21"/>
      <c r="AX57" s="21"/>
      <c r="AY57" s="21"/>
      <c r="AZ57" s="21"/>
      <c r="BA57" s="21"/>
      <c r="BB57" s="21"/>
      <c r="BC57" s="21"/>
      <c r="BD57" s="21"/>
      <c r="BE57" s="21"/>
      <c r="BF57" s="21"/>
      <c r="BG57" s="21"/>
      <c r="BH57" s="21"/>
      <c r="BI57" s="21"/>
      <c r="BJ57" s="21"/>
      <c r="BK57" s="21"/>
      <c r="BL57" s="21"/>
    </row>
    <row r="58" spans="1:64" s="104" customFormat="1" x14ac:dyDescent="0.3">
      <c r="A58" s="32" t="str">
        <f>Inputs!A59</f>
        <v>Metering and termination</v>
      </c>
      <c r="B58" s="4" t="str">
        <f>Inputs!B59</f>
        <v>US$</v>
      </c>
      <c r="C58" s="3"/>
      <c r="D58" s="3"/>
      <c r="E58" s="3"/>
      <c r="F58" s="3"/>
      <c r="G58" s="3"/>
      <c r="H58" s="3"/>
      <c r="I58" s="3"/>
      <c r="J58" s="3"/>
      <c r="K58" s="3"/>
      <c r="L58" s="3"/>
      <c r="M58" s="3"/>
      <c r="N58" s="3"/>
      <c r="O58" s="3"/>
      <c r="P58" s="3"/>
      <c r="Q58" s="3"/>
      <c r="R58" s="3"/>
      <c r="S58" s="3"/>
      <c r="T58" s="3"/>
      <c r="U58" s="3"/>
      <c r="V58" s="3"/>
      <c r="W58" s="21"/>
      <c r="X58" s="2">
        <f t="shared" si="7"/>
        <v>0</v>
      </c>
      <c r="Y58" s="21"/>
      <c r="Z58" s="21"/>
      <c r="AA58" s="21"/>
      <c r="AB58" s="21"/>
      <c r="AC58" s="21"/>
      <c r="AD58" s="21"/>
      <c r="AE58" s="21"/>
      <c r="AF58" s="21"/>
      <c r="AG58" s="21"/>
      <c r="AH58" s="21"/>
      <c r="AI58" s="21"/>
      <c r="AJ58" s="21"/>
      <c r="AK58" s="21"/>
      <c r="AL58" s="21"/>
      <c r="AM58" s="21"/>
      <c r="AN58" s="21"/>
      <c r="AO58" s="21"/>
      <c r="AP58" s="21"/>
      <c r="AQ58" s="21"/>
      <c r="AR58" s="21"/>
      <c r="AS58" s="21"/>
      <c r="AT58" s="21"/>
      <c r="AU58" s="21"/>
      <c r="AV58" s="21"/>
      <c r="AW58" s="21"/>
      <c r="AX58" s="21"/>
      <c r="AY58" s="21"/>
      <c r="AZ58" s="21"/>
      <c r="BA58" s="21"/>
      <c r="BB58" s="21"/>
      <c r="BC58" s="21"/>
      <c r="BD58" s="21"/>
      <c r="BE58" s="21"/>
      <c r="BF58" s="21"/>
      <c r="BG58" s="21"/>
      <c r="BH58" s="21"/>
      <c r="BI58" s="21"/>
      <c r="BJ58" s="21"/>
      <c r="BK58" s="21"/>
      <c r="BL58" s="21"/>
    </row>
    <row r="59" spans="1:64" s="104" customFormat="1" x14ac:dyDescent="0.3">
      <c r="A59" s="32">
        <f>Inputs!A60</f>
        <v>0</v>
      </c>
      <c r="B59" s="4" t="str">
        <f>Inputs!B60</f>
        <v>US$</v>
      </c>
      <c r="C59" s="3"/>
      <c r="D59" s="3"/>
      <c r="E59" s="3"/>
      <c r="F59" s="3"/>
      <c r="G59" s="3"/>
      <c r="H59" s="3"/>
      <c r="I59" s="3"/>
      <c r="J59" s="3"/>
      <c r="K59" s="3"/>
      <c r="L59" s="3"/>
      <c r="M59" s="3"/>
      <c r="N59" s="3"/>
      <c r="O59" s="3"/>
      <c r="P59" s="3"/>
      <c r="Q59" s="3"/>
      <c r="R59" s="3"/>
      <c r="S59" s="3"/>
      <c r="T59" s="3"/>
      <c r="U59" s="3"/>
      <c r="V59" s="3"/>
      <c r="W59" s="21"/>
      <c r="X59" s="2">
        <f t="shared" si="7"/>
        <v>0</v>
      </c>
      <c r="Y59" s="21"/>
      <c r="Z59" s="21"/>
      <c r="AA59" s="21"/>
      <c r="AB59" s="21"/>
      <c r="AC59" s="21"/>
      <c r="AD59" s="21"/>
      <c r="AE59" s="21"/>
      <c r="AF59" s="21"/>
      <c r="AG59" s="21"/>
      <c r="AH59" s="21"/>
      <c r="AI59" s="21"/>
      <c r="AJ59" s="21"/>
      <c r="AK59" s="21"/>
      <c r="AL59" s="21"/>
      <c r="AM59" s="21"/>
      <c r="AN59" s="21"/>
      <c r="AO59" s="21"/>
      <c r="AP59" s="21"/>
      <c r="AQ59" s="21"/>
      <c r="AR59" s="21"/>
      <c r="AS59" s="21"/>
      <c r="AT59" s="21"/>
      <c r="AU59" s="21"/>
      <c r="AV59" s="21"/>
      <c r="AW59" s="21"/>
      <c r="AX59" s="21"/>
      <c r="AY59" s="21"/>
      <c r="AZ59" s="21"/>
      <c r="BA59" s="21"/>
      <c r="BB59" s="21"/>
      <c r="BC59" s="21"/>
      <c r="BD59" s="21"/>
      <c r="BE59" s="21"/>
      <c r="BF59" s="21"/>
      <c r="BG59" s="21"/>
      <c r="BH59" s="21"/>
      <c r="BI59" s="21"/>
      <c r="BJ59" s="21"/>
      <c r="BK59" s="21"/>
      <c r="BL59" s="21"/>
    </row>
    <row r="60" spans="1:64" s="104" customFormat="1" x14ac:dyDescent="0.3">
      <c r="A60" s="32">
        <f>Inputs!A61</f>
        <v>0</v>
      </c>
      <c r="B60" s="4" t="str">
        <f>Inputs!B61</f>
        <v>US$</v>
      </c>
      <c r="C60" s="3"/>
      <c r="D60" s="3"/>
      <c r="E60" s="3"/>
      <c r="F60" s="3"/>
      <c r="G60" s="3"/>
      <c r="H60" s="3"/>
      <c r="I60" s="3"/>
      <c r="J60" s="3"/>
      <c r="K60" s="3"/>
      <c r="L60" s="3"/>
      <c r="M60" s="3"/>
      <c r="N60" s="3"/>
      <c r="O60" s="3"/>
      <c r="P60" s="3"/>
      <c r="Q60" s="3"/>
      <c r="R60" s="3"/>
      <c r="S60" s="3"/>
      <c r="T60" s="3"/>
      <c r="U60" s="3"/>
      <c r="V60" s="3"/>
      <c r="W60" s="21"/>
      <c r="X60" s="2"/>
      <c r="Y60" s="21"/>
      <c r="Z60" s="21"/>
      <c r="AA60" s="21"/>
      <c r="AB60" s="21"/>
      <c r="AC60" s="21"/>
      <c r="AD60" s="21"/>
      <c r="AE60" s="21"/>
      <c r="AF60" s="21"/>
      <c r="AG60" s="21"/>
      <c r="AH60" s="21"/>
      <c r="AI60" s="21"/>
      <c r="AJ60" s="21"/>
      <c r="AK60" s="21"/>
      <c r="AL60" s="21"/>
      <c r="AM60" s="21"/>
      <c r="AN60" s="21"/>
      <c r="AO60" s="21"/>
      <c r="AP60" s="21"/>
      <c r="AQ60" s="21"/>
      <c r="AR60" s="21"/>
      <c r="AS60" s="21"/>
      <c r="AT60" s="21"/>
      <c r="AU60" s="21"/>
      <c r="AV60" s="21"/>
      <c r="AW60" s="21"/>
      <c r="AX60" s="21"/>
      <c r="AY60" s="21"/>
      <c r="AZ60" s="21"/>
      <c r="BA60" s="21"/>
      <c r="BB60" s="21"/>
      <c r="BC60" s="21"/>
      <c r="BD60" s="21"/>
      <c r="BE60" s="21"/>
      <c r="BF60" s="21"/>
      <c r="BG60" s="21"/>
      <c r="BH60" s="21"/>
      <c r="BI60" s="21"/>
      <c r="BJ60" s="21"/>
      <c r="BK60" s="21"/>
      <c r="BL60" s="21"/>
    </row>
    <row r="61" spans="1:64" x14ac:dyDescent="0.3">
      <c r="A61" s="523" t="str">
        <f>Inputs!A62</f>
        <v>1.2.3 Hydro</v>
      </c>
      <c r="B61" s="524"/>
      <c r="C61" s="524"/>
      <c r="D61" s="524"/>
      <c r="E61" s="524"/>
      <c r="F61" s="524"/>
      <c r="G61" s="524"/>
      <c r="H61" s="524"/>
      <c r="I61" s="524"/>
      <c r="J61" s="524"/>
      <c r="K61" s="524"/>
      <c r="L61" s="524"/>
      <c r="M61" s="524"/>
      <c r="N61" s="524"/>
      <c r="O61" s="524"/>
      <c r="P61" s="524"/>
      <c r="Q61" s="524"/>
      <c r="R61" s="524"/>
      <c r="S61" s="524"/>
      <c r="T61" s="524"/>
      <c r="U61" s="524"/>
      <c r="V61" s="524"/>
      <c r="W61" s="524"/>
      <c r="X61" s="52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row>
    <row r="62" spans="1:64" s="104" customFormat="1" x14ac:dyDescent="0.3">
      <c r="A62" s="32" t="str">
        <f>Inputs!A63</f>
        <v>Development costs</v>
      </c>
      <c r="B62" s="4" t="str">
        <f>B23</f>
        <v>US$</v>
      </c>
      <c r="C62" s="3"/>
      <c r="D62" s="3"/>
      <c r="E62" s="3"/>
      <c r="F62" s="3"/>
      <c r="G62" s="3"/>
      <c r="H62" s="3"/>
      <c r="I62" s="3"/>
      <c r="J62" s="3"/>
      <c r="K62" s="3"/>
      <c r="L62" s="3"/>
      <c r="M62" s="3"/>
      <c r="N62" s="3"/>
      <c r="O62" s="3"/>
      <c r="P62" s="3"/>
      <c r="Q62" s="3"/>
      <c r="R62" s="3"/>
      <c r="S62" s="3"/>
      <c r="T62" s="3"/>
      <c r="U62" s="3"/>
      <c r="V62" s="3"/>
      <c r="W62" s="21"/>
      <c r="X62" s="2">
        <f>SUM(C62:W62)</f>
        <v>0</v>
      </c>
      <c r="Y62" s="21"/>
      <c r="Z62" s="21"/>
      <c r="AA62" s="21"/>
      <c r="AB62" s="21"/>
      <c r="AC62" s="21"/>
      <c r="AD62" s="21"/>
      <c r="AE62" s="21"/>
      <c r="AF62" s="21"/>
      <c r="AG62" s="21"/>
      <c r="AH62" s="21"/>
      <c r="AI62" s="21"/>
      <c r="AJ62" s="21"/>
      <c r="AK62" s="21"/>
      <c r="AL62" s="21"/>
      <c r="AM62" s="21"/>
      <c r="AN62" s="21"/>
      <c r="AO62" s="21"/>
      <c r="AP62" s="21"/>
      <c r="AQ62" s="21"/>
      <c r="AR62" s="21"/>
      <c r="AS62" s="21"/>
      <c r="AT62" s="21"/>
      <c r="AU62" s="21"/>
      <c r="AV62" s="21"/>
      <c r="AW62" s="21"/>
      <c r="AX62" s="21"/>
      <c r="AY62" s="21"/>
      <c r="AZ62" s="21"/>
      <c r="BA62" s="21"/>
      <c r="BB62" s="21"/>
      <c r="BC62" s="21"/>
      <c r="BD62" s="21"/>
      <c r="BE62" s="21"/>
      <c r="BF62" s="21"/>
      <c r="BG62" s="21"/>
      <c r="BH62" s="21"/>
      <c r="BI62" s="21"/>
      <c r="BJ62" s="21"/>
      <c r="BK62" s="21"/>
      <c r="BL62" s="21"/>
    </row>
    <row r="63" spans="1:64" s="104" customFormat="1" x14ac:dyDescent="0.3">
      <c r="A63" s="32" t="str">
        <f>Inputs!A64</f>
        <v>Land</v>
      </c>
      <c r="B63" s="4" t="str">
        <f t="shared" ref="B63:B78" si="8">B24</f>
        <v>US$</v>
      </c>
      <c r="C63" s="3"/>
      <c r="D63" s="3"/>
      <c r="E63" s="3"/>
      <c r="F63" s="3"/>
      <c r="G63" s="3"/>
      <c r="H63" s="3"/>
      <c r="I63" s="3"/>
      <c r="J63" s="3"/>
      <c r="K63" s="3"/>
      <c r="L63" s="3"/>
      <c r="M63" s="3"/>
      <c r="N63" s="3"/>
      <c r="O63" s="3"/>
      <c r="P63" s="3"/>
      <c r="Q63" s="3"/>
      <c r="R63" s="3"/>
      <c r="S63" s="3"/>
      <c r="T63" s="3"/>
      <c r="U63" s="3"/>
      <c r="V63" s="3"/>
      <c r="W63" s="21"/>
      <c r="X63" s="2">
        <f t="shared" ref="X63:X114" si="9">SUM(C63:W63)</f>
        <v>0</v>
      </c>
      <c r="Y63" s="21"/>
      <c r="Z63" s="21"/>
      <c r="AA63" s="21"/>
      <c r="AB63" s="21"/>
      <c r="AC63" s="21"/>
      <c r="AD63" s="21"/>
      <c r="AE63" s="21"/>
      <c r="AF63" s="21"/>
      <c r="AG63" s="21"/>
      <c r="AH63" s="21"/>
      <c r="AI63" s="21"/>
      <c r="AJ63" s="21"/>
      <c r="AK63" s="21"/>
      <c r="AL63" s="21"/>
      <c r="AM63" s="21"/>
      <c r="AN63" s="21"/>
      <c r="AO63" s="21"/>
      <c r="AP63" s="21"/>
      <c r="AQ63" s="21"/>
      <c r="AR63" s="21"/>
      <c r="AS63" s="21"/>
      <c r="AT63" s="21"/>
      <c r="AU63" s="21"/>
      <c r="AV63" s="21"/>
      <c r="AW63" s="21"/>
      <c r="AX63" s="21"/>
      <c r="AY63" s="21"/>
      <c r="AZ63" s="21"/>
      <c r="BA63" s="21"/>
      <c r="BB63" s="21"/>
      <c r="BC63" s="21"/>
      <c r="BD63" s="21"/>
      <c r="BE63" s="21"/>
      <c r="BF63" s="21"/>
      <c r="BG63" s="21"/>
      <c r="BH63" s="21"/>
      <c r="BI63" s="21"/>
      <c r="BJ63" s="21"/>
      <c r="BK63" s="21"/>
      <c r="BL63" s="21"/>
    </row>
    <row r="64" spans="1:64" s="104" customFormat="1" x14ac:dyDescent="0.3">
      <c r="A64" s="32" t="str">
        <f>Inputs!A65</f>
        <v>Reservoirs/Dams/Waterways Costs/Forebay</v>
      </c>
      <c r="B64" s="4" t="str">
        <f t="shared" si="8"/>
        <v>US$</v>
      </c>
      <c r="C64" s="3"/>
      <c r="D64" s="3"/>
      <c r="E64" s="3"/>
      <c r="F64" s="3"/>
      <c r="G64" s="3"/>
      <c r="H64" s="3"/>
      <c r="I64" s="3"/>
      <c r="J64" s="3"/>
      <c r="K64" s="3"/>
      <c r="L64" s="3"/>
      <c r="M64" s="3"/>
      <c r="N64" s="3"/>
      <c r="O64" s="3"/>
      <c r="P64" s="3"/>
      <c r="Q64" s="3"/>
      <c r="R64" s="3"/>
      <c r="S64" s="3"/>
      <c r="T64" s="3"/>
      <c r="U64" s="3"/>
      <c r="V64" s="3"/>
      <c r="W64" s="21"/>
      <c r="X64" s="2">
        <f t="shared" si="9"/>
        <v>0</v>
      </c>
      <c r="Y64" s="21"/>
      <c r="Z64" s="21"/>
      <c r="AA64" s="21"/>
      <c r="AB64" s="21"/>
      <c r="AC64" s="21"/>
      <c r="AD64" s="21"/>
      <c r="AE64" s="21"/>
      <c r="AF64" s="21"/>
      <c r="AG64" s="21"/>
      <c r="AH64" s="21"/>
      <c r="AI64" s="21"/>
      <c r="AJ64" s="21"/>
      <c r="AK64" s="21"/>
      <c r="AL64" s="21"/>
      <c r="AM64" s="21"/>
      <c r="AN64" s="21"/>
      <c r="AO64" s="21"/>
      <c r="AP64" s="21"/>
      <c r="AQ64" s="21"/>
      <c r="AR64" s="21"/>
      <c r="AS64" s="21"/>
      <c r="AT64" s="21"/>
      <c r="AU64" s="21"/>
      <c r="AV64" s="21"/>
      <c r="AW64" s="21"/>
      <c r="AX64" s="21"/>
      <c r="AY64" s="21"/>
      <c r="AZ64" s="21"/>
      <c r="BA64" s="21"/>
      <c r="BB64" s="21"/>
      <c r="BC64" s="21"/>
      <c r="BD64" s="21"/>
      <c r="BE64" s="21"/>
      <c r="BF64" s="21"/>
      <c r="BG64" s="21"/>
      <c r="BH64" s="21"/>
      <c r="BI64" s="21"/>
      <c r="BJ64" s="21"/>
      <c r="BK64" s="21"/>
      <c r="BL64" s="21"/>
    </row>
    <row r="65" spans="1:64" s="104" customFormat="1" x14ac:dyDescent="0.3">
      <c r="A65" s="32" t="str">
        <f>Inputs!A66</f>
        <v>Intake, Penstock and Surge Chamber, draft tube, tail race</v>
      </c>
      <c r="B65" s="4" t="str">
        <f t="shared" si="8"/>
        <v>US$</v>
      </c>
      <c r="C65" s="3"/>
      <c r="D65" s="3"/>
      <c r="E65" s="3"/>
      <c r="F65" s="3"/>
      <c r="G65" s="3"/>
      <c r="H65" s="3"/>
      <c r="I65" s="3"/>
      <c r="J65" s="3"/>
      <c r="K65" s="3"/>
      <c r="L65" s="3"/>
      <c r="M65" s="3"/>
      <c r="N65" s="3"/>
      <c r="O65" s="3"/>
      <c r="P65" s="3"/>
      <c r="Q65" s="3"/>
      <c r="R65" s="3"/>
      <c r="S65" s="3"/>
      <c r="T65" s="3"/>
      <c r="U65" s="3"/>
      <c r="V65" s="3"/>
      <c r="W65" s="21"/>
      <c r="X65" s="2">
        <f t="shared" si="9"/>
        <v>0</v>
      </c>
      <c r="Y65" s="21"/>
      <c r="Z65" s="21"/>
      <c r="AA65" s="21"/>
      <c r="AB65" s="21"/>
      <c r="AC65" s="21"/>
      <c r="AD65" s="21"/>
      <c r="AE65" s="21"/>
      <c r="AF65" s="21"/>
      <c r="AG65" s="21"/>
      <c r="AH65" s="21"/>
      <c r="AI65" s="21"/>
      <c r="AJ65" s="21"/>
      <c r="AK65" s="21"/>
      <c r="AL65" s="21"/>
      <c r="AM65" s="21"/>
      <c r="AN65" s="21"/>
      <c r="AO65" s="21"/>
      <c r="AP65" s="21"/>
      <c r="AQ65" s="21"/>
      <c r="AR65" s="21"/>
      <c r="AS65" s="21"/>
      <c r="AT65" s="21"/>
      <c r="AU65" s="21"/>
      <c r="AV65" s="21"/>
      <c r="AW65" s="21"/>
      <c r="AX65" s="21"/>
      <c r="AY65" s="21"/>
      <c r="AZ65" s="21"/>
      <c r="BA65" s="21"/>
      <c r="BB65" s="21"/>
      <c r="BC65" s="21"/>
      <c r="BD65" s="21"/>
      <c r="BE65" s="21"/>
      <c r="BF65" s="21"/>
      <c r="BG65" s="21"/>
      <c r="BH65" s="21"/>
      <c r="BI65" s="21"/>
      <c r="BJ65" s="21"/>
      <c r="BK65" s="21"/>
      <c r="BL65" s="21"/>
    </row>
    <row r="66" spans="1:64" s="104" customFormat="1" x14ac:dyDescent="0.3">
      <c r="A66" s="32" t="str">
        <f>Inputs!A67</f>
        <v>Water Wheels, Turbines and Generators</v>
      </c>
      <c r="B66" s="4" t="str">
        <f t="shared" si="8"/>
        <v>US$</v>
      </c>
      <c r="C66" s="3"/>
      <c r="D66" s="3"/>
      <c r="E66" s="3"/>
      <c r="F66" s="3"/>
      <c r="G66" s="3"/>
      <c r="H66" s="3"/>
      <c r="I66" s="3"/>
      <c r="J66" s="3"/>
      <c r="K66" s="3"/>
      <c r="L66" s="3"/>
      <c r="M66" s="3"/>
      <c r="N66" s="3"/>
      <c r="O66" s="3"/>
      <c r="P66" s="3"/>
      <c r="Q66" s="3"/>
      <c r="R66" s="3"/>
      <c r="S66" s="3"/>
      <c r="T66" s="3"/>
      <c r="U66" s="3"/>
      <c r="V66" s="3"/>
      <c r="W66" s="21"/>
      <c r="X66" s="2">
        <f t="shared" si="9"/>
        <v>0</v>
      </c>
      <c r="Y66" s="21"/>
      <c r="Z66" s="21"/>
      <c r="AA66" s="21"/>
      <c r="AB66" s="21"/>
      <c r="AC66" s="21"/>
      <c r="AD66" s="21"/>
      <c r="AE66" s="21"/>
      <c r="AF66" s="21"/>
      <c r="AG66" s="21"/>
      <c r="AH66" s="21"/>
      <c r="AI66" s="21"/>
      <c r="AJ66" s="21"/>
      <c r="AK66" s="21"/>
      <c r="AL66" s="21"/>
      <c r="AM66" s="21"/>
      <c r="AN66" s="21"/>
      <c r="AO66" s="21"/>
      <c r="AP66" s="21"/>
      <c r="AQ66" s="21"/>
      <c r="AR66" s="21"/>
      <c r="AS66" s="21"/>
      <c r="AT66" s="21"/>
      <c r="AU66" s="21"/>
      <c r="AV66" s="21"/>
      <c r="AW66" s="21"/>
      <c r="AX66" s="21"/>
      <c r="AY66" s="21"/>
      <c r="AZ66" s="21"/>
      <c r="BA66" s="21"/>
      <c r="BB66" s="21"/>
      <c r="BC66" s="21"/>
      <c r="BD66" s="21"/>
      <c r="BE66" s="21"/>
      <c r="BF66" s="21"/>
      <c r="BG66" s="21"/>
      <c r="BH66" s="21"/>
      <c r="BI66" s="21"/>
      <c r="BJ66" s="21"/>
      <c r="BK66" s="21"/>
      <c r="BL66" s="21"/>
    </row>
    <row r="67" spans="1:64" s="104" customFormat="1" x14ac:dyDescent="0.3">
      <c r="A67" s="32" t="str">
        <f>Inputs!A68</f>
        <v>Balance of system</v>
      </c>
      <c r="B67" s="4" t="str">
        <f t="shared" si="8"/>
        <v>US$</v>
      </c>
      <c r="C67" s="3"/>
      <c r="D67" s="3"/>
      <c r="E67" s="3"/>
      <c r="F67" s="3"/>
      <c r="G67" s="3"/>
      <c r="H67" s="3"/>
      <c r="I67" s="3"/>
      <c r="J67" s="3"/>
      <c r="K67" s="3"/>
      <c r="L67" s="3"/>
      <c r="M67" s="3"/>
      <c r="N67" s="3"/>
      <c r="O67" s="3"/>
      <c r="P67" s="3"/>
      <c r="Q67" s="3"/>
      <c r="R67" s="3"/>
      <c r="S67" s="3"/>
      <c r="T67" s="3"/>
      <c r="U67" s="3"/>
      <c r="V67" s="3"/>
      <c r="W67" s="21"/>
      <c r="X67" s="2">
        <f t="shared" si="9"/>
        <v>0</v>
      </c>
      <c r="Y67" s="21"/>
      <c r="Z67" s="21"/>
      <c r="AA67" s="21"/>
      <c r="AB67" s="21"/>
      <c r="AC67" s="21"/>
      <c r="AD67" s="21"/>
      <c r="AE67" s="21"/>
      <c r="AF67" s="21"/>
      <c r="AG67" s="21"/>
      <c r="AH67" s="21"/>
      <c r="AI67" s="21"/>
      <c r="AJ67" s="21"/>
      <c r="AK67" s="21"/>
      <c r="AL67" s="21"/>
      <c r="AM67" s="21"/>
      <c r="AN67" s="21"/>
      <c r="AO67" s="21"/>
      <c r="AP67" s="21"/>
      <c r="AQ67" s="21"/>
      <c r="AR67" s="21"/>
      <c r="AS67" s="21"/>
      <c r="AT67" s="21"/>
      <c r="AU67" s="21"/>
      <c r="AV67" s="21"/>
      <c r="AW67" s="21"/>
      <c r="AX67" s="21"/>
      <c r="AY67" s="21"/>
      <c r="AZ67" s="21"/>
      <c r="BA67" s="21"/>
      <c r="BB67" s="21"/>
      <c r="BC67" s="21"/>
      <c r="BD67" s="21"/>
      <c r="BE67" s="21"/>
      <c r="BF67" s="21"/>
      <c r="BG67" s="21"/>
      <c r="BH67" s="21"/>
      <c r="BI67" s="21"/>
      <c r="BJ67" s="21"/>
      <c r="BK67" s="21"/>
      <c r="BL67" s="21"/>
    </row>
    <row r="68" spans="1:64" s="104" customFormat="1" x14ac:dyDescent="0.3">
      <c r="A68" s="32" t="str">
        <f>Inputs!A69</f>
        <v>Civil works and foundations</v>
      </c>
      <c r="B68" s="4" t="str">
        <f t="shared" si="8"/>
        <v>US$</v>
      </c>
      <c r="C68" s="3"/>
      <c r="D68" s="3"/>
      <c r="E68" s="3"/>
      <c r="F68" s="3"/>
      <c r="G68" s="3"/>
      <c r="H68" s="3"/>
      <c r="I68" s="3"/>
      <c r="J68" s="3"/>
      <c r="K68" s="3"/>
      <c r="L68" s="3"/>
      <c r="M68" s="3"/>
      <c r="N68" s="3"/>
      <c r="O68" s="3"/>
      <c r="P68" s="3"/>
      <c r="Q68" s="3"/>
      <c r="R68" s="3"/>
      <c r="S68" s="3"/>
      <c r="T68" s="3"/>
      <c r="U68" s="3"/>
      <c r="V68" s="3"/>
      <c r="W68" s="21"/>
      <c r="X68" s="2">
        <f t="shared" si="9"/>
        <v>0</v>
      </c>
      <c r="Y68" s="21"/>
      <c r="Z68" s="21"/>
      <c r="AA68" s="21"/>
      <c r="AB68" s="21"/>
      <c r="AC68" s="21"/>
      <c r="AD68" s="21"/>
      <c r="AE68" s="21"/>
      <c r="AF68" s="21"/>
      <c r="AG68" s="21"/>
      <c r="AH68" s="21"/>
      <c r="AI68" s="21"/>
      <c r="AJ68" s="21"/>
      <c r="AK68" s="21"/>
      <c r="AL68" s="21"/>
      <c r="AM68" s="21"/>
      <c r="AN68" s="21"/>
      <c r="AO68" s="21"/>
      <c r="AP68" s="21"/>
      <c r="AQ68" s="21"/>
      <c r="AR68" s="21"/>
      <c r="AS68" s="21"/>
      <c r="AT68" s="21"/>
      <c r="AU68" s="21"/>
      <c r="AV68" s="21"/>
      <c r="AW68" s="21"/>
      <c r="AX68" s="21"/>
      <c r="AY68" s="21"/>
      <c r="AZ68" s="21"/>
      <c r="BA68" s="21"/>
      <c r="BB68" s="21"/>
      <c r="BC68" s="21"/>
      <c r="BD68" s="21"/>
      <c r="BE68" s="21"/>
      <c r="BF68" s="21"/>
      <c r="BG68" s="21"/>
      <c r="BH68" s="21"/>
      <c r="BI68" s="21"/>
      <c r="BJ68" s="21"/>
      <c r="BK68" s="21"/>
      <c r="BL68" s="21"/>
    </row>
    <row r="69" spans="1:64" s="104" customFormat="1" x14ac:dyDescent="0.3">
      <c r="A69" s="32" t="str">
        <f>Inputs!A70</f>
        <v>Powerhouse</v>
      </c>
      <c r="B69" s="4" t="str">
        <f t="shared" si="8"/>
        <v>US$</v>
      </c>
      <c r="C69" s="3"/>
      <c r="D69" s="3"/>
      <c r="E69" s="3"/>
      <c r="F69" s="3"/>
      <c r="G69" s="3"/>
      <c r="H69" s="3"/>
      <c r="I69" s="3"/>
      <c r="J69" s="3"/>
      <c r="K69" s="3"/>
      <c r="L69" s="3"/>
      <c r="M69" s="3"/>
      <c r="N69" s="3"/>
      <c r="O69" s="3"/>
      <c r="P69" s="3"/>
      <c r="Q69" s="3"/>
      <c r="R69" s="3"/>
      <c r="S69" s="3"/>
      <c r="T69" s="3"/>
      <c r="U69" s="3"/>
      <c r="V69" s="3"/>
      <c r="W69" s="21"/>
      <c r="X69" s="2">
        <f t="shared" si="9"/>
        <v>0</v>
      </c>
      <c r="Y69" s="21"/>
      <c r="Z69" s="21"/>
      <c r="AA69" s="21"/>
      <c r="AB69" s="21"/>
      <c r="AC69" s="21"/>
      <c r="AD69" s="21"/>
      <c r="AE69" s="21"/>
      <c r="AF69" s="21"/>
      <c r="AG69" s="21"/>
      <c r="AH69" s="21"/>
      <c r="AI69" s="21"/>
      <c r="AJ69" s="21"/>
      <c r="AK69" s="21"/>
      <c r="AL69" s="21"/>
      <c r="AM69" s="21"/>
      <c r="AN69" s="21"/>
      <c r="AO69" s="21"/>
      <c r="AP69" s="21"/>
      <c r="AQ69" s="21"/>
      <c r="AR69" s="21"/>
      <c r="AS69" s="21"/>
      <c r="AT69" s="21"/>
      <c r="AU69" s="21"/>
      <c r="AV69" s="21"/>
      <c r="AW69" s="21"/>
      <c r="AX69" s="21"/>
      <c r="AY69" s="21"/>
      <c r="AZ69" s="21"/>
      <c r="BA69" s="21"/>
      <c r="BB69" s="21"/>
      <c r="BC69" s="21"/>
      <c r="BD69" s="21"/>
      <c r="BE69" s="21"/>
      <c r="BF69" s="21"/>
      <c r="BG69" s="21"/>
      <c r="BH69" s="21"/>
      <c r="BI69" s="21"/>
      <c r="BJ69" s="21"/>
      <c r="BK69" s="21"/>
      <c r="BL69" s="21"/>
    </row>
    <row r="70" spans="1:64" s="104" customFormat="1" x14ac:dyDescent="0.3">
      <c r="A70" s="32" t="str">
        <f>Inputs!A71</f>
        <v>Logistics, transport, warehousing</v>
      </c>
      <c r="B70" s="4" t="str">
        <f t="shared" si="8"/>
        <v>US$</v>
      </c>
      <c r="C70" s="3"/>
      <c r="D70" s="3"/>
      <c r="E70" s="3"/>
      <c r="F70" s="3"/>
      <c r="G70" s="3"/>
      <c r="H70" s="3"/>
      <c r="I70" s="3"/>
      <c r="J70" s="3"/>
      <c r="K70" s="3"/>
      <c r="L70" s="3"/>
      <c r="M70" s="3"/>
      <c r="N70" s="3"/>
      <c r="O70" s="3"/>
      <c r="P70" s="3"/>
      <c r="Q70" s="3"/>
      <c r="R70" s="3"/>
      <c r="S70" s="3"/>
      <c r="T70" s="3"/>
      <c r="U70" s="3"/>
      <c r="V70" s="3"/>
      <c r="W70" s="21"/>
      <c r="X70" s="2">
        <f t="shared" si="9"/>
        <v>0</v>
      </c>
      <c r="Y70" s="21"/>
      <c r="Z70" s="21"/>
      <c r="AA70" s="21"/>
      <c r="AB70" s="21"/>
      <c r="AC70" s="21"/>
      <c r="AD70" s="21"/>
      <c r="AE70" s="21"/>
      <c r="AF70" s="21"/>
      <c r="AG70" s="21"/>
      <c r="AH70" s="21"/>
      <c r="AI70" s="21"/>
      <c r="AJ70" s="21"/>
      <c r="AK70" s="21"/>
      <c r="AL70" s="21"/>
      <c r="AM70" s="21"/>
      <c r="AN70" s="21"/>
      <c r="AO70" s="21"/>
      <c r="AP70" s="21"/>
      <c r="AQ70" s="21"/>
      <c r="AR70" s="21"/>
      <c r="AS70" s="21"/>
      <c r="AT70" s="21"/>
      <c r="AU70" s="21"/>
      <c r="AV70" s="21"/>
      <c r="AW70" s="21"/>
      <c r="AX70" s="21"/>
      <c r="AY70" s="21"/>
      <c r="AZ70" s="21"/>
      <c r="BA70" s="21"/>
      <c r="BB70" s="21"/>
      <c r="BC70" s="21"/>
      <c r="BD70" s="21"/>
      <c r="BE70" s="21"/>
      <c r="BF70" s="21"/>
      <c r="BG70" s="21"/>
      <c r="BH70" s="21"/>
      <c r="BI70" s="21"/>
      <c r="BJ70" s="21"/>
      <c r="BK70" s="21"/>
      <c r="BL70" s="21"/>
    </row>
    <row r="71" spans="1:64" s="104" customFormat="1" x14ac:dyDescent="0.3">
      <c r="A71" s="32" t="str">
        <f>Inputs!A72</f>
        <v>Custom duties</v>
      </c>
      <c r="B71" s="4" t="str">
        <f t="shared" si="8"/>
        <v>US$</v>
      </c>
      <c r="C71" s="3"/>
      <c r="D71" s="3"/>
      <c r="E71" s="3"/>
      <c r="F71" s="3"/>
      <c r="G71" s="3"/>
      <c r="H71" s="3"/>
      <c r="I71" s="3"/>
      <c r="J71" s="3"/>
      <c r="K71" s="3"/>
      <c r="L71" s="3"/>
      <c r="M71" s="3"/>
      <c r="N71" s="3"/>
      <c r="O71" s="3"/>
      <c r="P71" s="3"/>
      <c r="Q71" s="3"/>
      <c r="R71" s="3"/>
      <c r="S71" s="3"/>
      <c r="T71" s="3"/>
      <c r="U71" s="3"/>
      <c r="V71" s="3"/>
      <c r="W71" s="21"/>
      <c r="X71" s="2">
        <f t="shared" si="9"/>
        <v>0</v>
      </c>
      <c r="Y71" s="21"/>
      <c r="Z71" s="21"/>
      <c r="AA71" s="21"/>
      <c r="AB71" s="21"/>
      <c r="AC71" s="21"/>
      <c r="AD71" s="21"/>
      <c r="AE71" s="21"/>
      <c r="AF71" s="21"/>
      <c r="AG71" s="21"/>
      <c r="AH71" s="21"/>
      <c r="AI71" s="21"/>
      <c r="AJ71" s="21"/>
      <c r="AK71" s="21"/>
      <c r="AL71" s="21"/>
      <c r="AM71" s="21"/>
      <c r="AN71" s="21"/>
      <c r="AO71" s="21"/>
      <c r="AP71" s="21"/>
      <c r="AQ71" s="21"/>
      <c r="AR71" s="21"/>
      <c r="AS71" s="21"/>
      <c r="AT71" s="21"/>
      <c r="AU71" s="21"/>
      <c r="AV71" s="21"/>
      <c r="AW71" s="21"/>
      <c r="AX71" s="21"/>
      <c r="AY71" s="21"/>
      <c r="AZ71" s="21"/>
      <c r="BA71" s="21"/>
      <c r="BB71" s="21"/>
      <c r="BC71" s="21"/>
      <c r="BD71" s="21"/>
      <c r="BE71" s="21"/>
      <c r="BF71" s="21"/>
      <c r="BG71" s="21"/>
      <c r="BH71" s="21"/>
      <c r="BI71" s="21"/>
      <c r="BJ71" s="21"/>
      <c r="BK71" s="21"/>
      <c r="BL71" s="21"/>
    </row>
    <row r="72" spans="1:64" s="104" customFormat="1" x14ac:dyDescent="0.3">
      <c r="A72" s="32" t="str">
        <f>Inputs!A73</f>
        <v>VAT</v>
      </c>
      <c r="B72" s="4" t="str">
        <f t="shared" si="8"/>
        <v>US$</v>
      </c>
      <c r="C72" s="3"/>
      <c r="D72" s="3"/>
      <c r="E72" s="3"/>
      <c r="F72" s="3"/>
      <c r="G72" s="3"/>
      <c r="H72" s="3"/>
      <c r="I72" s="3"/>
      <c r="J72" s="3"/>
      <c r="K72" s="3"/>
      <c r="L72" s="3"/>
      <c r="M72" s="3"/>
      <c r="N72" s="3"/>
      <c r="O72" s="3"/>
      <c r="P72" s="3"/>
      <c r="Q72" s="3"/>
      <c r="R72" s="3"/>
      <c r="S72" s="3"/>
      <c r="T72" s="3"/>
      <c r="U72" s="3"/>
      <c r="V72" s="3"/>
      <c r="W72" s="21"/>
      <c r="X72" s="2">
        <f t="shared" si="9"/>
        <v>0</v>
      </c>
      <c r="Y72" s="21"/>
      <c r="Z72" s="21"/>
      <c r="AA72" s="21"/>
      <c r="AB72" s="21"/>
      <c r="AC72" s="21"/>
      <c r="AD72" s="21"/>
      <c r="AE72" s="21"/>
      <c r="AF72" s="21"/>
      <c r="AG72" s="21"/>
      <c r="AH72" s="21"/>
      <c r="AI72" s="21"/>
      <c r="AJ72" s="21"/>
      <c r="AK72" s="21"/>
      <c r="AL72" s="21"/>
      <c r="AM72" s="21"/>
      <c r="AN72" s="21"/>
      <c r="AO72" s="21"/>
      <c r="AP72" s="21"/>
      <c r="AQ72" s="21"/>
      <c r="AR72" s="21"/>
      <c r="AS72" s="21"/>
      <c r="AT72" s="21"/>
      <c r="AU72" s="21"/>
      <c r="AV72" s="21"/>
      <c r="AW72" s="21"/>
      <c r="AX72" s="21"/>
      <c r="AY72" s="21"/>
      <c r="AZ72" s="21"/>
      <c r="BA72" s="21"/>
      <c r="BB72" s="21"/>
      <c r="BC72" s="21"/>
      <c r="BD72" s="21"/>
      <c r="BE72" s="21"/>
      <c r="BF72" s="21"/>
      <c r="BG72" s="21"/>
      <c r="BH72" s="21"/>
      <c r="BI72" s="21"/>
      <c r="BJ72" s="21"/>
      <c r="BK72" s="21"/>
      <c r="BL72" s="21"/>
    </row>
    <row r="73" spans="1:64" s="104" customFormat="1" x14ac:dyDescent="0.3">
      <c r="A73" s="32" t="str">
        <f>Inputs!A74</f>
        <v>Installation and inspection</v>
      </c>
      <c r="B73" s="4" t="str">
        <f t="shared" si="8"/>
        <v>US$</v>
      </c>
      <c r="C73" s="3"/>
      <c r="D73" s="3"/>
      <c r="E73" s="3"/>
      <c r="F73" s="3"/>
      <c r="G73" s="3"/>
      <c r="H73" s="3"/>
      <c r="I73" s="3"/>
      <c r="J73" s="3"/>
      <c r="K73" s="3"/>
      <c r="L73" s="3"/>
      <c r="M73" s="3"/>
      <c r="N73" s="3"/>
      <c r="O73" s="3"/>
      <c r="P73" s="3"/>
      <c r="Q73" s="3"/>
      <c r="R73" s="3"/>
      <c r="S73" s="3"/>
      <c r="T73" s="3"/>
      <c r="U73" s="3"/>
      <c r="V73" s="3"/>
      <c r="W73" s="21"/>
      <c r="X73" s="2">
        <f t="shared" si="9"/>
        <v>0</v>
      </c>
      <c r="Y73" s="21"/>
      <c r="Z73" s="21"/>
      <c r="AA73" s="21"/>
      <c r="AB73" s="21"/>
      <c r="AC73" s="21"/>
      <c r="AD73" s="21"/>
      <c r="AE73" s="21"/>
      <c r="AF73" s="21"/>
      <c r="AG73" s="21"/>
      <c r="AH73" s="21"/>
      <c r="AI73" s="21"/>
      <c r="AJ73" s="21"/>
      <c r="AK73" s="21"/>
      <c r="AL73" s="21"/>
      <c r="AM73" s="21"/>
      <c r="AN73" s="21"/>
      <c r="AO73" s="21"/>
      <c r="AP73" s="21"/>
      <c r="AQ73" s="21"/>
      <c r="AR73" s="21"/>
      <c r="AS73" s="21"/>
      <c r="AT73" s="21"/>
      <c r="AU73" s="21"/>
      <c r="AV73" s="21"/>
      <c r="AW73" s="21"/>
      <c r="AX73" s="21"/>
      <c r="AY73" s="21"/>
      <c r="AZ73" s="21"/>
      <c r="BA73" s="21"/>
      <c r="BB73" s="21"/>
      <c r="BC73" s="21"/>
      <c r="BD73" s="21"/>
      <c r="BE73" s="21"/>
      <c r="BF73" s="21"/>
      <c r="BG73" s="21"/>
      <c r="BH73" s="21"/>
      <c r="BI73" s="21"/>
      <c r="BJ73" s="21"/>
      <c r="BK73" s="21"/>
      <c r="BL73" s="21"/>
    </row>
    <row r="74" spans="1:64" s="104" customFormat="1" x14ac:dyDescent="0.3">
      <c r="A74" s="32" t="str">
        <f>Inputs!A75</f>
        <v>Distribution assets capital costs</v>
      </c>
      <c r="B74" s="4" t="str">
        <f t="shared" si="8"/>
        <v>US$</v>
      </c>
      <c r="C74" s="3"/>
      <c r="D74" s="3"/>
      <c r="E74" s="3"/>
      <c r="F74" s="3"/>
      <c r="G74" s="3"/>
      <c r="H74" s="3"/>
      <c r="I74" s="3"/>
      <c r="J74" s="3"/>
      <c r="K74" s="3"/>
      <c r="L74" s="3"/>
      <c r="M74" s="3"/>
      <c r="N74" s="3"/>
      <c r="O74" s="3"/>
      <c r="P74" s="3"/>
      <c r="Q74" s="3"/>
      <c r="R74" s="3"/>
      <c r="S74" s="3"/>
      <c r="T74" s="3"/>
      <c r="U74" s="3"/>
      <c r="V74" s="3"/>
      <c r="W74" s="21"/>
      <c r="X74" s="2">
        <f t="shared" si="9"/>
        <v>0</v>
      </c>
      <c r="Y74" s="21"/>
      <c r="Z74" s="21"/>
      <c r="AA74" s="21"/>
      <c r="AB74" s="21"/>
      <c r="AC74" s="21"/>
      <c r="AD74" s="21"/>
      <c r="AE74" s="21"/>
      <c r="AF74" s="21"/>
      <c r="AG74" s="21"/>
      <c r="AH74" s="21"/>
      <c r="AI74" s="21"/>
      <c r="AJ74" s="21"/>
      <c r="AK74" s="21"/>
      <c r="AL74" s="21"/>
      <c r="AM74" s="21"/>
      <c r="AN74" s="21"/>
      <c r="AO74" s="21"/>
      <c r="AP74" s="21"/>
      <c r="AQ74" s="21"/>
      <c r="AR74" s="21"/>
      <c r="AS74" s="21"/>
      <c r="AT74" s="21"/>
      <c r="AU74" s="21"/>
      <c r="AV74" s="21"/>
      <c r="AW74" s="21"/>
      <c r="AX74" s="21"/>
      <c r="AY74" s="21"/>
      <c r="AZ74" s="21"/>
      <c r="BA74" s="21"/>
      <c r="BB74" s="21"/>
      <c r="BC74" s="21"/>
      <c r="BD74" s="21"/>
      <c r="BE74" s="21"/>
      <c r="BF74" s="21"/>
      <c r="BG74" s="21"/>
      <c r="BH74" s="21"/>
      <c r="BI74" s="21"/>
      <c r="BJ74" s="21"/>
      <c r="BK74" s="21"/>
      <c r="BL74" s="21"/>
    </row>
    <row r="75" spans="1:64" s="104" customFormat="1" x14ac:dyDescent="0.3">
      <c r="A75" s="32" t="str">
        <f>Inputs!A76</f>
        <v>Transformers</v>
      </c>
      <c r="B75" s="4" t="str">
        <f t="shared" si="8"/>
        <v>US$</v>
      </c>
      <c r="C75" s="3"/>
      <c r="D75" s="3"/>
      <c r="E75" s="3"/>
      <c r="F75" s="3"/>
      <c r="G75" s="3"/>
      <c r="H75" s="3"/>
      <c r="I75" s="3"/>
      <c r="J75" s="3"/>
      <c r="K75" s="3"/>
      <c r="L75" s="3"/>
      <c r="M75" s="3"/>
      <c r="N75" s="3"/>
      <c r="O75" s="3"/>
      <c r="P75" s="3"/>
      <c r="Q75" s="3"/>
      <c r="R75" s="3"/>
      <c r="S75" s="3"/>
      <c r="T75" s="3"/>
      <c r="U75" s="3"/>
      <c r="V75" s="3"/>
      <c r="W75" s="21"/>
      <c r="X75" s="2">
        <f t="shared" si="9"/>
        <v>0</v>
      </c>
      <c r="Y75" s="21"/>
      <c r="Z75" s="21"/>
      <c r="AA75" s="21"/>
      <c r="AB75" s="21"/>
      <c r="AC75" s="21"/>
      <c r="AD75" s="21"/>
      <c r="AE75" s="21"/>
      <c r="AF75" s="21"/>
      <c r="AG75" s="21"/>
      <c r="AH75" s="21"/>
      <c r="AI75" s="21"/>
      <c r="AJ75" s="21"/>
      <c r="AK75" s="21"/>
      <c r="AL75" s="21"/>
      <c r="AM75" s="21"/>
      <c r="AN75" s="21"/>
      <c r="AO75" s="21"/>
      <c r="AP75" s="21"/>
      <c r="AQ75" s="21"/>
      <c r="AR75" s="21"/>
      <c r="AS75" s="21"/>
      <c r="AT75" s="21"/>
      <c r="AU75" s="21"/>
      <c r="AV75" s="21"/>
      <c r="AW75" s="21"/>
      <c r="AX75" s="21"/>
      <c r="AY75" s="21"/>
      <c r="AZ75" s="21"/>
      <c r="BA75" s="21"/>
      <c r="BB75" s="21"/>
      <c r="BC75" s="21"/>
      <c r="BD75" s="21"/>
      <c r="BE75" s="21"/>
      <c r="BF75" s="21"/>
      <c r="BG75" s="21"/>
      <c r="BH75" s="21"/>
      <c r="BI75" s="21"/>
      <c r="BJ75" s="21"/>
      <c r="BK75" s="21"/>
      <c r="BL75" s="21"/>
    </row>
    <row r="76" spans="1:64" s="104" customFormat="1" x14ac:dyDescent="0.3">
      <c r="A76" s="32" t="str">
        <f>Inputs!A77</f>
        <v>Metering and termination</v>
      </c>
      <c r="B76" s="4" t="str">
        <f t="shared" si="8"/>
        <v>US$</v>
      </c>
      <c r="C76" s="3"/>
      <c r="D76" s="3"/>
      <c r="E76" s="3"/>
      <c r="F76" s="3"/>
      <c r="G76" s="3"/>
      <c r="H76" s="3"/>
      <c r="I76" s="3"/>
      <c r="J76" s="3"/>
      <c r="K76" s="3"/>
      <c r="L76" s="3"/>
      <c r="M76" s="3"/>
      <c r="N76" s="3"/>
      <c r="O76" s="3"/>
      <c r="P76" s="3"/>
      <c r="Q76" s="3"/>
      <c r="R76" s="3"/>
      <c r="S76" s="3"/>
      <c r="T76" s="3"/>
      <c r="U76" s="3"/>
      <c r="V76" s="3"/>
      <c r="W76" s="21"/>
      <c r="X76" s="2">
        <f t="shared" si="9"/>
        <v>0</v>
      </c>
      <c r="Y76" s="21"/>
      <c r="Z76" s="21"/>
      <c r="AA76" s="21"/>
      <c r="AB76" s="21"/>
      <c r="AC76" s="21"/>
      <c r="AD76" s="21"/>
      <c r="AE76" s="21"/>
      <c r="AF76" s="21"/>
      <c r="AG76" s="21"/>
      <c r="AH76" s="21"/>
      <c r="AI76" s="21"/>
      <c r="AJ76" s="21"/>
      <c r="AK76" s="21"/>
      <c r="AL76" s="21"/>
      <c r="AM76" s="21"/>
      <c r="AN76" s="21"/>
      <c r="AO76" s="21"/>
      <c r="AP76" s="21"/>
      <c r="AQ76" s="21"/>
      <c r="AR76" s="21"/>
      <c r="AS76" s="21"/>
      <c r="AT76" s="21"/>
      <c r="AU76" s="21"/>
      <c r="AV76" s="21"/>
      <c r="AW76" s="21"/>
      <c r="AX76" s="21"/>
      <c r="AY76" s="21"/>
      <c r="AZ76" s="21"/>
      <c r="BA76" s="21"/>
      <c r="BB76" s="21"/>
      <c r="BC76" s="21"/>
      <c r="BD76" s="21"/>
      <c r="BE76" s="21"/>
      <c r="BF76" s="21"/>
      <c r="BG76" s="21"/>
      <c r="BH76" s="21"/>
      <c r="BI76" s="21"/>
      <c r="BJ76" s="21"/>
      <c r="BK76" s="21"/>
      <c r="BL76" s="21"/>
    </row>
    <row r="77" spans="1:64" s="104" customFormat="1" x14ac:dyDescent="0.3">
      <c r="A77" s="32">
        <f>Inputs!A78</f>
        <v>0</v>
      </c>
      <c r="B77" s="4" t="str">
        <f t="shared" si="8"/>
        <v>US$</v>
      </c>
      <c r="C77" s="3"/>
      <c r="D77" s="3"/>
      <c r="E77" s="3"/>
      <c r="F77" s="3"/>
      <c r="G77" s="3"/>
      <c r="H77" s="3"/>
      <c r="I77" s="3"/>
      <c r="J77" s="3"/>
      <c r="K77" s="3"/>
      <c r="L77" s="3"/>
      <c r="M77" s="3"/>
      <c r="N77" s="3"/>
      <c r="O77" s="3"/>
      <c r="P77" s="3"/>
      <c r="Q77" s="3"/>
      <c r="R77" s="3"/>
      <c r="S77" s="3"/>
      <c r="T77" s="3"/>
      <c r="U77" s="3"/>
      <c r="V77" s="3"/>
      <c r="W77" s="21"/>
      <c r="X77" s="2">
        <f t="shared" si="9"/>
        <v>0</v>
      </c>
      <c r="Y77" s="21"/>
      <c r="Z77" s="21"/>
      <c r="AA77" s="21"/>
      <c r="AB77" s="21"/>
      <c r="AC77" s="21"/>
      <c r="AD77" s="21"/>
      <c r="AE77" s="21"/>
      <c r="AF77" s="21"/>
      <c r="AG77" s="21"/>
      <c r="AH77" s="21"/>
      <c r="AI77" s="21"/>
      <c r="AJ77" s="21"/>
      <c r="AK77" s="21"/>
      <c r="AL77" s="21"/>
      <c r="AM77" s="21"/>
      <c r="AN77" s="21"/>
      <c r="AO77" s="21"/>
      <c r="AP77" s="21"/>
      <c r="AQ77" s="21"/>
      <c r="AR77" s="21"/>
      <c r="AS77" s="21"/>
      <c r="AT77" s="21"/>
      <c r="AU77" s="21"/>
      <c r="AV77" s="21"/>
      <c r="AW77" s="21"/>
      <c r="AX77" s="21"/>
      <c r="AY77" s="21"/>
      <c r="AZ77" s="21"/>
      <c r="BA77" s="21"/>
      <c r="BB77" s="21"/>
      <c r="BC77" s="21"/>
      <c r="BD77" s="21"/>
      <c r="BE77" s="21"/>
      <c r="BF77" s="21"/>
      <c r="BG77" s="21"/>
      <c r="BH77" s="21"/>
      <c r="BI77" s="21"/>
      <c r="BJ77" s="21"/>
      <c r="BK77" s="21"/>
      <c r="BL77" s="21"/>
    </row>
    <row r="78" spans="1:64" s="104" customFormat="1" x14ac:dyDescent="0.3">
      <c r="A78" s="32">
        <f>Inputs!A79</f>
        <v>0</v>
      </c>
      <c r="B78" s="4" t="str">
        <f t="shared" si="8"/>
        <v>US$</v>
      </c>
      <c r="C78" s="3"/>
      <c r="D78" s="3"/>
      <c r="E78" s="3"/>
      <c r="F78" s="3"/>
      <c r="G78" s="3"/>
      <c r="H78" s="3"/>
      <c r="I78" s="3"/>
      <c r="J78" s="3"/>
      <c r="K78" s="3"/>
      <c r="L78" s="3"/>
      <c r="M78" s="3"/>
      <c r="N78" s="3"/>
      <c r="O78" s="3"/>
      <c r="P78" s="3"/>
      <c r="Q78" s="3"/>
      <c r="R78" s="3"/>
      <c r="S78" s="3"/>
      <c r="T78" s="3"/>
      <c r="U78" s="3"/>
      <c r="V78" s="3"/>
      <c r="W78" s="21"/>
      <c r="X78" s="2">
        <f t="shared" si="9"/>
        <v>0</v>
      </c>
      <c r="Y78" s="21"/>
      <c r="Z78" s="21"/>
      <c r="AA78" s="21"/>
      <c r="AB78" s="21"/>
      <c r="AC78" s="21"/>
      <c r="AD78" s="21"/>
      <c r="AE78" s="21"/>
      <c r="AF78" s="21"/>
      <c r="AG78" s="21"/>
      <c r="AH78" s="21"/>
      <c r="AI78" s="21"/>
      <c r="AJ78" s="21"/>
      <c r="AK78" s="21"/>
      <c r="AL78" s="21"/>
      <c r="AM78" s="21"/>
      <c r="AN78" s="21"/>
      <c r="AO78" s="21"/>
      <c r="AP78" s="21"/>
      <c r="AQ78" s="21"/>
      <c r="AR78" s="21"/>
      <c r="AS78" s="21"/>
      <c r="AT78" s="21"/>
      <c r="AU78" s="21"/>
      <c r="AV78" s="21"/>
      <c r="AW78" s="21"/>
      <c r="AX78" s="21"/>
      <c r="AY78" s="21"/>
      <c r="AZ78" s="21"/>
      <c r="BA78" s="21"/>
      <c r="BB78" s="21"/>
      <c r="BC78" s="21"/>
      <c r="BD78" s="21"/>
      <c r="BE78" s="21"/>
      <c r="BF78" s="21"/>
      <c r="BG78" s="21"/>
      <c r="BH78" s="21"/>
      <c r="BI78" s="21"/>
      <c r="BJ78" s="21"/>
      <c r="BK78" s="21"/>
      <c r="BL78" s="21"/>
    </row>
    <row r="79" spans="1:64" s="104" customFormat="1" x14ac:dyDescent="0.3">
      <c r="A79" s="557" t="str">
        <f>Inputs!A80</f>
        <v>1.2.4 Biomass</v>
      </c>
      <c r="B79" s="558"/>
      <c r="C79" s="559"/>
      <c r="D79" s="21"/>
      <c r="E79" s="21"/>
      <c r="F79" s="21"/>
      <c r="G79" s="21"/>
      <c r="H79" s="21"/>
      <c r="I79" s="21"/>
      <c r="J79" s="21"/>
      <c r="K79" s="21"/>
      <c r="L79" s="21"/>
      <c r="M79" s="21"/>
      <c r="N79" s="21"/>
      <c r="O79" s="21"/>
      <c r="P79" s="21"/>
      <c r="Q79" s="21"/>
      <c r="R79" s="21"/>
      <c r="S79" s="21"/>
      <c r="T79" s="21"/>
      <c r="U79" s="21"/>
      <c r="V79" s="21"/>
      <c r="W79" s="21"/>
      <c r="X79" s="2"/>
      <c r="Y79" s="21"/>
      <c r="Z79" s="21"/>
      <c r="AA79" s="21"/>
      <c r="AB79" s="21"/>
      <c r="AC79" s="21"/>
      <c r="AD79" s="21"/>
      <c r="AE79" s="21"/>
      <c r="AF79" s="21"/>
      <c r="AG79" s="21"/>
      <c r="AH79" s="21"/>
      <c r="AI79" s="21"/>
      <c r="AJ79" s="21"/>
      <c r="AK79" s="21"/>
      <c r="AL79" s="21"/>
      <c r="AM79" s="21"/>
      <c r="AN79" s="21"/>
      <c r="AO79" s="21"/>
      <c r="AP79" s="21"/>
      <c r="AQ79" s="21"/>
      <c r="AR79" s="21"/>
      <c r="AS79" s="21"/>
      <c r="AT79" s="21"/>
      <c r="AU79" s="21"/>
      <c r="AV79" s="21"/>
      <c r="AW79" s="21"/>
      <c r="AX79" s="21"/>
      <c r="AY79" s="21"/>
      <c r="AZ79" s="21"/>
      <c r="BA79" s="21"/>
      <c r="BB79" s="21"/>
      <c r="BC79" s="21"/>
      <c r="BD79" s="21"/>
      <c r="BE79" s="21"/>
      <c r="BF79" s="21"/>
      <c r="BG79" s="21"/>
      <c r="BH79" s="21"/>
      <c r="BI79" s="21"/>
      <c r="BJ79" s="21"/>
      <c r="BK79" s="21"/>
      <c r="BL79" s="21"/>
    </row>
    <row r="80" spans="1:64" s="104" customFormat="1" x14ac:dyDescent="0.3">
      <c r="A80" s="32" t="str">
        <f>Inputs!A81</f>
        <v>Development costs</v>
      </c>
      <c r="B80" s="4" t="str">
        <f>Inputs!B81</f>
        <v>US$</v>
      </c>
      <c r="C80" s="3"/>
      <c r="D80" s="3"/>
      <c r="E80" s="3"/>
      <c r="F80" s="3"/>
      <c r="G80" s="3"/>
      <c r="H80" s="3"/>
      <c r="I80" s="3"/>
      <c r="J80" s="3"/>
      <c r="K80" s="3"/>
      <c r="L80" s="3"/>
      <c r="M80" s="3"/>
      <c r="N80" s="3"/>
      <c r="O80" s="3"/>
      <c r="P80" s="3"/>
      <c r="Q80" s="3"/>
      <c r="R80" s="3"/>
      <c r="S80" s="3"/>
      <c r="T80" s="3"/>
      <c r="U80" s="3"/>
      <c r="V80" s="3"/>
      <c r="W80" s="21"/>
      <c r="X80" s="2">
        <f t="shared" si="9"/>
        <v>0</v>
      </c>
      <c r="Y80" s="21"/>
      <c r="Z80" s="21"/>
      <c r="AA80" s="21"/>
      <c r="AB80" s="21"/>
      <c r="AC80" s="21"/>
      <c r="AD80" s="21"/>
      <c r="AE80" s="21"/>
      <c r="AF80" s="21"/>
      <c r="AG80" s="21"/>
      <c r="AH80" s="21"/>
      <c r="AI80" s="21"/>
      <c r="AJ80" s="21"/>
      <c r="AK80" s="21"/>
      <c r="AL80" s="21"/>
      <c r="AM80" s="21"/>
      <c r="AN80" s="21"/>
      <c r="AO80" s="21"/>
      <c r="AP80" s="21"/>
      <c r="AQ80" s="21"/>
      <c r="AR80" s="21"/>
      <c r="AS80" s="21"/>
      <c r="AT80" s="21"/>
      <c r="AU80" s="21"/>
      <c r="AV80" s="21"/>
      <c r="AW80" s="21"/>
      <c r="AX80" s="21"/>
      <c r="AY80" s="21"/>
      <c r="AZ80" s="21"/>
      <c r="BA80" s="21"/>
      <c r="BB80" s="21"/>
      <c r="BC80" s="21"/>
      <c r="BD80" s="21"/>
      <c r="BE80" s="21"/>
      <c r="BF80" s="21"/>
      <c r="BG80" s="21"/>
      <c r="BH80" s="21"/>
      <c r="BI80" s="21"/>
      <c r="BJ80" s="21"/>
      <c r="BK80" s="21"/>
      <c r="BL80" s="21"/>
    </row>
    <row r="81" spans="1:64" s="104" customFormat="1" x14ac:dyDescent="0.3">
      <c r="A81" s="32" t="str">
        <f>Inputs!A82</f>
        <v>Land</v>
      </c>
      <c r="B81" s="4" t="str">
        <f>Inputs!B82</f>
        <v>US$</v>
      </c>
      <c r="C81" s="3"/>
      <c r="D81" s="3"/>
      <c r="E81" s="3"/>
      <c r="F81" s="3"/>
      <c r="G81" s="3"/>
      <c r="H81" s="3"/>
      <c r="I81" s="3"/>
      <c r="J81" s="3"/>
      <c r="K81" s="3"/>
      <c r="L81" s="3"/>
      <c r="M81" s="3"/>
      <c r="N81" s="3"/>
      <c r="O81" s="3"/>
      <c r="P81" s="3"/>
      <c r="Q81" s="3"/>
      <c r="R81" s="3"/>
      <c r="S81" s="3"/>
      <c r="T81" s="3"/>
      <c r="U81" s="3"/>
      <c r="V81" s="3"/>
      <c r="W81" s="21"/>
      <c r="X81" s="2">
        <f t="shared" si="9"/>
        <v>0</v>
      </c>
      <c r="Y81" s="21"/>
      <c r="Z81" s="21"/>
      <c r="AA81" s="21"/>
      <c r="AB81" s="21"/>
      <c r="AC81" s="21"/>
      <c r="AD81" s="21"/>
      <c r="AE81" s="21"/>
      <c r="AF81" s="21"/>
      <c r="AG81" s="21"/>
      <c r="AH81" s="21"/>
      <c r="AI81" s="21"/>
      <c r="AJ81" s="21"/>
      <c r="AK81" s="21"/>
      <c r="AL81" s="21"/>
      <c r="AM81" s="21"/>
      <c r="AN81" s="21"/>
      <c r="AO81" s="21"/>
      <c r="AP81" s="21"/>
      <c r="AQ81" s="21"/>
      <c r="AR81" s="21"/>
      <c r="AS81" s="21"/>
      <c r="AT81" s="21"/>
      <c r="AU81" s="21"/>
      <c r="AV81" s="21"/>
      <c r="AW81" s="21"/>
      <c r="AX81" s="21"/>
      <c r="AY81" s="21"/>
      <c r="AZ81" s="21"/>
      <c r="BA81" s="21"/>
      <c r="BB81" s="21"/>
      <c r="BC81" s="21"/>
      <c r="BD81" s="21"/>
      <c r="BE81" s="21"/>
      <c r="BF81" s="21"/>
      <c r="BG81" s="21"/>
      <c r="BH81" s="21"/>
      <c r="BI81" s="21"/>
      <c r="BJ81" s="21"/>
      <c r="BK81" s="21"/>
      <c r="BL81" s="21"/>
    </row>
    <row r="82" spans="1:64" s="104" customFormat="1" x14ac:dyDescent="0.3">
      <c r="A82" s="32" t="str">
        <f>Inputs!A83</f>
        <v xml:space="preserve">Fuel storage and handling equipment, </v>
      </c>
      <c r="B82" s="4" t="str">
        <f>Inputs!B83</f>
        <v>US$</v>
      </c>
      <c r="C82" s="3"/>
      <c r="D82" s="3"/>
      <c r="E82" s="3"/>
      <c r="F82" s="3"/>
      <c r="G82" s="3"/>
      <c r="H82" s="3"/>
      <c r="I82" s="3"/>
      <c r="J82" s="3"/>
      <c r="K82" s="3"/>
      <c r="L82" s="3"/>
      <c r="M82" s="3"/>
      <c r="N82" s="3"/>
      <c r="O82" s="3"/>
      <c r="P82" s="3"/>
      <c r="Q82" s="3"/>
      <c r="R82" s="3"/>
      <c r="S82" s="3"/>
      <c r="T82" s="3"/>
      <c r="U82" s="3"/>
      <c r="V82" s="3"/>
      <c r="W82" s="21"/>
      <c r="X82" s="2">
        <f t="shared" si="9"/>
        <v>0</v>
      </c>
      <c r="Y82" s="21"/>
      <c r="Z82" s="21"/>
      <c r="AA82" s="21"/>
      <c r="AB82" s="21"/>
      <c r="AC82" s="21"/>
      <c r="AD82" s="21"/>
      <c r="AE82" s="21"/>
      <c r="AF82" s="21"/>
      <c r="AG82" s="21"/>
      <c r="AH82" s="21"/>
      <c r="AI82" s="21"/>
      <c r="AJ82" s="21"/>
      <c r="AK82" s="21"/>
      <c r="AL82" s="21"/>
      <c r="AM82" s="21"/>
      <c r="AN82" s="21"/>
      <c r="AO82" s="21"/>
      <c r="AP82" s="21"/>
      <c r="AQ82" s="21"/>
      <c r="AR82" s="21"/>
      <c r="AS82" s="21"/>
      <c r="AT82" s="21"/>
      <c r="AU82" s="21"/>
      <c r="AV82" s="21"/>
      <c r="AW82" s="21"/>
      <c r="AX82" s="21"/>
      <c r="AY82" s="21"/>
      <c r="AZ82" s="21"/>
      <c r="BA82" s="21"/>
      <c r="BB82" s="21"/>
      <c r="BC82" s="21"/>
      <c r="BD82" s="21"/>
      <c r="BE82" s="21"/>
      <c r="BF82" s="21"/>
      <c r="BG82" s="21"/>
      <c r="BH82" s="21"/>
      <c r="BI82" s="21"/>
      <c r="BJ82" s="21"/>
      <c r="BK82" s="21"/>
      <c r="BL82" s="21"/>
    </row>
    <row r="83" spans="1:64" s="104" customFormat="1" x14ac:dyDescent="0.3">
      <c r="A83" s="32" t="str">
        <f>Inputs!A84</f>
        <v>Combustor/furnace/Boiler/gasfier</v>
      </c>
      <c r="B83" s="4" t="str">
        <f>Inputs!B84</f>
        <v>US$</v>
      </c>
      <c r="C83" s="3"/>
      <c r="D83" s="3"/>
      <c r="E83" s="3"/>
      <c r="F83" s="3"/>
      <c r="G83" s="3"/>
      <c r="H83" s="3"/>
      <c r="I83" s="3"/>
      <c r="J83" s="3"/>
      <c r="K83" s="3"/>
      <c r="L83" s="3"/>
      <c r="M83" s="3"/>
      <c r="N83" s="3"/>
      <c r="O83" s="3"/>
      <c r="P83" s="3"/>
      <c r="Q83" s="3"/>
      <c r="R83" s="3"/>
      <c r="S83" s="3"/>
      <c r="T83" s="3"/>
      <c r="U83" s="3"/>
      <c r="V83" s="3"/>
      <c r="W83" s="21"/>
      <c r="X83" s="2">
        <f t="shared" si="9"/>
        <v>0</v>
      </c>
      <c r="Y83" s="21"/>
      <c r="Z83" s="21"/>
      <c r="AA83" s="21"/>
      <c r="AB83" s="21"/>
      <c r="AC83" s="21"/>
      <c r="AD83" s="21"/>
      <c r="AE83" s="21"/>
      <c r="AF83" s="21"/>
      <c r="AG83" s="21"/>
      <c r="AH83" s="21"/>
      <c r="AI83" s="21"/>
      <c r="AJ83" s="21"/>
      <c r="AK83" s="21"/>
      <c r="AL83" s="21"/>
      <c r="AM83" s="21"/>
      <c r="AN83" s="21"/>
      <c r="AO83" s="21"/>
      <c r="AP83" s="21"/>
      <c r="AQ83" s="21"/>
      <c r="AR83" s="21"/>
      <c r="AS83" s="21"/>
      <c r="AT83" s="21"/>
      <c r="AU83" s="21"/>
      <c r="AV83" s="21"/>
      <c r="AW83" s="21"/>
      <c r="AX83" s="21"/>
      <c r="AY83" s="21"/>
      <c r="AZ83" s="21"/>
      <c r="BA83" s="21"/>
      <c r="BB83" s="21"/>
      <c r="BC83" s="21"/>
      <c r="BD83" s="21"/>
      <c r="BE83" s="21"/>
      <c r="BF83" s="21"/>
      <c r="BG83" s="21"/>
      <c r="BH83" s="21"/>
      <c r="BI83" s="21"/>
      <c r="BJ83" s="21"/>
      <c r="BK83" s="21"/>
      <c r="BL83" s="21"/>
    </row>
    <row r="84" spans="1:64" s="104" customFormat="1" x14ac:dyDescent="0.3">
      <c r="A84" s="32" t="str">
        <f>Inputs!A85</f>
        <v>Steam turbine/Generator/Condenser/Cooling tower</v>
      </c>
      <c r="B84" s="4" t="str">
        <f>Inputs!B85</f>
        <v>US$</v>
      </c>
      <c r="C84" s="3"/>
      <c r="D84" s="3"/>
      <c r="E84" s="3"/>
      <c r="F84" s="3"/>
      <c r="G84" s="3"/>
      <c r="H84" s="3"/>
      <c r="I84" s="3"/>
      <c r="J84" s="3"/>
      <c r="K84" s="3"/>
      <c r="L84" s="3"/>
      <c r="M84" s="3"/>
      <c r="N84" s="3"/>
      <c r="O84" s="3"/>
      <c r="P84" s="3"/>
      <c r="Q84" s="3"/>
      <c r="R84" s="3"/>
      <c r="S84" s="3"/>
      <c r="T84" s="3"/>
      <c r="U84" s="3"/>
      <c r="V84" s="3"/>
      <c r="W84" s="21"/>
      <c r="X84" s="2">
        <f t="shared" si="9"/>
        <v>0</v>
      </c>
      <c r="Y84" s="21"/>
      <c r="Z84" s="21"/>
      <c r="AA84" s="21"/>
      <c r="AB84" s="21"/>
      <c r="AC84" s="21"/>
      <c r="AD84" s="21"/>
      <c r="AE84" s="21"/>
      <c r="AF84" s="21"/>
      <c r="AG84" s="21"/>
      <c r="AH84" s="21"/>
      <c r="AI84" s="21"/>
      <c r="AJ84" s="21"/>
      <c r="AK84" s="21"/>
      <c r="AL84" s="21"/>
      <c r="AM84" s="21"/>
      <c r="AN84" s="21"/>
      <c r="AO84" s="21"/>
      <c r="AP84" s="21"/>
      <c r="AQ84" s="21"/>
      <c r="AR84" s="21"/>
      <c r="AS84" s="21"/>
      <c r="AT84" s="21"/>
      <c r="AU84" s="21"/>
      <c r="AV84" s="21"/>
      <c r="AW84" s="21"/>
      <c r="AX84" s="21"/>
      <c r="AY84" s="21"/>
      <c r="AZ84" s="21"/>
      <c r="BA84" s="21"/>
      <c r="BB84" s="21"/>
      <c r="BC84" s="21"/>
      <c r="BD84" s="21"/>
      <c r="BE84" s="21"/>
      <c r="BF84" s="21"/>
      <c r="BG84" s="21"/>
      <c r="BH84" s="21"/>
      <c r="BI84" s="21"/>
      <c r="BJ84" s="21"/>
      <c r="BK84" s="21"/>
      <c r="BL84" s="21"/>
    </row>
    <row r="85" spans="1:64" s="104" customFormat="1" x14ac:dyDescent="0.3">
      <c r="A85" s="32" t="str">
        <f>Inputs!A86</f>
        <v>Balance of system</v>
      </c>
      <c r="B85" s="4" t="str">
        <f>Inputs!B86</f>
        <v>US$</v>
      </c>
      <c r="C85" s="3"/>
      <c r="D85" s="3"/>
      <c r="E85" s="3"/>
      <c r="F85" s="3"/>
      <c r="G85" s="3"/>
      <c r="H85" s="3"/>
      <c r="I85" s="3"/>
      <c r="J85" s="3"/>
      <c r="K85" s="3"/>
      <c r="L85" s="3"/>
      <c r="M85" s="3"/>
      <c r="N85" s="3"/>
      <c r="O85" s="3"/>
      <c r="P85" s="3"/>
      <c r="Q85" s="3"/>
      <c r="R85" s="3"/>
      <c r="S85" s="3"/>
      <c r="T85" s="3"/>
      <c r="U85" s="3"/>
      <c r="V85" s="3"/>
      <c r="W85" s="21"/>
      <c r="X85" s="2">
        <f t="shared" si="9"/>
        <v>0</v>
      </c>
      <c r="Y85" s="21"/>
      <c r="Z85" s="21"/>
      <c r="AA85" s="21"/>
      <c r="AB85" s="21"/>
      <c r="AC85" s="21"/>
      <c r="AD85" s="21"/>
      <c r="AE85" s="21"/>
      <c r="AF85" s="21"/>
      <c r="AG85" s="21"/>
      <c r="AH85" s="21"/>
      <c r="AI85" s="21"/>
      <c r="AJ85" s="21"/>
      <c r="AK85" s="21"/>
      <c r="AL85" s="21"/>
      <c r="AM85" s="21"/>
      <c r="AN85" s="21"/>
      <c r="AO85" s="21"/>
      <c r="AP85" s="21"/>
      <c r="AQ85" s="21"/>
      <c r="AR85" s="21"/>
      <c r="AS85" s="21"/>
      <c r="AT85" s="21"/>
      <c r="AU85" s="21"/>
      <c r="AV85" s="21"/>
      <c r="AW85" s="21"/>
      <c r="AX85" s="21"/>
      <c r="AY85" s="21"/>
      <c r="AZ85" s="21"/>
      <c r="BA85" s="21"/>
      <c r="BB85" s="21"/>
      <c r="BC85" s="21"/>
      <c r="BD85" s="21"/>
      <c r="BE85" s="21"/>
      <c r="BF85" s="21"/>
      <c r="BG85" s="21"/>
      <c r="BH85" s="21"/>
      <c r="BI85" s="21"/>
      <c r="BJ85" s="21"/>
      <c r="BK85" s="21"/>
      <c r="BL85" s="21"/>
    </row>
    <row r="86" spans="1:64" s="104" customFormat="1" x14ac:dyDescent="0.3">
      <c r="A86" s="32" t="str">
        <f>Inputs!A87</f>
        <v>Civil works and foundations</v>
      </c>
      <c r="B86" s="4" t="str">
        <f>Inputs!B87</f>
        <v>US$</v>
      </c>
      <c r="C86" s="3"/>
      <c r="D86" s="3"/>
      <c r="E86" s="3"/>
      <c r="F86" s="3"/>
      <c r="G86" s="3"/>
      <c r="H86" s="3"/>
      <c r="I86" s="3"/>
      <c r="J86" s="3"/>
      <c r="K86" s="3"/>
      <c r="L86" s="3"/>
      <c r="M86" s="3"/>
      <c r="N86" s="3"/>
      <c r="O86" s="3"/>
      <c r="P86" s="3"/>
      <c r="Q86" s="3"/>
      <c r="R86" s="3"/>
      <c r="S86" s="3"/>
      <c r="T86" s="3"/>
      <c r="U86" s="3"/>
      <c r="V86" s="3"/>
      <c r="W86" s="21"/>
      <c r="X86" s="2">
        <f t="shared" si="9"/>
        <v>0</v>
      </c>
      <c r="Y86" s="21"/>
      <c r="Z86" s="21"/>
      <c r="AA86" s="21"/>
      <c r="AB86" s="21"/>
      <c r="AC86" s="21"/>
      <c r="AD86" s="21"/>
      <c r="AE86" s="21"/>
      <c r="AF86" s="21"/>
      <c r="AG86" s="21"/>
      <c r="AH86" s="21"/>
      <c r="AI86" s="21"/>
      <c r="AJ86" s="21"/>
      <c r="AK86" s="21"/>
      <c r="AL86" s="21"/>
      <c r="AM86" s="21"/>
      <c r="AN86" s="21"/>
      <c r="AO86" s="21"/>
      <c r="AP86" s="21"/>
      <c r="AQ86" s="21"/>
      <c r="AR86" s="21"/>
      <c r="AS86" s="21"/>
      <c r="AT86" s="21"/>
      <c r="AU86" s="21"/>
      <c r="AV86" s="21"/>
      <c r="AW86" s="21"/>
      <c r="AX86" s="21"/>
      <c r="AY86" s="21"/>
      <c r="AZ86" s="21"/>
      <c r="BA86" s="21"/>
      <c r="BB86" s="21"/>
      <c r="BC86" s="21"/>
      <c r="BD86" s="21"/>
      <c r="BE86" s="21"/>
      <c r="BF86" s="21"/>
      <c r="BG86" s="21"/>
      <c r="BH86" s="21"/>
      <c r="BI86" s="21"/>
      <c r="BJ86" s="21"/>
      <c r="BK86" s="21"/>
      <c r="BL86" s="21"/>
    </row>
    <row r="87" spans="1:64" s="104" customFormat="1" x14ac:dyDescent="0.3">
      <c r="A87" s="32" t="str">
        <f>Inputs!A88</f>
        <v>Powerhouse</v>
      </c>
      <c r="B87" s="4" t="str">
        <f>Inputs!B88</f>
        <v>US$</v>
      </c>
      <c r="C87" s="3"/>
      <c r="D87" s="3"/>
      <c r="E87" s="3"/>
      <c r="F87" s="3"/>
      <c r="G87" s="3"/>
      <c r="H87" s="3"/>
      <c r="I87" s="3"/>
      <c r="J87" s="3"/>
      <c r="K87" s="3"/>
      <c r="L87" s="3"/>
      <c r="M87" s="3"/>
      <c r="N87" s="3"/>
      <c r="O87" s="3"/>
      <c r="P87" s="3"/>
      <c r="Q87" s="3"/>
      <c r="R87" s="3"/>
      <c r="S87" s="3"/>
      <c r="T87" s="3"/>
      <c r="U87" s="3"/>
      <c r="V87" s="3"/>
      <c r="W87" s="21"/>
      <c r="X87" s="2">
        <f t="shared" si="9"/>
        <v>0</v>
      </c>
      <c r="Y87" s="21"/>
      <c r="Z87" s="21"/>
      <c r="AA87" s="21"/>
      <c r="AB87" s="21"/>
      <c r="AC87" s="21"/>
      <c r="AD87" s="21"/>
      <c r="AE87" s="21"/>
      <c r="AF87" s="21"/>
      <c r="AG87" s="21"/>
      <c r="AH87" s="21"/>
      <c r="AI87" s="21"/>
      <c r="AJ87" s="21"/>
      <c r="AK87" s="21"/>
      <c r="AL87" s="21"/>
      <c r="AM87" s="21"/>
      <c r="AN87" s="21"/>
      <c r="AO87" s="21"/>
      <c r="AP87" s="21"/>
      <c r="AQ87" s="21"/>
      <c r="AR87" s="21"/>
      <c r="AS87" s="21"/>
      <c r="AT87" s="21"/>
      <c r="AU87" s="21"/>
      <c r="AV87" s="21"/>
      <c r="AW87" s="21"/>
      <c r="AX87" s="21"/>
      <c r="AY87" s="21"/>
      <c r="AZ87" s="21"/>
      <c r="BA87" s="21"/>
      <c r="BB87" s="21"/>
      <c r="BC87" s="21"/>
      <c r="BD87" s="21"/>
      <c r="BE87" s="21"/>
      <c r="BF87" s="21"/>
      <c r="BG87" s="21"/>
      <c r="BH87" s="21"/>
      <c r="BI87" s="21"/>
      <c r="BJ87" s="21"/>
      <c r="BK87" s="21"/>
      <c r="BL87" s="21"/>
    </row>
    <row r="88" spans="1:64" s="104" customFormat="1" x14ac:dyDescent="0.3">
      <c r="A88" s="32" t="str">
        <f>Inputs!A89</f>
        <v>Logistics, transport, warehousing</v>
      </c>
      <c r="B88" s="4" t="str">
        <f>Inputs!B89</f>
        <v>US$</v>
      </c>
      <c r="C88" s="3"/>
      <c r="D88" s="3"/>
      <c r="E88" s="3"/>
      <c r="F88" s="3"/>
      <c r="G88" s="3"/>
      <c r="H88" s="3"/>
      <c r="I88" s="3"/>
      <c r="J88" s="3"/>
      <c r="K88" s="3"/>
      <c r="L88" s="3"/>
      <c r="M88" s="3"/>
      <c r="N88" s="3"/>
      <c r="O88" s="3"/>
      <c r="P88" s="3"/>
      <c r="Q88" s="3"/>
      <c r="R88" s="3"/>
      <c r="S88" s="3"/>
      <c r="T88" s="3"/>
      <c r="U88" s="3"/>
      <c r="V88" s="3"/>
      <c r="W88" s="21"/>
      <c r="X88" s="2">
        <f t="shared" si="9"/>
        <v>0</v>
      </c>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c r="AW88" s="21"/>
      <c r="AX88" s="21"/>
      <c r="AY88" s="21"/>
      <c r="AZ88" s="21"/>
      <c r="BA88" s="21"/>
      <c r="BB88" s="21"/>
      <c r="BC88" s="21"/>
      <c r="BD88" s="21"/>
      <c r="BE88" s="21"/>
      <c r="BF88" s="21"/>
      <c r="BG88" s="21"/>
      <c r="BH88" s="21"/>
      <c r="BI88" s="21"/>
      <c r="BJ88" s="21"/>
      <c r="BK88" s="21"/>
      <c r="BL88" s="21"/>
    </row>
    <row r="89" spans="1:64" s="104" customFormat="1" x14ac:dyDescent="0.3">
      <c r="A89" s="32" t="str">
        <f>Inputs!A90</f>
        <v>Custom duties</v>
      </c>
      <c r="B89" s="4" t="str">
        <f>Inputs!B90</f>
        <v>US$</v>
      </c>
      <c r="C89" s="3"/>
      <c r="D89" s="3"/>
      <c r="E89" s="3"/>
      <c r="F89" s="3"/>
      <c r="G89" s="3"/>
      <c r="H89" s="3"/>
      <c r="I89" s="3"/>
      <c r="J89" s="3"/>
      <c r="K89" s="3"/>
      <c r="L89" s="3"/>
      <c r="M89" s="3"/>
      <c r="N89" s="3"/>
      <c r="O89" s="3"/>
      <c r="P89" s="3"/>
      <c r="Q89" s="3"/>
      <c r="R89" s="3"/>
      <c r="S89" s="3"/>
      <c r="T89" s="3"/>
      <c r="U89" s="3"/>
      <c r="V89" s="3"/>
      <c r="W89" s="21"/>
      <c r="X89" s="2">
        <f t="shared" si="9"/>
        <v>0</v>
      </c>
      <c r="Y89" s="21"/>
      <c r="Z89" s="21"/>
      <c r="AA89" s="21"/>
      <c r="AB89" s="21"/>
      <c r="AC89" s="21"/>
      <c r="AD89" s="21"/>
      <c r="AE89" s="21"/>
      <c r="AF89" s="21"/>
      <c r="AG89" s="21"/>
      <c r="AH89" s="21"/>
      <c r="AI89" s="21"/>
      <c r="AJ89" s="21"/>
      <c r="AK89" s="21"/>
      <c r="AL89" s="21"/>
      <c r="AM89" s="21"/>
      <c r="AN89" s="21"/>
      <c r="AO89" s="21"/>
      <c r="AP89" s="21"/>
      <c r="AQ89" s="21"/>
      <c r="AR89" s="21"/>
      <c r="AS89" s="21"/>
      <c r="AT89" s="21"/>
      <c r="AU89" s="21"/>
      <c r="AV89" s="21"/>
      <c r="AW89" s="21"/>
      <c r="AX89" s="21"/>
      <c r="AY89" s="21"/>
      <c r="AZ89" s="21"/>
      <c r="BA89" s="21"/>
      <c r="BB89" s="21"/>
      <c r="BC89" s="21"/>
      <c r="BD89" s="21"/>
      <c r="BE89" s="21"/>
      <c r="BF89" s="21"/>
      <c r="BG89" s="21"/>
      <c r="BH89" s="21"/>
      <c r="BI89" s="21"/>
      <c r="BJ89" s="21"/>
      <c r="BK89" s="21"/>
      <c r="BL89" s="21"/>
    </row>
    <row r="90" spans="1:64" s="104" customFormat="1" x14ac:dyDescent="0.3">
      <c r="A90" s="32" t="str">
        <f>Inputs!A91</f>
        <v>VAT</v>
      </c>
      <c r="B90" s="4" t="str">
        <f>Inputs!B91</f>
        <v>US$</v>
      </c>
      <c r="C90" s="3"/>
      <c r="D90" s="3"/>
      <c r="E90" s="3"/>
      <c r="F90" s="3"/>
      <c r="G90" s="3"/>
      <c r="H90" s="3"/>
      <c r="I90" s="3"/>
      <c r="J90" s="3"/>
      <c r="K90" s="3"/>
      <c r="L90" s="3"/>
      <c r="M90" s="3"/>
      <c r="N90" s="3"/>
      <c r="O90" s="3"/>
      <c r="P90" s="3"/>
      <c r="Q90" s="3"/>
      <c r="R90" s="3"/>
      <c r="S90" s="3"/>
      <c r="T90" s="3"/>
      <c r="U90" s="3"/>
      <c r="V90" s="3"/>
      <c r="W90" s="21"/>
      <c r="X90" s="2">
        <f t="shared" si="9"/>
        <v>0</v>
      </c>
      <c r="Y90" s="21"/>
      <c r="Z90" s="21"/>
      <c r="AA90" s="21"/>
      <c r="AB90" s="21"/>
      <c r="AC90" s="21"/>
      <c r="AD90" s="21"/>
      <c r="AE90" s="21"/>
      <c r="AF90" s="21"/>
      <c r="AG90" s="21"/>
      <c r="AH90" s="21"/>
      <c r="AI90" s="21"/>
      <c r="AJ90" s="21"/>
      <c r="AK90" s="21"/>
      <c r="AL90" s="21"/>
      <c r="AM90" s="21"/>
      <c r="AN90" s="21"/>
      <c r="AO90" s="21"/>
      <c r="AP90" s="21"/>
      <c r="AQ90" s="21"/>
      <c r="AR90" s="21"/>
      <c r="AS90" s="21"/>
      <c r="AT90" s="21"/>
      <c r="AU90" s="21"/>
      <c r="AV90" s="21"/>
      <c r="AW90" s="21"/>
      <c r="AX90" s="21"/>
      <c r="AY90" s="21"/>
      <c r="AZ90" s="21"/>
      <c r="BA90" s="21"/>
      <c r="BB90" s="21"/>
      <c r="BC90" s="21"/>
      <c r="BD90" s="21"/>
      <c r="BE90" s="21"/>
      <c r="BF90" s="21"/>
      <c r="BG90" s="21"/>
      <c r="BH90" s="21"/>
      <c r="BI90" s="21"/>
      <c r="BJ90" s="21"/>
      <c r="BK90" s="21"/>
      <c r="BL90" s="21"/>
    </row>
    <row r="91" spans="1:64" s="104" customFormat="1" x14ac:dyDescent="0.3">
      <c r="A91" s="32" t="str">
        <f>Inputs!A92</f>
        <v>Installation and inspection</v>
      </c>
      <c r="B91" s="4" t="str">
        <f>Inputs!B92</f>
        <v>US$</v>
      </c>
      <c r="C91" s="3"/>
      <c r="D91" s="3"/>
      <c r="E91" s="3"/>
      <c r="F91" s="3"/>
      <c r="G91" s="3"/>
      <c r="H91" s="3"/>
      <c r="I91" s="3"/>
      <c r="J91" s="3"/>
      <c r="K91" s="3"/>
      <c r="L91" s="3"/>
      <c r="M91" s="3"/>
      <c r="N91" s="3"/>
      <c r="O91" s="3"/>
      <c r="P91" s="3"/>
      <c r="Q91" s="3"/>
      <c r="R91" s="3"/>
      <c r="S91" s="3"/>
      <c r="T91" s="3"/>
      <c r="U91" s="3"/>
      <c r="V91" s="3"/>
      <c r="W91" s="21"/>
      <c r="X91" s="2">
        <f t="shared" si="9"/>
        <v>0</v>
      </c>
      <c r="Y91" s="21"/>
      <c r="Z91" s="21"/>
      <c r="AA91" s="21"/>
      <c r="AB91" s="21"/>
      <c r="AC91" s="21"/>
      <c r="AD91" s="21"/>
      <c r="AE91" s="21"/>
      <c r="AF91" s="21"/>
      <c r="AG91" s="21"/>
      <c r="AH91" s="21"/>
      <c r="AI91" s="21"/>
      <c r="AJ91" s="21"/>
      <c r="AK91" s="21"/>
      <c r="AL91" s="21"/>
      <c r="AM91" s="21"/>
      <c r="AN91" s="21"/>
      <c r="AO91" s="21"/>
      <c r="AP91" s="21"/>
      <c r="AQ91" s="21"/>
      <c r="AR91" s="21"/>
      <c r="AS91" s="21"/>
      <c r="AT91" s="21"/>
      <c r="AU91" s="21"/>
      <c r="AV91" s="21"/>
      <c r="AW91" s="21"/>
      <c r="AX91" s="21"/>
      <c r="AY91" s="21"/>
      <c r="AZ91" s="21"/>
      <c r="BA91" s="21"/>
      <c r="BB91" s="21"/>
      <c r="BC91" s="21"/>
      <c r="BD91" s="21"/>
      <c r="BE91" s="21"/>
      <c r="BF91" s="21"/>
      <c r="BG91" s="21"/>
      <c r="BH91" s="21"/>
      <c r="BI91" s="21"/>
      <c r="BJ91" s="21"/>
      <c r="BK91" s="21"/>
      <c r="BL91" s="21"/>
    </row>
    <row r="92" spans="1:64" s="104" customFormat="1" x14ac:dyDescent="0.3">
      <c r="A92" s="32" t="str">
        <f>Inputs!A93</f>
        <v>Distribution assets</v>
      </c>
      <c r="B92" s="4" t="str">
        <f>Inputs!B93</f>
        <v>US$</v>
      </c>
      <c r="C92" s="3"/>
      <c r="D92" s="3"/>
      <c r="E92" s="3"/>
      <c r="F92" s="3"/>
      <c r="G92" s="3"/>
      <c r="H92" s="3"/>
      <c r="I92" s="3"/>
      <c r="J92" s="3"/>
      <c r="K92" s="3"/>
      <c r="L92" s="3"/>
      <c r="M92" s="3"/>
      <c r="N92" s="3"/>
      <c r="O92" s="3"/>
      <c r="P92" s="3"/>
      <c r="Q92" s="3"/>
      <c r="R92" s="3"/>
      <c r="S92" s="3"/>
      <c r="T92" s="3"/>
      <c r="U92" s="3"/>
      <c r="V92" s="3"/>
      <c r="W92" s="21"/>
      <c r="X92" s="2">
        <f t="shared" si="9"/>
        <v>0</v>
      </c>
      <c r="Y92" s="21"/>
      <c r="Z92" s="21"/>
      <c r="AA92" s="21"/>
      <c r="AB92" s="21"/>
      <c r="AC92" s="21"/>
      <c r="AD92" s="21"/>
      <c r="AE92" s="21"/>
      <c r="AF92" s="21"/>
      <c r="AG92" s="21"/>
      <c r="AH92" s="21"/>
      <c r="AI92" s="21"/>
      <c r="AJ92" s="21"/>
      <c r="AK92" s="21"/>
      <c r="AL92" s="21"/>
      <c r="AM92" s="21"/>
      <c r="AN92" s="21"/>
      <c r="AO92" s="21"/>
      <c r="AP92" s="21"/>
      <c r="AQ92" s="21"/>
      <c r="AR92" s="21"/>
      <c r="AS92" s="21"/>
      <c r="AT92" s="21"/>
      <c r="AU92" s="21"/>
      <c r="AV92" s="21"/>
      <c r="AW92" s="21"/>
      <c r="AX92" s="21"/>
      <c r="AY92" s="21"/>
      <c r="AZ92" s="21"/>
      <c r="BA92" s="21"/>
      <c r="BB92" s="21"/>
      <c r="BC92" s="21"/>
      <c r="BD92" s="21"/>
      <c r="BE92" s="21"/>
      <c r="BF92" s="21"/>
      <c r="BG92" s="21"/>
      <c r="BH92" s="21"/>
      <c r="BI92" s="21"/>
      <c r="BJ92" s="21"/>
      <c r="BK92" s="21"/>
      <c r="BL92" s="21"/>
    </row>
    <row r="93" spans="1:64" s="104" customFormat="1" x14ac:dyDescent="0.3">
      <c r="A93" s="32" t="str">
        <f>Inputs!A94</f>
        <v>Transformers</v>
      </c>
      <c r="B93" s="4" t="str">
        <f>Inputs!B94</f>
        <v>US$</v>
      </c>
      <c r="C93" s="3"/>
      <c r="D93" s="3"/>
      <c r="E93" s="3"/>
      <c r="F93" s="3"/>
      <c r="G93" s="3"/>
      <c r="H93" s="3"/>
      <c r="I93" s="3"/>
      <c r="J93" s="3"/>
      <c r="K93" s="3"/>
      <c r="L93" s="3"/>
      <c r="M93" s="3"/>
      <c r="N93" s="3"/>
      <c r="O93" s="3"/>
      <c r="P93" s="3"/>
      <c r="Q93" s="3"/>
      <c r="R93" s="3"/>
      <c r="S93" s="3"/>
      <c r="T93" s="3"/>
      <c r="U93" s="3"/>
      <c r="V93" s="3"/>
      <c r="W93" s="21"/>
      <c r="X93" s="2">
        <f t="shared" si="9"/>
        <v>0</v>
      </c>
      <c r="Y93" s="21"/>
      <c r="Z93" s="21"/>
      <c r="AA93" s="21"/>
      <c r="AB93" s="21"/>
      <c r="AC93" s="21"/>
      <c r="AD93" s="21"/>
      <c r="AE93" s="21"/>
      <c r="AF93" s="21"/>
      <c r="AG93" s="21"/>
      <c r="AH93" s="21"/>
      <c r="AI93" s="21"/>
      <c r="AJ93" s="21"/>
      <c r="AK93" s="21"/>
      <c r="AL93" s="21"/>
      <c r="AM93" s="21"/>
      <c r="AN93" s="21"/>
      <c r="AO93" s="21"/>
      <c r="AP93" s="21"/>
      <c r="AQ93" s="21"/>
      <c r="AR93" s="21"/>
      <c r="AS93" s="21"/>
      <c r="AT93" s="21"/>
      <c r="AU93" s="21"/>
      <c r="AV93" s="21"/>
      <c r="AW93" s="21"/>
      <c r="AX93" s="21"/>
      <c r="AY93" s="21"/>
      <c r="AZ93" s="21"/>
      <c r="BA93" s="21"/>
      <c r="BB93" s="21"/>
      <c r="BC93" s="21"/>
      <c r="BD93" s="21"/>
      <c r="BE93" s="21"/>
      <c r="BF93" s="21"/>
      <c r="BG93" s="21"/>
      <c r="BH93" s="21"/>
      <c r="BI93" s="21"/>
      <c r="BJ93" s="21"/>
      <c r="BK93" s="21"/>
      <c r="BL93" s="21"/>
    </row>
    <row r="94" spans="1:64" s="104" customFormat="1" x14ac:dyDescent="0.3">
      <c r="A94" s="32" t="str">
        <f>Inputs!A95</f>
        <v>Metering and termination</v>
      </c>
      <c r="B94" s="4" t="str">
        <f>Inputs!B95</f>
        <v>US$</v>
      </c>
      <c r="C94" s="3"/>
      <c r="D94" s="3"/>
      <c r="E94" s="3"/>
      <c r="F94" s="3"/>
      <c r="G94" s="3"/>
      <c r="H94" s="3"/>
      <c r="I94" s="3"/>
      <c r="J94" s="3"/>
      <c r="K94" s="3"/>
      <c r="L94" s="3"/>
      <c r="M94" s="3"/>
      <c r="N94" s="3"/>
      <c r="O94" s="3"/>
      <c r="P94" s="3"/>
      <c r="Q94" s="3"/>
      <c r="R94" s="3"/>
      <c r="S94" s="3"/>
      <c r="T94" s="3"/>
      <c r="U94" s="3"/>
      <c r="V94" s="3"/>
      <c r="W94" s="21"/>
      <c r="X94" s="2">
        <f t="shared" si="9"/>
        <v>0</v>
      </c>
      <c r="Y94" s="21"/>
      <c r="Z94" s="21"/>
      <c r="AA94" s="21"/>
      <c r="AB94" s="21"/>
      <c r="AC94" s="21"/>
      <c r="AD94" s="21"/>
      <c r="AE94" s="21"/>
      <c r="AF94" s="21"/>
      <c r="AG94" s="21"/>
      <c r="AH94" s="21"/>
      <c r="AI94" s="21"/>
      <c r="AJ94" s="21"/>
      <c r="AK94" s="21"/>
      <c r="AL94" s="21"/>
      <c r="AM94" s="21"/>
      <c r="AN94" s="21"/>
      <c r="AO94" s="21"/>
      <c r="AP94" s="21"/>
      <c r="AQ94" s="21"/>
      <c r="AR94" s="21"/>
      <c r="AS94" s="21"/>
      <c r="AT94" s="21"/>
      <c r="AU94" s="21"/>
      <c r="AV94" s="21"/>
      <c r="AW94" s="21"/>
      <c r="AX94" s="21"/>
      <c r="AY94" s="21"/>
      <c r="AZ94" s="21"/>
      <c r="BA94" s="21"/>
      <c r="BB94" s="21"/>
      <c r="BC94" s="21"/>
      <c r="BD94" s="21"/>
      <c r="BE94" s="21"/>
      <c r="BF94" s="21"/>
      <c r="BG94" s="21"/>
      <c r="BH94" s="21"/>
      <c r="BI94" s="21"/>
      <c r="BJ94" s="21"/>
      <c r="BK94" s="21"/>
      <c r="BL94" s="21"/>
    </row>
    <row r="95" spans="1:64" s="104" customFormat="1" x14ac:dyDescent="0.3">
      <c r="A95" s="32">
        <f>Inputs!A96</f>
        <v>0</v>
      </c>
      <c r="B95" s="4" t="str">
        <f>Inputs!B96</f>
        <v>US$</v>
      </c>
      <c r="C95" s="3"/>
      <c r="D95" s="3"/>
      <c r="E95" s="3"/>
      <c r="F95" s="3"/>
      <c r="G95" s="3"/>
      <c r="H95" s="3"/>
      <c r="I95" s="3"/>
      <c r="J95" s="3"/>
      <c r="K95" s="3"/>
      <c r="L95" s="3"/>
      <c r="M95" s="3"/>
      <c r="N95" s="3"/>
      <c r="O95" s="3"/>
      <c r="P95" s="3"/>
      <c r="Q95" s="3"/>
      <c r="R95" s="3"/>
      <c r="S95" s="3"/>
      <c r="T95" s="3"/>
      <c r="U95" s="3"/>
      <c r="V95" s="3"/>
      <c r="W95" s="21"/>
      <c r="X95" s="2">
        <f t="shared" si="9"/>
        <v>0</v>
      </c>
      <c r="Y95" s="21"/>
      <c r="Z95" s="21"/>
      <c r="AA95" s="21"/>
      <c r="AB95" s="21"/>
      <c r="AC95" s="21"/>
      <c r="AD95" s="21"/>
      <c r="AE95" s="21"/>
      <c r="AF95" s="21"/>
      <c r="AG95" s="21"/>
      <c r="AH95" s="21"/>
      <c r="AI95" s="21"/>
      <c r="AJ95" s="21"/>
      <c r="AK95" s="21"/>
      <c r="AL95" s="21"/>
      <c r="AM95" s="21"/>
      <c r="AN95" s="21"/>
      <c r="AO95" s="21"/>
      <c r="AP95" s="21"/>
      <c r="AQ95" s="21"/>
      <c r="AR95" s="21"/>
      <c r="AS95" s="21"/>
      <c r="AT95" s="21"/>
      <c r="AU95" s="21"/>
      <c r="AV95" s="21"/>
      <c r="AW95" s="21"/>
      <c r="AX95" s="21"/>
      <c r="AY95" s="21"/>
      <c r="AZ95" s="21"/>
      <c r="BA95" s="21"/>
      <c r="BB95" s="21"/>
      <c r="BC95" s="21"/>
      <c r="BD95" s="21"/>
      <c r="BE95" s="21"/>
      <c r="BF95" s="21"/>
      <c r="BG95" s="21"/>
      <c r="BH95" s="21"/>
      <c r="BI95" s="21"/>
      <c r="BJ95" s="21"/>
      <c r="BK95" s="21"/>
      <c r="BL95" s="21"/>
    </row>
    <row r="96" spans="1:64" s="104" customFormat="1" x14ac:dyDescent="0.3">
      <c r="A96" s="32">
        <f>Inputs!A97</f>
        <v>0</v>
      </c>
      <c r="B96" s="4" t="str">
        <f>Inputs!B97</f>
        <v>US$</v>
      </c>
      <c r="C96" s="3"/>
      <c r="D96" s="3"/>
      <c r="E96" s="3"/>
      <c r="F96" s="3"/>
      <c r="G96" s="3"/>
      <c r="H96" s="3"/>
      <c r="I96" s="3"/>
      <c r="J96" s="3"/>
      <c r="K96" s="3"/>
      <c r="L96" s="3"/>
      <c r="M96" s="3"/>
      <c r="N96" s="3"/>
      <c r="O96" s="3"/>
      <c r="P96" s="3"/>
      <c r="Q96" s="3"/>
      <c r="R96" s="3"/>
      <c r="S96" s="3"/>
      <c r="T96" s="3"/>
      <c r="U96" s="3"/>
      <c r="V96" s="3"/>
      <c r="W96" s="21"/>
      <c r="X96" s="2">
        <f t="shared" si="9"/>
        <v>0</v>
      </c>
      <c r="Y96" s="21"/>
      <c r="Z96" s="21"/>
      <c r="AA96" s="21"/>
      <c r="AB96" s="21"/>
      <c r="AC96" s="21"/>
      <c r="AD96" s="21"/>
      <c r="AE96" s="21"/>
      <c r="AF96" s="21"/>
      <c r="AG96" s="21"/>
      <c r="AH96" s="21"/>
      <c r="AI96" s="21"/>
      <c r="AJ96" s="21"/>
      <c r="AK96" s="21"/>
      <c r="AL96" s="21"/>
      <c r="AM96" s="21"/>
      <c r="AN96" s="21"/>
      <c r="AO96" s="21"/>
      <c r="AP96" s="21"/>
      <c r="AQ96" s="21"/>
      <c r="AR96" s="21"/>
      <c r="AS96" s="21"/>
      <c r="AT96" s="21"/>
      <c r="AU96" s="21"/>
      <c r="AV96" s="21"/>
      <c r="AW96" s="21"/>
      <c r="AX96" s="21"/>
      <c r="AY96" s="21"/>
      <c r="AZ96" s="21"/>
      <c r="BA96" s="21"/>
      <c r="BB96" s="21"/>
      <c r="BC96" s="21"/>
      <c r="BD96" s="21"/>
      <c r="BE96" s="21"/>
      <c r="BF96" s="21"/>
      <c r="BG96" s="21"/>
      <c r="BH96" s="21"/>
      <c r="BI96" s="21"/>
      <c r="BJ96" s="21"/>
      <c r="BK96" s="21"/>
      <c r="BL96" s="21"/>
    </row>
    <row r="97" spans="1:43" s="24" customFormat="1" x14ac:dyDescent="0.3">
      <c r="A97" s="557" t="str">
        <f>Inputs!A98</f>
        <v>1.2.5 Floating Biogas</v>
      </c>
      <c r="B97" s="558"/>
      <c r="C97" s="559"/>
      <c r="D97" s="21"/>
      <c r="E97" s="21"/>
      <c r="F97" s="21"/>
      <c r="G97" s="52"/>
      <c r="H97" s="52"/>
      <c r="I97" s="52"/>
      <c r="J97" s="52"/>
      <c r="K97" s="52"/>
      <c r="L97" s="52"/>
      <c r="M97" s="52"/>
      <c r="N97" s="52"/>
      <c r="O97" s="52"/>
      <c r="P97" s="52"/>
      <c r="Q97" s="52"/>
      <c r="R97" s="52"/>
      <c r="S97" s="52"/>
      <c r="T97" s="52"/>
      <c r="U97" s="52"/>
      <c r="V97" s="52"/>
      <c r="W97" s="52"/>
      <c r="X97" s="12"/>
      <c r="Y97" s="52"/>
      <c r="Z97" s="52"/>
      <c r="AA97" s="52"/>
      <c r="AB97" s="52"/>
      <c r="AC97" s="52"/>
      <c r="AD97" s="52"/>
      <c r="AE97" s="53"/>
      <c r="AF97" s="53"/>
      <c r="AG97" s="53"/>
      <c r="AH97" s="38"/>
      <c r="AI97" s="38"/>
      <c r="AJ97" s="38"/>
      <c r="AK97" s="38"/>
      <c r="AL97" s="38"/>
      <c r="AM97" s="38"/>
      <c r="AN97" s="38"/>
      <c r="AO97" s="38"/>
      <c r="AP97" s="38"/>
      <c r="AQ97" s="38"/>
    </row>
    <row r="98" spans="1:43" s="51" customFormat="1" x14ac:dyDescent="0.3">
      <c r="A98" s="32" t="s">
        <v>29</v>
      </c>
      <c r="B98" s="4" t="str">
        <f>B23</f>
        <v>US$</v>
      </c>
      <c r="C98" s="3"/>
      <c r="D98" s="3"/>
      <c r="E98" s="3"/>
      <c r="F98" s="3"/>
      <c r="G98" s="3"/>
      <c r="H98" s="3"/>
      <c r="I98" s="3"/>
      <c r="J98" s="3"/>
      <c r="K98" s="3"/>
      <c r="L98" s="3"/>
      <c r="M98" s="3"/>
      <c r="N98" s="3"/>
      <c r="O98" s="3"/>
      <c r="P98" s="3"/>
      <c r="Q98" s="3"/>
      <c r="R98" s="3"/>
      <c r="S98" s="3"/>
      <c r="T98" s="3"/>
      <c r="U98" s="3"/>
      <c r="V98" s="3"/>
      <c r="W98" s="52"/>
      <c r="X98" s="2">
        <f t="shared" si="9"/>
        <v>0</v>
      </c>
      <c r="Y98" s="52"/>
      <c r="Z98" s="52"/>
      <c r="AA98" s="52"/>
      <c r="AB98" s="52"/>
      <c r="AC98" s="52"/>
      <c r="AD98" s="52"/>
      <c r="AE98" s="53"/>
      <c r="AF98" s="53"/>
      <c r="AG98" s="53"/>
      <c r="AH98" s="52"/>
      <c r="AI98" s="52"/>
      <c r="AJ98" s="52"/>
      <c r="AK98" s="52"/>
      <c r="AL98" s="52"/>
      <c r="AM98" s="52"/>
      <c r="AN98" s="52"/>
      <c r="AO98" s="52"/>
      <c r="AP98" s="52"/>
      <c r="AQ98" s="52"/>
    </row>
    <row r="99" spans="1:43" s="51" customFormat="1" x14ac:dyDescent="0.3">
      <c r="A99" s="32" t="s">
        <v>46</v>
      </c>
      <c r="B99" s="4" t="str">
        <f>B23</f>
        <v>US$</v>
      </c>
      <c r="C99" s="3"/>
      <c r="D99" s="3"/>
      <c r="E99" s="3"/>
      <c r="F99" s="3"/>
      <c r="G99" s="3"/>
      <c r="H99" s="3"/>
      <c r="I99" s="3"/>
      <c r="J99" s="3"/>
      <c r="K99" s="3"/>
      <c r="L99" s="3"/>
      <c r="M99" s="3"/>
      <c r="N99" s="3"/>
      <c r="O99" s="3"/>
      <c r="P99" s="3"/>
      <c r="Q99" s="3"/>
      <c r="R99" s="3"/>
      <c r="S99" s="3"/>
      <c r="T99" s="3"/>
      <c r="U99" s="3"/>
      <c r="V99" s="3"/>
      <c r="W99" s="52"/>
      <c r="X99" s="2">
        <f t="shared" si="9"/>
        <v>0</v>
      </c>
      <c r="Y99" s="52"/>
      <c r="Z99" s="52"/>
      <c r="AA99" s="52"/>
      <c r="AB99" s="52"/>
      <c r="AC99" s="52"/>
      <c r="AD99" s="52"/>
      <c r="AE99" s="53"/>
      <c r="AF99" s="53"/>
      <c r="AG99" s="53"/>
      <c r="AH99" s="52"/>
      <c r="AI99" s="52"/>
      <c r="AJ99" s="52"/>
      <c r="AK99" s="52"/>
      <c r="AL99" s="52"/>
      <c r="AM99" s="52"/>
      <c r="AN99" s="52"/>
      <c r="AO99" s="52"/>
      <c r="AP99" s="52"/>
      <c r="AQ99" s="52"/>
    </row>
    <row r="100" spans="1:43" s="51" customFormat="1" x14ac:dyDescent="0.3">
      <c r="A100" s="32" t="s">
        <v>323</v>
      </c>
      <c r="B100" s="4" t="str">
        <f>B23</f>
        <v>US$</v>
      </c>
      <c r="C100" s="3"/>
      <c r="D100" s="3"/>
      <c r="E100" s="3"/>
      <c r="F100" s="3"/>
      <c r="G100" s="3"/>
      <c r="H100" s="3"/>
      <c r="I100" s="3"/>
      <c r="J100" s="3"/>
      <c r="K100" s="3"/>
      <c r="L100" s="3"/>
      <c r="M100" s="3"/>
      <c r="N100" s="3"/>
      <c r="O100" s="3"/>
      <c r="P100" s="3"/>
      <c r="Q100" s="3"/>
      <c r="R100" s="3"/>
      <c r="S100" s="3"/>
      <c r="T100" s="3"/>
      <c r="U100" s="3"/>
      <c r="V100" s="3"/>
      <c r="W100" s="52"/>
      <c r="X100" s="2">
        <f t="shared" si="9"/>
        <v>0</v>
      </c>
      <c r="Y100" s="52"/>
      <c r="Z100" s="52"/>
      <c r="AA100" s="52"/>
      <c r="AB100" s="52"/>
      <c r="AC100" s="52"/>
      <c r="AD100" s="52"/>
      <c r="AE100" s="53"/>
      <c r="AF100" s="53"/>
      <c r="AG100" s="53"/>
      <c r="AH100" s="52"/>
      <c r="AI100" s="52"/>
      <c r="AJ100" s="52"/>
      <c r="AK100" s="52"/>
      <c r="AL100" s="52"/>
      <c r="AM100" s="52"/>
      <c r="AN100" s="52"/>
      <c r="AO100" s="52"/>
      <c r="AP100" s="52"/>
      <c r="AQ100" s="52"/>
    </row>
    <row r="101" spans="1:43" s="51" customFormat="1" x14ac:dyDescent="0.3">
      <c r="A101" s="32" t="s">
        <v>324</v>
      </c>
      <c r="B101" s="4" t="str">
        <f>B23</f>
        <v>US$</v>
      </c>
      <c r="C101" s="3"/>
      <c r="D101" s="3"/>
      <c r="E101" s="3"/>
      <c r="F101" s="3"/>
      <c r="G101" s="3"/>
      <c r="H101" s="3"/>
      <c r="I101" s="3"/>
      <c r="J101" s="3"/>
      <c r="K101" s="3"/>
      <c r="L101" s="3"/>
      <c r="M101" s="3"/>
      <c r="N101" s="3"/>
      <c r="O101" s="3"/>
      <c r="P101" s="3"/>
      <c r="Q101" s="3"/>
      <c r="R101" s="3"/>
      <c r="S101" s="3"/>
      <c r="T101" s="3"/>
      <c r="U101" s="3"/>
      <c r="V101" s="3"/>
      <c r="W101" s="52"/>
      <c r="X101" s="2">
        <f t="shared" si="9"/>
        <v>0</v>
      </c>
      <c r="Y101" s="52"/>
      <c r="Z101" s="52"/>
      <c r="AA101" s="52"/>
      <c r="AB101" s="52"/>
      <c r="AC101" s="52"/>
      <c r="AD101" s="52"/>
      <c r="AE101" s="53"/>
      <c r="AF101" s="53"/>
      <c r="AG101" s="53"/>
      <c r="AH101" s="52"/>
      <c r="AI101" s="52"/>
      <c r="AJ101" s="52"/>
      <c r="AK101" s="52"/>
      <c r="AL101" s="52"/>
      <c r="AM101" s="52"/>
      <c r="AN101" s="52"/>
      <c r="AO101" s="52"/>
      <c r="AP101" s="52"/>
      <c r="AQ101" s="52"/>
    </row>
    <row r="102" spans="1:43" s="51" customFormat="1" x14ac:dyDescent="0.3">
      <c r="A102" s="32" t="s">
        <v>322</v>
      </c>
      <c r="B102" s="4" t="str">
        <f>B23</f>
        <v>US$</v>
      </c>
      <c r="C102" s="3"/>
      <c r="D102" s="3"/>
      <c r="E102" s="3"/>
      <c r="F102" s="3"/>
      <c r="G102" s="3"/>
      <c r="H102" s="3"/>
      <c r="I102" s="3"/>
      <c r="J102" s="3"/>
      <c r="K102" s="3"/>
      <c r="L102" s="3"/>
      <c r="M102" s="3"/>
      <c r="N102" s="3"/>
      <c r="O102" s="3"/>
      <c r="P102" s="3"/>
      <c r="Q102" s="3"/>
      <c r="R102" s="3"/>
      <c r="S102" s="3"/>
      <c r="T102" s="3"/>
      <c r="U102" s="3"/>
      <c r="V102" s="3"/>
      <c r="W102" s="52"/>
      <c r="X102" s="2">
        <f t="shared" si="9"/>
        <v>0</v>
      </c>
      <c r="Y102" s="52"/>
      <c r="Z102" s="52"/>
      <c r="AA102" s="52"/>
      <c r="AB102" s="52"/>
      <c r="AC102" s="52"/>
      <c r="AD102" s="52"/>
      <c r="AE102" s="53"/>
      <c r="AF102" s="53"/>
      <c r="AG102" s="53"/>
      <c r="AH102" s="52"/>
      <c r="AI102" s="52"/>
      <c r="AJ102" s="52"/>
      <c r="AK102" s="52"/>
      <c r="AL102" s="52"/>
      <c r="AM102" s="52"/>
      <c r="AN102" s="52"/>
      <c r="AO102" s="52"/>
      <c r="AP102" s="52"/>
      <c r="AQ102" s="52"/>
    </row>
    <row r="103" spans="1:43" s="51" customFormat="1" x14ac:dyDescent="0.3">
      <c r="A103" s="32" t="s">
        <v>13</v>
      </c>
      <c r="B103" s="4" t="str">
        <f>B23</f>
        <v>US$</v>
      </c>
      <c r="C103" s="3"/>
      <c r="D103" s="3"/>
      <c r="E103" s="3"/>
      <c r="F103" s="3"/>
      <c r="G103" s="3"/>
      <c r="H103" s="3"/>
      <c r="I103" s="3"/>
      <c r="J103" s="3"/>
      <c r="K103" s="3"/>
      <c r="L103" s="3"/>
      <c r="M103" s="3"/>
      <c r="N103" s="3"/>
      <c r="O103" s="3"/>
      <c r="P103" s="3"/>
      <c r="Q103" s="3"/>
      <c r="R103" s="3"/>
      <c r="S103" s="3"/>
      <c r="T103" s="3"/>
      <c r="U103" s="3"/>
      <c r="V103" s="3"/>
      <c r="W103" s="52"/>
      <c r="X103" s="2">
        <f t="shared" si="9"/>
        <v>0</v>
      </c>
      <c r="Y103" s="52"/>
      <c r="Z103" s="52"/>
      <c r="AA103" s="52"/>
      <c r="AB103" s="52"/>
      <c r="AC103" s="52"/>
      <c r="AD103" s="52"/>
      <c r="AE103" s="53"/>
      <c r="AF103" s="53"/>
      <c r="AG103" s="53"/>
      <c r="AH103" s="52"/>
      <c r="AI103" s="52"/>
      <c r="AJ103" s="52"/>
      <c r="AK103" s="52"/>
      <c r="AL103" s="52"/>
      <c r="AM103" s="52"/>
      <c r="AN103" s="52"/>
      <c r="AO103" s="52"/>
      <c r="AP103" s="52"/>
      <c r="AQ103" s="52"/>
    </row>
    <row r="104" spans="1:43" s="51" customFormat="1" x14ac:dyDescent="0.3">
      <c r="A104" s="32" t="s">
        <v>43</v>
      </c>
      <c r="B104" s="4" t="str">
        <f>B23</f>
        <v>US$</v>
      </c>
      <c r="C104" s="3"/>
      <c r="D104" s="3"/>
      <c r="E104" s="3"/>
      <c r="F104" s="3"/>
      <c r="G104" s="3"/>
      <c r="H104" s="3"/>
      <c r="I104" s="3"/>
      <c r="J104" s="3"/>
      <c r="K104" s="3"/>
      <c r="L104" s="3"/>
      <c r="M104" s="3"/>
      <c r="N104" s="3"/>
      <c r="O104" s="3"/>
      <c r="P104" s="3"/>
      <c r="Q104" s="3"/>
      <c r="R104" s="3"/>
      <c r="S104" s="3"/>
      <c r="T104" s="3"/>
      <c r="U104" s="3"/>
      <c r="V104" s="3"/>
      <c r="W104" s="52"/>
      <c r="X104" s="2">
        <f t="shared" si="9"/>
        <v>0</v>
      </c>
      <c r="Y104" s="52"/>
      <c r="Z104" s="52"/>
      <c r="AA104" s="52"/>
      <c r="AB104" s="52"/>
      <c r="AC104" s="52"/>
      <c r="AD104" s="52"/>
      <c r="AE104" s="53"/>
      <c r="AF104" s="53"/>
      <c r="AG104" s="53"/>
      <c r="AH104" s="52"/>
      <c r="AI104" s="52"/>
      <c r="AJ104" s="52"/>
      <c r="AK104" s="52"/>
      <c r="AL104" s="52"/>
      <c r="AM104" s="52"/>
      <c r="AN104" s="52"/>
      <c r="AO104" s="52"/>
      <c r="AP104" s="52"/>
      <c r="AQ104" s="52"/>
    </row>
    <row r="105" spans="1:43" s="51" customFormat="1" x14ac:dyDescent="0.3">
      <c r="A105" s="32" t="s">
        <v>36</v>
      </c>
      <c r="B105" s="4" t="str">
        <f>B23</f>
        <v>US$</v>
      </c>
      <c r="C105" s="3"/>
      <c r="D105" s="3"/>
      <c r="E105" s="3"/>
      <c r="F105" s="3"/>
      <c r="G105" s="3"/>
      <c r="H105" s="3"/>
      <c r="I105" s="3"/>
      <c r="J105" s="3"/>
      <c r="K105" s="3"/>
      <c r="L105" s="3"/>
      <c r="M105" s="3"/>
      <c r="N105" s="3"/>
      <c r="O105" s="3"/>
      <c r="P105" s="3"/>
      <c r="Q105" s="3"/>
      <c r="R105" s="3"/>
      <c r="S105" s="3"/>
      <c r="T105" s="3"/>
      <c r="U105" s="3"/>
      <c r="V105" s="3"/>
      <c r="W105" s="52"/>
      <c r="X105" s="2">
        <f t="shared" si="9"/>
        <v>0</v>
      </c>
      <c r="Y105" s="52"/>
      <c r="Z105" s="52"/>
      <c r="AA105" s="52"/>
      <c r="AB105" s="52"/>
      <c r="AC105" s="52"/>
      <c r="AD105" s="52"/>
      <c r="AE105" s="53"/>
      <c r="AF105" s="53"/>
      <c r="AG105" s="53"/>
      <c r="AH105" s="52"/>
      <c r="AI105" s="52"/>
      <c r="AJ105" s="52"/>
      <c r="AK105" s="52"/>
      <c r="AL105" s="52"/>
      <c r="AM105" s="52"/>
      <c r="AN105" s="52"/>
      <c r="AO105" s="52"/>
      <c r="AP105" s="52"/>
      <c r="AQ105" s="52"/>
    </row>
    <row r="106" spans="1:43" s="51" customFormat="1" x14ac:dyDescent="0.3">
      <c r="A106" s="32" t="s">
        <v>11</v>
      </c>
      <c r="B106" s="4" t="str">
        <f>B23</f>
        <v>US$</v>
      </c>
      <c r="C106" s="3"/>
      <c r="D106" s="3"/>
      <c r="E106" s="3"/>
      <c r="F106" s="3"/>
      <c r="G106" s="3"/>
      <c r="H106" s="3"/>
      <c r="I106" s="3"/>
      <c r="J106" s="3"/>
      <c r="K106" s="3"/>
      <c r="L106" s="3"/>
      <c r="M106" s="3"/>
      <c r="N106" s="3"/>
      <c r="O106" s="3"/>
      <c r="P106" s="3"/>
      <c r="Q106" s="3"/>
      <c r="R106" s="3"/>
      <c r="S106" s="3"/>
      <c r="T106" s="3"/>
      <c r="U106" s="3"/>
      <c r="V106" s="3"/>
      <c r="W106" s="52"/>
      <c r="X106" s="2">
        <f t="shared" si="9"/>
        <v>0</v>
      </c>
      <c r="Y106" s="52"/>
      <c r="Z106" s="52"/>
      <c r="AA106" s="52"/>
      <c r="AB106" s="52"/>
      <c r="AC106" s="52"/>
      <c r="AD106" s="52"/>
      <c r="AE106" s="53"/>
      <c r="AF106" s="53"/>
      <c r="AG106" s="53"/>
      <c r="AH106" s="52"/>
      <c r="AI106" s="52"/>
      <c r="AJ106" s="52"/>
      <c r="AK106" s="52"/>
      <c r="AL106" s="52"/>
      <c r="AM106" s="52"/>
      <c r="AN106" s="52"/>
      <c r="AO106" s="52"/>
      <c r="AP106" s="52"/>
      <c r="AQ106" s="52"/>
    </row>
    <row r="107" spans="1:43" s="51" customFormat="1" x14ac:dyDescent="0.3">
      <c r="A107" s="32" t="s">
        <v>239</v>
      </c>
      <c r="B107" s="4" t="str">
        <f>B23</f>
        <v>US$</v>
      </c>
      <c r="C107" s="3"/>
      <c r="D107" s="3"/>
      <c r="E107" s="3"/>
      <c r="F107" s="3"/>
      <c r="G107" s="3"/>
      <c r="H107" s="3"/>
      <c r="I107" s="3"/>
      <c r="J107" s="3"/>
      <c r="K107" s="3"/>
      <c r="L107" s="3"/>
      <c r="M107" s="3"/>
      <c r="N107" s="3"/>
      <c r="O107" s="3"/>
      <c r="P107" s="3"/>
      <c r="Q107" s="3"/>
      <c r="R107" s="3"/>
      <c r="S107" s="3"/>
      <c r="T107" s="3"/>
      <c r="U107" s="3"/>
      <c r="V107" s="3"/>
      <c r="W107" s="52"/>
      <c r="X107" s="2">
        <f t="shared" si="9"/>
        <v>0</v>
      </c>
      <c r="Y107" s="52"/>
      <c r="Z107" s="52"/>
      <c r="AA107" s="52"/>
      <c r="AB107" s="52"/>
      <c r="AC107" s="52"/>
      <c r="AD107" s="52"/>
      <c r="AE107" s="53"/>
      <c r="AF107" s="53"/>
      <c r="AG107" s="53"/>
      <c r="AH107" s="52"/>
      <c r="AI107" s="52"/>
      <c r="AJ107" s="52"/>
      <c r="AK107" s="52"/>
      <c r="AL107" s="52"/>
      <c r="AM107" s="52"/>
      <c r="AN107" s="52"/>
      <c r="AO107" s="52"/>
      <c r="AP107" s="52"/>
      <c r="AQ107" s="52"/>
    </row>
    <row r="108" spans="1:43" s="51" customFormat="1" x14ac:dyDescent="0.3">
      <c r="A108" s="32" t="s">
        <v>238</v>
      </c>
      <c r="B108" s="4" t="str">
        <f>B23</f>
        <v>US$</v>
      </c>
      <c r="C108" s="3"/>
      <c r="D108" s="3"/>
      <c r="E108" s="3"/>
      <c r="F108" s="3"/>
      <c r="G108" s="3"/>
      <c r="H108" s="3"/>
      <c r="I108" s="3"/>
      <c r="J108" s="3"/>
      <c r="K108" s="3"/>
      <c r="L108" s="3"/>
      <c r="M108" s="3"/>
      <c r="N108" s="3"/>
      <c r="O108" s="3"/>
      <c r="P108" s="3"/>
      <c r="Q108" s="3"/>
      <c r="R108" s="3"/>
      <c r="S108" s="3"/>
      <c r="T108" s="3"/>
      <c r="U108" s="3"/>
      <c r="V108" s="3"/>
      <c r="W108" s="52"/>
      <c r="X108" s="2">
        <f t="shared" si="9"/>
        <v>0</v>
      </c>
      <c r="Y108" s="52"/>
      <c r="Z108" s="52"/>
      <c r="AA108" s="52"/>
      <c r="AB108" s="52"/>
      <c r="AC108" s="52"/>
      <c r="AD108" s="52"/>
      <c r="AE108" s="53"/>
      <c r="AF108" s="53"/>
      <c r="AG108" s="53"/>
      <c r="AH108" s="52"/>
      <c r="AI108" s="52"/>
      <c r="AJ108" s="52"/>
      <c r="AK108" s="52"/>
      <c r="AL108" s="52"/>
      <c r="AM108" s="52"/>
      <c r="AN108" s="52"/>
      <c r="AO108" s="52"/>
      <c r="AP108" s="52"/>
      <c r="AQ108" s="52"/>
    </row>
    <row r="109" spans="1:43" s="51" customFormat="1" x14ac:dyDescent="0.3">
      <c r="A109" s="32" t="s">
        <v>41</v>
      </c>
      <c r="B109" s="4" t="str">
        <f>B23</f>
        <v>US$</v>
      </c>
      <c r="C109" s="3"/>
      <c r="D109" s="3"/>
      <c r="E109" s="3"/>
      <c r="F109" s="3"/>
      <c r="G109" s="3"/>
      <c r="H109" s="3"/>
      <c r="I109" s="3"/>
      <c r="J109" s="3"/>
      <c r="K109" s="3"/>
      <c r="L109" s="3"/>
      <c r="M109" s="3"/>
      <c r="N109" s="3"/>
      <c r="O109" s="3"/>
      <c r="P109" s="3"/>
      <c r="Q109" s="3"/>
      <c r="R109" s="3"/>
      <c r="S109" s="3"/>
      <c r="T109" s="3"/>
      <c r="U109" s="3"/>
      <c r="V109" s="3"/>
      <c r="W109" s="52"/>
      <c r="X109" s="2">
        <f t="shared" si="9"/>
        <v>0</v>
      </c>
      <c r="Y109" s="52"/>
      <c r="Z109" s="52"/>
      <c r="AA109" s="52"/>
      <c r="AB109" s="52"/>
      <c r="AC109" s="52"/>
      <c r="AD109" s="52"/>
      <c r="AE109" s="53"/>
      <c r="AF109" s="53"/>
      <c r="AG109" s="53"/>
      <c r="AH109" s="52"/>
      <c r="AI109" s="52"/>
      <c r="AJ109" s="52"/>
      <c r="AK109" s="52"/>
      <c r="AL109" s="52"/>
      <c r="AM109" s="52"/>
      <c r="AN109" s="52"/>
      <c r="AO109" s="52"/>
      <c r="AP109" s="52"/>
      <c r="AQ109" s="52"/>
    </row>
    <row r="110" spans="1:43" s="51" customFormat="1" x14ac:dyDescent="0.3">
      <c r="A110" s="32" t="s">
        <v>10</v>
      </c>
      <c r="B110" s="4" t="str">
        <f>B23</f>
        <v>US$</v>
      </c>
      <c r="C110" s="3"/>
      <c r="D110" s="3"/>
      <c r="E110" s="3"/>
      <c r="F110" s="3"/>
      <c r="G110" s="3"/>
      <c r="H110" s="3"/>
      <c r="I110" s="3"/>
      <c r="J110" s="3"/>
      <c r="K110" s="3"/>
      <c r="L110" s="3"/>
      <c r="M110" s="3"/>
      <c r="N110" s="3"/>
      <c r="O110" s="3"/>
      <c r="P110" s="3"/>
      <c r="Q110" s="3"/>
      <c r="R110" s="3"/>
      <c r="S110" s="3"/>
      <c r="T110" s="3"/>
      <c r="U110" s="3"/>
      <c r="V110" s="3"/>
      <c r="W110" s="52"/>
      <c r="X110" s="2">
        <f t="shared" si="9"/>
        <v>0</v>
      </c>
      <c r="Y110" s="52"/>
      <c r="Z110" s="52"/>
      <c r="AA110" s="52"/>
      <c r="AB110" s="52"/>
      <c r="AC110" s="52"/>
      <c r="AD110" s="52"/>
      <c r="AE110" s="53"/>
      <c r="AF110" s="53"/>
      <c r="AG110" s="53"/>
      <c r="AH110" s="52"/>
      <c r="AI110" s="52"/>
      <c r="AJ110" s="52"/>
      <c r="AK110" s="52"/>
      <c r="AL110" s="52"/>
      <c r="AM110" s="52"/>
      <c r="AN110" s="52"/>
      <c r="AO110" s="52"/>
      <c r="AP110" s="52"/>
      <c r="AQ110" s="52"/>
    </row>
    <row r="111" spans="1:43" s="51" customFormat="1" x14ac:dyDescent="0.3">
      <c r="A111" s="32" t="s">
        <v>38</v>
      </c>
      <c r="B111" s="4" t="str">
        <f>B23</f>
        <v>US$</v>
      </c>
      <c r="C111" s="3"/>
      <c r="D111" s="3"/>
      <c r="E111" s="3"/>
      <c r="F111" s="3"/>
      <c r="G111" s="3"/>
      <c r="H111" s="3"/>
      <c r="I111" s="3"/>
      <c r="J111" s="3"/>
      <c r="K111" s="3"/>
      <c r="L111" s="3"/>
      <c r="M111" s="3"/>
      <c r="N111" s="3"/>
      <c r="O111" s="3"/>
      <c r="P111" s="3"/>
      <c r="Q111" s="3"/>
      <c r="R111" s="3"/>
      <c r="S111" s="3"/>
      <c r="T111" s="3"/>
      <c r="U111" s="3"/>
      <c r="V111" s="3"/>
      <c r="W111" s="52"/>
      <c r="X111" s="2">
        <f t="shared" si="9"/>
        <v>0</v>
      </c>
      <c r="Y111" s="52"/>
      <c r="Z111" s="52"/>
      <c r="AA111" s="52"/>
      <c r="AB111" s="52"/>
      <c r="AC111" s="52"/>
      <c r="AD111" s="52"/>
      <c r="AE111" s="53"/>
      <c r="AF111" s="53"/>
      <c r="AG111" s="53"/>
      <c r="AH111" s="52"/>
      <c r="AI111" s="52"/>
      <c r="AJ111" s="52"/>
      <c r="AK111" s="52"/>
      <c r="AL111" s="52"/>
      <c r="AM111" s="52"/>
      <c r="AN111" s="52"/>
      <c r="AO111" s="52"/>
      <c r="AP111" s="52"/>
      <c r="AQ111" s="52"/>
    </row>
    <row r="112" spans="1:43" s="51" customFormat="1" x14ac:dyDescent="0.3">
      <c r="A112" s="32" t="s">
        <v>12</v>
      </c>
      <c r="B112" s="4" t="str">
        <f>B23</f>
        <v>US$</v>
      </c>
      <c r="C112" s="3"/>
      <c r="D112" s="3"/>
      <c r="E112" s="3"/>
      <c r="F112" s="3"/>
      <c r="G112" s="3"/>
      <c r="H112" s="3"/>
      <c r="I112" s="3"/>
      <c r="J112" s="3"/>
      <c r="K112" s="3"/>
      <c r="L112" s="3"/>
      <c r="M112" s="3"/>
      <c r="N112" s="3"/>
      <c r="O112" s="3"/>
      <c r="P112" s="3"/>
      <c r="Q112" s="3"/>
      <c r="R112" s="3"/>
      <c r="S112" s="3"/>
      <c r="T112" s="3"/>
      <c r="U112" s="3"/>
      <c r="V112" s="3"/>
      <c r="W112" s="52"/>
      <c r="X112" s="2">
        <f t="shared" si="9"/>
        <v>0</v>
      </c>
      <c r="Y112" s="52"/>
      <c r="Z112" s="52"/>
      <c r="AA112" s="52"/>
      <c r="AB112" s="52"/>
      <c r="AC112" s="52"/>
      <c r="AD112" s="52"/>
      <c r="AE112" s="53"/>
      <c r="AF112" s="53"/>
      <c r="AG112" s="53"/>
      <c r="AH112" s="52"/>
      <c r="AI112" s="52"/>
      <c r="AJ112" s="52"/>
      <c r="AK112" s="52"/>
      <c r="AL112" s="52"/>
      <c r="AM112" s="52"/>
      <c r="AN112" s="52"/>
      <c r="AO112" s="52"/>
      <c r="AP112" s="52"/>
      <c r="AQ112" s="52"/>
    </row>
    <row r="113" spans="1:64" s="51" customFormat="1" x14ac:dyDescent="0.3">
      <c r="A113" s="32"/>
      <c r="B113" s="4"/>
      <c r="C113" s="3"/>
      <c r="D113" s="3"/>
      <c r="E113" s="3"/>
      <c r="F113" s="3"/>
      <c r="G113" s="3"/>
      <c r="H113" s="3"/>
      <c r="I113" s="3"/>
      <c r="J113" s="3"/>
      <c r="K113" s="3"/>
      <c r="L113" s="3"/>
      <c r="M113" s="3"/>
      <c r="N113" s="3"/>
      <c r="O113" s="3"/>
      <c r="P113" s="3"/>
      <c r="Q113" s="3"/>
      <c r="R113" s="3"/>
      <c r="S113" s="3"/>
      <c r="T113" s="3"/>
      <c r="U113" s="3"/>
      <c r="V113" s="3"/>
      <c r="W113" s="52"/>
      <c r="X113" s="2">
        <f t="shared" si="9"/>
        <v>0</v>
      </c>
      <c r="Y113" s="52"/>
      <c r="Z113" s="52"/>
      <c r="AA113" s="52"/>
      <c r="AB113" s="52"/>
      <c r="AC113" s="52"/>
      <c r="AD113" s="52"/>
      <c r="AE113" s="53"/>
      <c r="AF113" s="53"/>
      <c r="AG113" s="53"/>
      <c r="AH113" s="52"/>
      <c r="AI113" s="52"/>
      <c r="AJ113" s="52"/>
      <c r="AK113" s="52"/>
      <c r="AL113" s="52"/>
      <c r="AM113" s="52"/>
      <c r="AN113" s="52"/>
      <c r="AO113" s="52"/>
      <c r="AP113" s="52"/>
      <c r="AQ113" s="52"/>
    </row>
    <row r="114" spans="1:64" s="51" customFormat="1" x14ac:dyDescent="0.3">
      <c r="A114" s="32"/>
      <c r="B114" s="4"/>
      <c r="C114" s="3"/>
      <c r="D114" s="3"/>
      <c r="E114" s="3"/>
      <c r="F114" s="3"/>
      <c r="G114" s="3"/>
      <c r="H114" s="3"/>
      <c r="I114" s="3"/>
      <c r="J114" s="3"/>
      <c r="K114" s="3"/>
      <c r="L114" s="3"/>
      <c r="M114" s="3"/>
      <c r="N114" s="3"/>
      <c r="O114" s="3"/>
      <c r="P114" s="3"/>
      <c r="Q114" s="3"/>
      <c r="R114" s="3"/>
      <c r="S114" s="3"/>
      <c r="T114" s="3"/>
      <c r="U114" s="3"/>
      <c r="V114" s="3"/>
      <c r="W114" s="52"/>
      <c r="X114" s="2">
        <f t="shared" si="9"/>
        <v>0</v>
      </c>
      <c r="Y114" s="52"/>
      <c r="Z114" s="52"/>
      <c r="AA114" s="52"/>
      <c r="AB114" s="52"/>
      <c r="AC114" s="52"/>
      <c r="AD114" s="52"/>
      <c r="AE114" s="53"/>
      <c r="AF114" s="53"/>
      <c r="AG114" s="53"/>
      <c r="AH114" s="52"/>
      <c r="AI114" s="52"/>
      <c r="AJ114" s="52"/>
      <c r="AK114" s="52"/>
      <c r="AL114" s="52"/>
      <c r="AM114" s="52"/>
      <c r="AN114" s="52"/>
      <c r="AO114" s="52"/>
      <c r="AP114" s="52"/>
      <c r="AQ114" s="52"/>
    </row>
    <row r="115" spans="1:64" x14ac:dyDescent="0.3">
      <c r="A115" s="523" t="str">
        <f>Inputs!A116</f>
        <v>1.2.6 General or "shared" assets used in the electricity business</v>
      </c>
      <c r="B115" s="524"/>
      <c r="C115" s="524"/>
      <c r="D115" s="524"/>
      <c r="E115" s="524"/>
      <c r="F115" s="524"/>
      <c r="G115" s="524"/>
      <c r="H115" s="524"/>
      <c r="I115" s="524"/>
      <c r="J115" s="524"/>
      <c r="K115" s="524"/>
      <c r="L115" s="524"/>
      <c r="M115" s="524"/>
      <c r="N115" s="524"/>
      <c r="O115" s="524"/>
      <c r="P115" s="524"/>
      <c r="Q115" s="524"/>
      <c r="R115" s="524"/>
      <c r="S115" s="524"/>
      <c r="T115" s="524"/>
      <c r="U115" s="524"/>
      <c r="V115" s="524"/>
      <c r="W115" s="524"/>
      <c r="X115" s="524"/>
      <c r="Y115" s="34"/>
      <c r="Z115" s="34"/>
      <c r="AA115" s="34"/>
      <c r="AB115" s="34"/>
      <c r="AC115" s="34"/>
      <c r="AD115" s="34"/>
      <c r="AE115" s="34"/>
      <c r="AF115" s="34"/>
      <c r="AG115" s="34"/>
      <c r="AH115" s="34"/>
      <c r="AI115" s="34"/>
      <c r="AJ115" s="34"/>
      <c r="AK115" s="34"/>
      <c r="AL115" s="34"/>
      <c r="AM115" s="34"/>
      <c r="AN115" s="34"/>
      <c r="AO115" s="34"/>
      <c r="AP115" s="34"/>
      <c r="AQ115" s="34"/>
      <c r="AR115" s="34"/>
      <c r="AS115" s="34"/>
      <c r="AT115" s="34"/>
      <c r="AU115" s="34"/>
      <c r="AV115" s="34"/>
      <c r="AW115" s="34"/>
      <c r="AX115" s="34"/>
      <c r="AY115" s="34"/>
      <c r="AZ115" s="34"/>
      <c r="BA115" s="34"/>
      <c r="BB115" s="34"/>
      <c r="BC115" s="34"/>
      <c r="BD115" s="34"/>
      <c r="BE115" s="34"/>
      <c r="BF115" s="34"/>
      <c r="BG115" s="34"/>
      <c r="BH115" s="34"/>
      <c r="BI115" s="34"/>
      <c r="BJ115" s="34"/>
      <c r="BK115" s="34"/>
      <c r="BL115" s="34"/>
    </row>
    <row r="116" spans="1:64" s="104" customFormat="1" x14ac:dyDescent="0.3">
      <c r="A116" s="32" t="str">
        <f>Inputs!A117</f>
        <v>Vehicles, motor cycles</v>
      </c>
      <c r="B116" s="4" t="str">
        <f>Inputs!B117</f>
        <v>US$</v>
      </c>
      <c r="C116" s="3"/>
      <c r="D116" s="3"/>
      <c r="E116" s="3"/>
      <c r="F116" s="3"/>
      <c r="G116" s="3"/>
      <c r="H116" s="3"/>
      <c r="I116" s="3"/>
      <c r="J116" s="3"/>
      <c r="K116" s="3"/>
      <c r="L116" s="3"/>
      <c r="M116" s="3"/>
      <c r="N116" s="3"/>
      <c r="O116" s="3"/>
      <c r="P116" s="3"/>
      <c r="Q116" s="3"/>
      <c r="R116" s="3"/>
      <c r="S116" s="3"/>
      <c r="T116" s="3"/>
      <c r="U116" s="3"/>
      <c r="V116" s="3"/>
      <c r="W116" s="21"/>
      <c r="X116" s="2">
        <f t="shared" ref="X116:X121" si="10">SUM(C116:W116)</f>
        <v>0</v>
      </c>
      <c r="Y116" s="21"/>
      <c r="Z116" s="21"/>
      <c r="AA116" s="21"/>
      <c r="AB116" s="21"/>
      <c r="AC116" s="21"/>
      <c r="AD116" s="21"/>
      <c r="AE116" s="21"/>
      <c r="AF116" s="21"/>
      <c r="AG116" s="21"/>
      <c r="AH116" s="21"/>
      <c r="AI116" s="21"/>
      <c r="AJ116" s="21"/>
      <c r="AK116" s="21"/>
      <c r="AL116" s="21"/>
      <c r="AM116" s="21"/>
      <c r="AN116" s="21"/>
      <c r="AO116" s="21"/>
      <c r="AP116" s="21"/>
      <c r="AQ116" s="21"/>
      <c r="AR116" s="21"/>
      <c r="AS116" s="21"/>
      <c r="AT116" s="21"/>
      <c r="AU116" s="21"/>
      <c r="AV116" s="21"/>
      <c r="AW116" s="21"/>
      <c r="AX116" s="21"/>
      <c r="AY116" s="21"/>
      <c r="AZ116" s="21"/>
      <c r="BA116" s="21"/>
      <c r="BB116" s="21"/>
      <c r="BC116" s="21"/>
      <c r="BD116" s="21"/>
      <c r="BE116" s="21"/>
      <c r="BF116" s="21"/>
      <c r="BG116" s="21"/>
      <c r="BH116" s="21"/>
      <c r="BI116" s="21"/>
      <c r="BJ116" s="21"/>
      <c r="BK116" s="21"/>
      <c r="BL116" s="21"/>
    </row>
    <row r="117" spans="1:64" s="104" customFormat="1" x14ac:dyDescent="0.3">
      <c r="A117" s="32" t="str">
        <f>Inputs!A118</f>
        <v>Office equipment and furniture</v>
      </c>
      <c r="B117" s="4" t="str">
        <f>Inputs!B118</f>
        <v>US$</v>
      </c>
      <c r="C117" s="3"/>
      <c r="D117" s="3"/>
      <c r="E117" s="3"/>
      <c r="F117" s="3"/>
      <c r="G117" s="3"/>
      <c r="H117" s="3"/>
      <c r="I117" s="3"/>
      <c r="J117" s="3"/>
      <c r="K117" s="3"/>
      <c r="L117" s="3"/>
      <c r="M117" s="3"/>
      <c r="N117" s="3"/>
      <c r="O117" s="3"/>
      <c r="P117" s="3"/>
      <c r="Q117" s="3"/>
      <c r="R117" s="3"/>
      <c r="S117" s="3"/>
      <c r="T117" s="3"/>
      <c r="U117" s="3"/>
      <c r="V117" s="3"/>
      <c r="W117" s="21"/>
      <c r="X117" s="2">
        <f t="shared" si="10"/>
        <v>0</v>
      </c>
      <c r="Y117" s="21"/>
      <c r="Z117" s="21"/>
      <c r="AA117" s="21"/>
      <c r="AB117" s="21"/>
      <c r="AC117" s="21"/>
      <c r="AD117" s="21"/>
      <c r="AE117" s="21"/>
      <c r="AF117" s="21"/>
      <c r="AG117" s="21"/>
      <c r="AH117" s="21"/>
      <c r="AI117" s="21"/>
      <c r="AJ117" s="21"/>
      <c r="AK117" s="21"/>
      <c r="AL117" s="21"/>
      <c r="AM117" s="21"/>
      <c r="AN117" s="21"/>
      <c r="AO117" s="21"/>
      <c r="AP117" s="21"/>
      <c r="AQ117" s="21"/>
      <c r="AR117" s="21"/>
      <c r="AS117" s="21"/>
      <c r="AT117" s="21"/>
      <c r="AU117" s="21"/>
      <c r="AV117" s="21"/>
      <c r="AW117" s="21"/>
      <c r="AX117" s="21"/>
      <c r="AY117" s="21"/>
      <c r="AZ117" s="21"/>
      <c r="BA117" s="21"/>
      <c r="BB117" s="21"/>
      <c r="BC117" s="21"/>
      <c r="BD117" s="21"/>
      <c r="BE117" s="21"/>
      <c r="BF117" s="21"/>
      <c r="BG117" s="21"/>
      <c r="BH117" s="21"/>
      <c r="BI117" s="21"/>
      <c r="BJ117" s="21"/>
      <c r="BK117" s="21"/>
      <c r="BL117" s="21"/>
    </row>
    <row r="118" spans="1:64" s="104" customFormat="1" x14ac:dyDescent="0.3">
      <c r="A118" s="32" t="str">
        <f>Inputs!A119</f>
        <v>Finance and admin IT (computers and software)</v>
      </c>
      <c r="B118" s="4" t="str">
        <f>Inputs!B119</f>
        <v>US$</v>
      </c>
      <c r="C118" s="3"/>
      <c r="D118" s="3"/>
      <c r="E118" s="3"/>
      <c r="F118" s="3"/>
      <c r="G118" s="3"/>
      <c r="H118" s="3"/>
      <c r="I118" s="3"/>
      <c r="J118" s="3"/>
      <c r="K118" s="3"/>
      <c r="L118" s="3"/>
      <c r="M118" s="3"/>
      <c r="N118" s="3"/>
      <c r="O118" s="3"/>
      <c r="P118" s="3"/>
      <c r="Q118" s="3"/>
      <c r="R118" s="3"/>
      <c r="S118" s="3"/>
      <c r="T118" s="3"/>
      <c r="U118" s="3"/>
      <c r="V118" s="3"/>
      <c r="W118" s="21"/>
      <c r="X118" s="2">
        <f t="shared" si="10"/>
        <v>0</v>
      </c>
      <c r="Y118" s="21"/>
      <c r="Z118" s="21"/>
      <c r="AA118" s="21"/>
      <c r="AB118" s="21"/>
      <c r="AC118" s="21"/>
      <c r="AD118" s="21"/>
      <c r="AE118" s="21"/>
      <c r="AF118" s="21"/>
      <c r="AG118" s="21"/>
      <c r="AH118" s="21"/>
      <c r="AI118" s="21"/>
      <c r="AJ118" s="21"/>
      <c r="AK118" s="21"/>
      <c r="AL118" s="21"/>
      <c r="AM118" s="21"/>
      <c r="AN118" s="21"/>
      <c r="AO118" s="21"/>
      <c r="AP118" s="21"/>
      <c r="AQ118" s="21"/>
      <c r="AR118" s="21"/>
      <c r="AS118" s="21"/>
      <c r="AT118" s="21"/>
      <c r="AU118" s="21"/>
      <c r="AV118" s="21"/>
      <c r="AW118" s="21"/>
      <c r="AX118" s="21"/>
      <c r="AY118" s="21"/>
      <c r="AZ118" s="21"/>
      <c r="BA118" s="21"/>
      <c r="BB118" s="21"/>
      <c r="BC118" s="21"/>
      <c r="BD118" s="21"/>
      <c r="BE118" s="21"/>
      <c r="BF118" s="21"/>
      <c r="BG118" s="21"/>
      <c r="BH118" s="21"/>
      <c r="BI118" s="21"/>
      <c r="BJ118" s="21"/>
      <c r="BK118" s="21"/>
      <c r="BL118" s="21"/>
    </row>
    <row r="119" spans="1:64" s="104" customFormat="1" x14ac:dyDescent="0.3">
      <c r="A119" s="32" t="str">
        <f>Inputs!A120</f>
        <v>Building and fixtures</v>
      </c>
      <c r="B119" s="4" t="str">
        <f>Inputs!B120</f>
        <v>US$</v>
      </c>
      <c r="C119" s="3"/>
      <c r="D119" s="3"/>
      <c r="E119" s="3"/>
      <c r="F119" s="3"/>
      <c r="G119" s="3"/>
      <c r="H119" s="3"/>
      <c r="I119" s="3"/>
      <c r="J119" s="3"/>
      <c r="K119" s="3"/>
      <c r="L119" s="3"/>
      <c r="M119" s="3"/>
      <c r="N119" s="3"/>
      <c r="O119" s="3"/>
      <c r="P119" s="3"/>
      <c r="Q119" s="3"/>
      <c r="R119" s="3"/>
      <c r="S119" s="3"/>
      <c r="T119" s="3"/>
      <c r="U119" s="3"/>
      <c r="V119" s="3"/>
      <c r="W119" s="21"/>
      <c r="X119" s="2">
        <f t="shared" si="10"/>
        <v>0</v>
      </c>
      <c r="Y119" s="21"/>
      <c r="Z119" s="21"/>
      <c r="AA119" s="21"/>
      <c r="AB119" s="21"/>
      <c r="AC119" s="21"/>
      <c r="AD119" s="21"/>
      <c r="AE119" s="21"/>
      <c r="AF119" s="21"/>
      <c r="AG119" s="21"/>
      <c r="AH119" s="21"/>
      <c r="AI119" s="21"/>
      <c r="AJ119" s="21"/>
      <c r="AK119" s="21"/>
      <c r="AL119" s="21"/>
      <c r="AM119" s="21"/>
      <c r="AN119" s="21"/>
      <c r="AO119" s="21"/>
      <c r="AP119" s="21"/>
      <c r="AQ119" s="21"/>
      <c r="AR119" s="21"/>
      <c r="AS119" s="21"/>
      <c r="AT119" s="21"/>
      <c r="AU119" s="21"/>
      <c r="AV119" s="21"/>
      <c r="AW119" s="21"/>
      <c r="AX119" s="21"/>
      <c r="AY119" s="21"/>
      <c r="AZ119" s="21"/>
      <c r="BA119" s="21"/>
      <c r="BB119" s="21"/>
      <c r="BC119" s="21"/>
      <c r="BD119" s="21"/>
      <c r="BE119" s="21"/>
      <c r="BF119" s="21"/>
      <c r="BG119" s="21"/>
      <c r="BH119" s="21"/>
      <c r="BI119" s="21"/>
      <c r="BJ119" s="21"/>
      <c r="BK119" s="21"/>
      <c r="BL119" s="21"/>
    </row>
    <row r="120" spans="1:64" s="104" customFormat="1" x14ac:dyDescent="0.3">
      <c r="A120" s="32">
        <f>Inputs!A121</f>
        <v>0</v>
      </c>
      <c r="B120" s="4" t="str">
        <f>Inputs!B121</f>
        <v>US$</v>
      </c>
      <c r="C120" s="3"/>
      <c r="D120" s="3"/>
      <c r="E120" s="3"/>
      <c r="F120" s="3"/>
      <c r="G120" s="3"/>
      <c r="H120" s="3"/>
      <c r="I120" s="3"/>
      <c r="J120" s="3"/>
      <c r="K120" s="3"/>
      <c r="L120" s="3"/>
      <c r="M120" s="3"/>
      <c r="N120" s="3"/>
      <c r="O120" s="3"/>
      <c r="P120" s="3"/>
      <c r="Q120" s="3"/>
      <c r="R120" s="3"/>
      <c r="S120" s="3"/>
      <c r="T120" s="3"/>
      <c r="U120" s="3"/>
      <c r="V120" s="3"/>
      <c r="W120" s="21"/>
      <c r="X120" s="2">
        <f t="shared" si="10"/>
        <v>0</v>
      </c>
      <c r="Y120" s="21"/>
      <c r="Z120" s="21"/>
      <c r="AA120" s="21"/>
      <c r="AB120" s="21"/>
      <c r="AC120" s="21"/>
      <c r="AD120" s="21"/>
      <c r="AE120" s="21"/>
      <c r="AF120" s="21"/>
      <c r="AG120" s="21"/>
      <c r="AH120" s="21"/>
      <c r="AI120" s="21"/>
      <c r="AJ120" s="21"/>
      <c r="AK120" s="21"/>
      <c r="AL120" s="21"/>
      <c r="AM120" s="21"/>
      <c r="AN120" s="21"/>
      <c r="AO120" s="21"/>
      <c r="AP120" s="21"/>
      <c r="AQ120" s="21"/>
      <c r="AR120" s="21"/>
      <c r="AS120" s="21"/>
      <c r="AT120" s="21"/>
      <c r="AU120" s="21"/>
      <c r="AV120" s="21"/>
      <c r="AW120" s="21"/>
      <c r="AX120" s="21"/>
      <c r="AY120" s="21"/>
      <c r="AZ120" s="21"/>
      <c r="BA120" s="21"/>
      <c r="BB120" s="21"/>
      <c r="BC120" s="21"/>
      <c r="BD120" s="21"/>
      <c r="BE120" s="21"/>
      <c r="BF120" s="21"/>
      <c r="BG120" s="21"/>
      <c r="BH120" s="21"/>
      <c r="BI120" s="21"/>
      <c r="BJ120" s="21"/>
      <c r="BK120" s="21"/>
      <c r="BL120" s="21"/>
    </row>
    <row r="121" spans="1:64" s="104" customFormat="1" x14ac:dyDescent="0.3">
      <c r="A121" s="32">
        <f>Inputs!A122</f>
        <v>0</v>
      </c>
      <c r="B121" s="4" t="str">
        <f>Inputs!B122</f>
        <v>US$</v>
      </c>
      <c r="C121" s="3"/>
      <c r="D121" s="3"/>
      <c r="E121" s="3"/>
      <c r="F121" s="3"/>
      <c r="G121" s="3"/>
      <c r="H121" s="3"/>
      <c r="I121" s="3"/>
      <c r="J121" s="3"/>
      <c r="K121" s="3"/>
      <c r="L121" s="3"/>
      <c r="M121" s="3"/>
      <c r="N121" s="3"/>
      <c r="O121" s="3"/>
      <c r="P121" s="3"/>
      <c r="Q121" s="3"/>
      <c r="R121" s="3"/>
      <c r="S121" s="3"/>
      <c r="T121" s="3"/>
      <c r="U121" s="3"/>
      <c r="V121" s="3"/>
      <c r="W121" s="21"/>
      <c r="X121" s="2">
        <f t="shared" si="10"/>
        <v>0</v>
      </c>
      <c r="Y121" s="21"/>
      <c r="Z121" s="21"/>
      <c r="AA121" s="21"/>
      <c r="AB121" s="21"/>
      <c r="AC121" s="21"/>
      <c r="AD121" s="21"/>
      <c r="AE121" s="21"/>
      <c r="AF121" s="21"/>
      <c r="AG121" s="21"/>
      <c r="AH121" s="21"/>
      <c r="AI121" s="21"/>
      <c r="AJ121" s="21"/>
      <c r="AK121" s="21"/>
      <c r="AL121" s="21"/>
      <c r="AM121" s="21"/>
      <c r="AN121" s="21"/>
      <c r="AO121" s="21"/>
      <c r="AP121" s="21"/>
      <c r="AQ121" s="21"/>
      <c r="AR121" s="21"/>
      <c r="AS121" s="21"/>
      <c r="AT121" s="21"/>
      <c r="AU121" s="21"/>
      <c r="AV121" s="21"/>
      <c r="AW121" s="21"/>
      <c r="AX121" s="21"/>
      <c r="AY121" s="21"/>
      <c r="AZ121" s="21"/>
      <c r="BA121" s="21"/>
      <c r="BB121" s="21"/>
      <c r="BC121" s="21"/>
      <c r="BD121" s="21"/>
      <c r="BE121" s="21"/>
      <c r="BF121" s="21"/>
      <c r="BG121" s="21"/>
      <c r="BH121" s="21"/>
      <c r="BI121" s="21"/>
      <c r="BJ121" s="21"/>
      <c r="BK121" s="21"/>
      <c r="BL121" s="21"/>
    </row>
    <row r="122" spans="1:64" x14ac:dyDescent="0.3">
      <c r="A122" s="63" t="str">
        <f>Inputs!A136</f>
        <v>1.4 Operating and Maintenance (O&amp;M) costs</v>
      </c>
      <c r="B122" s="421"/>
      <c r="X122"/>
    </row>
    <row r="123" spans="1:64" x14ac:dyDescent="0.3">
      <c r="A123" s="41"/>
      <c r="B123" s="41" t="s">
        <v>49</v>
      </c>
      <c r="X123"/>
    </row>
    <row r="124" spans="1:64" x14ac:dyDescent="0.3">
      <c r="A124" s="32" t="str">
        <f>Inputs!A138</f>
        <v>Variable operations and maintenance costs</v>
      </c>
      <c r="B124" s="4" t="str">
        <f>Inputs!B138</f>
        <v>US$</v>
      </c>
      <c r="C124" s="3"/>
      <c r="D124" s="3"/>
      <c r="E124" s="3"/>
      <c r="F124" s="3"/>
      <c r="G124" s="3"/>
      <c r="H124" s="3"/>
      <c r="I124" s="3"/>
      <c r="J124" s="3"/>
      <c r="K124" s="3"/>
      <c r="L124" s="3"/>
      <c r="M124" s="3"/>
      <c r="N124" s="3"/>
      <c r="O124" s="3"/>
      <c r="P124" s="3"/>
      <c r="Q124" s="3"/>
      <c r="R124" s="3"/>
      <c r="S124" s="3"/>
      <c r="T124" s="3"/>
      <c r="U124" s="3"/>
      <c r="V124" s="3"/>
      <c r="X124" s="2">
        <f t="shared" ref="X124:X130" si="11">SUM(C124:W124)</f>
        <v>0</v>
      </c>
    </row>
    <row r="125" spans="1:64" x14ac:dyDescent="0.3">
      <c r="A125" s="32" t="str">
        <f>Inputs!A139</f>
        <v>Fixed operations and maintenance costs</v>
      </c>
      <c r="B125" s="4" t="str">
        <f>Inputs!B139</f>
        <v>US$</v>
      </c>
      <c r="C125" s="3"/>
      <c r="D125" s="3"/>
      <c r="E125" s="3"/>
      <c r="F125" s="3"/>
      <c r="G125" s="3"/>
      <c r="H125" s="3"/>
      <c r="I125" s="3"/>
      <c r="J125" s="3"/>
      <c r="K125" s="3"/>
      <c r="L125" s="3"/>
      <c r="M125" s="3"/>
      <c r="N125" s="3"/>
      <c r="O125" s="3"/>
      <c r="P125" s="3"/>
      <c r="Q125" s="3"/>
      <c r="R125" s="3"/>
      <c r="S125" s="3"/>
      <c r="T125" s="3"/>
      <c r="U125" s="3"/>
      <c r="V125" s="3"/>
      <c r="X125" s="2">
        <f t="shared" si="11"/>
        <v>0</v>
      </c>
    </row>
    <row r="126" spans="1:64" x14ac:dyDescent="0.3">
      <c r="A126" s="32" t="str">
        <f>Inputs!A140</f>
        <v>Central operations costs</v>
      </c>
      <c r="B126" s="4" t="str">
        <f>Inputs!B140</f>
        <v>US$</v>
      </c>
      <c r="C126" s="3"/>
      <c r="D126" s="3"/>
      <c r="E126" s="3"/>
      <c r="F126" s="3"/>
      <c r="G126" s="3"/>
      <c r="H126" s="3"/>
      <c r="I126" s="3"/>
      <c r="J126" s="3"/>
      <c r="K126" s="3"/>
      <c r="L126" s="3"/>
      <c r="M126" s="3"/>
      <c r="N126" s="3"/>
      <c r="O126" s="3"/>
      <c r="P126" s="3"/>
      <c r="Q126" s="3"/>
      <c r="R126" s="3"/>
      <c r="S126" s="3"/>
      <c r="T126" s="3"/>
      <c r="U126" s="3"/>
      <c r="V126" s="3"/>
      <c r="X126" s="2">
        <f t="shared" si="11"/>
        <v>0</v>
      </c>
    </row>
    <row r="127" spans="1:64" x14ac:dyDescent="0.3">
      <c r="A127" s="32" t="str">
        <f>Inputs!A141</f>
        <v>Regulatory costs (see below kWh purchased)</v>
      </c>
      <c r="B127" s="4" t="str">
        <f>Inputs!B141</f>
        <v>US$</v>
      </c>
      <c r="C127" s="3"/>
      <c r="D127" s="3"/>
      <c r="E127" s="3"/>
      <c r="F127" s="3"/>
      <c r="G127" s="3"/>
      <c r="H127" s="3"/>
      <c r="I127" s="3"/>
      <c r="J127" s="3"/>
      <c r="K127" s="3"/>
      <c r="L127" s="3"/>
      <c r="M127" s="3"/>
      <c r="N127" s="3"/>
      <c r="O127" s="3"/>
      <c r="P127" s="3"/>
      <c r="Q127" s="3"/>
      <c r="R127" s="3"/>
      <c r="S127" s="3"/>
      <c r="T127" s="3"/>
      <c r="U127" s="3"/>
      <c r="V127" s="3"/>
      <c r="X127" s="2">
        <f t="shared" si="11"/>
        <v>0</v>
      </c>
    </row>
    <row r="128" spans="1:64" x14ac:dyDescent="0.3">
      <c r="A128" s="32" t="str">
        <f>Inputs!A142</f>
        <v>Power purchase costs</v>
      </c>
      <c r="B128" s="4" t="str">
        <f>Inputs!B142</f>
        <v>US$</v>
      </c>
      <c r="C128" s="3"/>
      <c r="D128" s="3"/>
      <c r="E128" s="3"/>
      <c r="F128" s="3"/>
      <c r="G128" s="3"/>
      <c r="H128" s="3"/>
      <c r="I128" s="3"/>
      <c r="J128" s="3"/>
      <c r="K128" s="3"/>
      <c r="L128" s="3"/>
      <c r="M128" s="3"/>
      <c r="N128" s="3"/>
      <c r="O128" s="3"/>
      <c r="P128" s="3"/>
      <c r="Q128" s="3"/>
      <c r="R128" s="3"/>
      <c r="S128" s="3"/>
      <c r="T128" s="3"/>
      <c r="U128" s="3"/>
      <c r="V128" s="3"/>
      <c r="X128" s="2">
        <f t="shared" si="11"/>
        <v>0</v>
      </c>
    </row>
    <row r="129" spans="1:24" x14ac:dyDescent="0.3">
      <c r="A129" s="32" t="str">
        <f>Inputs!A143</f>
        <v>Wheeling charges</v>
      </c>
      <c r="B129" s="4" t="str">
        <f>Inputs!B143</f>
        <v>US$</v>
      </c>
      <c r="C129" s="3"/>
      <c r="D129" s="3"/>
      <c r="E129" s="3"/>
      <c r="F129" s="3"/>
      <c r="G129" s="3"/>
      <c r="H129" s="3"/>
      <c r="I129" s="3"/>
      <c r="J129" s="3"/>
      <c r="K129" s="3"/>
      <c r="L129" s="3"/>
      <c r="M129" s="3"/>
      <c r="N129" s="3"/>
      <c r="O129" s="3"/>
      <c r="P129" s="3"/>
      <c r="Q129" s="3"/>
      <c r="R129" s="3"/>
      <c r="S129" s="3"/>
      <c r="T129" s="3"/>
      <c r="U129" s="3"/>
      <c r="V129" s="3"/>
      <c r="X129" s="2">
        <f t="shared" si="11"/>
        <v>0</v>
      </c>
    </row>
    <row r="130" spans="1:24" x14ac:dyDescent="0.3">
      <c r="A130" s="32">
        <f>Inputs!A144</f>
        <v>0</v>
      </c>
      <c r="B130" s="4" t="str">
        <f>Inputs!B144</f>
        <v>US$</v>
      </c>
      <c r="C130" s="3"/>
      <c r="D130" s="3"/>
      <c r="E130" s="3"/>
      <c r="F130" s="3"/>
      <c r="G130" s="3"/>
      <c r="H130" s="3"/>
      <c r="I130" s="3"/>
      <c r="J130" s="3"/>
      <c r="K130" s="3"/>
      <c r="L130" s="3"/>
      <c r="M130" s="3"/>
      <c r="N130" s="3"/>
      <c r="O130" s="3"/>
      <c r="P130" s="3"/>
      <c r="Q130" s="3"/>
      <c r="R130" s="3"/>
      <c r="S130" s="3"/>
      <c r="T130" s="3"/>
      <c r="U130" s="3"/>
      <c r="V130" s="3"/>
      <c r="X130" s="2">
        <f t="shared" si="11"/>
        <v>0</v>
      </c>
    </row>
    <row r="131" spans="1:24" x14ac:dyDescent="0.3">
      <c r="A131" s="59" t="s">
        <v>242</v>
      </c>
      <c r="B131" s="60" t="str">
        <f>Inputs!B144</f>
        <v>US$</v>
      </c>
      <c r="C131" s="107">
        <f>SUM(C124:C130)</f>
        <v>0</v>
      </c>
      <c r="D131" s="107">
        <f t="shared" ref="D131:V131" si="12">SUM(D124:D130)</f>
        <v>0</v>
      </c>
      <c r="E131" s="107">
        <f t="shared" si="12"/>
        <v>0</v>
      </c>
      <c r="F131" s="107">
        <f t="shared" si="12"/>
        <v>0</v>
      </c>
      <c r="G131" s="107">
        <f t="shared" si="12"/>
        <v>0</v>
      </c>
      <c r="H131" s="107">
        <f t="shared" si="12"/>
        <v>0</v>
      </c>
      <c r="I131" s="107">
        <f t="shared" si="12"/>
        <v>0</v>
      </c>
      <c r="J131" s="107">
        <f t="shared" si="12"/>
        <v>0</v>
      </c>
      <c r="K131" s="107">
        <f t="shared" si="12"/>
        <v>0</v>
      </c>
      <c r="L131" s="107">
        <f t="shared" si="12"/>
        <v>0</v>
      </c>
      <c r="M131" s="107">
        <f t="shared" si="12"/>
        <v>0</v>
      </c>
      <c r="N131" s="107">
        <f t="shared" si="12"/>
        <v>0</v>
      </c>
      <c r="O131" s="107">
        <f t="shared" si="12"/>
        <v>0</v>
      </c>
      <c r="P131" s="107">
        <f t="shared" si="12"/>
        <v>0</v>
      </c>
      <c r="Q131" s="107">
        <f t="shared" si="12"/>
        <v>0</v>
      </c>
      <c r="R131" s="107">
        <f t="shared" si="12"/>
        <v>0</v>
      </c>
      <c r="S131" s="107">
        <f t="shared" si="12"/>
        <v>0</v>
      </c>
      <c r="T131" s="107">
        <f t="shared" si="12"/>
        <v>0</v>
      </c>
      <c r="U131" s="107">
        <f t="shared" si="12"/>
        <v>0</v>
      </c>
      <c r="V131" s="107">
        <f t="shared" si="12"/>
        <v>0</v>
      </c>
      <c r="W131" s="107">
        <f t="shared" ref="W131" si="13">SUM(W124:W130)</f>
        <v>0</v>
      </c>
      <c r="X131" s="107">
        <f t="shared" ref="X131" si="14">SUM(X124:X130)</f>
        <v>0</v>
      </c>
    </row>
    <row r="132" spans="1:24" x14ac:dyDescent="0.3">
      <c r="A132" s="83"/>
      <c r="B132" s="37"/>
    </row>
    <row r="133" spans="1:24" x14ac:dyDescent="0.3">
      <c r="A133" s="24"/>
      <c r="B133" s="37"/>
    </row>
    <row r="134" spans="1:24" x14ac:dyDescent="0.3">
      <c r="A134" s="70" t="str">
        <f>Inputs!A195</f>
        <v>1.8 Customer categories, consumption and cost causality</v>
      </c>
      <c r="B134" s="422"/>
    </row>
    <row r="135" spans="1:24" ht="14.55" customHeight="1" x14ac:dyDescent="0.3">
      <c r="A135" s="83" t="str">
        <f>Inputs!A196</f>
        <v>placeholder - user to populate</v>
      </c>
      <c r="B135" s="528"/>
      <c r="C135" s="528" t="s">
        <v>129</v>
      </c>
      <c r="D135" s="528" t="s">
        <v>129</v>
      </c>
      <c r="E135" s="528" t="s">
        <v>129</v>
      </c>
      <c r="F135" s="528" t="s">
        <v>129</v>
      </c>
      <c r="G135" s="528" t="s">
        <v>129</v>
      </c>
      <c r="H135" s="528" t="s">
        <v>129</v>
      </c>
      <c r="I135" s="528" t="s">
        <v>129</v>
      </c>
      <c r="J135" s="528" t="s">
        <v>129</v>
      </c>
      <c r="K135" s="528" t="s">
        <v>129</v>
      </c>
      <c r="L135" s="528" t="s">
        <v>129</v>
      </c>
      <c r="M135" s="528" t="s">
        <v>129</v>
      </c>
      <c r="N135" s="528" t="s">
        <v>129</v>
      </c>
      <c r="O135" s="528" t="s">
        <v>129</v>
      </c>
      <c r="P135" s="528" t="s">
        <v>129</v>
      </c>
      <c r="Q135" s="528" t="s">
        <v>129</v>
      </c>
      <c r="R135" s="528" t="s">
        <v>129</v>
      </c>
      <c r="S135" s="528" t="s">
        <v>129</v>
      </c>
      <c r="T135" s="528" t="s">
        <v>129</v>
      </c>
      <c r="U135" s="528" t="s">
        <v>129</v>
      </c>
      <c r="V135" s="528" t="s">
        <v>129</v>
      </c>
      <c r="X135" s="528" t="s">
        <v>77</v>
      </c>
    </row>
    <row r="136" spans="1:24" x14ac:dyDescent="0.3">
      <c r="A136" s="89"/>
      <c r="B136" s="560"/>
      <c r="C136" s="560"/>
      <c r="D136" s="560"/>
      <c r="E136" s="560"/>
      <c r="F136" s="560"/>
      <c r="G136" s="560"/>
      <c r="H136" s="560"/>
      <c r="I136" s="560"/>
      <c r="J136" s="560"/>
      <c r="K136" s="560"/>
      <c r="L136" s="560"/>
      <c r="M136" s="560"/>
      <c r="N136" s="560"/>
      <c r="O136" s="560"/>
      <c r="P136" s="560"/>
      <c r="Q136" s="560"/>
      <c r="R136" s="560"/>
      <c r="S136" s="560"/>
      <c r="T136" s="560"/>
      <c r="U136" s="560"/>
      <c r="V136" s="560"/>
      <c r="X136" s="560"/>
    </row>
    <row r="137" spans="1:24" x14ac:dyDescent="0.3">
      <c r="A137" s="32" t="str">
        <f>Inputs!A198</f>
        <v>placeholder1 (Lifeline)</v>
      </c>
      <c r="B137" s="4"/>
      <c r="C137" s="3"/>
      <c r="D137" s="3"/>
      <c r="E137" s="3"/>
      <c r="F137" s="3"/>
      <c r="G137" s="3"/>
      <c r="H137" s="3"/>
      <c r="I137" s="3"/>
      <c r="J137" s="3"/>
      <c r="K137" s="3"/>
      <c r="L137" s="3"/>
      <c r="M137" s="3"/>
      <c r="N137" s="3"/>
      <c r="O137" s="3"/>
      <c r="P137" s="3"/>
      <c r="Q137" s="3"/>
      <c r="R137" s="3"/>
      <c r="S137" s="3"/>
      <c r="T137" s="3"/>
      <c r="U137" s="3"/>
      <c r="V137" s="3"/>
      <c r="X137" s="2">
        <f t="shared" ref="X137:X143" si="15">SUM(C137:W137)</f>
        <v>0</v>
      </c>
    </row>
    <row r="138" spans="1:24" x14ac:dyDescent="0.3">
      <c r="A138" s="32" t="str">
        <f>Inputs!A199</f>
        <v>placeholder2 (Households)</v>
      </c>
      <c r="B138" s="4"/>
      <c r="C138" s="3"/>
      <c r="D138" s="3"/>
      <c r="E138" s="3"/>
      <c r="F138" s="3"/>
      <c r="G138" s="3"/>
      <c r="H138" s="3"/>
      <c r="I138" s="3"/>
      <c r="J138" s="3"/>
      <c r="K138" s="3"/>
      <c r="L138" s="3"/>
      <c r="M138" s="3"/>
      <c r="N138" s="3"/>
      <c r="O138" s="3"/>
      <c r="P138" s="3"/>
      <c r="Q138" s="3"/>
      <c r="R138" s="3"/>
      <c r="S138" s="3"/>
      <c r="T138" s="3"/>
      <c r="U138" s="3"/>
      <c r="V138" s="3"/>
      <c r="X138" s="2">
        <f t="shared" si="15"/>
        <v>0</v>
      </c>
    </row>
    <row r="139" spans="1:24" x14ac:dyDescent="0.3">
      <c r="A139" s="32" t="str">
        <f>Inputs!A200</f>
        <v>placeholder3 (Business basic shops for lighting)</v>
      </c>
      <c r="B139" s="4"/>
      <c r="C139" s="3"/>
      <c r="D139" s="3"/>
      <c r="E139" s="3"/>
      <c r="F139" s="3"/>
      <c r="G139" s="3"/>
      <c r="H139" s="3"/>
      <c r="I139" s="3"/>
      <c r="J139" s="3"/>
      <c r="K139" s="3"/>
      <c r="L139" s="3"/>
      <c r="M139" s="3"/>
      <c r="N139" s="3"/>
      <c r="O139" s="3"/>
      <c r="P139" s="3"/>
      <c r="Q139" s="3"/>
      <c r="R139" s="3"/>
      <c r="S139" s="3"/>
      <c r="T139" s="3"/>
      <c r="U139" s="3"/>
      <c r="V139" s="3"/>
      <c r="X139" s="2">
        <f t="shared" si="15"/>
        <v>0</v>
      </c>
    </row>
    <row r="140" spans="1:24" x14ac:dyDescent="0.3">
      <c r="A140" s="32" t="str">
        <f>Inputs!A201</f>
        <v>placeholder4 (Business with appliances like fridges, freezers, etc)</v>
      </c>
      <c r="B140" s="4"/>
      <c r="C140" s="3"/>
      <c r="D140" s="3"/>
      <c r="E140" s="3"/>
      <c r="F140" s="3"/>
      <c r="G140" s="3"/>
      <c r="H140" s="3"/>
      <c r="I140" s="3"/>
      <c r="J140" s="3"/>
      <c r="K140" s="3"/>
      <c r="L140" s="3"/>
      <c r="M140" s="3"/>
      <c r="N140" s="3"/>
      <c r="O140" s="3"/>
      <c r="P140" s="3"/>
      <c r="Q140" s="3"/>
      <c r="R140" s="3"/>
      <c r="S140" s="3"/>
      <c r="T140" s="3"/>
      <c r="U140" s="3"/>
      <c r="V140" s="3"/>
      <c r="X140" s="2">
        <f t="shared" si="15"/>
        <v>0</v>
      </c>
    </row>
    <row r="141" spans="1:24" x14ac:dyDescent="0.3">
      <c r="A141" s="32" t="str">
        <f>Inputs!A202</f>
        <v>placeholder5 (Anchor-Mines/Timber Mills/Procesors, Bank, etc)</v>
      </c>
      <c r="B141" s="4"/>
      <c r="C141" s="3"/>
      <c r="D141" s="3"/>
      <c r="E141" s="3"/>
      <c r="F141" s="3"/>
      <c r="G141" s="3"/>
      <c r="H141" s="3"/>
      <c r="I141" s="3"/>
      <c r="J141" s="3"/>
      <c r="K141" s="3"/>
      <c r="L141" s="3"/>
      <c r="M141" s="3"/>
      <c r="N141" s="3"/>
      <c r="O141" s="3"/>
      <c r="P141" s="3"/>
      <c r="Q141" s="3"/>
      <c r="R141" s="3"/>
      <c r="S141" s="3"/>
      <c r="T141" s="3"/>
      <c r="U141" s="3"/>
      <c r="V141" s="3"/>
      <c r="X141" s="2">
        <f t="shared" si="15"/>
        <v>0</v>
      </c>
    </row>
    <row r="142" spans="1:24" x14ac:dyDescent="0.3">
      <c r="A142" s="32" t="str">
        <f>Inputs!A203</f>
        <v>placeholder6 (Institutions – schools, health centres, admin centres, etc)</v>
      </c>
      <c r="B142" s="4"/>
      <c r="C142" s="3"/>
      <c r="D142" s="3"/>
      <c r="E142" s="3"/>
      <c r="F142" s="3"/>
      <c r="G142" s="3"/>
      <c r="H142" s="3"/>
      <c r="I142" s="3"/>
      <c r="J142" s="3"/>
      <c r="K142" s="3"/>
      <c r="L142" s="3"/>
      <c r="M142" s="3"/>
      <c r="N142" s="3"/>
      <c r="O142" s="3"/>
      <c r="P142" s="3"/>
      <c r="Q142" s="3"/>
      <c r="R142" s="3"/>
      <c r="S142" s="3"/>
      <c r="T142" s="3"/>
      <c r="U142" s="3"/>
      <c r="V142" s="3"/>
      <c r="X142" s="2">
        <f t="shared" si="15"/>
        <v>0</v>
      </c>
    </row>
    <row r="143" spans="1:24" x14ac:dyDescent="0.3">
      <c r="A143" s="32" t="str">
        <f>Inputs!A204</f>
        <v>placeholder7 (Street lighting)</v>
      </c>
      <c r="B143" s="4"/>
      <c r="C143" s="3"/>
      <c r="D143" s="3"/>
      <c r="E143" s="3"/>
      <c r="F143" s="3"/>
      <c r="G143" s="3"/>
      <c r="H143" s="3"/>
      <c r="I143" s="3"/>
      <c r="J143" s="3"/>
      <c r="K143" s="3"/>
      <c r="L143" s="3"/>
      <c r="M143" s="3"/>
      <c r="N143" s="3"/>
      <c r="O143" s="3"/>
      <c r="P143" s="3"/>
      <c r="Q143" s="3"/>
      <c r="R143" s="3"/>
      <c r="S143" s="3"/>
      <c r="T143" s="3"/>
      <c r="U143" s="3"/>
      <c r="V143" s="3"/>
      <c r="X143" s="2">
        <f t="shared" si="15"/>
        <v>0</v>
      </c>
    </row>
    <row r="144" spans="1:24" x14ac:dyDescent="0.3">
      <c r="A144" s="59" t="str">
        <f>Inputs!A205</f>
        <v>Total</v>
      </c>
      <c r="B144" s="60"/>
      <c r="C144" s="121">
        <f t="shared" ref="C144:V144" si="16">SUM(C137:C143)</f>
        <v>0</v>
      </c>
      <c r="D144" s="121">
        <f t="shared" si="16"/>
        <v>0</v>
      </c>
      <c r="E144" s="121">
        <f t="shared" si="16"/>
        <v>0</v>
      </c>
      <c r="F144" s="121">
        <f t="shared" si="16"/>
        <v>0</v>
      </c>
      <c r="G144" s="121">
        <f t="shared" si="16"/>
        <v>0</v>
      </c>
      <c r="H144" s="121">
        <f t="shared" si="16"/>
        <v>0</v>
      </c>
      <c r="I144" s="121">
        <f t="shared" si="16"/>
        <v>0</v>
      </c>
      <c r="J144" s="121">
        <f t="shared" si="16"/>
        <v>0</v>
      </c>
      <c r="K144" s="121">
        <f t="shared" si="16"/>
        <v>0</v>
      </c>
      <c r="L144" s="121">
        <f t="shared" si="16"/>
        <v>0</v>
      </c>
      <c r="M144" s="121">
        <f t="shared" si="16"/>
        <v>0</v>
      </c>
      <c r="N144" s="121">
        <f t="shared" si="16"/>
        <v>0</v>
      </c>
      <c r="O144" s="121">
        <f t="shared" si="16"/>
        <v>0</v>
      </c>
      <c r="P144" s="121">
        <f t="shared" si="16"/>
        <v>0</v>
      </c>
      <c r="Q144" s="121">
        <f t="shared" si="16"/>
        <v>0</v>
      </c>
      <c r="R144" s="121">
        <f t="shared" si="16"/>
        <v>0</v>
      </c>
      <c r="S144" s="121">
        <f t="shared" si="16"/>
        <v>0</v>
      </c>
      <c r="T144" s="121">
        <f t="shared" si="16"/>
        <v>0</v>
      </c>
      <c r="U144" s="121">
        <f t="shared" si="16"/>
        <v>0</v>
      </c>
      <c r="V144" s="121">
        <f t="shared" si="16"/>
        <v>0</v>
      </c>
      <c r="W144" s="121">
        <f t="shared" ref="W144" si="17">SUM(W137:W143)</f>
        <v>0</v>
      </c>
      <c r="X144" s="121">
        <f t="shared" ref="X144" si="18">SUM(X137:X143)</f>
        <v>0</v>
      </c>
    </row>
    <row r="145" spans="1:45" x14ac:dyDescent="0.3">
      <c r="A145" s="24"/>
      <c r="B145" s="37"/>
    </row>
    <row r="146" spans="1:45" x14ac:dyDescent="0.3">
      <c r="A146" s="70" t="s">
        <v>501</v>
      </c>
      <c r="B146" s="422"/>
    </row>
    <row r="147" spans="1:45" x14ac:dyDescent="0.3">
      <c r="A147" s="83"/>
      <c r="B147" s="528" t="s">
        <v>49</v>
      </c>
      <c r="C147" s="528" t="s">
        <v>500</v>
      </c>
      <c r="D147" s="528" t="str">
        <f>C147</f>
        <v>kWh per month</v>
      </c>
      <c r="E147" s="528" t="str">
        <f t="shared" ref="E147:V147" si="19">D147</f>
        <v>kWh per month</v>
      </c>
      <c r="F147" s="528" t="str">
        <f t="shared" si="19"/>
        <v>kWh per month</v>
      </c>
      <c r="G147" s="528" t="str">
        <f t="shared" si="19"/>
        <v>kWh per month</v>
      </c>
      <c r="H147" s="528" t="str">
        <f t="shared" si="19"/>
        <v>kWh per month</v>
      </c>
      <c r="I147" s="528" t="str">
        <f t="shared" si="19"/>
        <v>kWh per month</v>
      </c>
      <c r="J147" s="528" t="str">
        <f t="shared" si="19"/>
        <v>kWh per month</v>
      </c>
      <c r="K147" s="528" t="str">
        <f t="shared" si="19"/>
        <v>kWh per month</v>
      </c>
      <c r="L147" s="528" t="str">
        <f t="shared" si="19"/>
        <v>kWh per month</v>
      </c>
      <c r="M147" s="528" t="str">
        <f t="shared" si="19"/>
        <v>kWh per month</v>
      </c>
      <c r="N147" s="528" t="str">
        <f t="shared" si="19"/>
        <v>kWh per month</v>
      </c>
      <c r="O147" s="528" t="str">
        <f t="shared" si="19"/>
        <v>kWh per month</v>
      </c>
      <c r="P147" s="528" t="str">
        <f t="shared" si="19"/>
        <v>kWh per month</v>
      </c>
      <c r="Q147" s="528" t="str">
        <f t="shared" si="19"/>
        <v>kWh per month</v>
      </c>
      <c r="R147" s="528" t="str">
        <f t="shared" si="19"/>
        <v>kWh per month</v>
      </c>
      <c r="S147" s="528" t="str">
        <f t="shared" si="19"/>
        <v>kWh per month</v>
      </c>
      <c r="T147" s="528" t="str">
        <f t="shared" si="19"/>
        <v>kWh per month</v>
      </c>
      <c r="U147" s="528" t="str">
        <f t="shared" si="19"/>
        <v>kWh per month</v>
      </c>
      <c r="V147" s="528" t="str">
        <f t="shared" si="19"/>
        <v>kWh per month</v>
      </c>
      <c r="X147" s="528" t="s">
        <v>77</v>
      </c>
    </row>
    <row r="148" spans="1:45" x14ac:dyDescent="0.3">
      <c r="A148" s="89"/>
      <c r="B148" s="560"/>
      <c r="C148" s="560"/>
      <c r="D148" s="560"/>
      <c r="E148" s="560"/>
      <c r="F148" s="560"/>
      <c r="G148" s="560"/>
      <c r="H148" s="560"/>
      <c r="I148" s="560"/>
      <c r="J148" s="560"/>
      <c r="K148" s="560"/>
      <c r="L148" s="560"/>
      <c r="M148" s="560"/>
      <c r="N148" s="560"/>
      <c r="O148" s="560"/>
      <c r="P148" s="560"/>
      <c r="Q148" s="560"/>
      <c r="R148" s="560"/>
      <c r="S148" s="560"/>
      <c r="T148" s="560"/>
      <c r="U148" s="560"/>
      <c r="V148" s="560"/>
      <c r="X148" s="560"/>
    </row>
    <row r="149" spans="1:45" x14ac:dyDescent="0.3">
      <c r="A149" s="32" t="str">
        <f>A137</f>
        <v>placeholder1 (Lifeline)</v>
      </c>
      <c r="B149" s="4" t="s">
        <v>88</v>
      </c>
      <c r="C149" s="3"/>
      <c r="D149" s="3"/>
      <c r="E149" s="3"/>
      <c r="F149" s="3"/>
      <c r="G149" s="3"/>
      <c r="H149" s="3"/>
      <c r="I149" s="3"/>
      <c r="J149" s="3"/>
      <c r="K149" s="3"/>
      <c r="L149" s="3"/>
      <c r="M149" s="3"/>
      <c r="N149" s="3"/>
      <c r="O149" s="3"/>
      <c r="P149" s="3"/>
      <c r="Q149" s="3"/>
      <c r="R149" s="3"/>
      <c r="S149" s="3"/>
      <c r="T149" s="3"/>
      <c r="U149" s="3"/>
      <c r="V149" s="3"/>
      <c r="X149" s="2" t="e">
        <f>AVERAGE(C149:W149)</f>
        <v>#DIV/0!</v>
      </c>
    </row>
    <row r="150" spans="1:45" x14ac:dyDescent="0.3">
      <c r="A150" s="32" t="str">
        <f t="shared" ref="A150:A154" si="20">A138</f>
        <v>placeholder2 (Households)</v>
      </c>
      <c r="B150" s="4" t="s">
        <v>88</v>
      </c>
      <c r="C150" s="3"/>
      <c r="D150" s="3"/>
      <c r="E150" s="3"/>
      <c r="F150" s="3"/>
      <c r="G150" s="3"/>
      <c r="H150" s="3"/>
      <c r="I150" s="3"/>
      <c r="J150" s="3"/>
      <c r="K150" s="3"/>
      <c r="L150" s="3"/>
      <c r="M150" s="3"/>
      <c r="N150" s="3"/>
      <c r="O150" s="3"/>
      <c r="P150" s="3"/>
      <c r="Q150" s="3"/>
      <c r="R150" s="3"/>
      <c r="S150" s="3"/>
      <c r="T150" s="3"/>
      <c r="U150" s="3"/>
      <c r="V150" s="3"/>
      <c r="X150" s="2" t="e">
        <f t="shared" ref="X150:X155" si="21">AVERAGE(C150:W150)</f>
        <v>#DIV/0!</v>
      </c>
    </row>
    <row r="151" spans="1:45" x14ac:dyDescent="0.3">
      <c r="A151" s="32" t="str">
        <f t="shared" si="20"/>
        <v>placeholder3 (Business basic shops for lighting)</v>
      </c>
      <c r="B151" s="4" t="s">
        <v>88</v>
      </c>
      <c r="C151" s="3"/>
      <c r="D151" s="3"/>
      <c r="E151" s="3"/>
      <c r="F151" s="3"/>
      <c r="G151" s="3"/>
      <c r="H151" s="3"/>
      <c r="I151" s="3"/>
      <c r="J151" s="3"/>
      <c r="K151" s="3"/>
      <c r="L151" s="3"/>
      <c r="M151" s="3"/>
      <c r="N151" s="3"/>
      <c r="O151" s="3"/>
      <c r="P151" s="3"/>
      <c r="Q151" s="3"/>
      <c r="R151" s="3"/>
      <c r="S151" s="3"/>
      <c r="T151" s="3"/>
      <c r="U151" s="3"/>
      <c r="V151" s="3"/>
      <c r="X151" s="2" t="e">
        <f t="shared" si="21"/>
        <v>#DIV/0!</v>
      </c>
    </row>
    <row r="152" spans="1:45" x14ac:dyDescent="0.3">
      <c r="A152" s="32" t="str">
        <f t="shared" si="20"/>
        <v>placeholder4 (Business with appliances like fridges, freezers, etc)</v>
      </c>
      <c r="B152" s="4" t="s">
        <v>88</v>
      </c>
      <c r="C152" s="3"/>
      <c r="D152" s="3"/>
      <c r="E152" s="3"/>
      <c r="F152" s="3"/>
      <c r="G152" s="3"/>
      <c r="H152" s="3"/>
      <c r="I152" s="3"/>
      <c r="J152" s="3"/>
      <c r="K152" s="3"/>
      <c r="L152" s="3"/>
      <c r="M152" s="3"/>
      <c r="N152" s="3"/>
      <c r="O152" s="3"/>
      <c r="P152" s="3"/>
      <c r="Q152" s="3"/>
      <c r="R152" s="3"/>
      <c r="S152" s="3"/>
      <c r="T152" s="3"/>
      <c r="U152" s="3"/>
      <c r="V152" s="3"/>
      <c r="X152" s="2" t="e">
        <f t="shared" si="21"/>
        <v>#DIV/0!</v>
      </c>
    </row>
    <row r="153" spans="1:45" x14ac:dyDescent="0.3">
      <c r="A153" s="32" t="str">
        <f t="shared" si="20"/>
        <v>placeholder5 (Anchor-Mines/Timber Mills/Procesors, Bank, etc)</v>
      </c>
      <c r="B153" s="4" t="s">
        <v>88</v>
      </c>
      <c r="C153" s="3"/>
      <c r="D153" s="3"/>
      <c r="E153" s="3"/>
      <c r="F153" s="3"/>
      <c r="G153" s="3"/>
      <c r="H153" s="3"/>
      <c r="I153" s="3"/>
      <c r="J153" s="3"/>
      <c r="K153" s="3"/>
      <c r="L153" s="3"/>
      <c r="M153" s="3"/>
      <c r="N153" s="3"/>
      <c r="O153" s="3"/>
      <c r="P153" s="3"/>
      <c r="Q153" s="3"/>
      <c r="R153" s="3"/>
      <c r="S153" s="3"/>
      <c r="T153" s="3"/>
      <c r="U153" s="3"/>
      <c r="V153" s="3"/>
      <c r="X153" s="2" t="e">
        <f t="shared" si="21"/>
        <v>#DIV/0!</v>
      </c>
    </row>
    <row r="154" spans="1:45" x14ac:dyDescent="0.3">
      <c r="A154" s="32" t="str">
        <f t="shared" si="20"/>
        <v>placeholder6 (Institutions – schools, health centres, admin centres, etc)</v>
      </c>
      <c r="B154" s="4" t="s">
        <v>88</v>
      </c>
      <c r="C154" s="3"/>
      <c r="D154" s="3"/>
      <c r="E154" s="3"/>
      <c r="F154" s="3"/>
      <c r="G154" s="3"/>
      <c r="H154" s="3"/>
      <c r="I154" s="3"/>
      <c r="J154" s="3"/>
      <c r="K154" s="3"/>
      <c r="L154" s="3"/>
      <c r="M154" s="3"/>
      <c r="N154" s="3"/>
      <c r="O154" s="3"/>
      <c r="P154" s="3"/>
      <c r="Q154" s="3"/>
      <c r="R154" s="3"/>
      <c r="S154" s="3"/>
      <c r="T154" s="3"/>
      <c r="U154" s="3"/>
      <c r="V154" s="3"/>
      <c r="X154" s="2" t="e">
        <f t="shared" si="21"/>
        <v>#DIV/0!</v>
      </c>
    </row>
    <row r="155" spans="1:45" x14ac:dyDescent="0.3">
      <c r="A155" s="32"/>
      <c r="B155" s="4"/>
      <c r="C155" s="3"/>
      <c r="D155" s="3"/>
      <c r="E155" s="3"/>
      <c r="F155" s="3"/>
      <c r="G155" s="3"/>
      <c r="H155" s="3"/>
      <c r="I155" s="3"/>
      <c r="J155" s="3"/>
      <c r="K155" s="3"/>
      <c r="L155" s="3"/>
      <c r="M155" s="3"/>
      <c r="N155" s="3"/>
      <c r="O155" s="3"/>
      <c r="P155" s="3"/>
      <c r="Q155" s="3"/>
      <c r="R155" s="3"/>
      <c r="S155" s="3"/>
      <c r="T155" s="3"/>
      <c r="U155" s="3"/>
      <c r="V155" s="3"/>
      <c r="X155" s="2" t="e">
        <f t="shared" si="21"/>
        <v>#DIV/0!</v>
      </c>
    </row>
    <row r="156" spans="1:45" x14ac:dyDescent="0.3">
      <c r="A156" s="59"/>
      <c r="B156" s="60"/>
      <c r="C156" s="121">
        <f t="shared" ref="C156:X156" si="22">SUM(C149:C155)</f>
        <v>0</v>
      </c>
      <c r="D156" s="121">
        <f t="shared" si="22"/>
        <v>0</v>
      </c>
      <c r="E156" s="121">
        <f t="shared" si="22"/>
        <v>0</v>
      </c>
      <c r="F156" s="121">
        <f t="shared" si="22"/>
        <v>0</v>
      </c>
      <c r="G156" s="121">
        <f t="shared" si="22"/>
        <v>0</v>
      </c>
      <c r="H156" s="121">
        <f t="shared" si="22"/>
        <v>0</v>
      </c>
      <c r="I156" s="121">
        <f t="shared" si="22"/>
        <v>0</v>
      </c>
      <c r="J156" s="121">
        <f t="shared" si="22"/>
        <v>0</v>
      </c>
      <c r="K156" s="121">
        <f t="shared" si="22"/>
        <v>0</v>
      </c>
      <c r="L156" s="121">
        <f t="shared" si="22"/>
        <v>0</v>
      </c>
      <c r="M156" s="121">
        <f t="shared" si="22"/>
        <v>0</v>
      </c>
      <c r="N156" s="121">
        <f t="shared" si="22"/>
        <v>0</v>
      </c>
      <c r="O156" s="121">
        <f t="shared" si="22"/>
        <v>0</v>
      </c>
      <c r="P156" s="121">
        <f t="shared" si="22"/>
        <v>0</v>
      </c>
      <c r="Q156" s="121">
        <f t="shared" si="22"/>
        <v>0</v>
      </c>
      <c r="R156" s="121">
        <f t="shared" si="22"/>
        <v>0</v>
      </c>
      <c r="S156" s="121">
        <f t="shared" si="22"/>
        <v>0</v>
      </c>
      <c r="T156" s="121">
        <f t="shared" si="22"/>
        <v>0</v>
      </c>
      <c r="U156" s="121">
        <f t="shared" si="22"/>
        <v>0</v>
      </c>
      <c r="V156" s="121">
        <f t="shared" si="22"/>
        <v>0</v>
      </c>
      <c r="W156" s="121">
        <f t="shared" si="22"/>
        <v>0</v>
      </c>
      <c r="X156" s="121" t="e">
        <f t="shared" si="22"/>
        <v>#DIV/0!</v>
      </c>
    </row>
    <row r="157" spans="1:45" x14ac:dyDescent="0.3">
      <c r="A157" s="24"/>
      <c r="B157" s="37"/>
    </row>
    <row r="158" spans="1:45" s="72" customFormat="1" x14ac:dyDescent="0.3">
      <c r="A158" s="70" t="s">
        <v>502</v>
      </c>
      <c r="B158" s="71"/>
      <c r="C158" s="418" t="s">
        <v>53</v>
      </c>
      <c r="D158" s="418" t="s">
        <v>54</v>
      </c>
      <c r="E158" s="418" t="s">
        <v>55</v>
      </c>
      <c r="F158" s="418" t="s">
        <v>56</v>
      </c>
      <c r="G158" s="418" t="s">
        <v>57</v>
      </c>
      <c r="H158" s="418" t="s">
        <v>58</v>
      </c>
      <c r="I158" s="418" t="s">
        <v>59</v>
      </c>
      <c r="J158" s="418" t="s">
        <v>60</v>
      </c>
      <c r="K158" s="418" t="s">
        <v>61</v>
      </c>
      <c r="L158" s="418" t="s">
        <v>62</v>
      </c>
      <c r="M158" s="418" t="s">
        <v>63</v>
      </c>
      <c r="N158" s="418" t="s">
        <v>64</v>
      </c>
      <c r="O158" s="418" t="s">
        <v>65</v>
      </c>
      <c r="P158" s="418" t="s">
        <v>66</v>
      </c>
      <c r="Q158" s="418" t="s">
        <v>67</v>
      </c>
      <c r="R158" s="418" t="s">
        <v>68</v>
      </c>
      <c r="S158" s="418" t="s">
        <v>69</v>
      </c>
      <c r="T158" s="418" t="s">
        <v>70</v>
      </c>
      <c r="U158" s="418" t="s">
        <v>71</v>
      </c>
      <c r="V158" s="418" t="s">
        <v>72</v>
      </c>
      <c r="W158" s="418"/>
      <c r="X158" s="418" t="s">
        <v>77</v>
      </c>
      <c r="Y158" s="74"/>
      <c r="Z158" s="74"/>
      <c r="AA158" s="74"/>
      <c r="AB158" s="74"/>
      <c r="AC158" s="74"/>
      <c r="AD158" s="74"/>
      <c r="AE158" s="74"/>
      <c r="AF158" s="74"/>
      <c r="AG158" s="73"/>
      <c r="AH158" s="73"/>
      <c r="AI158" s="73"/>
      <c r="AJ158" s="74"/>
      <c r="AK158" s="74"/>
      <c r="AL158" s="74"/>
      <c r="AM158" s="74"/>
      <c r="AN158" s="74"/>
      <c r="AO158" s="74"/>
      <c r="AP158" s="74"/>
      <c r="AQ158" s="74"/>
      <c r="AR158" s="74"/>
      <c r="AS158" s="74"/>
    </row>
    <row r="159" spans="1:45" s="24" customFormat="1" ht="15" customHeight="1" x14ac:dyDescent="0.3">
      <c r="A159" s="83" t="s">
        <v>94</v>
      </c>
      <c r="B159" s="29" t="s">
        <v>49</v>
      </c>
      <c r="C159" s="41" t="s">
        <v>51</v>
      </c>
      <c r="D159" s="86"/>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7"/>
      <c r="AC159" s="37"/>
      <c r="AD159" s="37"/>
      <c r="AE159" s="38"/>
      <c r="AF159" s="38"/>
      <c r="AG159" s="38"/>
      <c r="AH159" s="38"/>
      <c r="AI159" s="38"/>
      <c r="AJ159" s="38"/>
      <c r="AK159" s="38"/>
      <c r="AL159" s="38"/>
      <c r="AM159" s="38"/>
      <c r="AN159" s="38"/>
    </row>
    <row r="160" spans="1:45" s="24" customFormat="1" ht="13.05" customHeight="1" x14ac:dyDescent="0.3">
      <c r="A160" s="89"/>
      <c r="B160" s="29"/>
      <c r="C160" s="41" t="str">
        <f>Inputs!C20</f>
        <v>US$</v>
      </c>
      <c r="D160" s="86"/>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7"/>
      <c r="AC160" s="37"/>
      <c r="AD160" s="37"/>
      <c r="AE160" s="38"/>
      <c r="AF160" s="38"/>
      <c r="AG160" s="38"/>
      <c r="AH160" s="38"/>
      <c r="AI160" s="38"/>
      <c r="AJ160" s="38"/>
      <c r="AK160" s="38"/>
      <c r="AL160" s="38"/>
      <c r="AM160" s="38"/>
      <c r="AN160" s="38"/>
    </row>
    <row r="161" spans="1:24" x14ac:dyDescent="0.3">
      <c r="A161" s="32" t="str">
        <f>A149</f>
        <v>placeholder1 (Lifeline)</v>
      </c>
      <c r="B161" s="203" t="s">
        <v>505</v>
      </c>
      <c r="C161" s="3" t="s">
        <v>22</v>
      </c>
      <c r="D161" s="3"/>
      <c r="E161" s="3"/>
      <c r="F161" s="3"/>
      <c r="G161" s="3"/>
      <c r="H161" s="3"/>
      <c r="I161" s="3"/>
      <c r="J161" s="3"/>
      <c r="K161" s="3"/>
      <c r="L161" s="3"/>
      <c r="M161" s="3"/>
      <c r="N161" s="3"/>
      <c r="O161" s="3"/>
      <c r="P161" s="3"/>
      <c r="Q161" s="3"/>
      <c r="R161" s="3"/>
      <c r="S161" s="3"/>
      <c r="T161" s="3"/>
      <c r="U161" s="3"/>
      <c r="V161" s="3"/>
      <c r="X161" s="2" t="e">
        <f>AVERAGE(C161:W161)</f>
        <v>#DIV/0!</v>
      </c>
    </row>
    <row r="162" spans="1:24" x14ac:dyDescent="0.3">
      <c r="A162" s="32" t="str">
        <f t="shared" ref="A162:A166" si="23">A150</f>
        <v>placeholder2 (Households)</v>
      </c>
      <c r="B162" s="203" t="s">
        <v>505</v>
      </c>
      <c r="C162" s="3" t="s">
        <v>22</v>
      </c>
      <c r="D162" s="3"/>
      <c r="E162" s="3"/>
      <c r="F162" s="3"/>
      <c r="G162" s="3"/>
      <c r="H162" s="3"/>
      <c r="I162" s="3"/>
      <c r="J162" s="3"/>
      <c r="K162" s="3"/>
      <c r="L162" s="3"/>
      <c r="M162" s="3"/>
      <c r="N162" s="3"/>
      <c r="O162" s="3"/>
      <c r="P162" s="3"/>
      <c r="Q162" s="3"/>
      <c r="R162" s="3"/>
      <c r="S162" s="3"/>
      <c r="T162" s="3"/>
      <c r="U162" s="3"/>
      <c r="V162" s="3"/>
      <c r="X162" s="2" t="e">
        <f t="shared" ref="X162:X167" si="24">AVERAGE(C162:W162)</f>
        <v>#DIV/0!</v>
      </c>
    </row>
    <row r="163" spans="1:24" x14ac:dyDescent="0.3">
      <c r="A163" s="32" t="str">
        <f t="shared" si="23"/>
        <v>placeholder3 (Business basic shops for lighting)</v>
      </c>
      <c r="B163" s="203" t="s">
        <v>505</v>
      </c>
      <c r="C163" s="3" t="s">
        <v>22</v>
      </c>
      <c r="D163" s="3"/>
      <c r="E163" s="3"/>
      <c r="F163" s="3"/>
      <c r="G163" s="3"/>
      <c r="H163" s="3"/>
      <c r="I163" s="3"/>
      <c r="J163" s="3"/>
      <c r="K163" s="3"/>
      <c r="L163" s="3"/>
      <c r="M163" s="3"/>
      <c r="N163" s="3"/>
      <c r="O163" s="3"/>
      <c r="P163" s="3"/>
      <c r="Q163" s="3"/>
      <c r="R163" s="3"/>
      <c r="S163" s="3"/>
      <c r="T163" s="3"/>
      <c r="U163" s="3"/>
      <c r="V163" s="3"/>
      <c r="X163" s="2" t="e">
        <f t="shared" si="24"/>
        <v>#DIV/0!</v>
      </c>
    </row>
    <row r="164" spans="1:24" x14ac:dyDescent="0.3">
      <c r="A164" s="32" t="str">
        <f t="shared" si="23"/>
        <v>placeholder4 (Business with appliances like fridges, freezers, etc)</v>
      </c>
      <c r="B164" s="203" t="s">
        <v>505</v>
      </c>
      <c r="C164" s="3" t="s">
        <v>22</v>
      </c>
      <c r="D164" s="3"/>
      <c r="E164" s="3"/>
      <c r="F164" s="3"/>
      <c r="G164" s="3"/>
      <c r="H164" s="3"/>
      <c r="I164" s="3"/>
      <c r="J164" s="3"/>
      <c r="K164" s="3"/>
      <c r="L164" s="3"/>
      <c r="M164" s="3"/>
      <c r="N164" s="3"/>
      <c r="O164" s="3"/>
      <c r="P164" s="3"/>
      <c r="Q164" s="3"/>
      <c r="R164" s="3"/>
      <c r="S164" s="3"/>
      <c r="T164" s="3"/>
      <c r="U164" s="3"/>
      <c r="V164" s="3"/>
      <c r="X164" s="2" t="e">
        <f t="shared" si="24"/>
        <v>#DIV/0!</v>
      </c>
    </row>
    <row r="165" spans="1:24" x14ac:dyDescent="0.3">
      <c r="A165" s="32" t="str">
        <f t="shared" si="23"/>
        <v>placeholder5 (Anchor-Mines/Timber Mills/Procesors, Bank, etc)</v>
      </c>
      <c r="B165" s="203" t="s">
        <v>505</v>
      </c>
      <c r="C165" s="3" t="s">
        <v>22</v>
      </c>
      <c r="D165" s="3"/>
      <c r="E165" s="3"/>
      <c r="F165" s="3"/>
      <c r="G165" s="3"/>
      <c r="H165" s="3"/>
      <c r="I165" s="3"/>
      <c r="J165" s="3"/>
      <c r="K165" s="3"/>
      <c r="L165" s="3"/>
      <c r="M165" s="3"/>
      <c r="N165" s="3"/>
      <c r="O165" s="3"/>
      <c r="P165" s="3"/>
      <c r="Q165" s="3"/>
      <c r="R165" s="3"/>
      <c r="S165" s="3"/>
      <c r="T165" s="3"/>
      <c r="U165" s="3"/>
      <c r="V165" s="3"/>
      <c r="X165" s="2" t="e">
        <f t="shared" si="24"/>
        <v>#DIV/0!</v>
      </c>
    </row>
    <row r="166" spans="1:24" x14ac:dyDescent="0.3">
      <c r="A166" s="32" t="str">
        <f t="shared" si="23"/>
        <v>placeholder6 (Institutions – schools, health centres, admin centres, etc)</v>
      </c>
      <c r="B166" s="203" t="s">
        <v>505</v>
      </c>
      <c r="C166" s="3" t="s">
        <v>22</v>
      </c>
      <c r="D166" s="3"/>
      <c r="E166" s="3"/>
      <c r="F166" s="3"/>
      <c r="G166" s="3"/>
      <c r="H166" s="3"/>
      <c r="I166" s="3"/>
      <c r="J166" s="3"/>
      <c r="K166" s="3"/>
      <c r="L166" s="3"/>
      <c r="M166" s="3"/>
      <c r="N166" s="3"/>
      <c r="O166" s="3"/>
      <c r="P166" s="3"/>
      <c r="Q166" s="3"/>
      <c r="R166" s="3"/>
      <c r="S166" s="3"/>
      <c r="T166" s="3"/>
      <c r="U166" s="3"/>
      <c r="V166" s="3"/>
      <c r="X166" s="2" t="e">
        <f t="shared" si="24"/>
        <v>#DIV/0!</v>
      </c>
    </row>
    <row r="167" spans="1:24" x14ac:dyDescent="0.3">
      <c r="A167" s="32"/>
      <c r="B167" s="4"/>
      <c r="C167" s="3"/>
      <c r="D167" s="3"/>
      <c r="E167" s="3"/>
      <c r="F167" s="3"/>
      <c r="G167" s="3"/>
      <c r="H167" s="3"/>
      <c r="I167" s="3"/>
      <c r="J167" s="3"/>
      <c r="K167" s="3"/>
      <c r="L167" s="3"/>
      <c r="M167" s="3"/>
      <c r="N167" s="3"/>
      <c r="O167" s="3"/>
      <c r="P167" s="3"/>
      <c r="Q167" s="3"/>
      <c r="R167" s="3"/>
      <c r="S167" s="3"/>
      <c r="T167" s="3"/>
      <c r="U167" s="3"/>
      <c r="V167" s="3"/>
      <c r="X167" s="2" t="e">
        <f t="shared" si="24"/>
        <v>#DIV/0!</v>
      </c>
    </row>
    <row r="168" spans="1:24" x14ac:dyDescent="0.3">
      <c r="A168" s="59"/>
      <c r="B168" s="60"/>
      <c r="C168" s="170" t="e">
        <f>AVERAGE(C161:C167)</f>
        <v>#DIV/0!</v>
      </c>
      <c r="D168" s="170" t="e">
        <f t="shared" ref="D168:X168" si="25">AVERAGE(D161:D167)</f>
        <v>#DIV/0!</v>
      </c>
      <c r="E168" s="170" t="e">
        <f t="shared" si="25"/>
        <v>#DIV/0!</v>
      </c>
      <c r="F168" s="170" t="e">
        <f t="shared" si="25"/>
        <v>#DIV/0!</v>
      </c>
      <c r="G168" s="170" t="e">
        <f t="shared" si="25"/>
        <v>#DIV/0!</v>
      </c>
      <c r="H168" s="170" t="e">
        <f t="shared" si="25"/>
        <v>#DIV/0!</v>
      </c>
      <c r="I168" s="170" t="e">
        <f t="shared" si="25"/>
        <v>#DIV/0!</v>
      </c>
      <c r="J168" s="170" t="e">
        <f t="shared" si="25"/>
        <v>#DIV/0!</v>
      </c>
      <c r="K168" s="170" t="e">
        <f t="shared" si="25"/>
        <v>#DIV/0!</v>
      </c>
      <c r="L168" s="170" t="e">
        <f t="shared" si="25"/>
        <v>#DIV/0!</v>
      </c>
      <c r="M168" s="170" t="e">
        <f t="shared" si="25"/>
        <v>#DIV/0!</v>
      </c>
      <c r="N168" s="170" t="e">
        <f t="shared" si="25"/>
        <v>#DIV/0!</v>
      </c>
      <c r="O168" s="170" t="e">
        <f t="shared" si="25"/>
        <v>#DIV/0!</v>
      </c>
      <c r="P168" s="170" t="e">
        <f t="shared" si="25"/>
        <v>#DIV/0!</v>
      </c>
      <c r="Q168" s="170" t="e">
        <f t="shared" si="25"/>
        <v>#DIV/0!</v>
      </c>
      <c r="R168" s="170" t="e">
        <f t="shared" si="25"/>
        <v>#DIV/0!</v>
      </c>
      <c r="S168" s="170" t="e">
        <f t="shared" si="25"/>
        <v>#DIV/0!</v>
      </c>
      <c r="T168" s="170" t="e">
        <f t="shared" si="25"/>
        <v>#DIV/0!</v>
      </c>
      <c r="U168" s="170" t="e">
        <f t="shared" si="25"/>
        <v>#DIV/0!</v>
      </c>
      <c r="V168" s="170" t="e">
        <f t="shared" si="25"/>
        <v>#DIV/0!</v>
      </c>
      <c r="W168"/>
      <c r="X168" s="170" t="e">
        <f t="shared" si="25"/>
        <v>#DIV/0!</v>
      </c>
    </row>
    <row r="169" spans="1:24" x14ac:dyDescent="0.3">
      <c r="A169" s="24"/>
      <c r="B169" s="37"/>
      <c r="E169" s="34"/>
      <c r="J169" s="22"/>
    </row>
    <row r="170" spans="1:24" x14ac:dyDescent="0.3">
      <c r="A170" s="24"/>
      <c r="B170" s="37"/>
    </row>
    <row r="171" spans="1:24" x14ac:dyDescent="0.3">
      <c r="A171" s="24"/>
      <c r="B171" s="37"/>
    </row>
    <row r="172" spans="1:24" x14ac:dyDescent="0.3">
      <c r="A172" s="24"/>
      <c r="B172" s="37"/>
    </row>
    <row r="173" spans="1:24" x14ac:dyDescent="0.3">
      <c r="A173" s="24"/>
      <c r="B173" s="37"/>
    </row>
    <row r="174" spans="1:24" x14ac:dyDescent="0.3">
      <c r="A174" s="24"/>
      <c r="B174" s="37"/>
    </row>
    <row r="175" spans="1:24" x14ac:dyDescent="0.3">
      <c r="A175" s="24"/>
      <c r="B175" s="37"/>
    </row>
    <row r="176" spans="1:24" x14ac:dyDescent="0.3">
      <c r="A176" s="24"/>
      <c r="B176" s="37"/>
    </row>
    <row r="177" spans="1:2" x14ac:dyDescent="0.3">
      <c r="A177" s="24"/>
      <c r="B177" s="37"/>
    </row>
    <row r="178" spans="1:2" x14ac:dyDescent="0.3">
      <c r="A178" s="24"/>
      <c r="B178" s="37"/>
    </row>
    <row r="179" spans="1:2" x14ac:dyDescent="0.3">
      <c r="A179" s="24"/>
      <c r="B179" s="37"/>
    </row>
    <row r="180" spans="1:2" x14ac:dyDescent="0.3">
      <c r="A180" s="24"/>
      <c r="B180" s="37"/>
    </row>
    <row r="181" spans="1:2" x14ac:dyDescent="0.3">
      <c r="A181" s="24"/>
      <c r="B181" s="37"/>
    </row>
    <row r="182" spans="1:2" x14ac:dyDescent="0.3">
      <c r="A182" s="24"/>
      <c r="B182" s="37"/>
    </row>
    <row r="183" spans="1:2" x14ac:dyDescent="0.3">
      <c r="A183" s="24"/>
      <c r="B183" s="37"/>
    </row>
    <row r="184" spans="1:2" x14ac:dyDescent="0.3">
      <c r="A184" s="24"/>
      <c r="B184" s="37"/>
    </row>
    <row r="185" spans="1:2" x14ac:dyDescent="0.3">
      <c r="A185" s="24"/>
      <c r="B185" s="37"/>
    </row>
    <row r="186" spans="1:2" x14ac:dyDescent="0.3">
      <c r="A186" s="24"/>
      <c r="B186" s="37"/>
    </row>
    <row r="187" spans="1:2" x14ac:dyDescent="0.3">
      <c r="A187" s="24"/>
      <c r="B187" s="37"/>
    </row>
    <row r="188" spans="1:2" x14ac:dyDescent="0.3">
      <c r="A188" s="24"/>
      <c r="B188" s="37"/>
    </row>
    <row r="189" spans="1:2" x14ac:dyDescent="0.3">
      <c r="A189" s="24"/>
      <c r="B189" s="37"/>
    </row>
    <row r="190" spans="1:2" x14ac:dyDescent="0.3">
      <c r="A190" s="24"/>
      <c r="B190" s="37"/>
    </row>
    <row r="191" spans="1:2" x14ac:dyDescent="0.3">
      <c r="A191" s="24"/>
      <c r="B191" s="37"/>
    </row>
    <row r="192" spans="1:2" x14ac:dyDescent="0.3">
      <c r="A192" s="24"/>
      <c r="B192" s="37"/>
    </row>
    <row r="193" spans="1:2" x14ac:dyDescent="0.3">
      <c r="A193" s="24"/>
      <c r="B193" s="37"/>
    </row>
    <row r="194" spans="1:2" x14ac:dyDescent="0.3">
      <c r="A194" s="24"/>
      <c r="B194" s="37"/>
    </row>
    <row r="195" spans="1:2" x14ac:dyDescent="0.3">
      <c r="A195" s="24"/>
      <c r="B195" s="37"/>
    </row>
    <row r="196" spans="1:2" x14ac:dyDescent="0.3">
      <c r="A196" s="24"/>
      <c r="B196" s="37"/>
    </row>
    <row r="197" spans="1:2" x14ac:dyDescent="0.3">
      <c r="A197" s="24"/>
      <c r="B197" s="37"/>
    </row>
    <row r="198" spans="1:2" x14ac:dyDescent="0.3">
      <c r="A198" s="24"/>
      <c r="B198" s="37"/>
    </row>
    <row r="199" spans="1:2" x14ac:dyDescent="0.3">
      <c r="A199" s="24"/>
      <c r="B199" s="37"/>
    </row>
    <row r="200" spans="1:2" x14ac:dyDescent="0.3">
      <c r="A200" s="24"/>
      <c r="B200" s="37"/>
    </row>
    <row r="201" spans="1:2" x14ac:dyDescent="0.3">
      <c r="A201" s="24"/>
      <c r="B201" s="37"/>
    </row>
    <row r="202" spans="1:2" x14ac:dyDescent="0.3">
      <c r="A202" s="24"/>
      <c r="B202" s="37"/>
    </row>
    <row r="203" spans="1:2" x14ac:dyDescent="0.3">
      <c r="A203" s="24"/>
      <c r="B203" s="37"/>
    </row>
    <row r="204" spans="1:2" x14ac:dyDescent="0.3">
      <c r="A204" s="24"/>
      <c r="B204" s="37"/>
    </row>
    <row r="205" spans="1:2" x14ac:dyDescent="0.3">
      <c r="A205" s="24"/>
      <c r="B205" s="37"/>
    </row>
    <row r="206" spans="1:2" x14ac:dyDescent="0.3">
      <c r="A206" s="24"/>
      <c r="B206" s="37"/>
    </row>
    <row r="207" spans="1:2" x14ac:dyDescent="0.3">
      <c r="A207" s="24"/>
      <c r="B207" s="37"/>
    </row>
    <row r="208" spans="1:2" x14ac:dyDescent="0.3">
      <c r="A208" s="24"/>
      <c r="B208" s="37"/>
    </row>
    <row r="209" spans="1:2" x14ac:dyDescent="0.3">
      <c r="A209" s="24"/>
      <c r="B209" s="37"/>
    </row>
    <row r="210" spans="1:2" x14ac:dyDescent="0.3">
      <c r="A210" s="24"/>
      <c r="B210" s="37"/>
    </row>
    <row r="211" spans="1:2" x14ac:dyDescent="0.3">
      <c r="A211" s="24"/>
      <c r="B211" s="37"/>
    </row>
    <row r="212" spans="1:2" x14ac:dyDescent="0.3">
      <c r="A212" s="24"/>
      <c r="B212" s="37"/>
    </row>
    <row r="213" spans="1:2" x14ac:dyDescent="0.3">
      <c r="A213" s="24"/>
      <c r="B213" s="37"/>
    </row>
    <row r="214" spans="1:2" x14ac:dyDescent="0.3">
      <c r="A214" s="24"/>
      <c r="B214" s="37"/>
    </row>
    <row r="215" spans="1:2" x14ac:dyDescent="0.3">
      <c r="A215" s="24"/>
      <c r="B215" s="37"/>
    </row>
    <row r="216" spans="1:2" x14ac:dyDescent="0.3">
      <c r="A216" s="24"/>
      <c r="B216" s="37"/>
    </row>
    <row r="217" spans="1:2" x14ac:dyDescent="0.3">
      <c r="A217" s="24"/>
      <c r="B217" s="37"/>
    </row>
    <row r="218" spans="1:2" x14ac:dyDescent="0.3">
      <c r="A218" s="24"/>
      <c r="B218" s="37"/>
    </row>
    <row r="219" spans="1:2" x14ac:dyDescent="0.3">
      <c r="A219" s="24"/>
      <c r="B219" s="37"/>
    </row>
    <row r="220" spans="1:2" x14ac:dyDescent="0.3">
      <c r="A220" s="24"/>
      <c r="B220" s="37"/>
    </row>
    <row r="221" spans="1:2" x14ac:dyDescent="0.3">
      <c r="A221" s="24"/>
      <c r="B221" s="37"/>
    </row>
    <row r="222" spans="1:2" x14ac:dyDescent="0.3">
      <c r="A222" s="24"/>
      <c r="B222" s="37"/>
    </row>
    <row r="223" spans="1:2" x14ac:dyDescent="0.3">
      <c r="A223" s="24"/>
      <c r="B223" s="37"/>
    </row>
    <row r="224" spans="1:2" x14ac:dyDescent="0.3">
      <c r="A224" s="24"/>
      <c r="B224" s="37"/>
    </row>
    <row r="225" spans="1:2" x14ac:dyDescent="0.3">
      <c r="A225" s="24"/>
      <c r="B225" s="37"/>
    </row>
    <row r="226" spans="1:2" x14ac:dyDescent="0.3">
      <c r="A226" s="24"/>
      <c r="B226" s="37"/>
    </row>
    <row r="227" spans="1:2" x14ac:dyDescent="0.3">
      <c r="A227" s="24"/>
      <c r="B227" s="37"/>
    </row>
    <row r="228" spans="1:2" x14ac:dyDescent="0.3">
      <c r="A228" s="24"/>
      <c r="B228" s="37"/>
    </row>
    <row r="229" spans="1:2" x14ac:dyDescent="0.3">
      <c r="A229" s="24"/>
      <c r="B229" s="37"/>
    </row>
    <row r="230" spans="1:2" x14ac:dyDescent="0.3">
      <c r="A230" s="24"/>
      <c r="B230" s="37"/>
    </row>
    <row r="231" spans="1:2" x14ac:dyDescent="0.3">
      <c r="A231" s="24"/>
      <c r="B231" s="37"/>
    </row>
    <row r="232" spans="1:2" x14ac:dyDescent="0.3">
      <c r="A232" s="24"/>
      <c r="B232" s="37"/>
    </row>
    <row r="233" spans="1:2" x14ac:dyDescent="0.3">
      <c r="A233" s="24"/>
      <c r="B233" s="37"/>
    </row>
    <row r="234" spans="1:2" x14ac:dyDescent="0.3">
      <c r="A234" s="24"/>
      <c r="B234" s="37"/>
    </row>
    <row r="235" spans="1:2" x14ac:dyDescent="0.3">
      <c r="A235" s="24"/>
      <c r="B235" s="37"/>
    </row>
    <row r="236" spans="1:2" x14ac:dyDescent="0.3">
      <c r="A236" s="24"/>
      <c r="B236" s="37"/>
    </row>
    <row r="237" spans="1:2" x14ac:dyDescent="0.3">
      <c r="A237" s="24"/>
      <c r="B237" s="37"/>
    </row>
    <row r="238" spans="1:2" x14ac:dyDescent="0.3">
      <c r="A238" s="24"/>
      <c r="B238" s="37"/>
    </row>
    <row r="239" spans="1:2" x14ac:dyDescent="0.3">
      <c r="A239" s="24"/>
      <c r="B239" s="37"/>
    </row>
    <row r="240" spans="1:2" x14ac:dyDescent="0.3">
      <c r="A240" s="24"/>
      <c r="B240" s="37"/>
    </row>
    <row r="241" spans="1:2" x14ac:dyDescent="0.3">
      <c r="A241" s="24"/>
      <c r="B241" s="37"/>
    </row>
    <row r="242" spans="1:2" x14ac:dyDescent="0.3">
      <c r="A242" s="24"/>
      <c r="B242" s="37"/>
    </row>
    <row r="243" spans="1:2" x14ac:dyDescent="0.3">
      <c r="A243" s="24"/>
      <c r="B243" s="37"/>
    </row>
    <row r="244" spans="1:2" x14ac:dyDescent="0.3">
      <c r="A244" s="24"/>
      <c r="B244" s="37"/>
    </row>
    <row r="245" spans="1:2" x14ac:dyDescent="0.3">
      <c r="A245" s="24"/>
      <c r="B245" s="37"/>
    </row>
    <row r="246" spans="1:2" x14ac:dyDescent="0.3">
      <c r="A246" s="24"/>
      <c r="B246" s="37"/>
    </row>
    <row r="247" spans="1:2" x14ac:dyDescent="0.3">
      <c r="A247" s="24"/>
      <c r="B247" s="37"/>
    </row>
    <row r="248" spans="1:2" x14ac:dyDescent="0.3">
      <c r="A248" s="24"/>
      <c r="B248" s="37"/>
    </row>
    <row r="249" spans="1:2" x14ac:dyDescent="0.3">
      <c r="A249" s="24"/>
      <c r="B249" s="37"/>
    </row>
    <row r="250" spans="1:2" x14ac:dyDescent="0.3">
      <c r="A250" s="24"/>
      <c r="B250" s="37"/>
    </row>
    <row r="251" spans="1:2" x14ac:dyDescent="0.3">
      <c r="A251" s="24"/>
      <c r="B251" s="37"/>
    </row>
    <row r="252" spans="1:2" x14ac:dyDescent="0.3">
      <c r="A252" s="24"/>
      <c r="B252" s="37"/>
    </row>
    <row r="253" spans="1:2" x14ac:dyDescent="0.3">
      <c r="A253" s="24"/>
      <c r="B253" s="37"/>
    </row>
    <row r="254" spans="1:2" x14ac:dyDescent="0.3">
      <c r="A254" s="24"/>
      <c r="B254" s="37"/>
    </row>
    <row r="255" spans="1:2" x14ac:dyDescent="0.3">
      <c r="A255" s="24"/>
      <c r="B255" s="37"/>
    </row>
    <row r="256" spans="1:2" x14ac:dyDescent="0.3">
      <c r="A256" s="24"/>
      <c r="B256" s="37"/>
    </row>
    <row r="257" spans="1:2" x14ac:dyDescent="0.3">
      <c r="A257" s="24"/>
      <c r="B257" s="37"/>
    </row>
    <row r="258" spans="1:2" x14ac:dyDescent="0.3">
      <c r="A258" s="24"/>
      <c r="B258" s="37"/>
    </row>
    <row r="259" spans="1:2" x14ac:dyDescent="0.3">
      <c r="A259" s="24"/>
      <c r="B259" s="37"/>
    </row>
    <row r="260" spans="1:2" x14ac:dyDescent="0.3">
      <c r="A260" s="24"/>
      <c r="B260" s="37"/>
    </row>
    <row r="261" spans="1:2" x14ac:dyDescent="0.3">
      <c r="A261" s="24"/>
      <c r="B261" s="37"/>
    </row>
    <row r="262" spans="1:2" x14ac:dyDescent="0.3">
      <c r="A262" s="24"/>
      <c r="B262" s="37"/>
    </row>
    <row r="263" spans="1:2" x14ac:dyDescent="0.3">
      <c r="A263" s="24"/>
      <c r="B263" s="37"/>
    </row>
    <row r="264" spans="1:2" x14ac:dyDescent="0.3">
      <c r="A264" s="24"/>
      <c r="B264" s="37"/>
    </row>
    <row r="265" spans="1:2" x14ac:dyDescent="0.3">
      <c r="A265" s="24"/>
      <c r="B265" s="37"/>
    </row>
    <row r="266" spans="1:2" x14ac:dyDescent="0.3">
      <c r="A266" s="24"/>
      <c r="B266" s="37"/>
    </row>
    <row r="267" spans="1:2" x14ac:dyDescent="0.3">
      <c r="A267" s="24"/>
      <c r="B267" s="37"/>
    </row>
    <row r="268" spans="1:2" x14ac:dyDescent="0.3">
      <c r="A268" s="24"/>
      <c r="B268" s="37"/>
    </row>
    <row r="269" spans="1:2" x14ac:dyDescent="0.3">
      <c r="A269" s="24"/>
      <c r="B269" s="37"/>
    </row>
    <row r="270" spans="1:2" x14ac:dyDescent="0.3">
      <c r="A270" s="24"/>
      <c r="B270" s="37"/>
    </row>
  </sheetData>
  <sheetProtection algorithmName="SHA-512" hashValue="g89IyUDwZvRf+lHF5WOlICPJjtBreXoC5S5aLTiYkrQ+SdbrtUXdK8c2jNQAG9jB2m9/ClaJI4UI23CYbRSTcQ==" saltValue="N/KYxYF1tkCXADv6sLhbpA==" spinCount="100000" sheet="1" formatCells="0" formatColumns="0" formatRows="0" insertColumns="0" insertRows="0"/>
  <mergeCells count="58">
    <mergeCell ref="V147:V148"/>
    <mergeCell ref="X147:X148"/>
    <mergeCell ref="Q147:Q148"/>
    <mergeCell ref="R147:R148"/>
    <mergeCell ref="S147:S148"/>
    <mergeCell ref="T147:T148"/>
    <mergeCell ref="U147:U148"/>
    <mergeCell ref="P147:P148"/>
    <mergeCell ref="G147:G148"/>
    <mergeCell ref="H147:H148"/>
    <mergeCell ref="I147:I148"/>
    <mergeCell ref="J147:J148"/>
    <mergeCell ref="K147:K148"/>
    <mergeCell ref="L147:L148"/>
    <mergeCell ref="M147:M148"/>
    <mergeCell ref="N147:N148"/>
    <mergeCell ref="O147:O148"/>
    <mergeCell ref="B147:B148"/>
    <mergeCell ref="C147:C148"/>
    <mergeCell ref="D147:D148"/>
    <mergeCell ref="E147:E148"/>
    <mergeCell ref="F147:F148"/>
    <mergeCell ref="V135:V136"/>
    <mergeCell ref="X135:X136"/>
    <mergeCell ref="P135:P136"/>
    <mergeCell ref="Q135:Q136"/>
    <mergeCell ref="R135:R136"/>
    <mergeCell ref="S135:S136"/>
    <mergeCell ref="T135:T136"/>
    <mergeCell ref="C135:C136"/>
    <mergeCell ref="D135:D136"/>
    <mergeCell ref="E135:E136"/>
    <mergeCell ref="F135:F136"/>
    <mergeCell ref="G135:G136"/>
    <mergeCell ref="P42:R42"/>
    <mergeCell ref="S42:U42"/>
    <mergeCell ref="H135:H136"/>
    <mergeCell ref="I135:I136"/>
    <mergeCell ref="J135:J136"/>
    <mergeCell ref="K135:K136"/>
    <mergeCell ref="L135:L136"/>
    <mergeCell ref="U135:U136"/>
    <mergeCell ref="A79:C79"/>
    <mergeCell ref="B135:B136"/>
    <mergeCell ref="A22:X22"/>
    <mergeCell ref="A45:X45"/>
    <mergeCell ref="A61:X61"/>
    <mergeCell ref="A115:X115"/>
    <mergeCell ref="A97:C97"/>
    <mergeCell ref="V42:X42"/>
    <mergeCell ref="A42:C42"/>
    <mergeCell ref="D42:F42"/>
    <mergeCell ref="G42:I42"/>
    <mergeCell ref="J42:L42"/>
    <mergeCell ref="M42:O42"/>
    <mergeCell ref="M135:M136"/>
    <mergeCell ref="N135:N136"/>
    <mergeCell ref="O135:O136"/>
  </mergeCells>
  <dataValidations xWindow="1119" yWindow="848" count="7">
    <dataValidation allowBlank="1" showInputMessage="1" showErrorMessage="1" promptTitle="Note" prompt="Capacity Factor is the % representation of the actual production vs. the installed nameplate design capacity annual production of an energy project. " sqref="A7:B7" xr:uid="{6D8D85D6-C372-4BA4-8D58-F55E0C1BE7D6}"/>
    <dataValidation type="custom" allowBlank="1" showInputMessage="1" showErrorMessage="1" errorTitle="Error" error="This figure is fixed and therefore cannot be changed" promptTitle="Note" prompt="This value is fixed at 365 days/yr x 24 hrs/day= 8760 hrs per yr" sqref="C6:V6 X6" xr:uid="{96FAB698-7CF7-4AA7-9FCE-6C9DABCC3170}">
      <formula1>0</formula1>
    </dataValidation>
    <dataValidation allowBlank="1" showInputMessage="1" showErrorMessage="1" promptTitle="Note: " prompt="Includes the cost and installation of assets relevant to the generation and supply of electricity" sqref="A21" xr:uid="{A0A72B67-1013-4A95-9C45-6732376724CD}"/>
    <dataValidation type="list" allowBlank="1" showInputMessage="1" showErrorMessage="1" errorTitle="Error" error="Unit of Measurement entered is not allowed. Please choose one from amongst: Kw or MW" promptTitle="Units" prompt="Please select unit of measurements, i.e. kW or MW" sqref="B5" xr:uid="{82F0F1E1-C00E-4557-8E83-8A4D226C846D}">
      <formula1>"kWp,MWp"</formula1>
    </dataValidation>
    <dataValidation type="list" allowBlank="1" showInputMessage="1" showErrorMessage="1" errorTitle="Error" error="Unit of Measurement entered is not allowed. Please choose one from amongst: Kw or MW" promptTitle="Units" prompt="Please select unit of measurements, i.e. kW or MW" sqref="B6" xr:uid="{60CCB5B3-465A-41AA-A711-1A5A16FEE597}">
      <formula1>"kW,MW"</formula1>
    </dataValidation>
    <dataValidation type="list" allowBlank="1" showInputMessage="1" showErrorMessage="1" errorTitle="Error" error="Your entry is out of range. Please select from one of the % provided, i.e. 0%, 0,25%, 0,5%, 0,75% or 1,0%" promptTitle="Plant Annual Degradation Rate" prompt="Please select from the percentages provided, i.e., 0%, 0,25%, 0,5%, 0,75% or 1,0%" sqref="C15:V15 X15" xr:uid="{EF3423E6-D313-4AFA-BA40-3CCE68D931AE}">
      <formula1>"0%,0.25%,0.5%,0.75%,1.0%"</formula1>
    </dataValidation>
    <dataValidation type="list" allowBlank="1" showInputMessage="1" showErrorMessage="1" errorTitle="Error" error="The figure entered is outside the range. Please select from the allowed range" promptTitle="Useful life or License Period" prompt="Select the plant economic useful life or license period" sqref="C16:V16 X16" xr:uid="{C34BBD9D-F5AC-40E9-A519-FFAA1A7D7749}">
      <formula1>"25,24,23,22,21,20,19,18,17,16,15,14,13,12,11,10,9,8,7,6,5"</formula1>
    </dataValidation>
  </dataValidations>
  <pageMargins left="0.7" right="0.7" top="0.75" bottom="0.75" header="0.3" footer="0.3"/>
  <pageSetup paperSize="9" orientation="portrait" r:id="rId1"/>
  <ignoredErrors>
    <ignoredError sqref="A42 B130:B131 X5:X6 A137:A144 A149:A154 D9:W9 Y9:AN9 W13 Y13:AN13 AK10:AN12" unlockedFormula="1"/>
    <ignoredError sqref="D10:D12 E10:I12 J10:P12 Q10:U12 V10:W12 Y10:AJ12 X10 D13:V13 X12:X13" formula="1" unlockedFormula="1"/>
    <ignoredError sqref="X9" evalError="1" unlockedFormula="1"/>
    <ignoredError sqref="X8" evalError="1" formula="1" unlockedFormula="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Tool User Guide</vt:lpstr>
      <vt:lpstr>Inputs</vt:lpstr>
      <vt:lpstr>Calculations</vt:lpstr>
      <vt:lpstr>Outputs</vt:lpstr>
      <vt:lpstr>Portfolio tab</vt:lpstr>
      <vt:lpstr>Outputs!Print_Area</vt:lpstr>
      <vt:lpstr>'Tool User Guide'!Print_Titles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dc:creator>
  <cp:lastModifiedBy>Alexandros Korkovelos</cp:lastModifiedBy>
  <cp:lastPrinted>2024-01-09T08:31:24Z</cp:lastPrinted>
  <dcterms:created xsi:type="dcterms:W3CDTF">2021-10-19T10:07:09Z</dcterms:created>
  <dcterms:modified xsi:type="dcterms:W3CDTF">2024-02-19T08:37:55Z</dcterms:modified>
</cp:coreProperties>
</file>