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ubeSat_Radio_V0.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<sst xmlns="http://schemas.openxmlformats.org/spreadsheetml/2006/main" count="201" uniqueCount="146">
  <si>
    <t xml:space="preserve">Desc</t>
  </si>
  <si>
    <t xml:space="preserve">part num</t>
  </si>
  <si>
    <t xml:space="preserve">digikey num</t>
  </si>
  <si>
    <t xml:space="preserve">mouser num</t>
  </si>
  <si>
    <t xml:space="preserve">qty</t>
  </si>
  <si>
    <t xml:space="preserve">qty SMD</t>
  </si>
  <si>
    <t xml:space="preserve">qty RF SMD</t>
  </si>
  <si>
    <t xml:space="preserve">ref</t>
  </si>
  <si>
    <t xml:space="preserve">correct on sch</t>
  </si>
  <si>
    <t xml:space="preserve">total</t>
  </si>
  <si>
    <t xml:space="preserve">price (CAD)/unit @ quantity</t>
  </si>
  <si>
    <t xml:space="preserve">total price (CAD)</t>
  </si>
  <si>
    <t xml:space="preserve">mult:</t>
  </si>
  <si>
    <t xml:space="preserve">TRIMMER 10K OHM 0.1W SMD</t>
  </si>
  <si>
    <t xml:space="preserve">TC33X-2-103E</t>
  </si>
  <si>
    <t xml:space="preserve">RV1</t>
  </si>
  <si>
    <t xml:space="preserve">Yes</t>
  </si>
  <si>
    <t xml:space="preserve">IC REG LDO 3.3V 0.2A 5SOT</t>
  </si>
  <si>
    <t xml:space="preserve">TPS79933DDCR</t>
  </si>
  <si>
    <t xml:space="preserve">U7</t>
  </si>
  <si>
    <t xml:space="preserve">IC REG LDO ADJ 1.5A TO263-5</t>
  </si>
  <si>
    <t xml:space="preserve">RT9183HGM5</t>
  </si>
  <si>
    <t xml:space="preserve">N/A</t>
  </si>
  <si>
    <t xml:space="preserve">U9</t>
  </si>
  <si>
    <t xml:space="preserve">IC RF TXRX+MCU ISM&lt;1GHZ 32-VFQFN</t>
  </si>
  <si>
    <t xml:space="preserve">CC1125RHBR</t>
  </si>
  <si>
    <t xml:space="preserve">U2</t>
  </si>
  <si>
    <t xml:space="preserve">SWITCH SLIDE DPDT 300MA 6V</t>
  </si>
  <si>
    <t xml:space="preserve">JS202011CQN</t>
  </si>
  <si>
    <t xml:space="preserve">SW3</t>
  </si>
  <si>
    <t xml:space="preserve">BOARD SHIELD 0.5X0.538" 1PIECE</t>
  </si>
  <si>
    <t xml:space="preserve">BMI-S-101</t>
  </si>
  <si>
    <t xml:space="preserve">CONN HEADER 10POS .100 STR TIN</t>
  </si>
  <si>
    <t xml:space="preserve">67997-410HLF</t>
  </si>
  <si>
    <t xml:space="preserve">P1</t>
  </si>
  <si>
    <t xml:space="preserve">MOSFET 2N-CH 60V 0.23A SOT-363</t>
  </si>
  <si>
    <t xml:space="preserve">2N7002DW-7-F</t>
  </si>
  <si>
    <t xml:space="preserve">U1</t>
  </si>
  <si>
    <t xml:space="preserve">LED ORANGE CLEAR 0603 SMD</t>
  </si>
  <si>
    <t xml:space="preserve">LTST-C191KFKT</t>
  </si>
  <si>
    <t xml:space="preserve">D3</t>
  </si>
  <si>
    <t xml:space="preserve">LED GREEN CLEAR 0603 SMD</t>
  </si>
  <si>
    <t xml:space="preserve">LTST-C191KGKT</t>
  </si>
  <si>
    <t xml:space="preserve">D1</t>
  </si>
  <si>
    <t xml:space="preserve">LED RED CLEAR 0603 SMD</t>
  </si>
  <si>
    <t xml:space="preserve">LTST-C191KRKT</t>
  </si>
  <si>
    <t xml:space="preserve">D2</t>
  </si>
  <si>
    <t xml:space="preserve">CONN SMA JACK 50 OHM EDGE MNT</t>
  </si>
  <si>
    <t xml:space="preserve">0732511150</t>
  </si>
  <si>
    <t xml:space="preserve">J1</t>
  </si>
  <si>
    <t xml:space="preserve">CONN HEADER VERT SGL 3POS GOLD</t>
  </si>
  <si>
    <t xml:space="preserve">961103-6404-AR</t>
  </si>
  <si>
    <t xml:space="preserve">P2 P3 P4</t>
  </si>
  <si>
    <t xml:space="preserve">SHUNT JUMPER .1" BLACK GOLD</t>
  </si>
  <si>
    <t xml:space="preserve">969102-0000-DA</t>
  </si>
  <si>
    <t xml:space="preserve">DNP</t>
  </si>
  <si>
    <t xml:space="preserve">OSC TCXO 38.4MHZ CLIP SNWV SMD</t>
  </si>
  <si>
    <t xml:space="preserve">ASTXR-12-38.400MHZ-514054-T</t>
  </si>
  <si>
    <t xml:space="preserve">X1</t>
  </si>
  <si>
    <t xml:space="preserve">IC SWITCH SP2T</t>
  </si>
  <si>
    <t xml:space="preserve">SKY13372-467LF</t>
  </si>
  <si>
    <t xml:space="preserve">U4</t>
  </si>
  <si>
    <t xml:space="preserve">418MHZ 6X6 FEM W/PA BYPASS</t>
  </si>
  <si>
    <t xml:space="preserve">SKY65366-21</t>
  </si>
  <si>
    <t xml:space="preserve">U5</t>
  </si>
  <si>
    <t xml:space="preserve">BALUN 431-436MHZ 8UFBGA</t>
  </si>
  <si>
    <t xml:space="preserve">BALF-112X-02D3</t>
  </si>
  <si>
    <t xml:space="preserve">U3</t>
  </si>
  <si>
    <t xml:space="preserve">3pF capacitor, 1005 (0402)</t>
  </si>
  <si>
    <t xml:space="preserve">GRM1555C1H3R0WA01D</t>
  </si>
  <si>
    <t xml:space="preserve">C29</t>
  </si>
  <si>
    <t xml:space="preserve">8.2pF capacitor, 1005 (0402)</t>
  </si>
  <si>
    <t xml:space="preserve">GRM1555C1H8R2WA01D</t>
  </si>
  <si>
    <t xml:space="preserve">C28 C30</t>
  </si>
  <si>
    <t xml:space="preserve">39pF capacitor, 1005 (0402)</t>
  </si>
  <si>
    <t xml:space="preserve">GRM1555C1H390JA01D</t>
  </si>
  <si>
    <t xml:space="preserve">C18</t>
  </si>
  <si>
    <t xml:space="preserve">47pF capacitor, 1005 (0402)</t>
  </si>
  <si>
    <t xml:space="preserve">GRM1555C1H470JA01D</t>
  </si>
  <si>
    <t xml:space="preserve">C19 C20 C21</t>
  </si>
  <si>
    <t xml:space="preserve">56pF capacitor, 1005 (0402)</t>
  </si>
  <si>
    <t xml:space="preserve">GRM1555C1H560JA01D</t>
  </si>
  <si>
    <t xml:space="preserve">C17</t>
  </si>
  <si>
    <t xml:space="preserve">220pF capacitor, 1005 (0402)</t>
  </si>
  <si>
    <t xml:space="preserve">885012205040</t>
  </si>
  <si>
    <t xml:space="preserve">C24 C25</t>
  </si>
  <si>
    <t xml:space="preserve">1nF capacitor, 1005 (0402)</t>
  </si>
  <si>
    <t xml:space="preserve">GRM1555C1H102JA01D</t>
  </si>
  <si>
    <t xml:space="preserve">C5 C26</t>
  </si>
  <si>
    <t xml:space="preserve">1.8nF capacitor, 1005 (0402)</t>
  </si>
  <si>
    <t xml:space="preserve">GRM1557U1A182JA01D</t>
  </si>
  <si>
    <t xml:space="preserve">C14</t>
  </si>
  <si>
    <t xml:space="preserve">4.7nF capacitor, 1005 (0402)</t>
  </si>
  <si>
    <t xml:space="preserve">GRM155R71E472JA01D</t>
  </si>
  <si>
    <t xml:space="preserve">C22</t>
  </si>
  <si>
    <t xml:space="preserve">10nF capacitor, 1005 (0402)</t>
  </si>
  <si>
    <t xml:space="preserve">GRM155R71E103KA01D</t>
  </si>
  <si>
    <t xml:space="preserve">C16 C23</t>
  </si>
  <si>
    <t xml:space="preserve">47nF capacitor, 1005 (0402)</t>
  </si>
  <si>
    <t xml:space="preserve">GRM155R71E473KA88D</t>
  </si>
  <si>
    <t xml:space="preserve">C1 C2 C6 C7 C8 C9 C10 C11 C12 C13 C15 C33</t>
  </si>
  <si>
    <t xml:space="preserve">100nF capacitor, 1005 (0402)</t>
  </si>
  <si>
    <t xml:space="preserve">GRM155R71A104KA01D</t>
  </si>
  <si>
    <t xml:space="preserve">C4 C31 C32</t>
  </si>
  <si>
    <t xml:space="preserve">220nF capacitor, 1005 (0402)</t>
  </si>
  <si>
    <t xml:space="preserve">GRM155R61A224KE19D</t>
  </si>
  <si>
    <t xml:space="preserve">C3</t>
  </si>
  <si>
    <t xml:space="preserve">1uF capacitor, 1608 (0603)</t>
  </si>
  <si>
    <t xml:space="preserve">GRM188R71E105KA12D</t>
  </si>
  <si>
    <t xml:space="preserve">C27</t>
  </si>
  <si>
    <t xml:space="preserve">2.2uF capacitor, 1608 (0603)</t>
  </si>
  <si>
    <t xml:space="preserve">GRM188R61A225KE34D</t>
  </si>
  <si>
    <t xml:space="preserve">C37</t>
  </si>
  <si>
    <t xml:space="preserve">10uF capacitor, 3225 (1210)</t>
  </si>
  <si>
    <t xml:space="preserve">GRM32DR71E106KA12L</t>
  </si>
  <si>
    <t xml:space="preserve">C34 C39</t>
  </si>
  <si>
    <t xml:space="preserve">56nH inductor, 1005 (0402)</t>
  </si>
  <si>
    <t xml:space="preserve">LQW15AN56NJ00</t>
  </si>
  <si>
    <t xml:space="preserve">L1</t>
  </si>
  <si>
    <t xml:space="preserve">12nH inductor, 1005 (0402)</t>
  </si>
  <si>
    <t xml:space="preserve">LQW15AN12NJ00D</t>
  </si>
  <si>
    <t xml:space="preserve">L2</t>
  </si>
  <si>
    <t xml:space="preserve">0 ohm resistor, 1005 (0402)</t>
  </si>
  <si>
    <t xml:space="preserve">ERJ-2GE0R00X</t>
  </si>
  <si>
    <t xml:space="preserve">R4 R9</t>
  </si>
  <si>
    <t xml:space="preserve">18 ohm resistor, 1005 (0402)</t>
  </si>
  <si>
    <t xml:space="preserve">ERJ-2RKF18R0X</t>
  </si>
  <si>
    <t xml:space="preserve">R8</t>
  </si>
  <si>
    <t xml:space="preserve">287 ohm resistor, 1005 (0402)</t>
  </si>
  <si>
    <t xml:space="preserve">ERJ-2RKF2870X</t>
  </si>
  <si>
    <t xml:space="preserve">R1 R2 R3 R12</t>
  </si>
  <si>
    <t xml:space="preserve">634 ohm resistor, 1005 (0402)</t>
  </si>
  <si>
    <t xml:space="preserve">ERJ-2RKF6340X</t>
  </si>
  <si>
    <t xml:space="preserve">R10</t>
  </si>
  <si>
    <t xml:space="preserve">1k ohm resistor, 1005 (0402)</t>
  </si>
  <si>
    <t xml:space="preserve">ERJ-2RKF1001X</t>
  </si>
  <si>
    <t xml:space="preserve">R5 R6 R11 R13 R14</t>
  </si>
  <si>
    <t xml:space="preserve">56k ohm resistor, 1005 (0402)</t>
  </si>
  <si>
    <t xml:space="preserve">ERJ-2RKF5602X</t>
  </si>
  <si>
    <t xml:space="preserve">R7</t>
  </si>
  <si>
    <t xml:space="preserve">CONN HOUSING 2POS .156" SNGL</t>
  </si>
  <si>
    <t xml:space="preserve">2132813-2</t>
  </si>
  <si>
    <t xml:space="preserve">CONN HEADER 2POS STR .156 TIN</t>
  </si>
  <si>
    <t xml:space="preserve">1877285-2</t>
  </si>
  <si>
    <t xml:space="preserve">J2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</si>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</sst>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u val="single"/>
      <sz val="9"/>
      <color rgb="FF1155CC"/>
      <name val="Arial"/>
      <family val="2"/>
      <charset val="1"/>
    </font>
    <font>
      <u val="single"/>
      <sz val="9"/>
      <color rgb="FF0000FF"/>
      <name val="Cambria"/>
      <family val="1"/>
      <charset val="1"/>
    </font>
    <font>
      <sz val="9"/>
      <name val="Cambria"/>
      <family val="1"/>
      <charset val="1"/>
    </font>
    <font>
      <u val="single"/>
      <sz val="9"/>
      <color rgb="FF1155CC"/>
      <name val="Cambria"/>
      <family val="1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6D7A8"/>
        <bgColor rgb="FFB7E1C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4C7C3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CE8B2"/>
        </patternFill>
      </fill>
      <border diagonalUp="false" diagonalDown="false">
        <left/>
        <right/>
        <top/>
        <bottom/>
        <diagonal/>
      </border>
    </dxf>
    <dxf>
      <font>
        <color rgb="FF000000"/>
      </font>
      <fill>
        <patternFill>
          <bgColor rgb="FFB7B7B7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CE8B2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RowHeight="15.75"/>
  <cols>
    <col collapsed="false" hidden="false" max="1" min="1" style="0" width="37.6632653061224"/>
    <col collapsed="false" hidden="false" max="2" min="2" style="0" width="24.1632653061224"/>
    <col collapsed="false" hidden="false" max="3" min="3" style="0" width="19.0357142857143"/>
    <col collapsed="false" hidden="false" max="4" min="4" style="0" width="23.8928571428571"/>
    <col collapsed="false" hidden="false" max="5" min="5" style="0" width="8.63775510204082"/>
    <col collapsed="false" hidden="false" max="6" min="6" style="0" width="9.04591836734694"/>
    <col collapsed="false" hidden="false" max="8" min="7" style="0" width="16.469387755102"/>
    <col collapsed="false" hidden="false" max="9" min="9" style="0" width="25.515306122449"/>
    <col collapsed="false" hidden="false" max="10" min="10" style="0" width="15.3877551020408"/>
    <col collapsed="false" hidden="false" max="11" min="11" style="0" width="6.3469387755102"/>
    <col collapsed="false" hidden="false" max="12" min="12" style="0" width="26.0510204081633"/>
    <col collapsed="false" hidden="false" max="13" min="13" style="0" width="16.469387755102"/>
    <col collapsed="false" hidden="false" max="1025" min="14" style="0" width="14.1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n">
        <v>3</v>
      </c>
    </row>
    <row r="2" customFormat="false" ht="14.9" hidden="false" customHeight="false" outlineLevel="0" collapsed="false">
      <c r="A2" s="3" t="s">
        <v>13</v>
      </c>
      <c r="B2" s="4" t="s">
        <v>14</v>
      </c>
      <c r="C2" s="5" t="str">
        <f aca="false">HYPERLINK("http://www.digikey.ca/products/en?keywords=TC33X-103ECT-ND","TC33X-103ECT-ND")</f>
        <v>TC33X-103ECT-ND</v>
      </c>
      <c r="D2" s="6" t="str">
        <f aca="false">HYPERLINK("http://ca.mouser.com/ProductDetail/Bourns/TC33X-2-103E/?qs=%2fha2pyFaduj%252bpyZxaRRu4j%2fnsDjoX3ZTG%252bJ%252bhR0kZqzNWKwUady1%2fA%3d%3d","652-TC33X-2-103E")</f>
        <v>652-TC33X-2-103E</v>
      </c>
      <c r="E2" s="2" t="n">
        <v>1</v>
      </c>
      <c r="F2" s="2" t="n">
        <v>1</v>
      </c>
      <c r="G2" s="2"/>
      <c r="H2" s="2"/>
      <c r="I2" s="2" t="s">
        <v>15</v>
      </c>
      <c r="J2" s="2" t="s">
        <v>16</v>
      </c>
      <c r="K2" s="0" t="n">
        <f aca="false">E2*$O$1</f>
        <v>3</v>
      </c>
      <c r="L2" s="7" t="n">
        <v>0.42</v>
      </c>
      <c r="M2" s="8" t="n">
        <f aca="false">K2*L2</f>
        <v>1.26</v>
      </c>
    </row>
    <row r="3" customFormat="false" ht="14.9" hidden="false" customHeight="false" outlineLevel="0" collapsed="false">
      <c r="A3" s="3" t="s">
        <v>17</v>
      </c>
      <c r="B3" s="3" t="s">
        <v>18</v>
      </c>
      <c r="C3" s="5" t="str">
        <f aca="false">HYPERLINK("http://www.digikey.ca/products/en?keywords=296-17783-1-ND","296-17783-1-ND")</f>
        <v>296-17783-1-ND</v>
      </c>
      <c r="D3" s="6" t="str">
        <f aca="false">HYPERLINK("http://ca.mouser.com/ProductDetail/Texas-Instruments/TPS79933DDCR/?qs=sGAEpiMZZMsGz1a6aV8DcPXeWoVS0FnzIoKdmO7Ikbs%3d","595-TPS79933DDCR")</f>
        <v>595-TPS79933DDCR</v>
      </c>
      <c r="E3" s="2" t="n">
        <v>1</v>
      </c>
      <c r="F3" s="2" t="n">
        <v>1</v>
      </c>
      <c r="G3" s="2"/>
      <c r="H3" s="2"/>
      <c r="I3" s="2" t="s">
        <v>19</v>
      </c>
      <c r="J3" s="2" t="s">
        <v>16</v>
      </c>
      <c r="K3" s="0" t="n">
        <f aca="false">E3*$O$1</f>
        <v>3</v>
      </c>
      <c r="L3" s="7" t="n">
        <v>1.3</v>
      </c>
      <c r="M3" s="8" t="n">
        <f aca="false">K3*L3</f>
        <v>3.9</v>
      </c>
    </row>
    <row r="4" customFormat="false" ht="14.9" hidden="false" customHeight="false" outlineLevel="0" collapsed="false">
      <c r="A4" s="3" t="s">
        <v>20</v>
      </c>
      <c r="B4" s="3" t="s">
        <v>21</v>
      </c>
      <c r="C4" s="5" t="str">
        <f aca="false">HYPERLINK("http://www.digikey.ca/products/en?keywords=1028-1183-1-ND","1028-1183-1-ND")</f>
        <v>1028-1183-1-ND</v>
      </c>
      <c r="D4" s="9" t="s">
        <v>22</v>
      </c>
      <c r="E4" s="2" t="n">
        <v>1</v>
      </c>
      <c r="F4" s="2" t="n">
        <v>1</v>
      </c>
      <c r="G4" s="2"/>
      <c r="H4" s="2"/>
      <c r="I4" s="2" t="s">
        <v>23</v>
      </c>
      <c r="J4" s="2" t="s">
        <v>16</v>
      </c>
      <c r="K4" s="0" t="n">
        <f aca="false">E4*$O$1</f>
        <v>3</v>
      </c>
      <c r="L4" s="7" t="n">
        <v>1.67</v>
      </c>
      <c r="M4" s="8" t="n">
        <f aca="false">K4*L4</f>
        <v>5.01</v>
      </c>
    </row>
    <row r="5" customFormat="false" ht="14.9" hidden="false" customHeight="false" outlineLevel="0" collapsed="false">
      <c r="A5" s="3" t="s">
        <v>24</v>
      </c>
      <c r="B5" s="3" t="s">
        <v>25</v>
      </c>
      <c r="C5" s="5" t="str">
        <f aca="false">HYPERLINK("http://www.digikey.ca/products/en?keywords=296-35669-1-ND","296-35669-1-ND")</f>
        <v>296-35669-1-ND</v>
      </c>
      <c r="D5" s="6" t="str">
        <f aca="false">HYPERLINK("http://ca.mouser.com/ProductDetail/Texas-Instruments/CC1125RHBR/?qs=%2fha2pyFadug8El08i3zlVbTGIYQRGGyBlfSqEwiZnfPvmii%2f6B5xNw%3d%3d","595-CC1125RHBR")</f>
        <v>595-CC1125RHBR</v>
      </c>
      <c r="E5" s="2" t="n">
        <v>1</v>
      </c>
      <c r="F5" s="2" t="n">
        <v>1</v>
      </c>
      <c r="G5" s="2" t="n">
        <v>1</v>
      </c>
      <c r="H5" s="2"/>
      <c r="I5" s="2" t="s">
        <v>26</v>
      </c>
      <c r="J5" s="2" t="s">
        <v>16</v>
      </c>
      <c r="K5" s="0" t="n">
        <f aca="false">E5*$O$1</f>
        <v>3</v>
      </c>
      <c r="L5" s="7" t="n">
        <v>9.04</v>
      </c>
      <c r="M5" s="8" t="n">
        <f aca="false">K5*L5</f>
        <v>27.12</v>
      </c>
    </row>
    <row r="6" customFormat="false" ht="14.9" hidden="false" customHeight="false" outlineLevel="0" collapsed="false">
      <c r="A6" s="3" t="s">
        <v>27</v>
      </c>
      <c r="B6" s="3" t="s">
        <v>28</v>
      </c>
      <c r="C6" s="5" t="str">
        <f aca="false">HYPERLINK("http://www.digikey.ca/products/en?keywords=401-2001-ND","401-2001-ND")</f>
        <v>401-2001-ND</v>
      </c>
      <c r="D6" s="6" t="str">
        <f aca="false">HYPERLINK("http://ca.mouser.com/ProductDetail/CK-Components/JS202011CQN/?qs=%2fha2pyFadujrTsuqCVxaHO1ssyz52ovAtN4RtCBORCj9CEhbTilapw%3d%3d","611-JS202011CQN")</f>
        <v>611-JS202011CQN</v>
      </c>
      <c r="E6" s="2" t="n">
        <v>1</v>
      </c>
      <c r="F6" s="2"/>
      <c r="G6" s="2"/>
      <c r="H6" s="2"/>
      <c r="I6" s="2" t="s">
        <v>29</v>
      </c>
      <c r="J6" s="2" t="s">
        <v>16</v>
      </c>
      <c r="K6" s="0" t="n">
        <f aca="false">E6*$O$1</f>
        <v>3</v>
      </c>
      <c r="L6" s="7" t="n">
        <v>0.58</v>
      </c>
      <c r="M6" s="8" t="n">
        <f aca="false">K6*L6</f>
        <v>1.74</v>
      </c>
    </row>
    <row r="7" customFormat="false" ht="14.9" hidden="false" customHeight="false" outlineLevel="0" collapsed="false">
      <c r="A7" s="3" t="s">
        <v>30</v>
      </c>
      <c r="B7" s="3" t="s">
        <v>31</v>
      </c>
      <c r="C7" s="5" t="str">
        <f aca="false">HYPERLINK("http://www.digikey.ca/products/en?keywords=903-1006-1-ND","903-1006-1-ND")</f>
        <v>903-1006-1-ND</v>
      </c>
      <c r="D7" s="6" t="str">
        <f aca="false">HYPERLINK("http://ca.mouser.com/ProductDetail/Laird-Technologies/BMI-S-101/?qs=%2fha2pyFaduhqTNDQ%2feb7VxvG6O8NsQCPYiZfopRFxWJgPLO1npG6dw%3d%3d","739-BMI-S-101")</f>
        <v>739-BMI-S-101</v>
      </c>
      <c r="E7" s="2" t="n">
        <v>1</v>
      </c>
      <c r="F7" s="2" t="n">
        <v>1</v>
      </c>
      <c r="G7" s="2"/>
      <c r="H7" s="2"/>
      <c r="I7" s="2" t="s">
        <v>22</v>
      </c>
      <c r="J7" s="2" t="s">
        <v>22</v>
      </c>
      <c r="K7" s="0" t="n">
        <f aca="false">E7*$O$1</f>
        <v>3</v>
      </c>
      <c r="L7" s="7" t="n">
        <v>1.49</v>
      </c>
      <c r="M7" s="8" t="n">
        <f aca="false">K7*L7</f>
        <v>4.47</v>
      </c>
    </row>
    <row r="8" customFormat="false" ht="14.9" hidden="false" customHeight="false" outlineLevel="0" collapsed="false">
      <c r="A8" s="3" t="s">
        <v>32</v>
      </c>
      <c r="B8" s="3" t="s">
        <v>33</v>
      </c>
      <c r="C8" s="5" t="str">
        <f aca="false">HYPERLINK("http://www.digikey.ca/products/en?keywords=609-3243-ND","609-3243-ND")</f>
        <v>609-3243-ND</v>
      </c>
      <c r="D8" s="6" t="str">
        <f aca="false">HYPERLINK("http://ca.mouser.com/ProductDetail/FCI-Amphenol/67997-410HLF/?qs=%2fha2pyFaduivRiMHKwfjeOKjJ0Qh3o5a0m74c8%2fi0mpLeNJzea5B0g%3d%3d","649-67997-410HLF")</f>
        <v>649-67997-410HLF</v>
      </c>
      <c r="E8" s="2" t="n">
        <v>1</v>
      </c>
      <c r="F8" s="2"/>
      <c r="G8" s="2"/>
      <c r="H8" s="2"/>
      <c r="I8" s="2" t="s">
        <v>34</v>
      </c>
      <c r="J8" s="2" t="s">
        <v>16</v>
      </c>
      <c r="K8" s="0" t="n">
        <f aca="false">E8*$O$1</f>
        <v>3</v>
      </c>
      <c r="L8" s="7" t="n">
        <v>0.37</v>
      </c>
      <c r="M8" s="8" t="n">
        <f aca="false">K8*L8</f>
        <v>1.11</v>
      </c>
    </row>
    <row r="9" customFormat="false" ht="14.9" hidden="false" customHeight="false" outlineLevel="0" collapsed="false">
      <c r="A9" s="3" t="s">
        <v>35</v>
      </c>
      <c r="B9" s="3" t="s">
        <v>36</v>
      </c>
      <c r="C9" s="5" t="str">
        <f aca="false">HYPERLINK("http://www.digikey.ca/products/en?keywords=2N7002DW-FDICT-ND","2N7002DW-FDICT-ND")</f>
        <v>2N7002DW-FDICT-ND</v>
      </c>
      <c r="D9" s="6" t="str">
        <f aca="false">HYPERLINK("http://ca.mouser.com/ProductDetail/Diodes-Incorporated/2N7002DW-7-F/?qs=%2fha2pyFadugL%2fJ7iwej%252bsj5JlU8nCcVEmjPAuOm8kST5J4U5O27EDg%3d%3d","621-2N7002DW-F")</f>
        <v>621-2N7002DW-F</v>
      </c>
      <c r="E9" s="2" t="n">
        <v>1</v>
      </c>
      <c r="F9" s="2" t="n">
        <v>1</v>
      </c>
      <c r="G9" s="2"/>
      <c r="H9" s="2"/>
      <c r="I9" s="2" t="s">
        <v>37</v>
      </c>
      <c r="J9" s="2" t="s">
        <v>16</v>
      </c>
      <c r="K9" s="0" t="n">
        <f aca="false">E9*$O$1</f>
        <v>3</v>
      </c>
      <c r="L9" s="7" t="n">
        <v>0.47</v>
      </c>
      <c r="M9" s="8" t="n">
        <f aca="false">K9*L9</f>
        <v>1.41</v>
      </c>
    </row>
    <row r="10" customFormat="false" ht="14.9" hidden="false" customHeight="false" outlineLevel="0" collapsed="false">
      <c r="A10" s="3" t="s">
        <v>38</v>
      </c>
      <c r="B10" s="3" t="s">
        <v>39</v>
      </c>
      <c r="C10" s="5" t="str">
        <f aca="false">HYPERLINK("http://www.digikey.ca/products/en?keywords=160-1445-1-ND","160-1445-1-ND")</f>
        <v>160-1445-1-ND</v>
      </c>
      <c r="D10" s="9" t="s">
        <v>22</v>
      </c>
      <c r="E10" s="2" t="n">
        <v>1</v>
      </c>
      <c r="F10" s="2" t="n">
        <v>1</v>
      </c>
      <c r="G10" s="2"/>
      <c r="H10" s="2"/>
      <c r="I10" s="2" t="s">
        <v>40</v>
      </c>
      <c r="J10" s="2" t="s">
        <v>16</v>
      </c>
      <c r="K10" s="0" t="n">
        <f aca="false">E10*$O$1</f>
        <v>3</v>
      </c>
      <c r="L10" s="7" t="n">
        <v>0.38</v>
      </c>
      <c r="M10" s="8" t="n">
        <f aca="false">K10*L10</f>
        <v>1.14</v>
      </c>
    </row>
    <row r="11" customFormat="false" ht="14.9" hidden="false" customHeight="false" outlineLevel="0" collapsed="false">
      <c r="A11" s="3" t="s">
        <v>41</v>
      </c>
      <c r="B11" s="3" t="s">
        <v>42</v>
      </c>
      <c r="C11" s="5" t="str">
        <f aca="false">HYPERLINK("http://www.digikey.ca/products/en?keywords=160-1446-1-ND","160-1446-1-ND")</f>
        <v>160-1446-1-ND</v>
      </c>
      <c r="D11" s="9" t="s">
        <v>22</v>
      </c>
      <c r="E11" s="2" t="n">
        <v>1</v>
      </c>
      <c r="F11" s="2" t="n">
        <v>1</v>
      </c>
      <c r="G11" s="2"/>
      <c r="H11" s="2"/>
      <c r="I11" s="2" t="s">
        <v>43</v>
      </c>
      <c r="J11" s="2" t="s">
        <v>16</v>
      </c>
      <c r="K11" s="0" t="n">
        <f aca="false">E11*$O$1</f>
        <v>3</v>
      </c>
      <c r="L11" s="7" t="n">
        <v>0.41</v>
      </c>
      <c r="M11" s="8" t="n">
        <f aca="false">K11*L11</f>
        <v>1.23</v>
      </c>
    </row>
    <row r="12" customFormat="false" ht="14.9" hidden="false" customHeight="false" outlineLevel="0" collapsed="false">
      <c r="A12" s="3" t="s">
        <v>44</v>
      </c>
      <c r="B12" s="3" t="s">
        <v>45</v>
      </c>
      <c r="C12" s="5" t="str">
        <f aca="false">HYPERLINK("http://www.digikey.ca/products/en?keywords=160-1447-1-ND","160-1447-1-ND")</f>
        <v>160-1447-1-ND</v>
      </c>
      <c r="D12" s="9" t="s">
        <v>22</v>
      </c>
      <c r="E12" s="2" t="n">
        <v>1</v>
      </c>
      <c r="F12" s="2" t="n">
        <v>1</v>
      </c>
      <c r="G12" s="2"/>
      <c r="H12" s="2"/>
      <c r="I12" s="2" t="s">
        <v>46</v>
      </c>
      <c r="J12" s="2" t="s">
        <v>16</v>
      </c>
      <c r="K12" s="0" t="n">
        <f aca="false">E12*$O$1</f>
        <v>3</v>
      </c>
      <c r="L12" s="7" t="n">
        <v>0.41</v>
      </c>
      <c r="M12" s="8" t="n">
        <f aca="false">K12*L12</f>
        <v>1.23</v>
      </c>
    </row>
    <row r="13" customFormat="false" ht="14.9" hidden="false" customHeight="false" outlineLevel="0" collapsed="false">
      <c r="A13" s="3" t="s">
        <v>47</v>
      </c>
      <c r="B13" s="3" t="s">
        <v>48</v>
      </c>
      <c r="C13" s="5" t="str">
        <f aca="false">HYPERLINK("http://www.digikey.ca/products/en?keywords=WM5534-ND","WM5534-ND")</f>
        <v>WM5534-ND</v>
      </c>
      <c r="D13" s="6" t="str">
        <f aca="false">HYPERLINK("http://ca.mouser.com/ProductDetail/Molex/0732511150/?qs=%2fha2pyFadujfkaQoxZLzJgA0ElofQ7BrbwF0jMIyVCt1dFcLAh%2f%2fZw%3d%3d","Not assigned")</f>
        <v>Not assigned</v>
      </c>
      <c r="E13" s="2" t="n">
        <v>1</v>
      </c>
      <c r="F13" s="2" t="n">
        <v>1</v>
      </c>
      <c r="G13" s="2"/>
      <c r="H13" s="2"/>
      <c r="I13" s="2" t="s">
        <v>49</v>
      </c>
      <c r="J13" s="2" t="s">
        <v>16</v>
      </c>
      <c r="K13" s="0" t="n">
        <f aca="false">E13*$O$1</f>
        <v>3</v>
      </c>
      <c r="L13" s="7" t="n">
        <v>4.72</v>
      </c>
      <c r="M13" s="8" t="n">
        <f aca="false">K13*L13</f>
        <v>14.16</v>
      </c>
    </row>
    <row r="14" customFormat="false" ht="14.9" hidden="false" customHeight="false" outlineLevel="0" collapsed="false">
      <c r="A14" s="3" t="s">
        <v>50</v>
      </c>
      <c r="B14" s="4" t="s">
        <v>51</v>
      </c>
      <c r="C14" s="5" t="str">
        <f aca="false">HYPERLINK("http://www.digikey.ca/products/en?keywords=3M9448-ND","3M9448-ND")</f>
        <v>3M9448-ND</v>
      </c>
      <c r="D14" s="6" t="str">
        <f aca="false">HYPERLINK("http://ca.mouser.com/ProductDetail/3M/961103-6404-AR/?qs=%2fha2pyFadugJ5EopiGVFaDAvUdZ1mAoxie7xWHVh0F8%3d","517-9611036404AR")</f>
        <v>517-9611036404AR</v>
      </c>
      <c r="E14" s="2" t="n">
        <v>3</v>
      </c>
      <c r="F14" s="2"/>
      <c r="G14" s="2"/>
      <c r="H14" s="2"/>
      <c r="I14" s="2" t="s">
        <v>52</v>
      </c>
      <c r="J14" s="2" t="s">
        <v>16</v>
      </c>
      <c r="K14" s="0" t="n">
        <f aca="false">E14*$O$1</f>
        <v>9</v>
      </c>
      <c r="L14" s="7" t="n">
        <v>0.37</v>
      </c>
      <c r="M14" s="8" t="n">
        <f aca="false">K14*L14</f>
        <v>3.33</v>
      </c>
    </row>
    <row r="15" customFormat="false" ht="14.25" hidden="false" customHeight="true" outlineLevel="0" collapsed="false">
      <c r="A15" s="10" t="s">
        <v>53</v>
      </c>
      <c r="B15" s="11" t="s">
        <v>54</v>
      </c>
      <c r="C15" s="5" t="str">
        <f aca="false">HYPERLINK("http://www.digikey.ca/products/en?keywords=3M9580-ND","3M9580-ND")</f>
        <v>3M9580-ND</v>
      </c>
      <c r="D15" s="6" t="str">
        <f aca="false">HYPERLINK("http://ca.mouser.com/ProductDetail/3M/969102-0000-DA/?qs=%2fha2pyFaduhH%252bwBbNIUk%252b1STxz3E6bgSQMo8bWMzgdM%3d","517-9691020000DA")</f>
        <v>517-9691020000DA</v>
      </c>
      <c r="E15" s="2" t="n">
        <v>3</v>
      </c>
      <c r="F15" s="2"/>
      <c r="G15" s="2"/>
      <c r="H15" s="2"/>
      <c r="I15" s="2" t="s">
        <v>55</v>
      </c>
      <c r="J15" s="2" t="s">
        <v>22</v>
      </c>
      <c r="K15" s="0" t="n">
        <f aca="false">E15*$O$1</f>
        <v>9</v>
      </c>
      <c r="L15" s="7" t="n">
        <v>0.14</v>
      </c>
      <c r="M15" s="8" t="n">
        <f aca="false">K15*L15</f>
        <v>1.26</v>
      </c>
    </row>
    <row r="16" customFormat="false" ht="14.9" hidden="false" customHeight="false" outlineLevel="0" collapsed="false">
      <c r="A16" s="3" t="s">
        <v>56</v>
      </c>
      <c r="B16" s="3" t="s">
        <v>57</v>
      </c>
      <c r="C16" s="5" t="str">
        <f aca="false">HYPERLINK("http://www.digikey.ca/products/en?keywords=535-13192-1-ND","535-13192-1-ND")</f>
        <v>535-13192-1-ND</v>
      </c>
      <c r="D16" s="9" t="s">
        <v>22</v>
      </c>
      <c r="E16" s="2" t="n">
        <v>1</v>
      </c>
      <c r="F16" s="2" t="n">
        <v>1</v>
      </c>
      <c r="G16" s="2" t="n">
        <v>1</v>
      </c>
      <c r="H16" s="2"/>
      <c r="I16" s="2" t="s">
        <v>58</v>
      </c>
      <c r="J16" s="2" t="s">
        <v>16</v>
      </c>
      <c r="K16" s="0" t="n">
        <f aca="false">E16*$O$1</f>
        <v>3</v>
      </c>
      <c r="L16" s="7" t="n">
        <v>3.09</v>
      </c>
      <c r="M16" s="8" t="n">
        <f aca="false">K16*L16</f>
        <v>9.27</v>
      </c>
    </row>
    <row r="17" customFormat="false" ht="14.9" hidden="false" customHeight="false" outlineLevel="0" collapsed="false">
      <c r="A17" s="3" t="s">
        <v>59</v>
      </c>
      <c r="B17" s="3" t="s">
        <v>60</v>
      </c>
      <c r="C17" s="5" t="str">
        <f aca="false">HYPERLINK("http://www.digikey.ca/products/en?keywords=863-1645-1-ND","863-1645-1-ND")</f>
        <v>863-1645-1-ND</v>
      </c>
      <c r="D17" s="6" t="str">
        <f aca="false">HYPERLINK("http://ca.mouser.com/ProductDetail/Skyworks/SKY13372-467LF/?qs=%2fha2pyFaduglEaGZOVsl1kbvRQ8HfDH9lNC4mScrBg0HNof4yfe6zA%3d%3d","873-SKY13372-467LF")</f>
        <v>873-SKY13372-467LF</v>
      </c>
      <c r="E17" s="2" t="n">
        <v>1</v>
      </c>
      <c r="F17" s="2" t="n">
        <v>1</v>
      </c>
      <c r="G17" s="2" t="n">
        <v>1</v>
      </c>
      <c r="H17" s="2"/>
      <c r="I17" s="2" t="s">
        <v>61</v>
      </c>
      <c r="J17" s="2" t="s">
        <v>16</v>
      </c>
      <c r="K17" s="0" t="n">
        <f aca="false">E17*$O$1</f>
        <v>3</v>
      </c>
      <c r="L17" s="7" t="n">
        <v>3.51</v>
      </c>
      <c r="M17" s="8" t="n">
        <f aca="false">K17*L17</f>
        <v>10.53</v>
      </c>
    </row>
    <row r="18" customFormat="false" ht="14.9" hidden="false" customHeight="false" outlineLevel="0" collapsed="false">
      <c r="A18" s="3" t="s">
        <v>62</v>
      </c>
      <c r="B18" s="3" t="s">
        <v>63</v>
      </c>
      <c r="C18" s="5" t="str">
        <f aca="false">HYPERLINK("http://www.digikey.ca/products/en?keywords=863-1795-1-ND","863-1795-1-ND")</f>
        <v>863-1795-1-ND</v>
      </c>
      <c r="D18" s="6" t="str">
        <f aca="false">HYPERLINK("http://ca.mouser.com/ProductDetail/Skyworks/SKY65366-21/?qs=%2fha2pyFadug5FrWlj6iPyEfjuLBxH%252bG0NAur9JmxP%2f0QKvEIQIXn8Q%3d%3d","873-SKY65366-21")</f>
        <v>873-SKY65366-21</v>
      </c>
      <c r="E18" s="2" t="n">
        <v>1</v>
      </c>
      <c r="F18" s="2" t="n">
        <v>1</v>
      </c>
      <c r="G18" s="2"/>
      <c r="H18" s="2"/>
      <c r="I18" s="2" t="s">
        <v>64</v>
      </c>
      <c r="J18" s="2" t="s">
        <v>16</v>
      </c>
      <c r="K18" s="0" t="n">
        <f aca="false">E18*$O$1</f>
        <v>3</v>
      </c>
      <c r="L18" s="7" t="n">
        <v>5.67</v>
      </c>
      <c r="M18" s="8" t="n">
        <f aca="false">K18*L18</f>
        <v>17.01</v>
      </c>
    </row>
    <row r="19" customFormat="false" ht="14.9" hidden="false" customHeight="false" outlineLevel="0" collapsed="false">
      <c r="A19" s="3" t="s">
        <v>65</v>
      </c>
      <c r="B19" s="3" t="s">
        <v>66</v>
      </c>
      <c r="C19" s="5" t="str">
        <f aca="false">HYPERLINK("http://www.digikey.ca/products/en?keywords=497-16944-1-ND","497-16944-1-ND")</f>
        <v>497-16944-1-ND</v>
      </c>
      <c r="D19" s="6" t="str">
        <f aca="false">HYPERLINK("http://ca.mouser.com/ProductDetail/STMicroelectronics/BALF-112X-02D3/?qs=%2fha2pyFaduiuzg%252bUbpiO8uO7cmT%2fvNbXbEqphxJCXyrs19v2te2xdA%3d%3d","511-BALF-112X-02D3")</f>
        <v>511-BALF-112X-02D3</v>
      </c>
      <c r="E19" s="2" t="n">
        <v>1</v>
      </c>
      <c r="F19" s="2" t="n">
        <v>1</v>
      </c>
      <c r="G19" s="2" t="n">
        <v>1</v>
      </c>
      <c r="H19" s="2"/>
      <c r="I19" s="2" t="s">
        <v>67</v>
      </c>
      <c r="J19" s="2" t="s">
        <v>16</v>
      </c>
      <c r="K19" s="0" t="n">
        <f aca="false">E19*$O$1</f>
        <v>3</v>
      </c>
      <c r="L19" s="7" t="n">
        <v>0.92</v>
      </c>
      <c r="M19" s="8" t="n">
        <f aca="false">K19*L19</f>
        <v>2.76</v>
      </c>
    </row>
    <row r="20" customFormat="false" ht="14.9" hidden="false" customHeight="false" outlineLevel="0" collapsed="false">
      <c r="A20" s="3" t="s">
        <v>68</v>
      </c>
      <c r="B20" s="9" t="s">
        <v>69</v>
      </c>
      <c r="C20" s="12" t="str">
        <f aca="false">HYPERLINK("http://www.digikey.ca/products/en?keywords=490-8204-1-ND","490-8204-1-ND")</f>
        <v>490-8204-1-ND</v>
      </c>
      <c r="D20" s="6" t="str">
        <f aca="false">HYPERLINK("http://ca.mouser.com/ProductDetail/Murata/GRM1555C1H3R0WA01D/?qs=%2fha2pyFadujek5b90ICcDPTCsqD0xa4C2iZGCBjcFtyZsYQ2vSxndw%3d%3d","81-GRM1555C1H3R0WA1D")</f>
        <v>81-GRM1555C1H3R0WA1D</v>
      </c>
      <c r="E20" s="2" t="n">
        <v>1</v>
      </c>
      <c r="F20" s="2" t="n">
        <v>1</v>
      </c>
      <c r="G20" s="2"/>
      <c r="H20" s="2"/>
      <c r="I20" s="2" t="s">
        <v>70</v>
      </c>
      <c r="J20" s="2" t="s">
        <v>16</v>
      </c>
      <c r="K20" s="0" t="n">
        <f aca="false">E20*$O$1</f>
        <v>3</v>
      </c>
      <c r="L20" s="7" t="n">
        <v>0.16</v>
      </c>
      <c r="M20" s="8" t="n">
        <f aca="false">K20*L20</f>
        <v>0.48</v>
      </c>
    </row>
    <row r="21" customFormat="false" ht="14.9" hidden="false" customHeight="false" outlineLevel="0" collapsed="false">
      <c r="A21" s="3" t="s">
        <v>71</v>
      </c>
      <c r="B21" s="9" t="s">
        <v>72</v>
      </c>
      <c r="C21" s="12" t="str">
        <f aca="false">HYPERLINK("http://www.digikey.ca/products/en?keywords=490-10689-1-ND","490-10689-1-ND")</f>
        <v>490-10689-1-ND</v>
      </c>
      <c r="D21" s="6" t="str">
        <f aca="false">HYPERLINK("http://ca.mouser.com/ProductDetail/Murata/GRM1555C1H8R2WA01D/?qs=%2fha2pyFaduhNaXJnkgtNMI2nMBzDc3kM2RYIcVlvLysN4uiXI%252bY71A%3d%3d","81-GRM1555C1H8R2WA1D")</f>
        <v>81-GRM1555C1H8R2WA1D</v>
      </c>
      <c r="E21" s="2" t="n">
        <v>2</v>
      </c>
      <c r="F21" s="2" t="n">
        <v>2</v>
      </c>
      <c r="G21" s="2" t="n">
        <v>2</v>
      </c>
      <c r="H21" s="2"/>
      <c r="I21" s="2" t="s">
        <v>73</v>
      </c>
      <c r="J21" s="2" t="s">
        <v>16</v>
      </c>
      <c r="K21" s="0" t="n">
        <f aca="false">E21*$O$1</f>
        <v>6</v>
      </c>
      <c r="L21" s="7" t="n">
        <v>0.16</v>
      </c>
      <c r="M21" s="8" t="n">
        <f aca="false">K21*L21</f>
        <v>0.96</v>
      </c>
    </row>
    <row r="22" customFormat="false" ht="14.9" hidden="false" customHeight="false" outlineLevel="0" collapsed="false">
      <c r="A22" s="3" t="s">
        <v>74</v>
      </c>
      <c r="B22" s="9" t="s">
        <v>75</v>
      </c>
      <c r="C22" s="12" t="str">
        <f aca="false">HYPERLINK("http://www.digikey.ca/products/en?keywords=490-5871-1-ND","490-5871-1-ND")</f>
        <v>490-5871-1-ND</v>
      </c>
      <c r="D22" s="6" t="str">
        <f aca="false">HYPERLINK("http://ca.mouser.com/ProductDetail/Murata/GRM1555C1H390JA01D/?qs=%2fha2pyFadug1vfWSSZAtMFjLy70BUsWpMh9na1nUiEZJ5TSdCFLuXQ%3d%3d","81-GRM1555C1H390JA1D")</f>
        <v>81-GRM1555C1H390JA1D</v>
      </c>
      <c r="E22" s="2" t="n">
        <v>1</v>
      </c>
      <c r="F22" s="2" t="n">
        <v>1</v>
      </c>
      <c r="G22" s="2" t="n">
        <v>1</v>
      </c>
      <c r="H22" s="2"/>
      <c r="I22" s="2" t="s">
        <v>76</v>
      </c>
      <c r="J22" s="2" t="s">
        <v>16</v>
      </c>
      <c r="K22" s="0" t="n">
        <f aca="false">E22*$O$1</f>
        <v>3</v>
      </c>
      <c r="L22" s="7" t="n">
        <v>0.14</v>
      </c>
      <c r="M22" s="8" t="n">
        <f aca="false">K22*L22</f>
        <v>0.42</v>
      </c>
    </row>
    <row r="23" customFormat="false" ht="14.9" hidden="false" customHeight="false" outlineLevel="0" collapsed="false">
      <c r="A23" s="3" t="s">
        <v>77</v>
      </c>
      <c r="B23" s="9" t="s">
        <v>78</v>
      </c>
      <c r="C23" s="12" t="str">
        <f aca="false">HYPERLINK("http://www.digikey.ca/products/en?keywords=490-5942-1-ND","490-5942-1-ND")</f>
        <v>490-5942-1-ND</v>
      </c>
      <c r="D23" s="6" t="str">
        <f aca="false">HYPERLINK("http://ca.mouser.com/ProductDetail/Murata/GRM1555C1H470JA01D/?qs=%2fha2pyFadugCqcC5exdSB%2f2eae9yMOg6lVVxcEHJPKD0P83OZzBkOg%3d%3d","81-GRM1555C1H470JA1D")</f>
        <v>81-GRM1555C1H470JA1D</v>
      </c>
      <c r="E23" s="2" t="n">
        <v>3</v>
      </c>
      <c r="F23" s="2" t="n">
        <v>3</v>
      </c>
      <c r="G23" s="2" t="n">
        <v>3</v>
      </c>
      <c r="H23" s="2"/>
      <c r="I23" s="2" t="s">
        <v>79</v>
      </c>
      <c r="J23" s="2" t="s">
        <v>16</v>
      </c>
      <c r="K23" s="0" t="n">
        <f aca="false">E23*$O$1</f>
        <v>9</v>
      </c>
      <c r="L23" s="7" t="n">
        <v>0.14</v>
      </c>
      <c r="M23" s="8" t="n">
        <f aca="false">K23*L23</f>
        <v>1.26</v>
      </c>
    </row>
    <row r="24" customFormat="false" ht="14.9" hidden="false" customHeight="false" outlineLevel="0" collapsed="false">
      <c r="A24" s="3" t="s">
        <v>80</v>
      </c>
      <c r="B24" s="9" t="s">
        <v>81</v>
      </c>
      <c r="C24" s="12" t="str">
        <f aca="false">HYPERLINK("http://www.digikey.ca/products/en?keywords=490-1288-1-ND","490-1288-1-ND")</f>
        <v>490-1288-1-ND</v>
      </c>
      <c r="D24" s="6" t="str">
        <f aca="false">HYPERLINK("http://ca.mouser.com/ProductDetail/Murata-Electronics/GRM1555C1H560JA01D/?qs=sGAEpiMZZMukHu%252bjC5l7YZEB%2ffJBv81phuLtmyovPDU%3d","81-GRM1555C1H560JA1D")</f>
        <v>81-GRM1555C1H560JA1D</v>
      </c>
      <c r="E24" s="2" t="n">
        <v>1</v>
      </c>
      <c r="F24" s="2" t="n">
        <v>1</v>
      </c>
      <c r="G24" s="2" t="n">
        <v>1</v>
      </c>
      <c r="H24" s="2"/>
      <c r="I24" s="2" t="s">
        <v>82</v>
      </c>
      <c r="J24" s="2" t="s">
        <v>16</v>
      </c>
      <c r="K24" s="0" t="n">
        <f aca="false">E24*$O$1</f>
        <v>3</v>
      </c>
      <c r="L24" s="7" t="n">
        <v>0.14</v>
      </c>
      <c r="M24" s="8" t="n">
        <f aca="false">K24*L24</f>
        <v>0.42</v>
      </c>
    </row>
    <row r="25" customFormat="false" ht="14.9" hidden="false" customHeight="false" outlineLevel="0" collapsed="false">
      <c r="A25" s="3" t="s">
        <v>83</v>
      </c>
      <c r="B25" s="9" t="s">
        <v>84</v>
      </c>
      <c r="C25" s="12" t="str">
        <f aca="false">HYPERLINK("http://www.digikey.ca/products/en?keywords=732-7535-1-ND","732-7535-1-ND")</f>
        <v>732-7535-1-ND</v>
      </c>
      <c r="D25" s="6" t="str">
        <f aca="false">HYPERLINK("http://ca.mouser.com/ProductDetail/Wurth-Electronics/885012205040/?qs=%2fha2pyFaduhNy1ykEAorp0n4vlJdAfqzLpx3KVeYuSOSqyIOeKO9GQ%3d%3d","710-885012205040")</f>
        <v>710-885012205040</v>
      </c>
      <c r="E25" s="2" t="n">
        <v>2</v>
      </c>
      <c r="F25" s="2" t="n">
        <v>2</v>
      </c>
      <c r="G25" s="2" t="n">
        <v>2</v>
      </c>
      <c r="H25" s="2"/>
      <c r="I25" s="2" t="s">
        <v>85</v>
      </c>
      <c r="J25" s="2" t="s">
        <v>16</v>
      </c>
      <c r="K25" s="0" t="n">
        <f aca="false">E25*$O$1</f>
        <v>6</v>
      </c>
      <c r="L25" s="7" t="n">
        <v>0.14</v>
      </c>
      <c r="M25" s="8" t="n">
        <f aca="false">K25*L25</f>
        <v>0.84</v>
      </c>
    </row>
    <row r="26" customFormat="false" ht="14.9" hidden="false" customHeight="false" outlineLevel="0" collapsed="false">
      <c r="A26" s="3" t="s">
        <v>86</v>
      </c>
      <c r="B26" s="9" t="s">
        <v>87</v>
      </c>
      <c r="C26" s="12" t="str">
        <f aca="false">HYPERLINK("http://www.digikey.ca/products/en?keywords=490-3244-1-ND","490-3244-1-ND")</f>
        <v>490-3244-1-ND</v>
      </c>
      <c r="D26" s="6" t="str">
        <f aca="false">HYPERLINK("http://ca.mouser.com/ProductDetail/Murata/GRM1555C1H102JA01D/?qs=%2fha2pyFaduiGzDMHrU1kBaA40AzoRh9fhmURz0lewf%252br22rcpEREEg%3d%3d","81-GRM1555C1H102JA1D")</f>
        <v>81-GRM1555C1H102JA1D</v>
      </c>
      <c r="E26" s="2" t="n">
        <v>2</v>
      </c>
      <c r="F26" s="2" t="n">
        <v>2</v>
      </c>
      <c r="G26" s="2" t="n">
        <v>2</v>
      </c>
      <c r="H26" s="2"/>
      <c r="I26" s="2" t="s">
        <v>88</v>
      </c>
      <c r="J26" s="2" t="s">
        <v>16</v>
      </c>
      <c r="K26" s="0" t="n">
        <f aca="false">E26*$O$1</f>
        <v>6</v>
      </c>
      <c r="L26" s="7" t="n">
        <v>0.14</v>
      </c>
      <c r="M26" s="8" t="n">
        <f aca="false">K26*L26</f>
        <v>0.84</v>
      </c>
    </row>
    <row r="27" customFormat="false" ht="14.9" hidden="false" customHeight="false" outlineLevel="0" collapsed="false">
      <c r="A27" s="3" t="s">
        <v>89</v>
      </c>
      <c r="B27" s="3" t="s">
        <v>90</v>
      </c>
      <c r="C27" s="5" t="str">
        <f aca="false">HYPERLINK("http://www.digikey.ca/products/en?keywords=490-6274-1-ND","490-6274-1-ND")</f>
        <v>490-6274-1-ND</v>
      </c>
      <c r="D27" s="6" t="str">
        <f aca="false">HYPERLINK("http://ca.mouser.com/ProductDetail/Murata/GRM1557U1A182JA01D/?qs=%2fha2pyFadugvkY1FpdXhiu5rDiOcybhBa2Jhw6ob0mopTNO4LeM%252byQ%3d%3d","81-GRM1557U1A182JA1D")</f>
        <v>81-GRM1557U1A182JA1D</v>
      </c>
      <c r="E27" s="2" t="n">
        <v>1</v>
      </c>
      <c r="F27" s="2" t="n">
        <v>1</v>
      </c>
      <c r="G27" s="2" t="n">
        <v>1</v>
      </c>
      <c r="H27" s="2"/>
      <c r="I27" s="2" t="s">
        <v>91</v>
      </c>
      <c r="J27" s="2" t="s">
        <v>16</v>
      </c>
      <c r="K27" s="0" t="n">
        <f aca="false">E27*$O$1</f>
        <v>3</v>
      </c>
      <c r="L27" s="7" t="n">
        <v>0.26</v>
      </c>
      <c r="M27" s="8" t="n">
        <f aca="false">K27*L27</f>
        <v>0.78</v>
      </c>
    </row>
    <row r="28" customFormat="false" ht="14.9" hidden="false" customHeight="false" outlineLevel="0" collapsed="false">
      <c r="A28" s="3" t="s">
        <v>92</v>
      </c>
      <c r="B28" s="3" t="s">
        <v>93</v>
      </c>
      <c r="C28" s="12" t="str">
        <f aca="false">HYPERLINK("http://www.digikey.ca/products/en?keywords=490-10778-1-ND","490-10778-1-ND")</f>
        <v>490-10778-1-ND</v>
      </c>
      <c r="D28" s="6" t="str">
        <f aca="false">HYPERLINK("http://ca.mouser.com/ProductDetail/Murata/GRM155R71E472JA01D/?qs=%2fha2pyFadugSNoYVDsUxFYPcsV%2fpYhPps%2f4VAle6BZaKesmuh3BdCQ%3d%3d","81-GRM155R71E472JA01")</f>
        <v>81-GRM155R71E472JA01</v>
      </c>
      <c r="E28" s="2" t="n">
        <v>1</v>
      </c>
      <c r="F28" s="2" t="n">
        <v>1</v>
      </c>
      <c r="G28" s="2" t="n">
        <v>1</v>
      </c>
      <c r="H28" s="2"/>
      <c r="I28" s="2" t="s">
        <v>94</v>
      </c>
      <c r="J28" s="2" t="s">
        <v>16</v>
      </c>
      <c r="K28" s="0" t="n">
        <f aca="false">E28*$O$1</f>
        <v>3</v>
      </c>
      <c r="L28" s="7" t="n">
        <v>0.14</v>
      </c>
      <c r="M28" s="8" t="n">
        <f aca="false">K28*L28</f>
        <v>0.42</v>
      </c>
    </row>
    <row r="29" customFormat="false" ht="14.9" hidden="false" customHeight="false" outlineLevel="0" collapsed="false">
      <c r="A29" s="3" t="s">
        <v>95</v>
      </c>
      <c r="B29" s="3" t="s">
        <v>96</v>
      </c>
      <c r="C29" s="5" t="str">
        <f aca="false">HYPERLINK("http://www.digikey.ca/products/en?keywords=490-1312-1-ND","490-1312-1-ND")</f>
        <v>490-1312-1-ND</v>
      </c>
      <c r="D29" s="6" t="str">
        <f aca="false">HYPERLINK("http://ca.mouser.com/ProductDetail/Murata/GRM155R71E103KA01D/?qs=%2fha2pyFaduijNo6sQe6N5oZhgjCZAg19%2fIrzYCgI5knYro6pN%2f9FWw%3d%3d","81-GRM36X103K25")</f>
        <v>81-GRM36X103K25</v>
      </c>
      <c r="E29" s="2" t="n">
        <v>2</v>
      </c>
      <c r="F29" s="2" t="n">
        <v>2</v>
      </c>
      <c r="G29" s="2" t="n">
        <v>2</v>
      </c>
      <c r="H29" s="2"/>
      <c r="I29" s="2" t="s">
        <v>97</v>
      </c>
      <c r="J29" s="2" t="s">
        <v>16</v>
      </c>
      <c r="K29" s="0" t="n">
        <f aca="false">E29*$O$1</f>
        <v>6</v>
      </c>
      <c r="L29" s="7" t="n">
        <v>0.14</v>
      </c>
      <c r="M29" s="8" t="n">
        <f aca="false">K29*L29</f>
        <v>0.84</v>
      </c>
    </row>
    <row r="30" customFormat="false" ht="28.35" hidden="false" customHeight="false" outlineLevel="0" collapsed="false">
      <c r="A30" s="4" t="s">
        <v>98</v>
      </c>
      <c r="B30" s="3" t="s">
        <v>99</v>
      </c>
      <c r="C30" s="5" t="str">
        <f aca="false">HYPERLINK("http://www.digikey.ca/products/en?keywords=490-3254-1-ND","490-3254-1-ND")</f>
        <v>490-3254-1-ND</v>
      </c>
      <c r="D30" s="6" t="str">
        <f aca="false">HYPERLINK("http://ca.mouser.com/ProductDetail/Murata/GRM155R71E473KA88D/?qs=%2fha2pyFadugk98P16o01APxjyW544hfQCaisH9Dva2qOpRUmTTrotQ%3d%3d","81-GRM155R71E473KA88")</f>
        <v>81-GRM155R71E473KA88</v>
      </c>
      <c r="E30" s="2" t="n">
        <v>12</v>
      </c>
      <c r="F30" s="2" t="n">
        <v>12</v>
      </c>
      <c r="G30" s="2" t="n">
        <v>12</v>
      </c>
      <c r="H30" s="2"/>
      <c r="I30" s="13" t="s">
        <v>100</v>
      </c>
      <c r="J30" s="2" t="s">
        <v>16</v>
      </c>
      <c r="K30" s="0" t="n">
        <f aca="false">E30*$O$1</f>
        <v>36</v>
      </c>
      <c r="L30" s="7" t="n">
        <v>0.14</v>
      </c>
      <c r="M30" s="8" t="n">
        <f aca="false">K30*L30</f>
        <v>5.04</v>
      </c>
    </row>
    <row r="31" customFormat="false" ht="14.9" hidden="false" customHeight="false" outlineLevel="0" collapsed="false">
      <c r="A31" s="3" t="s">
        <v>101</v>
      </c>
      <c r="B31" s="3" t="s">
        <v>102</v>
      </c>
      <c r="C31" s="5" t="str">
        <f aca="false">HYPERLINK("http://www.digikey.ca/products/en?keywords=490-6321-1-ND","490-6321-1-ND")</f>
        <v>490-6321-1-ND</v>
      </c>
      <c r="D31" s="6" t="str">
        <f aca="false">HYPERLINK("http://ca.mouser.com/ProductDetail/Murata/GRM155R71A104KA01D/?qs=%2fha2pyFaduiKgVnZ10QBNI0ZP8tLxXpO%2foRGAgB8Zj%2f9TJ3FHFr%2f4w%3d%3d","81-GRM155R71A104KA1D")</f>
        <v>81-GRM155R71A104KA1D</v>
      </c>
      <c r="E31" s="2" t="n">
        <v>1</v>
      </c>
      <c r="F31" s="2" t="n">
        <v>1</v>
      </c>
      <c r="G31" s="2" t="n">
        <v>1</v>
      </c>
      <c r="H31" s="2"/>
      <c r="I31" s="2" t="s">
        <v>103</v>
      </c>
      <c r="J31" s="2" t="s">
        <v>16</v>
      </c>
      <c r="K31" s="0" t="n">
        <f aca="false">E31*$O$1</f>
        <v>3</v>
      </c>
      <c r="L31" s="7" t="n">
        <v>0.14</v>
      </c>
      <c r="M31" s="8" t="n">
        <f aca="false">K31*L31</f>
        <v>0.42</v>
      </c>
    </row>
    <row r="32" customFormat="false" ht="14.9" hidden="false" customHeight="false" outlineLevel="0" collapsed="false">
      <c r="A32" s="3" t="s">
        <v>104</v>
      </c>
      <c r="B32" s="3" t="s">
        <v>105</v>
      </c>
      <c r="C32" s="5" t="str">
        <f aca="false">HYPERLINK("http://www.digikey.ca/products/en?keywords=490-3910-1-ND","490-3910-1-ND")</f>
        <v>490-3910-1-ND</v>
      </c>
      <c r="D32" s="6" t="str">
        <f aca="false">HYPERLINK("http://ca.mouser.com/ProductDetail/Murata/GRM155R61A224KE19D/?qs=%2fha2pyFadugRtRoNiBhCbmbuwsJjnNL6Yxsp3576BSec1JMdM9M06g%3d%3d","81-GRM155R61A224KE19")</f>
        <v>81-GRM155R61A224KE19</v>
      </c>
      <c r="E32" s="2" t="n">
        <v>1</v>
      </c>
      <c r="F32" s="2" t="n">
        <v>1</v>
      </c>
      <c r="G32" s="2" t="n">
        <v>1</v>
      </c>
      <c r="H32" s="2"/>
      <c r="I32" s="2" t="s">
        <v>106</v>
      </c>
      <c r="J32" s="2" t="s">
        <v>16</v>
      </c>
      <c r="K32" s="0" t="n">
        <f aca="false">E32*$O$1</f>
        <v>3</v>
      </c>
      <c r="L32" s="7" t="n">
        <v>0.14</v>
      </c>
      <c r="M32" s="8" t="n">
        <f aca="false">K32*L32</f>
        <v>0.42</v>
      </c>
    </row>
    <row r="33" customFormat="false" ht="14.25" hidden="false" customHeight="true" outlineLevel="0" collapsed="false">
      <c r="A33" s="9" t="s">
        <v>107</v>
      </c>
      <c r="B33" s="9" t="s">
        <v>108</v>
      </c>
      <c r="C33" s="12" t="str">
        <f aca="false">HYPERLINK("http://www.digikey.ca/products/en?keywords=490-5307-1-ND","490-5307-1-ND")</f>
        <v>490-5307-1-ND</v>
      </c>
      <c r="D33" s="6" t="str">
        <f aca="false">HYPERLINK("http://ca.mouser.com/ProductDetail/Murata/GRM188R71E105KA12D/?qs=%2fha2pyFaduj1UM7ivQEx2gf%2fFKlSZ%2ftOMUTnexLFpwC9f5to4kPaMg%3d%3d","81-GRM188R71E105KA2D")</f>
        <v>81-GRM188R71E105KA2D</v>
      </c>
      <c r="E33" s="2" t="n">
        <v>1</v>
      </c>
      <c r="F33" s="2" t="n">
        <v>1</v>
      </c>
      <c r="G33" s="2" t="n">
        <v>1</v>
      </c>
      <c r="H33" s="2"/>
      <c r="I33" s="2" t="s">
        <v>109</v>
      </c>
      <c r="J33" s="2" t="s">
        <v>16</v>
      </c>
      <c r="K33" s="0" t="n">
        <f aca="false">E33*$O$1</f>
        <v>3</v>
      </c>
      <c r="L33" s="7" t="n">
        <v>0.34</v>
      </c>
      <c r="M33" s="8" t="n">
        <f aca="false">K33*L33</f>
        <v>1.02</v>
      </c>
    </row>
    <row r="34" customFormat="false" ht="14.25" hidden="false" customHeight="true" outlineLevel="0" collapsed="false">
      <c r="A34" s="9" t="s">
        <v>110</v>
      </c>
      <c r="B34" s="9" t="s">
        <v>111</v>
      </c>
      <c r="C34" s="12" t="str">
        <f aca="false">HYPERLINK("http://www.digikey.ca/products/en?keywords=490-1545-1-ND","490-1545-1-ND")</f>
        <v>490-1545-1-ND</v>
      </c>
      <c r="D34" s="6" t="str">
        <f aca="false">HYPERLINK("http://ca.mouser.com/ProductDetail/Murata/GRM188R61A225KE34D/?qs=%2fha2pyFaduiYhDKKCFDWNvlJ44AYauQz1TIc6TaS9uM4qbSTKxJcrQ%3d%3d","81-GRM188R61A225KE34")</f>
        <v>81-GRM188R61A225KE34</v>
      </c>
      <c r="E34" s="2" t="n">
        <v>1</v>
      </c>
      <c r="F34" s="2" t="n">
        <v>1</v>
      </c>
      <c r="G34" s="2"/>
      <c r="H34" s="2"/>
      <c r="I34" s="2" t="s">
        <v>112</v>
      </c>
      <c r="J34" s="2" t="s">
        <v>16</v>
      </c>
      <c r="K34" s="0" t="n">
        <f aca="false">E34*$O$1</f>
        <v>3</v>
      </c>
      <c r="L34" s="7" t="n">
        <v>0.18</v>
      </c>
      <c r="M34" s="8" t="n">
        <f aca="false">K34*L34</f>
        <v>0.54</v>
      </c>
    </row>
    <row r="35" customFormat="false" ht="14.9" hidden="false" customHeight="false" outlineLevel="0" collapsed="false">
      <c r="A35" s="9" t="s">
        <v>113</v>
      </c>
      <c r="B35" s="9" t="s">
        <v>114</v>
      </c>
      <c r="C35" s="12" t="str">
        <f aca="false">HYPERLINK("http://www.digikey.ca/products/en?keywords=490-1867-1-ND","490-1867-1-ND")</f>
        <v>490-1867-1-ND</v>
      </c>
      <c r="D35" s="6" t="str">
        <f aca="false">HYPERLINK("http://ca.mouser.com/ProductDetail/Murata/GRM32DR71E106KA12L/?qs=%2fha2pyFaduh7RlTGLpLUSCsDEC2WidNIY3KsKqBTREl0vsdze1Ru%2fQ%3d%3d","81-GRM32DR71E106KA12")</f>
        <v>81-GRM32DR71E106KA12</v>
      </c>
      <c r="E35" s="2" t="n">
        <v>2</v>
      </c>
      <c r="F35" s="2" t="n">
        <v>2</v>
      </c>
      <c r="G35" s="2"/>
      <c r="H35" s="2"/>
      <c r="I35" s="2" t="s">
        <v>115</v>
      </c>
      <c r="J35" s="2" t="s">
        <v>16</v>
      </c>
      <c r="K35" s="0" t="n">
        <f aca="false">E35*$O$1</f>
        <v>6</v>
      </c>
      <c r="L35" s="7" t="n">
        <v>0.74</v>
      </c>
      <c r="M35" s="8" t="n">
        <f aca="false">K35*L35</f>
        <v>4.44</v>
      </c>
    </row>
    <row r="36" customFormat="false" ht="14.9" hidden="false" customHeight="false" outlineLevel="0" collapsed="false">
      <c r="A36" s="9" t="s">
        <v>116</v>
      </c>
      <c r="B36" s="9" t="s">
        <v>117</v>
      </c>
      <c r="C36" s="12" t="str">
        <f aca="false">HYPERLINK("http://www.digikey.ca/products/en?keywords=490-1155-1-ND","490-1155-1-ND")</f>
        <v>490-1155-1-ND</v>
      </c>
      <c r="D36" s="6" t="str">
        <f aca="false">HYPERLINK("http://ca.mouser.com/ProductDetail/Murata/LQW15AN56NJ00D/?qs=%2fha2pyFadujL72ITor93QdqWKh%2fJXTSSA42O4%2fEPS5bxe46o29sP%2fw%3d%3d","81-LQW15AN56NJ00D")</f>
        <v>81-LQW15AN56NJ00D</v>
      </c>
      <c r="E36" s="2" t="n">
        <v>1</v>
      </c>
      <c r="F36" s="2" t="n">
        <v>1</v>
      </c>
      <c r="G36" s="2" t="n">
        <v>1</v>
      </c>
      <c r="H36" s="2"/>
      <c r="I36" s="2" t="s">
        <v>118</v>
      </c>
      <c r="J36" s="2" t="s">
        <v>16</v>
      </c>
      <c r="K36" s="0" t="n">
        <f aca="false">E36*$O$1</f>
        <v>3</v>
      </c>
      <c r="L36" s="7" t="n">
        <v>0.24</v>
      </c>
      <c r="M36" s="8" t="n">
        <f aca="false">K36*L36</f>
        <v>0.72</v>
      </c>
    </row>
    <row r="37" customFormat="false" ht="14.9" hidden="false" customHeight="false" outlineLevel="0" collapsed="false">
      <c r="A37" s="9" t="s">
        <v>119</v>
      </c>
      <c r="B37" s="3" t="s">
        <v>120</v>
      </c>
      <c r="C37" s="12" t="str">
        <f aca="false">HYPERLINK("http://www.digikey.ca/products/en?keywords=490-1147-1-ND","490-1147-1-ND")</f>
        <v>490-1147-1-ND</v>
      </c>
      <c r="D37" s="6" t="str">
        <f aca="false">HYPERLINK("http://ca.mouser.com/ProductDetail/Murata/LQW15AN12NJ00D/?qs=%2fha2pyFaduhJnwFnmCzClIshbvPAkuTFad6lHfHRKPVijm9Q8oVAOQ%3d%3d","81-LQW15AN12NJ00D")</f>
        <v>81-LQW15AN12NJ00D</v>
      </c>
      <c r="E37" s="2" t="n">
        <v>1</v>
      </c>
      <c r="F37" s="2" t="n">
        <v>1</v>
      </c>
      <c r="G37" s="2" t="n">
        <v>1</v>
      </c>
      <c r="H37" s="2"/>
      <c r="I37" s="2" t="s">
        <v>121</v>
      </c>
      <c r="J37" s="2" t="s">
        <v>16</v>
      </c>
      <c r="K37" s="0" t="n">
        <f aca="false">E37*$O$1</f>
        <v>3</v>
      </c>
      <c r="L37" s="7" t="n">
        <v>0.24</v>
      </c>
      <c r="M37" s="8" t="n">
        <f aca="false">K37*L37</f>
        <v>0.72</v>
      </c>
    </row>
    <row r="38" customFormat="false" ht="14.9" hidden="false" customHeight="false" outlineLevel="0" collapsed="false">
      <c r="A38" s="9" t="s">
        <v>122</v>
      </c>
      <c r="B38" s="3" t="s">
        <v>123</v>
      </c>
      <c r="C38" s="5" t="str">
        <f aca="false">HYPERLINK("http://www.digikey.ca/products/en?keywords=P0.0JCT-ND","P0.0JCT-ND")</f>
        <v>P0.0JCT-ND</v>
      </c>
      <c r="D38" s="9" t="s">
        <v>22</v>
      </c>
      <c r="E38" s="2" t="n">
        <v>2</v>
      </c>
      <c r="F38" s="2" t="n">
        <v>2</v>
      </c>
      <c r="G38" s="2" t="n">
        <v>2</v>
      </c>
      <c r="H38" s="2"/>
      <c r="I38" s="2" t="s">
        <v>124</v>
      </c>
      <c r="J38" s="2" t="s">
        <v>16</v>
      </c>
      <c r="K38" s="0" t="n">
        <f aca="false">E38*$O$1</f>
        <v>6</v>
      </c>
      <c r="L38" s="7" t="n">
        <v>0.15</v>
      </c>
      <c r="M38" s="8" t="n">
        <f aca="false">K38*L38</f>
        <v>0.9</v>
      </c>
    </row>
    <row r="39" customFormat="false" ht="14.9" hidden="false" customHeight="false" outlineLevel="0" collapsed="false">
      <c r="A39" s="9" t="s">
        <v>125</v>
      </c>
      <c r="B39" s="3" t="s">
        <v>126</v>
      </c>
      <c r="C39" s="5" t="str">
        <f aca="false">HYPERLINK("http://www.digikey.ca/products/en?keywords=P18.0LCT-ND","P18.0LCT-ND")</f>
        <v>P18.0LCT-ND</v>
      </c>
      <c r="D39" s="9" t="s">
        <v>22</v>
      </c>
      <c r="E39" s="2" t="n">
        <v>1</v>
      </c>
      <c r="F39" s="2" t="n">
        <v>1</v>
      </c>
      <c r="G39" s="2" t="n">
        <v>1</v>
      </c>
      <c r="H39" s="2"/>
      <c r="I39" s="2" t="s">
        <v>127</v>
      </c>
      <c r="J39" s="2" t="s">
        <v>16</v>
      </c>
      <c r="K39" s="0" t="n">
        <f aca="false">E39*$O$1</f>
        <v>3</v>
      </c>
      <c r="L39" s="7" t="n">
        <v>0.15</v>
      </c>
      <c r="M39" s="8" t="n">
        <f aca="false">K39*L39</f>
        <v>0.45</v>
      </c>
    </row>
    <row r="40" customFormat="false" ht="14.9" hidden="false" customHeight="false" outlineLevel="0" collapsed="false">
      <c r="A40" s="9" t="s">
        <v>128</v>
      </c>
      <c r="B40" s="3" t="s">
        <v>129</v>
      </c>
      <c r="C40" s="5" t="str">
        <f aca="false">HYPERLINK("http://www.digikey.ca/products/en?keywords=P287LCT-ND","P287LCT-ND")</f>
        <v>P287LCT-ND</v>
      </c>
      <c r="D40" s="9" t="s">
        <v>22</v>
      </c>
      <c r="E40" s="2" t="n">
        <v>4</v>
      </c>
      <c r="F40" s="2" t="n">
        <v>4</v>
      </c>
      <c r="G40" s="2"/>
      <c r="H40" s="2"/>
      <c r="I40" s="2" t="s">
        <v>130</v>
      </c>
      <c r="J40" s="2" t="s">
        <v>16</v>
      </c>
      <c r="K40" s="0" t="n">
        <f aca="false">E40*$O$1</f>
        <v>12</v>
      </c>
      <c r="L40" s="7" t="n">
        <v>0.15</v>
      </c>
      <c r="M40" s="8" t="n">
        <f aca="false">K40*L40</f>
        <v>1.8</v>
      </c>
    </row>
    <row r="41" customFormat="false" ht="14.9" hidden="false" customHeight="false" outlineLevel="0" collapsed="false">
      <c r="A41" s="9" t="s">
        <v>131</v>
      </c>
      <c r="B41" s="3" t="s">
        <v>132</v>
      </c>
      <c r="C41" s="5" t="str">
        <f aca="false">HYPERLINK("http://www.digikey.ca/products/en?keywords=P634LCT-ND","P634LCT-ND")</f>
        <v>P634LCT-ND</v>
      </c>
      <c r="D41" s="9" t="s">
        <v>22</v>
      </c>
      <c r="E41" s="2" t="n">
        <v>1</v>
      </c>
      <c r="F41" s="2" t="n">
        <v>1</v>
      </c>
      <c r="G41" s="2"/>
      <c r="H41" s="2"/>
      <c r="I41" s="2" t="s">
        <v>133</v>
      </c>
      <c r="J41" s="2" t="s">
        <v>16</v>
      </c>
      <c r="K41" s="0" t="n">
        <f aca="false">E41*$O$1</f>
        <v>3</v>
      </c>
      <c r="L41" s="7" t="n">
        <v>0.15</v>
      </c>
      <c r="M41" s="8" t="n">
        <f aca="false">K41*L41</f>
        <v>0.45</v>
      </c>
    </row>
    <row r="42" customFormat="false" ht="14.9" hidden="false" customHeight="false" outlineLevel="0" collapsed="false">
      <c r="A42" s="3" t="s">
        <v>134</v>
      </c>
      <c r="B42" s="3" t="s">
        <v>135</v>
      </c>
      <c r="C42" s="5" t="str">
        <f aca="false">HYPERLINK("http://www.digikey.ca/products/en?keywords=P1.00KLCT-ND","P1.00KLCT-ND")</f>
        <v>P1.00KLCT-ND</v>
      </c>
      <c r="D42" s="9" t="s">
        <v>22</v>
      </c>
      <c r="E42" s="2" t="n">
        <v>5</v>
      </c>
      <c r="F42" s="2" t="n">
        <v>5</v>
      </c>
      <c r="G42" s="2"/>
      <c r="H42" s="2"/>
      <c r="I42" s="2" t="s">
        <v>136</v>
      </c>
      <c r="J42" s="2" t="s">
        <v>16</v>
      </c>
      <c r="K42" s="0" t="n">
        <f aca="false">E42*$O$1</f>
        <v>15</v>
      </c>
      <c r="L42" s="7" t="n">
        <v>0.15</v>
      </c>
      <c r="M42" s="8" t="n">
        <f aca="false">K42*L42</f>
        <v>2.25</v>
      </c>
    </row>
    <row r="43" customFormat="false" ht="14.9" hidden="false" customHeight="false" outlineLevel="0" collapsed="false">
      <c r="A43" s="3" t="s">
        <v>137</v>
      </c>
      <c r="B43" s="3" t="s">
        <v>138</v>
      </c>
      <c r="C43" s="5" t="str">
        <f aca="false">HYPERLINK("http://www.digikey.ca/products/en?keywords=P56.0KLCT-ND","P56.0KLCT-ND")</f>
        <v>P56.0KLCT-ND</v>
      </c>
      <c r="D43" s="9" t="s">
        <v>22</v>
      </c>
      <c r="E43" s="2" t="n">
        <v>1</v>
      </c>
      <c r="F43" s="2" t="n">
        <v>1</v>
      </c>
      <c r="G43" s="2" t="n">
        <v>1</v>
      </c>
      <c r="H43" s="2"/>
      <c r="I43" s="2" t="s">
        <v>139</v>
      </c>
      <c r="J43" s="2" t="s">
        <v>16</v>
      </c>
      <c r="K43" s="0" t="n">
        <f aca="false">E43*$O$1</f>
        <v>3</v>
      </c>
      <c r="L43" s="7" t="n">
        <v>0.15</v>
      </c>
      <c r="M43" s="8" t="n">
        <f aca="false">K43*L43</f>
        <v>0.45</v>
      </c>
    </row>
    <row r="44" customFormat="false" ht="14.9" hidden="false" customHeight="false" outlineLevel="0" collapsed="false">
      <c r="A44" s="3" t="s">
        <v>140</v>
      </c>
      <c r="B44" s="3" t="s">
        <v>141</v>
      </c>
      <c r="C44" s="5" t="str">
        <f aca="false">HYPERLINK("http://www.digikey.ca/products/en?keywords=A103948-ND","A103948-ND")</f>
        <v>A103948-ND</v>
      </c>
      <c r="D44" s="6" t="str">
        <f aca="false">HYPERLINK("http://ca.mouser.com/ProductDetail/TE-Connectivity/2132813-2/?qs=%2fha2pyFaduiILHivcldtmmjQ6sKolTjxytYxOiriHiyYOc9BQgFgqg%3d%3d","571-2132813-2")</f>
        <v>571-2132813-2</v>
      </c>
      <c r="E44" s="2" t="n">
        <v>1</v>
      </c>
      <c r="F44" s="2"/>
      <c r="G44" s="2"/>
      <c r="H44" s="2"/>
      <c r="I44" s="2" t="s">
        <v>55</v>
      </c>
      <c r="J44" s="2" t="s">
        <v>22</v>
      </c>
      <c r="K44" s="0" t="n">
        <f aca="false">E44*$O$1</f>
        <v>3</v>
      </c>
      <c r="L44" s="7" t="n">
        <v>0.28</v>
      </c>
      <c r="M44" s="8" t="n">
        <f aca="false">K44*L44</f>
        <v>0.84</v>
      </c>
    </row>
    <row r="45" customFormat="false" ht="14.9" hidden="false" customHeight="false" outlineLevel="0" collapsed="false">
      <c r="A45" s="3" t="s">
        <v>142</v>
      </c>
      <c r="B45" s="3" t="s">
        <v>143</v>
      </c>
      <c r="C45" s="5" t="str">
        <f aca="false">HYPERLINK("http://www.digikey.ca/products/en?keywords=A99845-ND","A99845-ND")</f>
        <v>A99845-ND</v>
      </c>
      <c r="D45" s="6" t="str">
        <f aca="false">HYPERLINK("http://ca.mouser.com/ProductDetail/TE-Connectivity/1877285-2/?qs=%2fha2pyFaduhJbam7HftjqIx1uJV%252bEj%2fglP4doGNwb6Y%3d","571-1877285-2")</f>
        <v>571-1877285-2</v>
      </c>
      <c r="E45" s="2" t="n">
        <v>1</v>
      </c>
      <c r="F45" s="2"/>
      <c r="G45" s="2"/>
      <c r="H45" s="2"/>
      <c r="I45" s="2" t="s">
        <v>144</v>
      </c>
      <c r="J45" s="2" t="s">
        <v>16</v>
      </c>
      <c r="K45" s="0" t="n">
        <f aca="false">E45*$O$1</f>
        <v>3</v>
      </c>
      <c r="L45" s="7" t="n">
        <v>0.5</v>
      </c>
      <c r="M45" s="8" t="n">
        <f aca="false">K45*L45</f>
        <v>1.5</v>
      </c>
    </row>
    <row r="46" customFormat="false" ht="13.8" hidden="false" customHeight="false" outlineLevel="0" collapsed="false">
      <c r="A46" s="14" t="s">
        <v>145</v>
      </c>
      <c r="B46" s="15"/>
      <c r="C46" s="16"/>
      <c r="D46" s="17"/>
      <c r="E46" s="18" t="n">
        <f aca="false">SUM(E2:E45)</f>
        <v>74</v>
      </c>
      <c r="F46" s="18" t="n">
        <f aca="false">SUM(F2:F45)</f>
        <v>64</v>
      </c>
      <c r="G46" s="18" t="n">
        <f aca="false">SUM(G2:G45)</f>
        <v>40</v>
      </c>
      <c r="H46" s="18"/>
      <c r="I46" s="19"/>
      <c r="J46" s="19"/>
      <c r="K46" s="18" t="n">
        <f aca="false">SUM(K2:K45)</f>
        <v>222</v>
      </c>
      <c r="L46" s="16"/>
      <c r="M46" s="20" t="n">
        <f aca="false">SUM(M2:M45)</f>
        <v>137.16</v>
      </c>
    </row>
  </sheetData>
  <conditionalFormatting sqref="J2:J46">
    <cfRule type="cellIs" priority="2" operator="equal" aboveAverage="0" equalAverage="0" bottom="0" percent="0" rank="0" text="" dxfId="0">
      <formula>"Yes"</formula>
    </cfRule>
  </conditionalFormatting>
  <conditionalFormatting sqref="J2:J46">
    <cfRule type="cellIs" priority="3" operator="equal" aboveAverage="0" equalAverage="0" bottom="0" percent="0" rank="0" text="" dxfId="1">
      <formula>"No"</formula>
    </cfRule>
  </conditionalFormatting>
  <conditionalFormatting sqref="J2:J45">
    <cfRule type="cellIs" priority="4" operator="equal" aboveAverage="0" equalAverage="0" bottom="0" percent="0" rank="0" text="" dxfId="2">
      <formula>"TBC"</formula>
    </cfRule>
  </conditionalFormatting>
  <conditionalFormatting sqref="J2:J45">
    <cfRule type="cellIs" priority="5" operator="equal" aboveAverage="0" equalAverage="0" bottom="0" percent="0" rank="0" text="" dxfId="3">
      <formula>"N/A"</formula>
    </cfRule>
  </conditionalFormatting>
  <dataValidations count="1">
    <dataValidation allowBlank="true" operator="between" showDropDown="false" showErrorMessage="false" showInputMessage="false" sqref="J2:J45" type="list">
      <formula1>"Yes,No,TBC,N/A"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2017-05-06T20:30:13Z</dcterms:modified>
  <cp:revision>1</cp:revision>
  <dc:subject/>
  <dc:title/>
</cp:coreProperties>
</file>